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owercon-Palashi\AppData\Local\Microsoft\Windows\INetCache\Content.Outlook\1VH4XLE4\"/>
    </mc:Choice>
  </mc:AlternateContent>
  <xr:revisionPtr revIDLastSave="0" documentId="13_ncr:1_{552598EB-5791-4D60-820D-007CE58AD177}" xr6:coauthVersionLast="47" xr6:coauthVersionMax="47" xr10:uidLastSave="{00000000-0000-0000-0000-000000000000}"/>
  <bookViews>
    <workbookView xWindow="-108" yWindow="-108" windowWidth="23256" windowHeight="12576" tabRatio="826" xr2:uid="{00000000-000D-0000-FFFF-FFFF00000000}"/>
  </bookViews>
  <sheets>
    <sheet name="O2Summary" sheetId="11" r:id="rId1"/>
    <sheet name="AnnualKPI" sheetId="10" r:id="rId2"/>
    <sheet name="MonthlyKPI" sheetId="9" r:id="rId3"/>
    <sheet name="Analytics" sheetId="12" r:id="rId4"/>
    <sheet name="Daily KPI" sheetId="14" r:id="rId5"/>
    <sheet name="Input_Raw" sheetId="1" r:id="rId6"/>
    <sheet name="Sheet1" sheetId="17" state="hidden" r:id="rId7"/>
    <sheet name="WTG_BD" sheetId="18" r:id="rId8"/>
    <sheet name="IGA_BD" sheetId="19" r:id="rId9"/>
    <sheet name="Grid_BD" sheetId="20" r:id="rId10"/>
    <sheet name="PM" sheetId="13" r:id="rId11"/>
    <sheet name="Basic Data" sheetId="4" state="hidden" r:id="rId12"/>
    <sheet name="WTG Reactive Power" sheetId="16" r:id="rId13"/>
    <sheet name="Modelling New" sheetId="15" state="hidden" r:id="rId14"/>
  </sheets>
  <externalReferences>
    <externalReference r:id="rId15"/>
    <externalReference r:id="rId16"/>
    <externalReference r:id="rId17"/>
    <externalReference r:id="rId18"/>
  </externalReferences>
  <definedNames>
    <definedName name="BD_Relation">[1]Basic_Data!$B$3:$B$14</definedName>
    <definedName name="Date">[1]Basic_Data!$D$3:$D$33</definedName>
    <definedName name="dccap">[2]DGR!$D$7:$D$14</definedName>
    <definedName name="Digos">'[3]Basic Data'!#REF!</definedName>
    <definedName name="engg">[1]Basic_Data!$L$3:$L$16</definedName>
    <definedName name="Equipment">[1]Basic_Data!$F$3:$F$5</definedName>
    <definedName name="error">[1]Basic_Data!$M$3:$M$33</definedName>
    <definedName name="Gstc" localSheetId="3">#REF!</definedName>
    <definedName name="Gstc" localSheetId="1">#REF!</definedName>
    <definedName name="Gstc" localSheetId="2">#REF!</definedName>
    <definedName name="Gstc" localSheetId="0">#REF!</definedName>
    <definedName name="Gstc">#REF!</definedName>
    <definedName name="Inverter">[1]Basic_Data!$H$3:$H$8</definedName>
    <definedName name="invlook">[2]DGR!$B$7:$D$14</definedName>
    <definedName name="JB">[1]Basic_Data!$I$3:$I$68</definedName>
    <definedName name="jbp">[2]Basic_Data!$I$3:$J$66</definedName>
    <definedName name="P1_SnW4240">'[3]Basic Data'!#REF!</definedName>
    <definedName name="P1SnW4240">'[3]Basic Data'!#REF!</definedName>
    <definedName name="P1SnW51">'[3]Basic Data'!#REF!</definedName>
    <definedName name="P1SnW68">'[3]Basic Data'!#REF!</definedName>
    <definedName name="Pstc" localSheetId="3">#REF!</definedName>
    <definedName name="Pstc" localSheetId="1">#REF!</definedName>
    <definedName name="Pstc" localSheetId="2">#REF!</definedName>
    <definedName name="Pstc" localSheetId="0">#REF!</definedName>
    <definedName name="Pstc">#REF!</definedName>
    <definedName name="SCDA" localSheetId="0">'[3]Basic Data'!#REF!</definedName>
    <definedName name="SCDA">'[3]Basic Data'!#REF!</definedName>
    <definedName name="status">[1]Basic_Data!$K$3:$K$4</definedName>
    <definedName name="stp">[2]Basic_Data!$K$3:$L$32</definedName>
    <definedName name="String">[1]Basic_Data!$J$3:$J$1019</definedName>
    <definedName name="zzzzz">[4]Basic_Data!$F$3:$F$5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P107" i="1" l="1"/>
  <c r="CQ107" i="1"/>
  <c r="CR107" i="1"/>
  <c r="CT107" i="1"/>
  <c r="DB107" i="1" s="1"/>
  <c r="CV107" i="1"/>
  <c r="DD107" i="1" s="1"/>
  <c r="CX107" i="1"/>
  <c r="DF107" i="1" s="1"/>
  <c r="CZ107" i="1"/>
  <c r="DH107" i="1" s="1"/>
  <c r="DK107" i="1"/>
  <c r="DJ107" i="1" l="1"/>
  <c r="DL107" i="1" s="1"/>
  <c r="CP106" i="1"/>
  <c r="CQ106" i="1"/>
  <c r="CR106" i="1"/>
  <c r="CT106" i="1"/>
  <c r="DB106" i="1" s="1"/>
  <c r="CV106" i="1"/>
  <c r="DD106" i="1" s="1"/>
  <c r="CX106" i="1"/>
  <c r="DF106" i="1" s="1"/>
  <c r="CZ106" i="1"/>
  <c r="DH106" i="1" s="1"/>
  <c r="DK106" i="1"/>
  <c r="B1088" i="19"/>
  <c r="B1089" i="19"/>
  <c r="B1090" i="19"/>
  <c r="B1091" i="19"/>
  <c r="B1092" i="19"/>
  <c r="B1093" i="19"/>
  <c r="C1088" i="19"/>
  <c r="C1089" i="19"/>
  <c r="C1090" i="19"/>
  <c r="C1091" i="19"/>
  <c r="C1092" i="19"/>
  <c r="C1093" i="19"/>
  <c r="E1088" i="19"/>
  <c r="E1089" i="19"/>
  <c r="E1090" i="19"/>
  <c r="E1091" i="19"/>
  <c r="E1092" i="19"/>
  <c r="E1093" i="19"/>
  <c r="O1088" i="19"/>
  <c r="O1089" i="19"/>
  <c r="O1090" i="19"/>
  <c r="O1091" i="19"/>
  <c r="O1092" i="19"/>
  <c r="O1093" i="19"/>
  <c r="P1088" i="19"/>
  <c r="P1089" i="19"/>
  <c r="P1090" i="19"/>
  <c r="P1091" i="19"/>
  <c r="P1092" i="19"/>
  <c r="P1093" i="19"/>
  <c r="Q1088" i="19"/>
  <c r="Q1089" i="19"/>
  <c r="Q1090" i="19"/>
  <c r="Q1091" i="19"/>
  <c r="Q1092" i="19"/>
  <c r="Q1093" i="19"/>
  <c r="B331" i="18"/>
  <c r="B332" i="18"/>
  <c r="B333" i="18"/>
  <c r="B334" i="18"/>
  <c r="B335" i="18"/>
  <c r="B336" i="18"/>
  <c r="C331" i="18"/>
  <c r="C332" i="18"/>
  <c r="C333" i="18"/>
  <c r="C334" i="18"/>
  <c r="C335" i="18"/>
  <c r="C336" i="18"/>
  <c r="E331" i="18"/>
  <c r="E332" i="18"/>
  <c r="E333" i="18"/>
  <c r="E334" i="18"/>
  <c r="E335" i="18"/>
  <c r="E336" i="18"/>
  <c r="R331" i="18"/>
  <c r="R332" i="18"/>
  <c r="R333" i="18"/>
  <c r="R334" i="18"/>
  <c r="R335" i="18"/>
  <c r="R336" i="18"/>
  <c r="S331" i="18"/>
  <c r="S332" i="18"/>
  <c r="S333" i="18"/>
  <c r="S334" i="18"/>
  <c r="S335" i="18"/>
  <c r="S336" i="18"/>
  <c r="T331" i="18"/>
  <c r="T332" i="18"/>
  <c r="T333" i="18"/>
  <c r="T334" i="18"/>
  <c r="T335" i="18"/>
  <c r="T336" i="18"/>
  <c r="I1092" i="19"/>
  <c r="H1091" i="19"/>
  <c r="I1089" i="19"/>
  <c r="I1093" i="19"/>
  <c r="H1088" i="19"/>
  <c r="H1092" i="19"/>
  <c r="I1090" i="19"/>
  <c r="H1089" i="19"/>
  <c r="H1093" i="19"/>
  <c r="I1091" i="19"/>
  <c r="H1090" i="19"/>
  <c r="I1088" i="19"/>
  <c r="H333" i="18"/>
  <c r="I331" i="18"/>
  <c r="I335" i="18"/>
  <c r="L335" i="18"/>
  <c r="H334" i="18"/>
  <c r="I332" i="18"/>
  <c r="I336" i="18"/>
  <c r="L336" i="18"/>
  <c r="H335" i="18"/>
  <c r="I333" i="18"/>
  <c r="L333" i="18"/>
  <c r="H336" i="18"/>
  <c r="I334" i="18"/>
  <c r="L332" i="18"/>
  <c r="H331" i="18"/>
  <c r="H332" i="18"/>
  <c r="L334" i="18"/>
  <c r="DJ106" i="1" l="1"/>
  <c r="DL106" i="1" s="1"/>
  <c r="CP105" i="1" l="1"/>
  <c r="CQ105" i="1"/>
  <c r="CR105" i="1"/>
  <c r="CT105" i="1"/>
  <c r="DB105" i="1" s="1"/>
  <c r="CV105" i="1"/>
  <c r="DD105" i="1" s="1"/>
  <c r="CX105" i="1"/>
  <c r="DF105" i="1" s="1"/>
  <c r="CZ105" i="1"/>
  <c r="DH105" i="1" s="1"/>
  <c r="DK105" i="1"/>
  <c r="B1083" i="19"/>
  <c r="B1084" i="19"/>
  <c r="B1085" i="19"/>
  <c r="B1086" i="19"/>
  <c r="B1087" i="19"/>
  <c r="C1083" i="19"/>
  <c r="C1084" i="19"/>
  <c r="C1085" i="19"/>
  <c r="C1086" i="19"/>
  <c r="C1087" i="19"/>
  <c r="E1083" i="19"/>
  <c r="E1084" i="19"/>
  <c r="E1085" i="19"/>
  <c r="E1086" i="19"/>
  <c r="E1087" i="19"/>
  <c r="O1083" i="19"/>
  <c r="O1084" i="19"/>
  <c r="O1085" i="19"/>
  <c r="O1086" i="19"/>
  <c r="O1087" i="19"/>
  <c r="P1083" i="19"/>
  <c r="P1084" i="19"/>
  <c r="P1085" i="19"/>
  <c r="P1086" i="19"/>
  <c r="P1087" i="19"/>
  <c r="Q1083" i="19"/>
  <c r="Q1084" i="19"/>
  <c r="Q1085" i="19"/>
  <c r="Q1086" i="19"/>
  <c r="Q1087" i="19"/>
  <c r="B324" i="18"/>
  <c r="B325" i="18"/>
  <c r="B326" i="18"/>
  <c r="B327" i="18"/>
  <c r="B328" i="18"/>
  <c r="B329" i="18"/>
  <c r="B330" i="18"/>
  <c r="C324" i="18"/>
  <c r="C325" i="18"/>
  <c r="C326" i="18"/>
  <c r="C327" i="18"/>
  <c r="C328" i="18"/>
  <c r="C329" i="18"/>
  <c r="C330" i="18"/>
  <c r="E324" i="18"/>
  <c r="E325" i="18"/>
  <c r="E326" i="18"/>
  <c r="E327" i="18"/>
  <c r="E328" i="18"/>
  <c r="E329" i="18"/>
  <c r="E330" i="18"/>
  <c r="R324" i="18"/>
  <c r="R325" i="18"/>
  <c r="R326" i="18"/>
  <c r="R327" i="18"/>
  <c r="R328" i="18"/>
  <c r="R329" i="18"/>
  <c r="R330" i="18"/>
  <c r="S324" i="18"/>
  <c r="S325" i="18"/>
  <c r="S326" i="18"/>
  <c r="S327" i="18"/>
  <c r="S328" i="18"/>
  <c r="S329" i="18"/>
  <c r="S330" i="18"/>
  <c r="T324" i="18"/>
  <c r="T325" i="18"/>
  <c r="T326" i="18"/>
  <c r="T327" i="18"/>
  <c r="T328" i="18"/>
  <c r="T329" i="18"/>
  <c r="T330" i="18"/>
  <c r="H1084" i="19"/>
  <c r="I1084" i="19"/>
  <c r="H1087" i="19"/>
  <c r="I1086" i="19"/>
  <c r="I1085" i="19"/>
  <c r="H1083" i="19"/>
  <c r="I1083" i="19"/>
  <c r="H1086" i="19"/>
  <c r="I1087" i="19"/>
  <c r="H1085" i="19"/>
  <c r="L326" i="18"/>
  <c r="H328" i="18"/>
  <c r="H330" i="18"/>
  <c r="I330" i="18"/>
  <c r="L325" i="18"/>
  <c r="L324" i="18"/>
  <c r="H327" i="18"/>
  <c r="L330" i="18"/>
  <c r="I325" i="18"/>
  <c r="H325" i="18"/>
  <c r="I328" i="18"/>
  <c r="H324" i="18"/>
  <c r="L327" i="18"/>
  <c r="I326" i="18"/>
  <c r="H326" i="18"/>
  <c r="I324" i="18"/>
  <c r="I327" i="18"/>
  <c r="I329" i="18"/>
  <c r="H329" i="18"/>
  <c r="L328" i="18"/>
  <c r="DJ105" i="1" l="1"/>
  <c r="DL105" i="1" s="1"/>
  <c r="CP104" i="1" l="1"/>
  <c r="CQ104" i="1"/>
  <c r="CR104" i="1"/>
  <c r="CT104" i="1"/>
  <c r="DB104" i="1" s="1"/>
  <c r="CV104" i="1"/>
  <c r="DD104" i="1" s="1"/>
  <c r="CX104" i="1"/>
  <c r="DF104" i="1" s="1"/>
  <c r="CZ104" i="1"/>
  <c r="DH104" i="1" s="1"/>
  <c r="DK104" i="1"/>
  <c r="DJ104" i="1" l="1"/>
  <c r="DL104" i="1" s="1"/>
  <c r="B322" i="18" l="1"/>
  <c r="C322" i="18"/>
  <c r="B323" i="18"/>
  <c r="C323" i="18"/>
  <c r="E322" i="18"/>
  <c r="E323" i="18"/>
  <c r="R322" i="18"/>
  <c r="R323" i="18"/>
  <c r="S322" i="18"/>
  <c r="S323" i="18"/>
  <c r="T322" i="18"/>
  <c r="T323" i="18"/>
  <c r="I322" i="18"/>
  <c r="I323" i="18"/>
  <c r="L322" i="18"/>
  <c r="L323" i="18"/>
  <c r="H323" i="18"/>
  <c r="H322" i="18"/>
  <c r="CP103" i="1" l="1"/>
  <c r="CQ103" i="1"/>
  <c r="CR103" i="1"/>
  <c r="CT103" i="1"/>
  <c r="DB103" i="1" s="1"/>
  <c r="CV103" i="1"/>
  <c r="DD103" i="1" s="1"/>
  <c r="CX103" i="1"/>
  <c r="DF103" i="1" s="1"/>
  <c r="CZ103" i="1"/>
  <c r="DH103" i="1" s="1"/>
  <c r="DK103" i="1"/>
  <c r="DJ103" i="1" l="1"/>
  <c r="DL103" i="1" s="1"/>
  <c r="B317" i="18" l="1"/>
  <c r="B318" i="18"/>
  <c r="B319" i="18"/>
  <c r="B320" i="18"/>
  <c r="B321" i="18"/>
  <c r="C317" i="18"/>
  <c r="C318" i="18"/>
  <c r="C319" i="18"/>
  <c r="C320" i="18"/>
  <c r="C321" i="18"/>
  <c r="E317" i="18"/>
  <c r="E318" i="18"/>
  <c r="E319" i="18"/>
  <c r="E320" i="18"/>
  <c r="E321" i="18"/>
  <c r="R317" i="18"/>
  <c r="R318" i="18"/>
  <c r="R319" i="18"/>
  <c r="R320" i="18"/>
  <c r="R321" i="18"/>
  <c r="S317" i="18"/>
  <c r="S318" i="18"/>
  <c r="S319" i="18"/>
  <c r="S320" i="18"/>
  <c r="S321" i="18"/>
  <c r="T317" i="18"/>
  <c r="T318" i="18"/>
  <c r="T319" i="18"/>
  <c r="T320" i="18"/>
  <c r="T321" i="18"/>
  <c r="H321" i="18"/>
  <c r="I317" i="18"/>
  <c r="I318" i="18"/>
  <c r="L317" i="18"/>
  <c r="H317" i="18"/>
  <c r="I319" i="18"/>
  <c r="I320" i="18"/>
  <c r="I321" i="18"/>
  <c r="L320" i="18"/>
  <c r="L319" i="18"/>
  <c r="H319" i="18"/>
  <c r="L321" i="18"/>
  <c r="L318" i="18"/>
  <c r="H320" i="18"/>
  <c r="H318" i="18"/>
  <c r="B311" i="18" l="1"/>
  <c r="B312" i="18"/>
  <c r="B313" i="18"/>
  <c r="B314" i="18"/>
  <c r="B315" i="18"/>
  <c r="B316" i="18"/>
  <c r="C311" i="18"/>
  <c r="C312" i="18"/>
  <c r="C313" i="18"/>
  <c r="C314" i="18"/>
  <c r="C315" i="18"/>
  <c r="C316" i="18"/>
  <c r="E311" i="18"/>
  <c r="E312" i="18"/>
  <c r="E313" i="18"/>
  <c r="E314" i="18"/>
  <c r="E315" i="18"/>
  <c r="E316" i="18"/>
  <c r="R311" i="18"/>
  <c r="R312" i="18"/>
  <c r="R313" i="18"/>
  <c r="R314" i="18"/>
  <c r="R315" i="18"/>
  <c r="R316" i="18"/>
  <c r="S311" i="18"/>
  <c r="S312" i="18"/>
  <c r="S313" i="18"/>
  <c r="S314" i="18"/>
  <c r="S315" i="18"/>
  <c r="S316" i="18"/>
  <c r="T311" i="18"/>
  <c r="T312" i="18"/>
  <c r="T313" i="18"/>
  <c r="T314" i="18"/>
  <c r="T315" i="18"/>
  <c r="T316" i="18"/>
  <c r="CP102" i="1"/>
  <c r="CQ102" i="1"/>
  <c r="CR102" i="1"/>
  <c r="CT102" i="1"/>
  <c r="DB102" i="1" s="1"/>
  <c r="CV102" i="1"/>
  <c r="DD102" i="1" s="1"/>
  <c r="CX102" i="1"/>
  <c r="DF102" i="1" s="1"/>
  <c r="CZ102" i="1"/>
  <c r="DH102" i="1" s="1"/>
  <c r="DK102" i="1"/>
  <c r="B308" i="18"/>
  <c r="C308" i="18"/>
  <c r="E308" i="18"/>
  <c r="R308" i="18"/>
  <c r="S308" i="18"/>
  <c r="T308" i="18"/>
  <c r="B306" i="18"/>
  <c r="C306" i="18"/>
  <c r="E306" i="18"/>
  <c r="R306" i="18"/>
  <c r="S306" i="18"/>
  <c r="T306" i="18"/>
  <c r="B304" i="18"/>
  <c r="C304" i="18"/>
  <c r="E304" i="18"/>
  <c r="R304" i="18"/>
  <c r="S304" i="18"/>
  <c r="T304" i="18"/>
  <c r="CP101" i="1"/>
  <c r="CQ101" i="1"/>
  <c r="CR101" i="1"/>
  <c r="CT101" i="1"/>
  <c r="DB101" i="1" s="1"/>
  <c r="CV101" i="1"/>
  <c r="DD101" i="1" s="1"/>
  <c r="CX101" i="1"/>
  <c r="DF101" i="1" s="1"/>
  <c r="CZ101" i="1"/>
  <c r="DH101" i="1" s="1"/>
  <c r="DK101" i="1"/>
  <c r="B1079" i="19"/>
  <c r="B1080" i="19"/>
  <c r="B1081" i="19"/>
  <c r="B1082" i="19"/>
  <c r="C1079" i="19"/>
  <c r="C1080" i="19"/>
  <c r="C1081" i="19"/>
  <c r="C1082" i="19"/>
  <c r="E1079" i="19"/>
  <c r="E1080" i="19"/>
  <c r="E1081" i="19"/>
  <c r="E1082" i="19"/>
  <c r="O1079" i="19"/>
  <c r="O1080" i="19"/>
  <c r="O1081" i="19"/>
  <c r="O1082" i="19"/>
  <c r="P1079" i="19"/>
  <c r="P1080" i="19"/>
  <c r="P1081" i="19"/>
  <c r="P1082" i="19"/>
  <c r="Q1079" i="19"/>
  <c r="Q1080" i="19"/>
  <c r="Q1081" i="19"/>
  <c r="Q1082" i="19"/>
  <c r="B303" i="18"/>
  <c r="B305" i="18"/>
  <c r="B307" i="18"/>
  <c r="B309" i="18"/>
  <c r="B310" i="18"/>
  <c r="C303" i="18"/>
  <c r="C305" i="18"/>
  <c r="C307" i="18"/>
  <c r="C309" i="18"/>
  <c r="C310" i="18"/>
  <c r="E303" i="18"/>
  <c r="E305" i="18"/>
  <c r="E307" i="18"/>
  <c r="E309" i="18"/>
  <c r="E310" i="18"/>
  <c r="R303" i="18"/>
  <c r="R305" i="18"/>
  <c r="R307" i="18"/>
  <c r="R309" i="18"/>
  <c r="R310" i="18"/>
  <c r="S303" i="18"/>
  <c r="S305" i="18"/>
  <c r="S307" i="18"/>
  <c r="S309" i="18"/>
  <c r="S310" i="18"/>
  <c r="T303" i="18"/>
  <c r="T305" i="18"/>
  <c r="T307" i="18"/>
  <c r="T309" i="18"/>
  <c r="T310" i="18"/>
  <c r="H1079" i="19"/>
  <c r="I1080" i="19"/>
  <c r="H1082" i="19"/>
  <c r="I1079" i="19"/>
  <c r="I1081" i="19"/>
  <c r="H1081" i="19"/>
  <c r="H1080" i="19"/>
  <c r="I1082" i="19"/>
  <c r="L307" i="18"/>
  <c r="I304" i="18"/>
  <c r="I308" i="18"/>
  <c r="L310" i="18"/>
  <c r="L309" i="18"/>
  <c r="H315" i="18"/>
  <c r="I314" i="18"/>
  <c r="H311" i="18"/>
  <c r="H310" i="18"/>
  <c r="L312" i="18"/>
  <c r="H304" i="18"/>
  <c r="H303" i="18"/>
  <c r="I315" i="18"/>
  <c r="H305" i="18"/>
  <c r="I316" i="18"/>
  <c r="I309" i="18"/>
  <c r="L303" i="18"/>
  <c r="H309" i="18"/>
  <c r="I312" i="18"/>
  <c r="I313" i="18"/>
  <c r="L305" i="18"/>
  <c r="L313" i="18"/>
  <c r="I305" i="18"/>
  <c r="L311" i="18"/>
  <c r="L306" i="18"/>
  <c r="I310" i="18"/>
  <c r="H312" i="18"/>
  <c r="L314" i="18"/>
  <c r="H316" i="18"/>
  <c r="I303" i="18"/>
  <c r="H308" i="18"/>
  <c r="I306" i="18"/>
  <c r="H307" i="18"/>
  <c r="L308" i="18"/>
  <c r="I307" i="18"/>
  <c r="H314" i="18"/>
  <c r="H313" i="18"/>
  <c r="L315" i="18"/>
  <c r="L304" i="18"/>
  <c r="L316" i="18"/>
  <c r="I311" i="18"/>
  <c r="H306" i="18"/>
  <c r="DJ102" i="1" l="1"/>
  <c r="DL102" i="1" s="1"/>
  <c r="DJ101" i="1"/>
  <c r="DL101" i="1" s="1"/>
  <c r="B1062" i="19"/>
  <c r="C1062" i="19"/>
  <c r="E1062" i="19"/>
  <c r="O1062" i="19"/>
  <c r="P1062" i="19"/>
  <c r="Q1062" i="19"/>
  <c r="CP100" i="1"/>
  <c r="CQ100" i="1"/>
  <c r="CR100" i="1"/>
  <c r="CT100" i="1"/>
  <c r="DB100" i="1" s="1"/>
  <c r="CV100" i="1"/>
  <c r="DD100" i="1" s="1"/>
  <c r="CX100" i="1"/>
  <c r="DF100" i="1" s="1"/>
  <c r="CZ100" i="1"/>
  <c r="DH100" i="1" s="1"/>
  <c r="DK100" i="1"/>
  <c r="B1070" i="19"/>
  <c r="C1070" i="19"/>
  <c r="E1070" i="19"/>
  <c r="O1070" i="19"/>
  <c r="P1070" i="19"/>
  <c r="Q1070" i="19"/>
  <c r="B1072" i="19"/>
  <c r="C1072" i="19"/>
  <c r="E1072" i="19"/>
  <c r="O1072" i="19"/>
  <c r="P1072" i="19"/>
  <c r="Q1072" i="19"/>
  <c r="B1074" i="19"/>
  <c r="C1074" i="19"/>
  <c r="E1074" i="19"/>
  <c r="O1074" i="19"/>
  <c r="P1074" i="19"/>
  <c r="Q1074" i="19"/>
  <c r="B1076" i="19"/>
  <c r="C1076" i="19"/>
  <c r="E1076" i="19"/>
  <c r="O1076" i="19"/>
  <c r="P1076" i="19"/>
  <c r="Q1076" i="19"/>
  <c r="B1078" i="19"/>
  <c r="C1078" i="19"/>
  <c r="E1078" i="19"/>
  <c r="O1078" i="19"/>
  <c r="P1078" i="19"/>
  <c r="Q1078" i="19"/>
  <c r="B1060" i="19"/>
  <c r="B1061" i="19"/>
  <c r="B1063" i="19"/>
  <c r="B1064" i="19"/>
  <c r="B1065" i="19"/>
  <c r="B1066" i="19"/>
  <c r="B1067" i="19"/>
  <c r="B1068" i="19"/>
  <c r="B1069" i="19"/>
  <c r="B1071" i="19"/>
  <c r="B1073" i="19"/>
  <c r="B1075" i="19"/>
  <c r="B1077" i="19"/>
  <c r="C1060" i="19"/>
  <c r="C1061" i="19"/>
  <c r="C1063" i="19"/>
  <c r="C1064" i="19"/>
  <c r="C1065" i="19"/>
  <c r="C1066" i="19"/>
  <c r="C1067" i="19"/>
  <c r="C1068" i="19"/>
  <c r="C1069" i="19"/>
  <c r="C1071" i="19"/>
  <c r="C1073" i="19"/>
  <c r="C1075" i="19"/>
  <c r="C1077" i="19"/>
  <c r="E1060" i="19"/>
  <c r="E1061" i="19"/>
  <c r="E1063" i="19"/>
  <c r="E1064" i="19"/>
  <c r="E1065" i="19"/>
  <c r="E1066" i="19"/>
  <c r="E1067" i="19"/>
  <c r="E1068" i="19"/>
  <c r="E1069" i="19"/>
  <c r="E1071" i="19"/>
  <c r="E1073" i="19"/>
  <c r="E1075" i="19"/>
  <c r="E1077" i="19"/>
  <c r="O1060" i="19"/>
  <c r="O1061" i="19"/>
  <c r="O1063" i="19"/>
  <c r="O1064" i="19"/>
  <c r="O1065" i="19"/>
  <c r="O1066" i="19"/>
  <c r="O1067" i="19"/>
  <c r="O1068" i="19"/>
  <c r="O1069" i="19"/>
  <c r="O1071" i="19"/>
  <c r="O1073" i="19"/>
  <c r="O1075" i="19"/>
  <c r="O1077" i="19"/>
  <c r="P1060" i="19"/>
  <c r="P1061" i="19"/>
  <c r="P1063" i="19"/>
  <c r="P1064" i="19"/>
  <c r="P1065" i="19"/>
  <c r="P1066" i="19"/>
  <c r="P1067" i="19"/>
  <c r="P1068" i="19"/>
  <c r="P1069" i="19"/>
  <c r="P1071" i="19"/>
  <c r="P1073" i="19"/>
  <c r="P1075" i="19"/>
  <c r="P1077" i="19"/>
  <c r="Q1060" i="19"/>
  <c r="Q1061" i="19"/>
  <c r="Q1063" i="19"/>
  <c r="Q1064" i="19"/>
  <c r="Q1065" i="19"/>
  <c r="Q1066" i="19"/>
  <c r="Q1067" i="19"/>
  <c r="Q1068" i="19"/>
  <c r="Q1069" i="19"/>
  <c r="Q1071" i="19"/>
  <c r="Q1073" i="19"/>
  <c r="Q1075" i="19"/>
  <c r="Q1077" i="19"/>
  <c r="B302" i="18"/>
  <c r="C302" i="18"/>
  <c r="E302" i="18"/>
  <c r="R302" i="18"/>
  <c r="S302" i="18"/>
  <c r="T302" i="18"/>
  <c r="B300" i="18"/>
  <c r="B301" i="18"/>
  <c r="C300" i="18"/>
  <c r="C301" i="18"/>
  <c r="E300" i="18"/>
  <c r="E301" i="18"/>
  <c r="R300" i="18"/>
  <c r="R301" i="18"/>
  <c r="S300" i="18"/>
  <c r="S301" i="18"/>
  <c r="T300" i="18"/>
  <c r="T301" i="18"/>
  <c r="B293" i="18"/>
  <c r="B294" i="18"/>
  <c r="B295" i="18"/>
  <c r="B296" i="18"/>
  <c r="B297" i="18"/>
  <c r="B298" i="18"/>
  <c r="B299" i="18"/>
  <c r="C293" i="18"/>
  <c r="C294" i="18"/>
  <c r="C295" i="18"/>
  <c r="C296" i="18"/>
  <c r="C297" i="18"/>
  <c r="C298" i="18"/>
  <c r="C299" i="18"/>
  <c r="E293" i="18"/>
  <c r="E294" i="18"/>
  <c r="E295" i="18"/>
  <c r="E296" i="18"/>
  <c r="E297" i="18"/>
  <c r="E298" i="18"/>
  <c r="E299" i="18"/>
  <c r="R293" i="18"/>
  <c r="R294" i="18"/>
  <c r="R295" i="18"/>
  <c r="R296" i="18"/>
  <c r="R297" i="18"/>
  <c r="R298" i="18"/>
  <c r="R299" i="18"/>
  <c r="S293" i="18"/>
  <c r="S294" i="18"/>
  <c r="S295" i="18"/>
  <c r="S296" i="18"/>
  <c r="S297" i="18"/>
  <c r="S298" i="18"/>
  <c r="S299" i="18"/>
  <c r="T293" i="18"/>
  <c r="T294" i="18"/>
  <c r="T295" i="18"/>
  <c r="T296" i="18"/>
  <c r="T297" i="18"/>
  <c r="T298" i="18"/>
  <c r="T299" i="18"/>
  <c r="H1070" i="19"/>
  <c r="I1064" i="19"/>
  <c r="I1063" i="19"/>
  <c r="H1076" i="19"/>
  <c r="I1066" i="19"/>
  <c r="H1062" i="19"/>
  <c r="H1071" i="19"/>
  <c r="I1078" i="19"/>
  <c r="H1061" i="19"/>
  <c r="H1060" i="19"/>
  <c r="H1077" i="19"/>
  <c r="I1061" i="19"/>
  <c r="H1073" i="19"/>
  <c r="I1062" i="19"/>
  <c r="H1063" i="19"/>
  <c r="H1067" i="19"/>
  <c r="I1067" i="19"/>
  <c r="I1065" i="19"/>
  <c r="I1073" i="19"/>
  <c r="I1077" i="19"/>
  <c r="I1071" i="19"/>
  <c r="H1066" i="19"/>
  <c r="I1074" i="19"/>
  <c r="I1072" i="19"/>
  <c r="I1068" i="19"/>
  <c r="I1060" i="19"/>
  <c r="H1068" i="19"/>
  <c r="H1069" i="19"/>
  <c r="I1075" i="19"/>
  <c r="H1064" i="19"/>
  <c r="I1076" i="19"/>
  <c r="H1065" i="19"/>
  <c r="I1069" i="19"/>
  <c r="H1074" i="19"/>
  <c r="H1078" i="19"/>
  <c r="I1070" i="19"/>
  <c r="H1072" i="19"/>
  <c r="H1075" i="19"/>
  <c r="H295" i="18"/>
  <c r="I300" i="18"/>
  <c r="L294" i="18"/>
  <c r="H301" i="18"/>
  <c r="L302" i="18"/>
  <c r="L299" i="18"/>
  <c r="L301" i="18"/>
  <c r="H298" i="18"/>
  <c r="L295" i="18"/>
  <c r="I296" i="18"/>
  <c r="H299" i="18"/>
  <c r="L297" i="18"/>
  <c r="I294" i="18"/>
  <c r="I293" i="18"/>
  <c r="H293" i="18"/>
  <c r="H294" i="18"/>
  <c r="I299" i="18"/>
  <c r="L300" i="18"/>
  <c r="I301" i="18"/>
  <c r="I298" i="18"/>
  <c r="L296" i="18"/>
  <c r="L298" i="18"/>
  <c r="H296" i="18"/>
  <c r="H297" i="18"/>
  <c r="I302" i="18"/>
  <c r="I295" i="18"/>
  <c r="L293" i="18"/>
  <c r="H302" i="18"/>
  <c r="I297" i="18"/>
  <c r="H300" i="18"/>
  <c r="DJ100" i="1" l="1"/>
  <c r="DL100" i="1" s="1"/>
  <c r="CP99" i="1"/>
  <c r="CQ99" i="1"/>
  <c r="CR99" i="1"/>
  <c r="CT99" i="1"/>
  <c r="DB99" i="1" s="1"/>
  <c r="CV99" i="1"/>
  <c r="DD99" i="1" s="1"/>
  <c r="CX99" i="1"/>
  <c r="DF99" i="1" s="1"/>
  <c r="CZ99" i="1"/>
  <c r="DH99" i="1" s="1"/>
  <c r="DK99" i="1"/>
  <c r="DJ99" i="1" l="1"/>
  <c r="DL99" i="1" s="1"/>
  <c r="B286" i="18"/>
  <c r="B287" i="18"/>
  <c r="B288" i="18"/>
  <c r="B289" i="18"/>
  <c r="B290" i="18"/>
  <c r="B291" i="18"/>
  <c r="B292" i="18"/>
  <c r="C286" i="18"/>
  <c r="C287" i="18"/>
  <c r="C288" i="18"/>
  <c r="C289" i="18"/>
  <c r="C290" i="18"/>
  <c r="C291" i="18"/>
  <c r="C292" i="18"/>
  <c r="E286" i="18"/>
  <c r="E287" i="18"/>
  <c r="E288" i="18"/>
  <c r="E289" i="18"/>
  <c r="E290" i="18"/>
  <c r="E291" i="18"/>
  <c r="E292" i="18"/>
  <c r="R286" i="18"/>
  <c r="R287" i="18"/>
  <c r="R288" i="18"/>
  <c r="R289" i="18"/>
  <c r="R290" i="18"/>
  <c r="R291" i="18"/>
  <c r="R292" i="18"/>
  <c r="S286" i="18"/>
  <c r="S287" i="18"/>
  <c r="S288" i="18"/>
  <c r="S289" i="18"/>
  <c r="S290" i="18"/>
  <c r="S291" i="18"/>
  <c r="S292" i="18"/>
  <c r="T286" i="18"/>
  <c r="T287" i="18"/>
  <c r="T288" i="18"/>
  <c r="T289" i="18"/>
  <c r="T290" i="18"/>
  <c r="T291" i="18"/>
  <c r="T292" i="18"/>
  <c r="B1056" i="19"/>
  <c r="B1057" i="19"/>
  <c r="B1058" i="19"/>
  <c r="B1059" i="19"/>
  <c r="C1056" i="19"/>
  <c r="C1057" i="19"/>
  <c r="C1058" i="19"/>
  <c r="C1059" i="19"/>
  <c r="E1056" i="19"/>
  <c r="E1057" i="19"/>
  <c r="E1058" i="19"/>
  <c r="E1059" i="19"/>
  <c r="O1056" i="19"/>
  <c r="O1057" i="19"/>
  <c r="O1058" i="19"/>
  <c r="O1059" i="19"/>
  <c r="P1056" i="19"/>
  <c r="P1057" i="19"/>
  <c r="P1058" i="19"/>
  <c r="P1059" i="19"/>
  <c r="Q1056" i="19"/>
  <c r="Q1057" i="19"/>
  <c r="Q1058" i="19"/>
  <c r="Q1059" i="19"/>
  <c r="H1056" i="19"/>
  <c r="H1057" i="19"/>
  <c r="H1059" i="19"/>
  <c r="H1058" i="19"/>
  <c r="I1057" i="19"/>
  <c r="I1056" i="19"/>
  <c r="I1059" i="19"/>
  <c r="I1058" i="19"/>
  <c r="H286" i="18"/>
  <c r="H289" i="18"/>
  <c r="H290" i="18"/>
  <c r="H291" i="18"/>
  <c r="I288" i="18"/>
  <c r="L292" i="18"/>
  <c r="L291" i="18"/>
  <c r="H292" i="18"/>
  <c r="L287" i="18"/>
  <c r="H288" i="18"/>
  <c r="L290" i="18"/>
  <c r="L289" i="18"/>
  <c r="I289" i="18"/>
  <c r="H287" i="18"/>
  <c r="I291" i="18"/>
  <c r="L288" i="18"/>
  <c r="I287" i="18"/>
  <c r="I286" i="18"/>
  <c r="I292" i="18"/>
  <c r="I290" i="18"/>
  <c r="L286" i="18"/>
  <c r="B283" i="18" l="1"/>
  <c r="B284" i="18"/>
  <c r="B285" i="18"/>
  <c r="C285" i="18"/>
  <c r="C284" i="18"/>
  <c r="C283" i="18"/>
  <c r="E283" i="18"/>
  <c r="E284" i="18"/>
  <c r="E285" i="18"/>
  <c r="R283" i="18"/>
  <c r="R284" i="18"/>
  <c r="R285" i="18"/>
  <c r="S283" i="18"/>
  <c r="S284" i="18"/>
  <c r="S285" i="18"/>
  <c r="T283" i="18"/>
  <c r="T284" i="18"/>
  <c r="T285" i="18"/>
  <c r="CP98" i="1"/>
  <c r="CQ98" i="1"/>
  <c r="CR98" i="1"/>
  <c r="CT98" i="1"/>
  <c r="DB98" i="1" s="1"/>
  <c r="CV98" i="1"/>
  <c r="DD98" i="1" s="1"/>
  <c r="CX98" i="1"/>
  <c r="DF98" i="1" s="1"/>
  <c r="CZ98" i="1"/>
  <c r="DH98" i="1" s="1"/>
  <c r="DK98" i="1"/>
  <c r="B1052" i="19"/>
  <c r="B1053" i="19"/>
  <c r="B1054" i="19"/>
  <c r="B1055" i="19"/>
  <c r="C1052" i="19"/>
  <c r="C1053" i="19"/>
  <c r="C1054" i="19"/>
  <c r="C1055" i="19"/>
  <c r="E1052" i="19"/>
  <c r="E1053" i="19"/>
  <c r="E1054" i="19"/>
  <c r="E1055" i="19"/>
  <c r="O1052" i="19"/>
  <c r="O1053" i="19"/>
  <c r="O1054" i="19"/>
  <c r="O1055" i="19"/>
  <c r="P1052" i="19"/>
  <c r="P1053" i="19"/>
  <c r="P1054" i="19"/>
  <c r="P1055" i="19"/>
  <c r="Q1052" i="19"/>
  <c r="Q1053" i="19"/>
  <c r="Q1054" i="19"/>
  <c r="Q1055" i="19"/>
  <c r="B280" i="18"/>
  <c r="B281" i="18"/>
  <c r="B282" i="18"/>
  <c r="C280" i="18"/>
  <c r="C281" i="18"/>
  <c r="C282" i="18"/>
  <c r="E280" i="18"/>
  <c r="E281" i="18"/>
  <c r="E282" i="18"/>
  <c r="R280" i="18"/>
  <c r="R281" i="18"/>
  <c r="R282" i="18"/>
  <c r="S280" i="18"/>
  <c r="S281" i="18"/>
  <c r="S282" i="18"/>
  <c r="T280" i="18"/>
  <c r="T281" i="18"/>
  <c r="T282" i="18"/>
  <c r="H1052" i="19"/>
  <c r="I1054" i="19"/>
  <c r="I1052" i="19"/>
  <c r="H1053" i="19"/>
  <c r="I1055" i="19"/>
  <c r="I1053" i="19"/>
  <c r="H1055" i="19"/>
  <c r="H1054" i="19"/>
  <c r="I283" i="18"/>
  <c r="H282" i="18"/>
  <c r="L284" i="18"/>
  <c r="L280" i="18"/>
  <c r="I281" i="18"/>
  <c r="L285" i="18"/>
  <c r="H284" i="18"/>
  <c r="H283" i="18"/>
  <c r="L283" i="18"/>
  <c r="I280" i="18"/>
  <c r="L282" i="18"/>
  <c r="L281" i="18"/>
  <c r="I284" i="18"/>
  <c r="H280" i="18"/>
  <c r="I282" i="18"/>
  <c r="H285" i="18"/>
  <c r="I285" i="18"/>
  <c r="H281" i="18"/>
  <c r="DJ98" i="1" l="1"/>
  <c r="DL98" i="1" s="1"/>
  <c r="CP97" i="1"/>
  <c r="CQ97" i="1"/>
  <c r="CR97" i="1"/>
  <c r="CT97" i="1"/>
  <c r="DB97" i="1" s="1"/>
  <c r="CV97" i="1"/>
  <c r="DD97" i="1" s="1"/>
  <c r="CX97" i="1"/>
  <c r="DF97" i="1" s="1"/>
  <c r="CZ97" i="1"/>
  <c r="DH97" i="1" s="1"/>
  <c r="DK97" i="1"/>
  <c r="B1051" i="19"/>
  <c r="C1051" i="19"/>
  <c r="E1051" i="19"/>
  <c r="O1051" i="19"/>
  <c r="P1051" i="19"/>
  <c r="Q1051" i="19"/>
  <c r="B1050" i="19"/>
  <c r="C1050" i="19"/>
  <c r="E1050" i="19"/>
  <c r="O1050" i="19"/>
  <c r="P1050" i="19"/>
  <c r="Q1050" i="19"/>
  <c r="B1043" i="19"/>
  <c r="B1044" i="19"/>
  <c r="B1045" i="19"/>
  <c r="B1046" i="19"/>
  <c r="B1047" i="19"/>
  <c r="B1048" i="19"/>
  <c r="B1049" i="19"/>
  <c r="C1043" i="19"/>
  <c r="C1044" i="19"/>
  <c r="C1045" i="19"/>
  <c r="C1046" i="19"/>
  <c r="C1047" i="19"/>
  <c r="C1048" i="19"/>
  <c r="C1049" i="19"/>
  <c r="E1043" i="19"/>
  <c r="E1044" i="19"/>
  <c r="E1045" i="19"/>
  <c r="E1046" i="19"/>
  <c r="E1047" i="19"/>
  <c r="E1048" i="19"/>
  <c r="E1049" i="19"/>
  <c r="O1043" i="19"/>
  <c r="O1044" i="19"/>
  <c r="O1045" i="19"/>
  <c r="O1046" i="19"/>
  <c r="O1047" i="19"/>
  <c r="O1048" i="19"/>
  <c r="O1049" i="19"/>
  <c r="P1043" i="19"/>
  <c r="P1044" i="19"/>
  <c r="P1045" i="19"/>
  <c r="P1046" i="19"/>
  <c r="P1047" i="19"/>
  <c r="P1048" i="19"/>
  <c r="P1049" i="19"/>
  <c r="Q1043" i="19"/>
  <c r="Q1044" i="19"/>
  <c r="Q1045" i="19"/>
  <c r="Q1046" i="19"/>
  <c r="Q1047" i="19"/>
  <c r="Q1048" i="19"/>
  <c r="Q1049" i="19"/>
  <c r="R277" i="18"/>
  <c r="R278" i="18"/>
  <c r="R279" i="18"/>
  <c r="R2" i="18"/>
  <c r="R3" i="18"/>
  <c r="R4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148" i="18"/>
  <c r="R149" i="18"/>
  <c r="R150" i="18"/>
  <c r="R151" i="18"/>
  <c r="R152" i="18"/>
  <c r="R153" i="18"/>
  <c r="R154" i="18"/>
  <c r="R155" i="18"/>
  <c r="R156" i="18"/>
  <c r="R157" i="18"/>
  <c r="R158" i="18"/>
  <c r="R159" i="18"/>
  <c r="R160" i="18"/>
  <c r="R161" i="18"/>
  <c r="R162" i="18"/>
  <c r="R163" i="18"/>
  <c r="R164" i="18"/>
  <c r="R165" i="18"/>
  <c r="R166" i="18"/>
  <c r="R167" i="18"/>
  <c r="R168" i="18"/>
  <c r="R169" i="18"/>
  <c r="R170" i="18"/>
  <c r="R171" i="18"/>
  <c r="R172" i="18"/>
  <c r="R173" i="18"/>
  <c r="R174" i="18"/>
  <c r="R175" i="18"/>
  <c r="R176" i="18"/>
  <c r="R177" i="18"/>
  <c r="R178" i="18"/>
  <c r="R179" i="18"/>
  <c r="R180" i="18"/>
  <c r="R181" i="18"/>
  <c r="R182" i="18"/>
  <c r="R183" i="18"/>
  <c r="R184" i="18"/>
  <c r="R185" i="18"/>
  <c r="R186" i="18"/>
  <c r="R187" i="18"/>
  <c r="R188" i="18"/>
  <c r="R189" i="18"/>
  <c r="R190" i="18"/>
  <c r="R191" i="18"/>
  <c r="R192" i="18"/>
  <c r="R193" i="18"/>
  <c r="R194" i="18"/>
  <c r="R195" i="18"/>
  <c r="R196" i="18"/>
  <c r="R197" i="18"/>
  <c r="R198" i="18"/>
  <c r="R199" i="18"/>
  <c r="R200" i="18"/>
  <c r="R201" i="18"/>
  <c r="R202" i="18"/>
  <c r="R203" i="18"/>
  <c r="R204" i="18"/>
  <c r="R205" i="18"/>
  <c r="R206" i="18"/>
  <c r="R207" i="18"/>
  <c r="R208" i="18"/>
  <c r="R209" i="18"/>
  <c r="R210" i="18"/>
  <c r="R211" i="18"/>
  <c r="R212" i="18"/>
  <c r="R213" i="18"/>
  <c r="R214" i="18"/>
  <c r="R215" i="18"/>
  <c r="R216" i="18"/>
  <c r="R217" i="18"/>
  <c r="R218" i="18"/>
  <c r="R219" i="18"/>
  <c r="R220" i="18"/>
  <c r="R221" i="18"/>
  <c r="R222" i="18"/>
  <c r="R223" i="18"/>
  <c r="R224" i="18"/>
  <c r="R225" i="18"/>
  <c r="R226" i="18"/>
  <c r="R227" i="18"/>
  <c r="R228" i="18"/>
  <c r="R229" i="18"/>
  <c r="R230" i="18"/>
  <c r="R231" i="18"/>
  <c r="R232" i="18"/>
  <c r="R233" i="18"/>
  <c r="R234" i="18"/>
  <c r="R235" i="18"/>
  <c r="R236" i="18"/>
  <c r="R237" i="18"/>
  <c r="R238" i="18"/>
  <c r="R239" i="18"/>
  <c r="R240" i="18"/>
  <c r="R241" i="18"/>
  <c r="R242" i="18"/>
  <c r="R243" i="18"/>
  <c r="R244" i="18"/>
  <c r="R245" i="18"/>
  <c r="R246" i="18"/>
  <c r="R247" i="18"/>
  <c r="R248" i="18"/>
  <c r="R249" i="18"/>
  <c r="R250" i="18"/>
  <c r="R251" i="18"/>
  <c r="R252" i="18"/>
  <c r="R253" i="18"/>
  <c r="R254" i="18"/>
  <c r="R255" i="18"/>
  <c r="R256" i="18"/>
  <c r="R257" i="18"/>
  <c r="R258" i="18"/>
  <c r="R259" i="18"/>
  <c r="R260" i="18"/>
  <c r="R261" i="18"/>
  <c r="R262" i="18"/>
  <c r="R263" i="18"/>
  <c r="R264" i="18"/>
  <c r="R265" i="18"/>
  <c r="R266" i="18"/>
  <c r="R267" i="18"/>
  <c r="R268" i="18"/>
  <c r="R269" i="18"/>
  <c r="R270" i="18"/>
  <c r="R271" i="18"/>
  <c r="R272" i="18"/>
  <c r="R273" i="18"/>
  <c r="R274" i="18"/>
  <c r="R275" i="18"/>
  <c r="R276" i="18"/>
  <c r="E278" i="18"/>
  <c r="C278" i="18"/>
  <c r="B278" i="18"/>
  <c r="E277" i="18"/>
  <c r="C277" i="18"/>
  <c r="B277" i="18"/>
  <c r="B276" i="18"/>
  <c r="C276" i="18"/>
  <c r="E276" i="18"/>
  <c r="B279" i="18"/>
  <c r="C279" i="18"/>
  <c r="E279" i="18"/>
  <c r="S277" i="18"/>
  <c r="S278" i="18"/>
  <c r="S279" i="18"/>
  <c r="T277" i="18"/>
  <c r="T278" i="18"/>
  <c r="T279" i="18"/>
  <c r="I1045" i="19"/>
  <c r="I1044" i="19"/>
  <c r="I1043" i="19"/>
  <c r="I1050" i="19"/>
  <c r="I1049" i="19"/>
  <c r="H1043" i="19"/>
  <c r="H1049" i="19"/>
  <c r="H1050" i="19"/>
  <c r="I1051" i="19"/>
  <c r="I1046" i="19"/>
  <c r="H1045" i="19"/>
  <c r="H1047" i="19"/>
  <c r="I1048" i="19"/>
  <c r="H1044" i="19"/>
  <c r="H1051" i="19"/>
  <c r="I1047" i="19"/>
  <c r="H1048" i="19"/>
  <c r="H1046" i="19"/>
  <c r="L278" i="18"/>
  <c r="L279" i="18"/>
  <c r="H277" i="18"/>
  <c r="I277" i="18"/>
  <c r="L277" i="18"/>
  <c r="I279" i="18"/>
  <c r="I278" i="18"/>
  <c r="H279" i="18"/>
  <c r="H278" i="18"/>
  <c r="DJ97" i="1" l="1"/>
  <c r="DL97" i="1" s="1"/>
  <c r="CP96" i="1"/>
  <c r="CQ96" i="1"/>
  <c r="CR96" i="1"/>
  <c r="CT96" i="1"/>
  <c r="DB96" i="1" s="1"/>
  <c r="CV96" i="1"/>
  <c r="DD96" i="1" s="1"/>
  <c r="CX96" i="1"/>
  <c r="DF96" i="1" s="1"/>
  <c r="CZ96" i="1"/>
  <c r="DH96" i="1" s="1"/>
  <c r="DK96" i="1"/>
  <c r="B274" i="18"/>
  <c r="B275" i="18"/>
  <c r="C274" i="18"/>
  <c r="C275" i="18"/>
  <c r="E274" i="18"/>
  <c r="E275" i="18"/>
  <c r="S274" i="18"/>
  <c r="S275" i="18"/>
  <c r="S276" i="18"/>
  <c r="T274" i="18"/>
  <c r="T275" i="18"/>
  <c r="T276" i="18"/>
  <c r="I274" i="18"/>
  <c r="L274" i="18"/>
  <c r="L275" i="18"/>
  <c r="H275" i="18"/>
  <c r="L276" i="18"/>
  <c r="H274" i="18"/>
  <c r="I276" i="18"/>
  <c r="I275" i="18"/>
  <c r="H276" i="18"/>
  <c r="DJ96" i="1" l="1"/>
  <c r="DL96" i="1" s="1"/>
  <c r="CP95" i="1"/>
  <c r="CQ95" i="1"/>
  <c r="CR95" i="1"/>
  <c r="CT95" i="1"/>
  <c r="DB95" i="1" s="1"/>
  <c r="CV95" i="1"/>
  <c r="DD95" i="1" s="1"/>
  <c r="CX95" i="1"/>
  <c r="DF95" i="1" s="1"/>
  <c r="CZ95" i="1"/>
  <c r="DH95" i="1" s="1"/>
  <c r="DK95" i="1"/>
  <c r="DJ95" i="1" l="1"/>
  <c r="DL95" i="1" s="1"/>
  <c r="B270" i="18" l="1"/>
  <c r="B271" i="18"/>
  <c r="B272" i="18"/>
  <c r="B273" i="18"/>
  <c r="C270" i="18"/>
  <c r="C271" i="18"/>
  <c r="C272" i="18"/>
  <c r="C273" i="18"/>
  <c r="E270" i="18"/>
  <c r="E271" i="18"/>
  <c r="E272" i="18"/>
  <c r="E273" i="18"/>
  <c r="S270" i="18"/>
  <c r="S271" i="18"/>
  <c r="S272" i="18"/>
  <c r="S273" i="18"/>
  <c r="T270" i="18"/>
  <c r="T271" i="18"/>
  <c r="T272" i="18"/>
  <c r="T273" i="18"/>
  <c r="I270" i="18"/>
  <c r="I272" i="18"/>
  <c r="I271" i="18"/>
  <c r="L271" i="18"/>
  <c r="L273" i="18"/>
  <c r="H270" i="18"/>
  <c r="L270" i="18"/>
  <c r="H271" i="18"/>
  <c r="H273" i="18"/>
  <c r="I273" i="18"/>
  <c r="L272" i="18"/>
  <c r="H272" i="18"/>
  <c r="B1042" i="19" l="1"/>
  <c r="C1042" i="19"/>
  <c r="E1042" i="19"/>
  <c r="O1042" i="19"/>
  <c r="P1042" i="19"/>
  <c r="Q1042" i="19"/>
  <c r="B1029" i="19"/>
  <c r="B1030" i="19"/>
  <c r="B1031" i="19"/>
  <c r="B1032" i="19"/>
  <c r="B1033" i="19"/>
  <c r="B1034" i="19"/>
  <c r="B1035" i="19"/>
  <c r="B1036" i="19"/>
  <c r="B1037" i="19"/>
  <c r="B1038" i="19"/>
  <c r="B1039" i="19"/>
  <c r="B1040" i="19"/>
  <c r="B1041" i="19"/>
  <c r="C1029" i="19"/>
  <c r="C1030" i="19"/>
  <c r="C1031" i="19"/>
  <c r="C1032" i="19"/>
  <c r="C1033" i="19"/>
  <c r="C1034" i="19"/>
  <c r="C1035" i="19"/>
  <c r="C1036" i="19"/>
  <c r="C1037" i="19"/>
  <c r="C1038" i="19"/>
  <c r="C1039" i="19"/>
  <c r="C1040" i="19"/>
  <c r="C1041" i="19"/>
  <c r="E1029" i="19"/>
  <c r="E1030" i="19"/>
  <c r="E1031" i="19"/>
  <c r="E1032" i="19"/>
  <c r="E1033" i="19"/>
  <c r="E1034" i="19"/>
  <c r="E1035" i="19"/>
  <c r="E1036" i="19"/>
  <c r="E1037" i="19"/>
  <c r="E1038" i="19"/>
  <c r="E1039" i="19"/>
  <c r="E1040" i="19"/>
  <c r="E1041" i="19"/>
  <c r="O1029" i="19"/>
  <c r="O1030" i="19"/>
  <c r="O1031" i="19"/>
  <c r="O1032" i="19"/>
  <c r="O1033" i="19"/>
  <c r="O1034" i="19"/>
  <c r="O1035" i="19"/>
  <c r="O1036" i="19"/>
  <c r="O1037" i="19"/>
  <c r="O1038" i="19"/>
  <c r="O1039" i="19"/>
  <c r="O1040" i="19"/>
  <c r="O1041" i="19"/>
  <c r="P1029" i="19"/>
  <c r="P1030" i="19"/>
  <c r="P1031" i="19"/>
  <c r="P1032" i="19"/>
  <c r="P1033" i="19"/>
  <c r="P1034" i="19"/>
  <c r="P1035" i="19"/>
  <c r="P1036" i="19"/>
  <c r="P1037" i="19"/>
  <c r="P1038" i="19"/>
  <c r="P1039" i="19"/>
  <c r="P1040" i="19"/>
  <c r="P1041" i="19"/>
  <c r="Q1029" i="19"/>
  <c r="Q1030" i="19"/>
  <c r="Q1031" i="19"/>
  <c r="Q1032" i="19"/>
  <c r="Q1033" i="19"/>
  <c r="Q1034" i="19"/>
  <c r="Q1035" i="19"/>
  <c r="Q1036" i="19"/>
  <c r="Q1037" i="19"/>
  <c r="Q1038" i="19"/>
  <c r="Q1039" i="19"/>
  <c r="Q1040" i="19"/>
  <c r="Q1041" i="19"/>
  <c r="CP94" i="1"/>
  <c r="CQ94" i="1"/>
  <c r="CR94" i="1"/>
  <c r="CT94" i="1"/>
  <c r="DB94" i="1" s="1"/>
  <c r="CV94" i="1"/>
  <c r="DD94" i="1" s="1"/>
  <c r="CX94" i="1"/>
  <c r="DF94" i="1" s="1"/>
  <c r="CZ94" i="1"/>
  <c r="DH94" i="1" s="1"/>
  <c r="DK94" i="1"/>
  <c r="B264" i="18"/>
  <c r="B265" i="18"/>
  <c r="B266" i="18"/>
  <c r="B267" i="18"/>
  <c r="B268" i="18"/>
  <c r="B269" i="18"/>
  <c r="C264" i="18"/>
  <c r="C265" i="18"/>
  <c r="C266" i="18"/>
  <c r="C267" i="18"/>
  <c r="C268" i="18"/>
  <c r="C269" i="18"/>
  <c r="E264" i="18"/>
  <c r="E265" i="18"/>
  <c r="E266" i="18"/>
  <c r="E267" i="18"/>
  <c r="E268" i="18"/>
  <c r="E269" i="18"/>
  <c r="S264" i="18"/>
  <c r="S265" i="18"/>
  <c r="S266" i="18"/>
  <c r="S267" i="18"/>
  <c r="S268" i="18"/>
  <c r="S269" i="18"/>
  <c r="T264" i="18"/>
  <c r="T265" i="18"/>
  <c r="T266" i="18"/>
  <c r="T267" i="18"/>
  <c r="T268" i="18"/>
  <c r="T269" i="18"/>
  <c r="I1029" i="19"/>
  <c r="I1032" i="19"/>
  <c r="I1041" i="19"/>
  <c r="I1030" i="19"/>
  <c r="H1030" i="19"/>
  <c r="I1034" i="19"/>
  <c r="H1036" i="19"/>
  <c r="I1040" i="19"/>
  <c r="I1036" i="19"/>
  <c r="I1031" i="19"/>
  <c r="H1032" i="19"/>
  <c r="H1033" i="19"/>
  <c r="H1040" i="19"/>
  <c r="H1039" i="19"/>
  <c r="H1031" i="19"/>
  <c r="I1038" i="19"/>
  <c r="I1037" i="19"/>
  <c r="H1037" i="19"/>
  <c r="I1033" i="19"/>
  <c r="H1042" i="19"/>
  <c r="I1042" i="19"/>
  <c r="H1038" i="19"/>
  <c r="I1035" i="19"/>
  <c r="I1039" i="19"/>
  <c r="H1034" i="19"/>
  <c r="H1041" i="19"/>
  <c r="H1029" i="19"/>
  <c r="H1035" i="19"/>
  <c r="I269" i="18"/>
  <c r="H267" i="18"/>
  <c r="L265" i="18"/>
  <c r="H269" i="18"/>
  <c r="H265" i="18"/>
  <c r="I264" i="18"/>
  <c r="I266" i="18"/>
  <c r="I267" i="18"/>
  <c r="L264" i="18"/>
  <c r="H266" i="18"/>
  <c r="H264" i="18"/>
  <c r="L268" i="18"/>
  <c r="L266" i="18"/>
  <c r="I265" i="18"/>
  <c r="H268" i="18"/>
  <c r="I268" i="18"/>
  <c r="L267" i="18"/>
  <c r="L269" i="18"/>
  <c r="DJ94" i="1" l="1"/>
  <c r="DL94" i="1" s="1"/>
  <c r="CP93" i="1" l="1"/>
  <c r="CQ93" i="1"/>
  <c r="CR93" i="1"/>
  <c r="CT93" i="1"/>
  <c r="DB93" i="1" s="1"/>
  <c r="CV93" i="1"/>
  <c r="DD93" i="1" s="1"/>
  <c r="CX93" i="1"/>
  <c r="DF93" i="1" s="1"/>
  <c r="CZ93" i="1"/>
  <c r="DH93" i="1" s="1"/>
  <c r="DK93" i="1"/>
  <c r="DJ93" i="1" l="1"/>
  <c r="DL93" i="1" s="1"/>
  <c r="B256" i="18" l="1"/>
  <c r="B257" i="18"/>
  <c r="B258" i="18"/>
  <c r="B259" i="18"/>
  <c r="B260" i="18"/>
  <c r="B261" i="18"/>
  <c r="B262" i="18"/>
  <c r="B263" i="18"/>
  <c r="C256" i="18"/>
  <c r="C257" i="18"/>
  <c r="C258" i="18"/>
  <c r="C259" i="18"/>
  <c r="C260" i="18"/>
  <c r="C261" i="18"/>
  <c r="C262" i="18"/>
  <c r="C263" i="18"/>
  <c r="E256" i="18"/>
  <c r="E257" i="18"/>
  <c r="E258" i="18"/>
  <c r="E259" i="18"/>
  <c r="E260" i="18"/>
  <c r="E261" i="18"/>
  <c r="E262" i="18"/>
  <c r="E263" i="18"/>
  <c r="S256" i="18"/>
  <c r="S257" i="18"/>
  <c r="S258" i="18"/>
  <c r="S259" i="18"/>
  <c r="S260" i="18"/>
  <c r="S261" i="18"/>
  <c r="S262" i="18"/>
  <c r="S263" i="18"/>
  <c r="T256" i="18"/>
  <c r="T257" i="18"/>
  <c r="T258" i="18"/>
  <c r="T259" i="18"/>
  <c r="T260" i="18"/>
  <c r="T261" i="18"/>
  <c r="T262" i="18"/>
  <c r="T263" i="18"/>
  <c r="L262" i="18"/>
  <c r="L257" i="18"/>
  <c r="H263" i="18"/>
  <c r="I260" i="18"/>
  <c r="H256" i="18"/>
  <c r="I262" i="18"/>
  <c r="I257" i="18"/>
  <c r="L261" i="18"/>
  <c r="I256" i="18"/>
  <c r="H259" i="18"/>
  <c r="H262" i="18"/>
  <c r="I259" i="18"/>
  <c r="I261" i="18"/>
  <c r="L263" i="18"/>
  <c r="L260" i="18"/>
  <c r="H257" i="18"/>
  <c r="L258" i="18"/>
  <c r="I258" i="18"/>
  <c r="H258" i="18"/>
  <c r="L259" i="18"/>
  <c r="H261" i="18"/>
  <c r="H260" i="18"/>
  <c r="L256" i="18"/>
  <c r="I263" i="18"/>
  <c r="CP92" i="1" l="1"/>
  <c r="CQ92" i="1"/>
  <c r="CR92" i="1"/>
  <c r="CT92" i="1"/>
  <c r="DB92" i="1" s="1"/>
  <c r="CV92" i="1"/>
  <c r="DD92" i="1" s="1"/>
  <c r="CX92" i="1"/>
  <c r="DF92" i="1" s="1"/>
  <c r="CZ92" i="1"/>
  <c r="DH92" i="1" s="1"/>
  <c r="DK92" i="1"/>
  <c r="B250" i="18"/>
  <c r="B251" i="18"/>
  <c r="B252" i="18"/>
  <c r="B253" i="18"/>
  <c r="B254" i="18"/>
  <c r="B255" i="18"/>
  <c r="C250" i="18"/>
  <c r="C251" i="18"/>
  <c r="C252" i="18"/>
  <c r="C253" i="18"/>
  <c r="C254" i="18"/>
  <c r="C255" i="18"/>
  <c r="E250" i="18"/>
  <c r="E251" i="18"/>
  <c r="E252" i="18"/>
  <c r="E253" i="18"/>
  <c r="E254" i="18"/>
  <c r="E255" i="18"/>
  <c r="S250" i="18"/>
  <c r="S251" i="18"/>
  <c r="S252" i="18"/>
  <c r="S253" i="18"/>
  <c r="S254" i="18"/>
  <c r="S255" i="18"/>
  <c r="T250" i="18"/>
  <c r="T251" i="18"/>
  <c r="T252" i="18"/>
  <c r="T253" i="18"/>
  <c r="T254" i="18"/>
  <c r="T255" i="18"/>
  <c r="B1027" i="19"/>
  <c r="B1028" i="19"/>
  <c r="C1027" i="19"/>
  <c r="C1028" i="19"/>
  <c r="E1027" i="19"/>
  <c r="E1028" i="19"/>
  <c r="O1027" i="19"/>
  <c r="O1028" i="19"/>
  <c r="P1027" i="19"/>
  <c r="P1028" i="19"/>
  <c r="Q1027" i="19"/>
  <c r="Q1028" i="19"/>
  <c r="B1025" i="19"/>
  <c r="B1026" i="19"/>
  <c r="C1025" i="19"/>
  <c r="C1026" i="19"/>
  <c r="E1025" i="19"/>
  <c r="E1026" i="19"/>
  <c r="O1025" i="19"/>
  <c r="O1026" i="19"/>
  <c r="P1025" i="19"/>
  <c r="P1026" i="19"/>
  <c r="Q1025" i="19"/>
  <c r="Q1026" i="19"/>
  <c r="B1019" i="19"/>
  <c r="B1020" i="19"/>
  <c r="B1021" i="19"/>
  <c r="B1022" i="19"/>
  <c r="B1023" i="19"/>
  <c r="B1024" i="19"/>
  <c r="C1019" i="19"/>
  <c r="C1020" i="19"/>
  <c r="C1021" i="19"/>
  <c r="C1022" i="19"/>
  <c r="C1023" i="19"/>
  <c r="C1024" i="19"/>
  <c r="E1019" i="19"/>
  <c r="E1020" i="19"/>
  <c r="E1021" i="19"/>
  <c r="E1022" i="19"/>
  <c r="E1023" i="19"/>
  <c r="E1024" i="19"/>
  <c r="O1019" i="19"/>
  <c r="O1020" i="19"/>
  <c r="O1021" i="19"/>
  <c r="O1022" i="19"/>
  <c r="O1023" i="19"/>
  <c r="O1024" i="19"/>
  <c r="P1019" i="19"/>
  <c r="P1020" i="19"/>
  <c r="P1021" i="19"/>
  <c r="P1022" i="19"/>
  <c r="P1023" i="19"/>
  <c r="P1024" i="19"/>
  <c r="Q1019" i="19"/>
  <c r="Q1020" i="19"/>
  <c r="Q1021" i="19"/>
  <c r="Q1022" i="19"/>
  <c r="Q1023" i="19"/>
  <c r="Q1024" i="19"/>
  <c r="B1016" i="19"/>
  <c r="B1017" i="19"/>
  <c r="B1018" i="19"/>
  <c r="C1016" i="19"/>
  <c r="C1017" i="19"/>
  <c r="C1018" i="19"/>
  <c r="E1016" i="19"/>
  <c r="E1017" i="19"/>
  <c r="E1018" i="19"/>
  <c r="O1016" i="19"/>
  <c r="O1017" i="19"/>
  <c r="O1018" i="19"/>
  <c r="P1016" i="19"/>
  <c r="P1017" i="19"/>
  <c r="P1018" i="19"/>
  <c r="Q1016" i="19"/>
  <c r="Q1017" i="19"/>
  <c r="Q1018" i="19"/>
  <c r="B1012" i="19"/>
  <c r="B1013" i="19"/>
  <c r="B1014" i="19"/>
  <c r="B1015" i="19"/>
  <c r="C1012" i="19"/>
  <c r="C1013" i="19"/>
  <c r="C1014" i="19"/>
  <c r="C1015" i="19"/>
  <c r="E1012" i="19"/>
  <c r="E1013" i="19"/>
  <c r="E1014" i="19"/>
  <c r="E1015" i="19"/>
  <c r="O1012" i="19"/>
  <c r="O1013" i="19"/>
  <c r="O1014" i="19"/>
  <c r="O1015" i="19"/>
  <c r="P1012" i="19"/>
  <c r="P1013" i="19"/>
  <c r="P1014" i="19"/>
  <c r="P1015" i="19"/>
  <c r="Q1012" i="19"/>
  <c r="Q1013" i="19"/>
  <c r="Q1014" i="19"/>
  <c r="Q1015" i="19"/>
  <c r="I1026" i="19"/>
  <c r="I1023" i="19"/>
  <c r="H1017" i="19"/>
  <c r="H1021" i="19"/>
  <c r="H1022" i="19"/>
  <c r="H1012" i="19"/>
  <c r="H1015" i="19"/>
  <c r="I1021" i="19"/>
  <c r="I1018" i="19"/>
  <c r="H1026" i="19"/>
  <c r="H1016" i="19"/>
  <c r="I1022" i="19"/>
  <c r="I1012" i="19"/>
  <c r="H1013" i="19"/>
  <c r="I1027" i="19"/>
  <c r="H1024" i="19"/>
  <c r="H1027" i="19"/>
  <c r="I1020" i="19"/>
  <c r="H1018" i="19"/>
  <c r="H1019" i="19"/>
  <c r="H1020" i="19"/>
  <c r="H1023" i="19"/>
  <c r="I1025" i="19"/>
  <c r="H1028" i="19"/>
  <c r="I1015" i="19"/>
  <c r="I1019" i="19"/>
  <c r="I1028" i="19"/>
  <c r="I1024" i="19"/>
  <c r="H1025" i="19"/>
  <c r="I1014" i="19"/>
  <c r="I1013" i="19"/>
  <c r="I1017" i="19"/>
  <c r="H1014" i="19"/>
  <c r="I1016" i="19"/>
  <c r="I250" i="18"/>
  <c r="H251" i="18"/>
  <c r="L252" i="18"/>
  <c r="H250" i="18"/>
  <c r="H252" i="18"/>
  <c r="L255" i="18"/>
  <c r="L251" i="18"/>
  <c r="H253" i="18"/>
  <c r="I255" i="18"/>
  <c r="I253" i="18"/>
  <c r="I251" i="18"/>
  <c r="H254" i="18"/>
  <c r="I254" i="18"/>
  <c r="L250" i="18"/>
  <c r="L253" i="18"/>
  <c r="L254" i="18"/>
  <c r="I252" i="18"/>
  <c r="H255" i="18"/>
  <c r="DJ92" i="1" l="1"/>
  <c r="DL92" i="1" s="1"/>
  <c r="CP91" i="1" l="1"/>
  <c r="CQ91" i="1"/>
  <c r="CR91" i="1"/>
  <c r="CT91" i="1"/>
  <c r="DB91" i="1" s="1"/>
  <c r="CV91" i="1"/>
  <c r="DD91" i="1" s="1"/>
  <c r="CX91" i="1"/>
  <c r="DF91" i="1" s="1"/>
  <c r="CZ91" i="1"/>
  <c r="DH91" i="1" s="1"/>
  <c r="DK91" i="1"/>
  <c r="B245" i="18"/>
  <c r="B246" i="18"/>
  <c r="B247" i="18"/>
  <c r="B248" i="18"/>
  <c r="B249" i="18"/>
  <c r="C245" i="18"/>
  <c r="C246" i="18"/>
  <c r="C247" i="18"/>
  <c r="C248" i="18"/>
  <c r="C249" i="18"/>
  <c r="E245" i="18"/>
  <c r="E246" i="18"/>
  <c r="E247" i="18"/>
  <c r="E248" i="18"/>
  <c r="E249" i="18"/>
  <c r="S245" i="18"/>
  <c r="S246" i="18"/>
  <c r="S247" i="18"/>
  <c r="S248" i="18"/>
  <c r="S249" i="18"/>
  <c r="T245" i="18"/>
  <c r="T246" i="18"/>
  <c r="T247" i="18"/>
  <c r="T248" i="18"/>
  <c r="T249" i="18"/>
  <c r="B1010" i="19"/>
  <c r="B1011" i="19"/>
  <c r="C1010" i="19"/>
  <c r="C1011" i="19"/>
  <c r="E1010" i="19"/>
  <c r="E1011" i="19"/>
  <c r="O1010" i="19"/>
  <c r="O1011" i="19"/>
  <c r="P1010" i="19"/>
  <c r="P1011" i="19"/>
  <c r="Q1010" i="19"/>
  <c r="Q1011" i="19"/>
  <c r="H1011" i="19"/>
  <c r="I1011" i="19"/>
  <c r="I1010" i="19"/>
  <c r="H1010" i="19"/>
  <c r="H245" i="18"/>
  <c r="H249" i="18"/>
  <c r="I248" i="18"/>
  <c r="L246" i="18"/>
  <c r="I249" i="18"/>
  <c r="I247" i="18"/>
  <c r="L247" i="18"/>
  <c r="L245" i="18"/>
  <c r="H247" i="18"/>
  <c r="H246" i="18"/>
  <c r="L249" i="18"/>
  <c r="I246" i="18"/>
  <c r="H248" i="18"/>
  <c r="L248" i="18"/>
  <c r="I245" i="18"/>
  <c r="DJ91" i="1" l="1"/>
  <c r="DL91" i="1" s="1"/>
  <c r="B998" i="19" l="1"/>
  <c r="B999" i="19"/>
  <c r="B1000" i="19"/>
  <c r="B1001" i="19"/>
  <c r="B1002" i="19"/>
  <c r="B1003" i="19"/>
  <c r="B1004" i="19"/>
  <c r="B1005" i="19"/>
  <c r="B1006" i="19"/>
  <c r="B1007" i="19"/>
  <c r="B1008" i="19"/>
  <c r="B1009" i="19"/>
  <c r="C998" i="19"/>
  <c r="C999" i="19"/>
  <c r="C1000" i="19"/>
  <c r="C1001" i="19"/>
  <c r="C1002" i="19"/>
  <c r="C1003" i="19"/>
  <c r="C1004" i="19"/>
  <c r="C1005" i="19"/>
  <c r="C1006" i="19"/>
  <c r="C1007" i="19"/>
  <c r="C1008" i="19"/>
  <c r="C1009" i="19"/>
  <c r="E998" i="19"/>
  <c r="E999" i="19"/>
  <c r="E1000" i="19"/>
  <c r="E1001" i="19"/>
  <c r="E1002" i="19"/>
  <c r="E1003" i="19"/>
  <c r="E1004" i="19"/>
  <c r="E1005" i="19"/>
  <c r="E1006" i="19"/>
  <c r="E1007" i="19"/>
  <c r="E1008" i="19"/>
  <c r="E1009" i="19"/>
  <c r="O998" i="19"/>
  <c r="O999" i="19"/>
  <c r="O1000" i="19"/>
  <c r="O1001" i="19"/>
  <c r="O1002" i="19"/>
  <c r="O1003" i="19"/>
  <c r="O1004" i="19"/>
  <c r="O1005" i="19"/>
  <c r="O1006" i="19"/>
  <c r="O1007" i="19"/>
  <c r="O1008" i="19"/>
  <c r="O1009" i="19"/>
  <c r="P998" i="19"/>
  <c r="P999" i="19"/>
  <c r="P1000" i="19"/>
  <c r="P1001" i="19"/>
  <c r="P1002" i="19"/>
  <c r="P1003" i="19"/>
  <c r="P1004" i="19"/>
  <c r="P1005" i="19"/>
  <c r="P1006" i="19"/>
  <c r="P1007" i="19"/>
  <c r="P1008" i="19"/>
  <c r="P1009" i="19"/>
  <c r="Q998" i="19"/>
  <c r="Q999" i="19"/>
  <c r="Q1000" i="19"/>
  <c r="Q1001" i="19"/>
  <c r="Q1002" i="19"/>
  <c r="Q1003" i="19"/>
  <c r="Q1004" i="19"/>
  <c r="Q1005" i="19"/>
  <c r="Q1006" i="19"/>
  <c r="Q1007" i="19"/>
  <c r="Q1008" i="19"/>
  <c r="Q1009" i="19"/>
  <c r="B990" i="19"/>
  <c r="B991" i="19"/>
  <c r="B992" i="19"/>
  <c r="B993" i="19"/>
  <c r="B994" i="19"/>
  <c r="B995" i="19"/>
  <c r="B996" i="19"/>
  <c r="B997" i="19"/>
  <c r="C990" i="19"/>
  <c r="C991" i="19"/>
  <c r="C992" i="19"/>
  <c r="C993" i="19"/>
  <c r="C994" i="19"/>
  <c r="C995" i="19"/>
  <c r="C996" i="19"/>
  <c r="C997" i="19"/>
  <c r="E990" i="19"/>
  <c r="E991" i="19"/>
  <c r="E992" i="19"/>
  <c r="E993" i="19"/>
  <c r="E994" i="19"/>
  <c r="E995" i="19"/>
  <c r="E996" i="19"/>
  <c r="E997" i="19"/>
  <c r="O990" i="19"/>
  <c r="O991" i="19"/>
  <c r="O992" i="19"/>
  <c r="O993" i="19"/>
  <c r="O994" i="19"/>
  <c r="O995" i="19"/>
  <c r="O996" i="19"/>
  <c r="O997" i="19"/>
  <c r="P990" i="19"/>
  <c r="P991" i="19"/>
  <c r="P992" i="19"/>
  <c r="P993" i="19"/>
  <c r="P994" i="19"/>
  <c r="P995" i="19"/>
  <c r="P996" i="19"/>
  <c r="P997" i="19"/>
  <c r="Q990" i="19"/>
  <c r="Q991" i="19"/>
  <c r="Q992" i="19"/>
  <c r="Q993" i="19"/>
  <c r="Q994" i="19"/>
  <c r="Q995" i="19"/>
  <c r="Q996" i="19"/>
  <c r="Q997" i="19"/>
  <c r="I994" i="19"/>
  <c r="H997" i="19"/>
  <c r="I998" i="19"/>
  <c r="I993" i="19"/>
  <c r="H1000" i="19"/>
  <c r="I1003" i="19"/>
  <c r="I1006" i="19"/>
  <c r="H1007" i="19"/>
  <c r="H991" i="19"/>
  <c r="H993" i="19"/>
  <c r="I996" i="19"/>
  <c r="H996" i="19"/>
  <c r="H1005" i="19"/>
  <c r="I992" i="19"/>
  <c r="I991" i="19"/>
  <c r="H994" i="19"/>
  <c r="H1009" i="19"/>
  <c r="I1007" i="19"/>
  <c r="H1006" i="19"/>
  <c r="H995" i="19"/>
  <c r="H1008" i="19"/>
  <c r="H1002" i="19"/>
  <c r="H998" i="19"/>
  <c r="H1001" i="19"/>
  <c r="I995" i="19"/>
  <c r="I997" i="19"/>
  <c r="I1005" i="19"/>
  <c r="H990" i="19"/>
  <c r="I1001" i="19"/>
  <c r="H1004" i="19"/>
  <c r="H992" i="19"/>
  <c r="I990" i="19"/>
  <c r="I1009" i="19"/>
  <c r="H999" i="19"/>
  <c r="I999" i="19"/>
  <c r="I1000" i="19"/>
  <c r="I1004" i="19"/>
  <c r="I1008" i="19"/>
  <c r="H1003" i="19"/>
  <c r="I1002" i="19"/>
  <c r="B238" i="18" l="1"/>
  <c r="C238" i="18"/>
  <c r="B239" i="18"/>
  <c r="C239" i="18"/>
  <c r="B240" i="18"/>
  <c r="C240" i="18"/>
  <c r="B241" i="18"/>
  <c r="C241" i="18"/>
  <c r="B242" i="18"/>
  <c r="C242" i="18"/>
  <c r="B243" i="18"/>
  <c r="C243" i="18"/>
  <c r="B244" i="18"/>
  <c r="C244" i="18"/>
  <c r="E238" i="18"/>
  <c r="E239" i="18"/>
  <c r="E240" i="18"/>
  <c r="E241" i="18"/>
  <c r="E242" i="18"/>
  <c r="E243" i="18"/>
  <c r="E244" i="18"/>
  <c r="S238" i="18"/>
  <c r="S239" i="18"/>
  <c r="S240" i="18"/>
  <c r="S241" i="18"/>
  <c r="S242" i="18"/>
  <c r="S243" i="18"/>
  <c r="S244" i="18"/>
  <c r="T238" i="18"/>
  <c r="T239" i="18"/>
  <c r="T240" i="18"/>
  <c r="T241" i="18"/>
  <c r="T242" i="18"/>
  <c r="T243" i="18"/>
  <c r="T244" i="18"/>
  <c r="L215" i="18"/>
  <c r="L221" i="18"/>
  <c r="L216" i="18"/>
  <c r="L219" i="18"/>
  <c r="L220" i="18"/>
  <c r="I240" i="18"/>
  <c r="L239" i="18"/>
  <c r="I238" i="18"/>
  <c r="I242" i="18"/>
  <c r="H240" i="18"/>
  <c r="I243" i="18"/>
  <c r="L233" i="18"/>
  <c r="L218" i="18"/>
  <c r="L238" i="18"/>
  <c r="H239" i="18"/>
  <c r="L217" i="18"/>
  <c r="L234" i="18"/>
  <c r="H243" i="18"/>
  <c r="L237" i="18"/>
  <c r="L242" i="18"/>
  <c r="H244" i="18"/>
  <c r="L226" i="18"/>
  <c r="I241" i="18"/>
  <c r="I244" i="18"/>
  <c r="L243" i="18"/>
  <c r="L231" i="18"/>
  <c r="H242" i="18"/>
  <c r="H238" i="18"/>
  <c r="I239" i="18"/>
  <c r="L241" i="18"/>
  <c r="L240" i="18"/>
  <c r="L228" i="18"/>
  <c r="L223" i="18"/>
  <c r="H241" i="18"/>
  <c r="L229" i="18"/>
  <c r="L232" i="18"/>
  <c r="L224" i="18"/>
  <c r="L227" i="18"/>
  <c r="L230" i="18"/>
  <c r="L214" i="18"/>
  <c r="L222" i="18"/>
  <c r="L225" i="18"/>
  <c r="L235" i="18"/>
  <c r="L236" i="18"/>
  <c r="L244" i="18"/>
  <c r="CP90" i="1" l="1"/>
  <c r="CQ90" i="1"/>
  <c r="CR90" i="1"/>
  <c r="CT90" i="1"/>
  <c r="DB90" i="1" s="1"/>
  <c r="CV90" i="1"/>
  <c r="DD90" i="1" s="1"/>
  <c r="CX90" i="1"/>
  <c r="DF90" i="1" s="1"/>
  <c r="CZ90" i="1"/>
  <c r="DH90" i="1" s="1"/>
  <c r="DK90" i="1"/>
  <c r="DJ90" i="1" l="1"/>
  <c r="DL90" i="1" s="1"/>
  <c r="B236" i="18" l="1"/>
  <c r="B237" i="18"/>
  <c r="C236" i="18"/>
  <c r="C237" i="18"/>
  <c r="E236" i="18"/>
  <c r="E237" i="18"/>
  <c r="S236" i="18"/>
  <c r="S237" i="18"/>
  <c r="T236" i="18"/>
  <c r="T237" i="18"/>
  <c r="H236" i="18"/>
  <c r="I236" i="18"/>
  <c r="I237" i="18"/>
  <c r="H237" i="18"/>
  <c r="AW87" i="16" l="1"/>
  <c r="CP89" i="1"/>
  <c r="CQ89" i="1"/>
  <c r="CR89" i="1"/>
  <c r="CT89" i="1"/>
  <c r="DB89" i="1" s="1"/>
  <c r="CV89" i="1"/>
  <c r="DD89" i="1" s="1"/>
  <c r="CX89" i="1"/>
  <c r="DF89" i="1" s="1"/>
  <c r="CZ89" i="1"/>
  <c r="DH89" i="1" s="1"/>
  <c r="DK89" i="1"/>
  <c r="B235" i="18"/>
  <c r="C235" i="18"/>
  <c r="E235" i="18"/>
  <c r="S235" i="18"/>
  <c r="T235" i="18"/>
  <c r="B234" i="18"/>
  <c r="C234" i="18"/>
  <c r="E234" i="18"/>
  <c r="S234" i="18"/>
  <c r="T234" i="18"/>
  <c r="B233" i="18"/>
  <c r="C233" i="18"/>
  <c r="E233" i="18"/>
  <c r="S233" i="18"/>
  <c r="T233" i="18"/>
  <c r="B232" i="18"/>
  <c r="C232" i="18"/>
  <c r="E232" i="18"/>
  <c r="S232" i="18"/>
  <c r="T232" i="18"/>
  <c r="B231" i="18"/>
  <c r="C231" i="18"/>
  <c r="E231" i="18"/>
  <c r="S231" i="18"/>
  <c r="T231" i="18"/>
  <c r="I231" i="18"/>
  <c r="I235" i="18"/>
  <c r="I233" i="18"/>
  <c r="H231" i="18"/>
  <c r="H234" i="18"/>
  <c r="I234" i="18"/>
  <c r="I232" i="18"/>
  <c r="H233" i="18"/>
  <c r="H235" i="18"/>
  <c r="H232" i="18"/>
  <c r="DJ89" i="1" l="1"/>
  <c r="DL89" i="1" s="1"/>
  <c r="AW86" i="16" l="1"/>
  <c r="CP88" i="1"/>
  <c r="CQ88" i="1"/>
  <c r="CR88" i="1"/>
  <c r="CT88" i="1"/>
  <c r="DB88" i="1" s="1"/>
  <c r="CV88" i="1"/>
  <c r="DD88" i="1" s="1"/>
  <c r="CX88" i="1"/>
  <c r="DF88" i="1" s="1"/>
  <c r="CZ88" i="1"/>
  <c r="DH88" i="1" s="1"/>
  <c r="DK88" i="1"/>
  <c r="B224" i="18"/>
  <c r="B225" i="18"/>
  <c r="B226" i="18"/>
  <c r="B227" i="18"/>
  <c r="B228" i="18"/>
  <c r="B229" i="18"/>
  <c r="B230" i="18"/>
  <c r="C224" i="18"/>
  <c r="C225" i="18"/>
  <c r="C226" i="18"/>
  <c r="C227" i="18"/>
  <c r="C228" i="18"/>
  <c r="C229" i="18"/>
  <c r="C230" i="18"/>
  <c r="E224" i="18"/>
  <c r="E225" i="18"/>
  <c r="E226" i="18"/>
  <c r="E227" i="18"/>
  <c r="E228" i="18"/>
  <c r="E229" i="18"/>
  <c r="E230" i="18"/>
  <c r="S224" i="18"/>
  <c r="S225" i="18"/>
  <c r="S226" i="18"/>
  <c r="S227" i="18"/>
  <c r="S228" i="18"/>
  <c r="S229" i="18"/>
  <c r="S230" i="18"/>
  <c r="T224" i="18"/>
  <c r="T225" i="18"/>
  <c r="T226" i="18"/>
  <c r="T227" i="18"/>
  <c r="T228" i="18"/>
  <c r="T229" i="18"/>
  <c r="T230" i="18"/>
  <c r="B978" i="19"/>
  <c r="B979" i="19"/>
  <c r="B980" i="19"/>
  <c r="B981" i="19"/>
  <c r="B982" i="19"/>
  <c r="B983" i="19"/>
  <c r="B984" i="19"/>
  <c r="B985" i="19"/>
  <c r="B986" i="19"/>
  <c r="B987" i="19"/>
  <c r="B988" i="19"/>
  <c r="B989" i="19"/>
  <c r="C978" i="19"/>
  <c r="C979" i="19"/>
  <c r="C980" i="19"/>
  <c r="C981" i="19"/>
  <c r="C982" i="19"/>
  <c r="C983" i="19"/>
  <c r="C984" i="19"/>
  <c r="C985" i="19"/>
  <c r="C986" i="19"/>
  <c r="C987" i="19"/>
  <c r="C988" i="19"/>
  <c r="C989" i="19"/>
  <c r="E978" i="19"/>
  <c r="E979" i="19"/>
  <c r="E980" i="19"/>
  <c r="E981" i="19"/>
  <c r="E982" i="19"/>
  <c r="E983" i="19"/>
  <c r="E984" i="19"/>
  <c r="E985" i="19"/>
  <c r="E986" i="19"/>
  <c r="E987" i="19"/>
  <c r="E988" i="19"/>
  <c r="E989" i="19"/>
  <c r="O978" i="19"/>
  <c r="O979" i="19"/>
  <c r="O980" i="19"/>
  <c r="O981" i="19"/>
  <c r="O982" i="19"/>
  <c r="O983" i="19"/>
  <c r="O984" i="19"/>
  <c r="O985" i="19"/>
  <c r="O986" i="19"/>
  <c r="O987" i="19"/>
  <c r="O988" i="19"/>
  <c r="O989" i="19"/>
  <c r="P978" i="19"/>
  <c r="P979" i="19"/>
  <c r="P980" i="19"/>
  <c r="P981" i="19"/>
  <c r="P982" i="19"/>
  <c r="P983" i="19"/>
  <c r="P984" i="19"/>
  <c r="P985" i="19"/>
  <c r="P986" i="19"/>
  <c r="P987" i="19"/>
  <c r="P988" i="19"/>
  <c r="P989" i="19"/>
  <c r="Q978" i="19"/>
  <c r="Q979" i="19"/>
  <c r="Q980" i="19"/>
  <c r="Q981" i="19"/>
  <c r="Q982" i="19"/>
  <c r="Q983" i="19"/>
  <c r="Q984" i="19"/>
  <c r="Q985" i="19"/>
  <c r="Q986" i="19"/>
  <c r="Q987" i="19"/>
  <c r="Q988" i="19"/>
  <c r="Q989" i="19"/>
  <c r="B964" i="19"/>
  <c r="B965" i="19"/>
  <c r="B966" i="19"/>
  <c r="B967" i="19"/>
  <c r="B968" i="19"/>
  <c r="B969" i="19"/>
  <c r="B970" i="19"/>
  <c r="B971" i="19"/>
  <c r="B972" i="19"/>
  <c r="B973" i="19"/>
  <c r="B974" i="19"/>
  <c r="B975" i="19"/>
  <c r="B976" i="19"/>
  <c r="B977" i="19"/>
  <c r="C964" i="19"/>
  <c r="C965" i="19"/>
  <c r="C966" i="19"/>
  <c r="C967" i="19"/>
  <c r="C968" i="19"/>
  <c r="C969" i="19"/>
  <c r="C970" i="19"/>
  <c r="C971" i="19"/>
  <c r="C972" i="19"/>
  <c r="C973" i="19"/>
  <c r="C974" i="19"/>
  <c r="C975" i="19"/>
  <c r="C976" i="19"/>
  <c r="C977" i="19"/>
  <c r="E964" i="19"/>
  <c r="E965" i="19"/>
  <c r="E966" i="19"/>
  <c r="E967" i="19"/>
  <c r="E968" i="19"/>
  <c r="E969" i="19"/>
  <c r="E970" i="19"/>
  <c r="E971" i="19"/>
  <c r="E972" i="19"/>
  <c r="E973" i="19"/>
  <c r="E974" i="19"/>
  <c r="E975" i="19"/>
  <c r="E976" i="19"/>
  <c r="E977" i="19"/>
  <c r="O964" i="19"/>
  <c r="O965" i="19"/>
  <c r="O966" i="19"/>
  <c r="O967" i="19"/>
  <c r="O968" i="19"/>
  <c r="O969" i="19"/>
  <c r="O970" i="19"/>
  <c r="O971" i="19"/>
  <c r="O972" i="19"/>
  <c r="O973" i="19"/>
  <c r="O974" i="19"/>
  <c r="O975" i="19"/>
  <c r="O976" i="19"/>
  <c r="O977" i="19"/>
  <c r="P964" i="19"/>
  <c r="P965" i="19"/>
  <c r="P966" i="19"/>
  <c r="P967" i="19"/>
  <c r="P968" i="19"/>
  <c r="P969" i="19"/>
  <c r="P970" i="19"/>
  <c r="P971" i="19"/>
  <c r="P972" i="19"/>
  <c r="P973" i="19"/>
  <c r="P974" i="19"/>
  <c r="P975" i="19"/>
  <c r="P976" i="19"/>
  <c r="P977" i="19"/>
  <c r="Q964" i="19"/>
  <c r="Q965" i="19"/>
  <c r="Q966" i="19"/>
  <c r="Q967" i="19"/>
  <c r="Q968" i="19"/>
  <c r="Q969" i="19"/>
  <c r="Q970" i="19"/>
  <c r="Q971" i="19"/>
  <c r="Q972" i="19"/>
  <c r="Q973" i="19"/>
  <c r="Q974" i="19"/>
  <c r="Q975" i="19"/>
  <c r="Q976" i="19"/>
  <c r="Q977" i="19"/>
  <c r="B962" i="19"/>
  <c r="B963" i="19"/>
  <c r="C962" i="19"/>
  <c r="C963" i="19"/>
  <c r="E962" i="19"/>
  <c r="E963" i="19"/>
  <c r="O962" i="19"/>
  <c r="O963" i="19"/>
  <c r="P962" i="19"/>
  <c r="P963" i="19"/>
  <c r="Q962" i="19"/>
  <c r="Q963" i="19"/>
  <c r="B956" i="19"/>
  <c r="B957" i="19"/>
  <c r="B958" i="19"/>
  <c r="B959" i="19"/>
  <c r="B960" i="19"/>
  <c r="B961" i="19"/>
  <c r="C956" i="19"/>
  <c r="C957" i="19"/>
  <c r="C958" i="19"/>
  <c r="C959" i="19"/>
  <c r="C960" i="19"/>
  <c r="C961" i="19"/>
  <c r="E956" i="19"/>
  <c r="E957" i="19"/>
  <c r="E958" i="19"/>
  <c r="E959" i="19"/>
  <c r="E960" i="19"/>
  <c r="E961" i="19"/>
  <c r="O956" i="19"/>
  <c r="O957" i="19"/>
  <c r="O958" i="19"/>
  <c r="O959" i="19"/>
  <c r="O960" i="19"/>
  <c r="O961" i="19"/>
  <c r="P956" i="19"/>
  <c r="P957" i="19"/>
  <c r="P958" i="19"/>
  <c r="P959" i="19"/>
  <c r="P960" i="19"/>
  <c r="P961" i="19"/>
  <c r="Q956" i="19"/>
  <c r="Q957" i="19"/>
  <c r="Q958" i="19"/>
  <c r="Q959" i="19"/>
  <c r="Q960" i="19"/>
  <c r="Q961" i="19"/>
  <c r="I963" i="19"/>
  <c r="H979" i="19"/>
  <c r="I982" i="19"/>
  <c r="I962" i="19"/>
  <c r="I978" i="19"/>
  <c r="H959" i="19"/>
  <c r="I964" i="19"/>
  <c r="H965" i="19"/>
  <c r="H984" i="19"/>
  <c r="H957" i="19"/>
  <c r="I956" i="19"/>
  <c r="H989" i="19"/>
  <c r="I957" i="19"/>
  <c r="I958" i="19"/>
  <c r="H967" i="19"/>
  <c r="I989" i="19"/>
  <c r="H969" i="19"/>
  <c r="I974" i="19"/>
  <c r="I967" i="19"/>
  <c r="H982" i="19"/>
  <c r="I981" i="19"/>
  <c r="H963" i="19"/>
  <c r="H973" i="19"/>
  <c r="I977" i="19"/>
  <c r="H962" i="19"/>
  <c r="H968" i="19"/>
  <c r="I983" i="19"/>
  <c r="I972" i="19"/>
  <c r="H964" i="19"/>
  <c r="H981" i="19"/>
  <c r="H971" i="19"/>
  <c r="H985" i="19"/>
  <c r="I979" i="19"/>
  <c r="H960" i="19"/>
  <c r="H978" i="19"/>
  <c r="I968" i="19"/>
  <c r="H974" i="19"/>
  <c r="I988" i="19"/>
  <c r="H988" i="19"/>
  <c r="H956" i="19"/>
  <c r="I965" i="19"/>
  <c r="H987" i="19"/>
  <c r="H975" i="19"/>
  <c r="I975" i="19"/>
  <c r="H977" i="19"/>
  <c r="H972" i="19"/>
  <c r="I971" i="19"/>
  <c r="I961" i="19"/>
  <c r="H980" i="19"/>
  <c r="H983" i="19"/>
  <c r="H958" i="19"/>
  <c r="I986" i="19"/>
  <c r="I987" i="19"/>
  <c r="I985" i="19"/>
  <c r="H961" i="19"/>
  <c r="I976" i="19"/>
  <c r="H966" i="19"/>
  <c r="I966" i="19"/>
  <c r="I960" i="19"/>
  <c r="I970" i="19"/>
  <c r="H976" i="19"/>
  <c r="H986" i="19"/>
  <c r="I980" i="19"/>
  <c r="I984" i="19"/>
  <c r="I959" i="19"/>
  <c r="I969" i="19"/>
  <c r="H970" i="19"/>
  <c r="I973" i="19"/>
  <c r="H228" i="18"/>
  <c r="L213" i="18"/>
  <c r="H229" i="18"/>
  <c r="I228" i="18"/>
  <c r="H230" i="18"/>
  <c r="I230" i="18"/>
  <c r="I226" i="18"/>
  <c r="I227" i="18"/>
  <c r="L188" i="18"/>
  <c r="I224" i="18"/>
  <c r="H224" i="18"/>
  <c r="I229" i="18"/>
  <c r="I225" i="18"/>
  <c r="L190" i="18"/>
  <c r="H227" i="18"/>
  <c r="H225" i="18"/>
  <c r="L189" i="18"/>
  <c r="H226" i="18"/>
  <c r="DJ88" i="1" l="1"/>
  <c r="DL88" i="1" s="1"/>
  <c r="B955" i="19" l="1"/>
  <c r="C955" i="19"/>
  <c r="E955" i="19"/>
  <c r="O955" i="19"/>
  <c r="P955" i="19"/>
  <c r="Q955" i="19"/>
  <c r="B954" i="19"/>
  <c r="C954" i="19"/>
  <c r="E954" i="19"/>
  <c r="O954" i="19"/>
  <c r="P954" i="19"/>
  <c r="Q954" i="19"/>
  <c r="B949" i="19"/>
  <c r="B950" i="19"/>
  <c r="B951" i="19"/>
  <c r="B952" i="19"/>
  <c r="B953" i="19"/>
  <c r="C949" i="19"/>
  <c r="C950" i="19"/>
  <c r="C951" i="19"/>
  <c r="C952" i="19"/>
  <c r="C953" i="19"/>
  <c r="E949" i="19"/>
  <c r="E950" i="19"/>
  <c r="E951" i="19"/>
  <c r="E952" i="19"/>
  <c r="E953" i="19"/>
  <c r="O949" i="19"/>
  <c r="O950" i="19"/>
  <c r="O951" i="19"/>
  <c r="O952" i="19"/>
  <c r="O953" i="19"/>
  <c r="P949" i="19"/>
  <c r="P950" i="19"/>
  <c r="P951" i="19"/>
  <c r="P952" i="19"/>
  <c r="P953" i="19"/>
  <c r="Q949" i="19"/>
  <c r="Q950" i="19"/>
  <c r="Q951" i="19"/>
  <c r="Q952" i="19"/>
  <c r="Q953" i="19"/>
  <c r="B941" i="19"/>
  <c r="B942" i="19"/>
  <c r="B943" i="19"/>
  <c r="B944" i="19"/>
  <c r="B945" i="19"/>
  <c r="B946" i="19"/>
  <c r="B947" i="19"/>
  <c r="B948" i="19"/>
  <c r="C941" i="19"/>
  <c r="C942" i="19"/>
  <c r="C943" i="19"/>
  <c r="C944" i="19"/>
  <c r="C945" i="19"/>
  <c r="C946" i="19"/>
  <c r="C947" i="19"/>
  <c r="C948" i="19"/>
  <c r="E941" i="19"/>
  <c r="E942" i="19"/>
  <c r="E943" i="19"/>
  <c r="E944" i="19"/>
  <c r="E945" i="19"/>
  <c r="E946" i="19"/>
  <c r="E947" i="19"/>
  <c r="E948" i="19"/>
  <c r="O941" i="19"/>
  <c r="O942" i="19"/>
  <c r="O943" i="19"/>
  <c r="O944" i="19"/>
  <c r="O945" i="19"/>
  <c r="O946" i="19"/>
  <c r="O947" i="19"/>
  <c r="O948" i="19"/>
  <c r="P941" i="19"/>
  <c r="P942" i="19"/>
  <c r="P943" i="19"/>
  <c r="P944" i="19"/>
  <c r="P945" i="19"/>
  <c r="P946" i="19"/>
  <c r="P947" i="19"/>
  <c r="P948" i="19"/>
  <c r="Q941" i="19"/>
  <c r="Q942" i="19"/>
  <c r="Q943" i="19"/>
  <c r="Q944" i="19"/>
  <c r="Q945" i="19"/>
  <c r="Q946" i="19"/>
  <c r="Q947" i="19"/>
  <c r="Q948" i="19"/>
  <c r="B927" i="19"/>
  <c r="B928" i="19"/>
  <c r="B929" i="19"/>
  <c r="B930" i="19"/>
  <c r="B931" i="19"/>
  <c r="B932" i="19"/>
  <c r="B933" i="19"/>
  <c r="B934" i="19"/>
  <c r="B935" i="19"/>
  <c r="B936" i="19"/>
  <c r="B937" i="19"/>
  <c r="B938" i="19"/>
  <c r="B939" i="19"/>
  <c r="B940" i="19"/>
  <c r="C927" i="19"/>
  <c r="C928" i="19"/>
  <c r="C929" i="19"/>
  <c r="C930" i="19"/>
  <c r="C931" i="19"/>
  <c r="C932" i="19"/>
  <c r="C933" i="19"/>
  <c r="C934" i="19"/>
  <c r="C935" i="19"/>
  <c r="C936" i="19"/>
  <c r="C937" i="19"/>
  <c r="C938" i="19"/>
  <c r="C939" i="19"/>
  <c r="C940" i="19"/>
  <c r="E927" i="19"/>
  <c r="E928" i="19"/>
  <c r="E929" i="19"/>
  <c r="E930" i="19"/>
  <c r="E931" i="19"/>
  <c r="E932" i="19"/>
  <c r="E933" i="19"/>
  <c r="E934" i="19"/>
  <c r="E935" i="19"/>
  <c r="E936" i="19"/>
  <c r="E937" i="19"/>
  <c r="E938" i="19"/>
  <c r="E939" i="19"/>
  <c r="E940" i="19"/>
  <c r="O927" i="19"/>
  <c r="O928" i="19"/>
  <c r="O929" i="19"/>
  <c r="O930" i="19"/>
  <c r="O931" i="19"/>
  <c r="O932" i="19"/>
  <c r="O933" i="19"/>
  <c r="O934" i="19"/>
  <c r="O935" i="19"/>
  <c r="O936" i="19"/>
  <c r="O937" i="19"/>
  <c r="O938" i="19"/>
  <c r="O939" i="19"/>
  <c r="O940" i="19"/>
  <c r="P927" i="19"/>
  <c r="P928" i="19"/>
  <c r="P929" i="19"/>
  <c r="P930" i="19"/>
  <c r="P931" i="19"/>
  <c r="P932" i="19"/>
  <c r="P933" i="19"/>
  <c r="P934" i="19"/>
  <c r="P935" i="19"/>
  <c r="P936" i="19"/>
  <c r="P937" i="19"/>
  <c r="P938" i="19"/>
  <c r="P939" i="19"/>
  <c r="P940" i="19"/>
  <c r="Q927" i="19"/>
  <c r="Q928" i="19"/>
  <c r="Q929" i="19"/>
  <c r="Q930" i="19"/>
  <c r="Q931" i="19"/>
  <c r="Q932" i="19"/>
  <c r="Q933" i="19"/>
  <c r="Q934" i="19"/>
  <c r="Q935" i="19"/>
  <c r="Q936" i="19"/>
  <c r="Q937" i="19"/>
  <c r="Q938" i="19"/>
  <c r="Q939" i="19"/>
  <c r="Q940" i="19"/>
  <c r="I940" i="19"/>
  <c r="H943" i="19"/>
  <c r="I945" i="19"/>
  <c r="H941" i="19"/>
  <c r="I942" i="19"/>
  <c r="H953" i="19"/>
  <c r="I951" i="19"/>
  <c r="H952" i="19"/>
  <c r="I933" i="19"/>
  <c r="I948" i="19"/>
  <c r="H927" i="19"/>
  <c r="H954" i="19"/>
  <c r="I947" i="19"/>
  <c r="H933" i="19"/>
  <c r="H950" i="19"/>
  <c r="I952" i="19"/>
  <c r="I953" i="19"/>
  <c r="I931" i="19"/>
  <c r="H947" i="19"/>
  <c r="I929" i="19"/>
  <c r="H939" i="19"/>
  <c r="I943" i="19"/>
  <c r="I944" i="19"/>
  <c r="I950" i="19"/>
  <c r="H934" i="19"/>
  <c r="H940" i="19"/>
  <c r="I955" i="19"/>
  <c r="H949" i="19"/>
  <c r="H942" i="19"/>
  <c r="I935" i="19"/>
  <c r="H928" i="19"/>
  <c r="I949" i="19"/>
  <c r="H946" i="19"/>
  <c r="I946" i="19"/>
  <c r="I927" i="19"/>
  <c r="H938" i="19"/>
  <c r="H951" i="19"/>
  <c r="I930" i="19"/>
  <c r="I928" i="19"/>
  <c r="H948" i="19"/>
  <c r="H945" i="19"/>
  <c r="I936" i="19"/>
  <c r="I938" i="19"/>
  <c r="H931" i="19"/>
  <c r="H932" i="19"/>
  <c r="I954" i="19"/>
  <c r="H929" i="19"/>
  <c r="I939" i="19"/>
  <c r="I937" i="19"/>
  <c r="I934" i="19"/>
  <c r="H930" i="19"/>
  <c r="I932" i="19"/>
  <c r="H955" i="19"/>
  <c r="H935" i="19"/>
  <c r="H936" i="19"/>
  <c r="H944" i="19"/>
  <c r="I941" i="19"/>
  <c r="H937" i="19"/>
  <c r="I2" i="20" l="1"/>
  <c r="I3" i="20"/>
  <c r="I4" i="20"/>
  <c r="I5" i="20"/>
  <c r="I6" i="20"/>
  <c r="I7" i="20"/>
  <c r="I8" i="20"/>
  <c r="I9" i="20"/>
  <c r="I10" i="20"/>
  <c r="I11" i="20"/>
  <c r="I12" i="20"/>
  <c r="I13" i="20"/>
  <c r="I14" i="20"/>
  <c r="H2" i="20"/>
  <c r="H3" i="20"/>
  <c r="H4" i="20"/>
  <c r="H5" i="20"/>
  <c r="H6" i="20"/>
  <c r="H7" i="20"/>
  <c r="H8" i="20"/>
  <c r="H9" i="20"/>
  <c r="H10" i="20"/>
  <c r="H11" i="20"/>
  <c r="H12" i="20"/>
  <c r="H13" i="20"/>
  <c r="H14" i="20"/>
  <c r="E2" i="20"/>
  <c r="E3" i="20"/>
  <c r="E4" i="20"/>
  <c r="E5" i="20"/>
  <c r="E6" i="20"/>
  <c r="E7" i="20"/>
  <c r="E8" i="20"/>
  <c r="E9" i="20"/>
  <c r="E10" i="20"/>
  <c r="E11" i="20"/>
  <c r="E12" i="20"/>
  <c r="E13" i="20"/>
  <c r="E14" i="20"/>
  <c r="C2" i="20"/>
  <c r="C3" i="20"/>
  <c r="C4" i="20"/>
  <c r="C5" i="20"/>
  <c r="C6" i="20"/>
  <c r="C7" i="20"/>
  <c r="C8" i="20"/>
  <c r="C9" i="20"/>
  <c r="C10" i="20"/>
  <c r="C11" i="20"/>
  <c r="C12" i="20"/>
  <c r="C13" i="20"/>
  <c r="C14" i="20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B3" i="20"/>
  <c r="B4" i="20"/>
  <c r="B5" i="20"/>
  <c r="B6" i="20"/>
  <c r="B7" i="20"/>
  <c r="B8" i="20"/>
  <c r="B9" i="20"/>
  <c r="B10" i="20"/>
  <c r="B11" i="20"/>
  <c r="B12" i="20"/>
  <c r="B13" i="20"/>
  <c r="B14" i="20"/>
  <c r="P3" i="20"/>
  <c r="P4" i="20"/>
  <c r="P5" i="20"/>
  <c r="P6" i="20"/>
  <c r="P7" i="20"/>
  <c r="P8" i="20"/>
  <c r="P9" i="20"/>
  <c r="P10" i="20"/>
  <c r="P11" i="20"/>
  <c r="P12" i="20"/>
  <c r="P13" i="20"/>
  <c r="P14" i="20"/>
  <c r="Q3" i="20"/>
  <c r="Q4" i="20"/>
  <c r="Q5" i="20"/>
  <c r="Q6" i="20"/>
  <c r="Q7" i="20"/>
  <c r="Q8" i="20"/>
  <c r="Q9" i="20"/>
  <c r="Q10" i="20"/>
  <c r="Q11" i="20"/>
  <c r="Q12" i="20"/>
  <c r="Q13" i="20"/>
  <c r="Q14" i="20"/>
  <c r="R3" i="20"/>
  <c r="R4" i="20"/>
  <c r="R5" i="20"/>
  <c r="R6" i="20"/>
  <c r="R7" i="20"/>
  <c r="R8" i="20"/>
  <c r="R9" i="20"/>
  <c r="R10" i="20"/>
  <c r="R11" i="20"/>
  <c r="R12" i="20"/>
  <c r="R13" i="20"/>
  <c r="R14" i="20"/>
  <c r="AA3" i="20"/>
  <c r="AA4" i="20"/>
  <c r="AA5" i="20"/>
  <c r="AA6" i="20"/>
  <c r="AA7" i="20"/>
  <c r="AA8" i="20"/>
  <c r="AA9" i="20"/>
  <c r="AA10" i="20"/>
  <c r="AA11" i="20"/>
  <c r="AA12" i="20"/>
  <c r="AA13" i="20"/>
  <c r="AA14" i="20"/>
  <c r="AA2" i="20"/>
  <c r="R2" i="20"/>
  <c r="Q2" i="20"/>
  <c r="P2" i="20"/>
  <c r="B2" i="20"/>
  <c r="Q2" i="19"/>
  <c r="Q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Q50" i="19"/>
  <c r="Q51" i="19"/>
  <c r="Q52" i="19"/>
  <c r="Q53" i="19"/>
  <c r="Q54" i="19"/>
  <c r="Q55" i="19"/>
  <c r="Q56" i="19"/>
  <c r="Q57" i="19"/>
  <c r="Q58" i="19"/>
  <c r="Q59" i="19"/>
  <c r="Q60" i="19"/>
  <c r="Q61" i="19"/>
  <c r="Q62" i="19"/>
  <c r="Q63" i="19"/>
  <c r="Q64" i="19"/>
  <c r="Q65" i="19"/>
  <c r="Q66" i="19"/>
  <c r="Q67" i="19"/>
  <c r="Q68" i="19"/>
  <c r="Q69" i="19"/>
  <c r="Q70" i="19"/>
  <c r="Q71" i="19"/>
  <c r="Q72" i="19"/>
  <c r="Q73" i="19"/>
  <c r="Q74" i="19"/>
  <c r="Q75" i="19"/>
  <c r="Q76" i="19"/>
  <c r="Q77" i="19"/>
  <c r="Q78" i="19"/>
  <c r="Q79" i="19"/>
  <c r="Q80" i="19"/>
  <c r="Q81" i="19"/>
  <c r="Q82" i="19"/>
  <c r="Q83" i="19"/>
  <c r="Q84" i="19"/>
  <c r="Q85" i="19"/>
  <c r="Q86" i="19"/>
  <c r="Q87" i="19"/>
  <c r="Q88" i="19"/>
  <c r="Q89" i="19"/>
  <c r="Q90" i="19"/>
  <c r="Q91" i="19"/>
  <c r="Q92" i="19"/>
  <c r="Q93" i="19"/>
  <c r="Q94" i="19"/>
  <c r="Q95" i="19"/>
  <c r="Q96" i="19"/>
  <c r="Q97" i="19"/>
  <c r="Q98" i="19"/>
  <c r="Q99" i="19"/>
  <c r="Q100" i="19"/>
  <c r="Q101" i="19"/>
  <c r="Q102" i="19"/>
  <c r="Q103" i="19"/>
  <c r="Q104" i="19"/>
  <c r="Q105" i="19"/>
  <c r="Q106" i="19"/>
  <c r="Q107" i="19"/>
  <c r="Q108" i="19"/>
  <c r="Q109" i="19"/>
  <c r="Q110" i="19"/>
  <c r="Q111" i="19"/>
  <c r="Q112" i="19"/>
  <c r="Q113" i="19"/>
  <c r="Q114" i="19"/>
  <c r="Q115" i="19"/>
  <c r="Q116" i="19"/>
  <c r="Q117" i="19"/>
  <c r="Q118" i="19"/>
  <c r="Q119" i="19"/>
  <c r="Q120" i="19"/>
  <c r="Q121" i="19"/>
  <c r="Q122" i="19"/>
  <c r="Q123" i="19"/>
  <c r="Q124" i="19"/>
  <c r="Q125" i="19"/>
  <c r="Q126" i="19"/>
  <c r="Q127" i="19"/>
  <c r="Q128" i="19"/>
  <c r="Q129" i="19"/>
  <c r="Q130" i="19"/>
  <c r="Q131" i="19"/>
  <c r="Q132" i="19"/>
  <c r="Q133" i="19"/>
  <c r="Q134" i="19"/>
  <c r="Q135" i="19"/>
  <c r="Q136" i="19"/>
  <c r="Q137" i="19"/>
  <c r="Q138" i="19"/>
  <c r="Q139" i="19"/>
  <c r="Q140" i="19"/>
  <c r="Q141" i="19"/>
  <c r="Q142" i="19"/>
  <c r="Q143" i="19"/>
  <c r="Q144" i="19"/>
  <c r="Q145" i="19"/>
  <c r="Q146" i="19"/>
  <c r="Q147" i="19"/>
  <c r="Q148" i="19"/>
  <c r="Q149" i="19"/>
  <c r="Q150" i="19"/>
  <c r="Q151" i="19"/>
  <c r="Q152" i="19"/>
  <c r="Q153" i="19"/>
  <c r="Q154" i="19"/>
  <c r="Q155" i="19"/>
  <c r="Q156" i="19"/>
  <c r="Q157" i="19"/>
  <c r="Q158" i="19"/>
  <c r="Q159" i="19"/>
  <c r="Q160" i="19"/>
  <c r="Q161" i="19"/>
  <c r="Q162" i="19"/>
  <c r="Q163" i="19"/>
  <c r="Q164" i="19"/>
  <c r="Q165" i="19"/>
  <c r="Q166" i="19"/>
  <c r="Q167" i="19"/>
  <c r="Q168" i="19"/>
  <c r="Q169" i="19"/>
  <c r="Q170" i="19"/>
  <c r="Q171" i="19"/>
  <c r="Q172" i="19"/>
  <c r="Q173" i="19"/>
  <c r="Q174" i="19"/>
  <c r="Q175" i="19"/>
  <c r="Q176" i="19"/>
  <c r="Q177" i="19"/>
  <c r="Q178" i="19"/>
  <c r="Q179" i="19"/>
  <c r="Q180" i="19"/>
  <c r="Q181" i="19"/>
  <c r="Q182" i="19"/>
  <c r="Q183" i="19"/>
  <c r="Q184" i="19"/>
  <c r="Q185" i="19"/>
  <c r="Q186" i="19"/>
  <c r="Q187" i="19"/>
  <c r="Q188" i="19"/>
  <c r="Q189" i="19"/>
  <c r="Q190" i="19"/>
  <c r="Q191" i="19"/>
  <c r="Q192" i="19"/>
  <c r="Q193" i="19"/>
  <c r="Q194" i="19"/>
  <c r="Q195" i="19"/>
  <c r="Q196" i="19"/>
  <c r="Q197" i="19"/>
  <c r="Q198" i="19"/>
  <c r="Q199" i="19"/>
  <c r="Q200" i="19"/>
  <c r="Q201" i="19"/>
  <c r="Q202" i="19"/>
  <c r="Q203" i="19"/>
  <c r="Q204" i="19"/>
  <c r="Q205" i="19"/>
  <c r="Q206" i="19"/>
  <c r="Q207" i="19"/>
  <c r="Q208" i="19"/>
  <c r="Q209" i="19"/>
  <c r="Q210" i="19"/>
  <c r="Q211" i="19"/>
  <c r="Q212" i="19"/>
  <c r="Q213" i="19"/>
  <c r="Q214" i="19"/>
  <c r="Q215" i="19"/>
  <c r="Q216" i="19"/>
  <c r="Q217" i="19"/>
  <c r="Q218" i="19"/>
  <c r="Q219" i="19"/>
  <c r="Q220" i="19"/>
  <c r="Q221" i="19"/>
  <c r="Q222" i="19"/>
  <c r="Q223" i="19"/>
  <c r="Q224" i="19"/>
  <c r="Q225" i="19"/>
  <c r="Q226" i="19"/>
  <c r="Q227" i="19"/>
  <c r="Q228" i="19"/>
  <c r="Q229" i="19"/>
  <c r="Q230" i="19"/>
  <c r="Q231" i="19"/>
  <c r="Q232" i="19"/>
  <c r="Q233" i="19"/>
  <c r="Q234" i="19"/>
  <c r="Q235" i="19"/>
  <c r="Q236" i="19"/>
  <c r="Q237" i="19"/>
  <c r="Q238" i="19"/>
  <c r="Q239" i="19"/>
  <c r="Q240" i="19"/>
  <c r="Q241" i="19"/>
  <c r="Q242" i="19"/>
  <c r="Q243" i="19"/>
  <c r="Q244" i="19"/>
  <c r="Q245" i="19"/>
  <c r="Q246" i="19"/>
  <c r="Q247" i="19"/>
  <c r="Q248" i="19"/>
  <c r="Q249" i="19"/>
  <c r="Q250" i="19"/>
  <c r="Q251" i="19"/>
  <c r="Q252" i="19"/>
  <c r="Q253" i="19"/>
  <c r="Q254" i="19"/>
  <c r="Q255" i="19"/>
  <c r="Q256" i="19"/>
  <c r="Q257" i="19"/>
  <c r="Q258" i="19"/>
  <c r="Q259" i="19"/>
  <c r="Q260" i="19"/>
  <c r="Q261" i="19"/>
  <c r="Q262" i="19"/>
  <c r="Q263" i="19"/>
  <c r="Q264" i="19"/>
  <c r="Q265" i="19"/>
  <c r="Q266" i="19"/>
  <c r="Q267" i="19"/>
  <c r="Q268" i="19"/>
  <c r="Q269" i="19"/>
  <c r="Q270" i="19"/>
  <c r="Q271" i="19"/>
  <c r="Q272" i="19"/>
  <c r="Q273" i="19"/>
  <c r="Q274" i="19"/>
  <c r="Q275" i="19"/>
  <c r="Q276" i="19"/>
  <c r="Q277" i="19"/>
  <c r="Q278" i="19"/>
  <c r="Q279" i="19"/>
  <c r="Q280" i="19"/>
  <c r="Q281" i="19"/>
  <c r="Q282" i="19"/>
  <c r="Q283" i="19"/>
  <c r="Q284" i="19"/>
  <c r="Q285" i="19"/>
  <c r="Q286" i="19"/>
  <c r="Q287" i="19"/>
  <c r="Q288" i="19"/>
  <c r="Q289" i="19"/>
  <c r="Q290" i="19"/>
  <c r="Q291" i="19"/>
  <c r="Q292" i="19"/>
  <c r="Q293" i="19"/>
  <c r="Q294" i="19"/>
  <c r="Q295" i="19"/>
  <c r="Q296" i="19"/>
  <c r="Q297" i="19"/>
  <c r="Q298" i="19"/>
  <c r="Q299" i="19"/>
  <c r="Q300" i="19"/>
  <c r="Q301" i="19"/>
  <c r="Q302" i="19"/>
  <c r="Q303" i="19"/>
  <c r="Q304" i="19"/>
  <c r="Q305" i="19"/>
  <c r="Q306" i="19"/>
  <c r="Q307" i="19"/>
  <c r="Q308" i="19"/>
  <c r="Q309" i="19"/>
  <c r="Q310" i="19"/>
  <c r="Q311" i="19"/>
  <c r="Q312" i="19"/>
  <c r="Q313" i="19"/>
  <c r="Q314" i="19"/>
  <c r="Q315" i="19"/>
  <c r="Q316" i="19"/>
  <c r="Q317" i="19"/>
  <c r="Q318" i="19"/>
  <c r="Q319" i="19"/>
  <c r="Q320" i="19"/>
  <c r="Q321" i="19"/>
  <c r="Q322" i="19"/>
  <c r="Q323" i="19"/>
  <c r="Q324" i="19"/>
  <c r="Q325" i="19"/>
  <c r="Q326" i="19"/>
  <c r="Q327" i="19"/>
  <c r="Q328" i="19"/>
  <c r="Q329" i="19"/>
  <c r="Q330" i="19"/>
  <c r="Q331" i="19"/>
  <c r="Q332" i="19"/>
  <c r="Q333" i="19"/>
  <c r="Q334" i="19"/>
  <c r="Q335" i="19"/>
  <c r="Q336" i="19"/>
  <c r="Q337" i="19"/>
  <c r="Q338" i="19"/>
  <c r="Q339" i="19"/>
  <c r="Q340" i="19"/>
  <c r="Q341" i="19"/>
  <c r="Q342" i="19"/>
  <c r="Q343" i="19"/>
  <c r="Q344" i="19"/>
  <c r="Q345" i="19"/>
  <c r="Q346" i="19"/>
  <c r="Q347" i="19"/>
  <c r="Q348" i="19"/>
  <c r="Q349" i="19"/>
  <c r="Q350" i="19"/>
  <c r="Q351" i="19"/>
  <c r="Q352" i="19"/>
  <c r="Q353" i="19"/>
  <c r="Q354" i="19"/>
  <c r="Q355" i="19"/>
  <c r="Q356" i="19"/>
  <c r="Q357" i="19"/>
  <c r="Q358" i="19"/>
  <c r="Q359" i="19"/>
  <c r="Q360" i="19"/>
  <c r="Q361" i="19"/>
  <c r="Q362" i="19"/>
  <c r="Q363" i="19"/>
  <c r="Q364" i="19"/>
  <c r="Q365" i="19"/>
  <c r="Q366" i="19"/>
  <c r="Q367" i="19"/>
  <c r="Q368" i="19"/>
  <c r="Q369" i="19"/>
  <c r="Q370" i="19"/>
  <c r="Q371" i="19"/>
  <c r="Q372" i="19"/>
  <c r="Q373" i="19"/>
  <c r="Q374" i="19"/>
  <c r="Q375" i="19"/>
  <c r="Q376" i="19"/>
  <c r="Q377" i="19"/>
  <c r="Q378" i="19"/>
  <c r="Q379" i="19"/>
  <c r="Q380" i="19"/>
  <c r="Q381" i="19"/>
  <c r="Q382" i="19"/>
  <c r="Q383" i="19"/>
  <c r="Q384" i="19"/>
  <c r="Q385" i="19"/>
  <c r="Q386" i="19"/>
  <c r="Q387" i="19"/>
  <c r="Q388" i="19"/>
  <c r="Q389" i="19"/>
  <c r="Q390" i="19"/>
  <c r="Q391" i="19"/>
  <c r="Q392" i="19"/>
  <c r="Q393" i="19"/>
  <c r="Q394" i="19"/>
  <c r="Q395" i="19"/>
  <c r="Q396" i="19"/>
  <c r="Q397" i="19"/>
  <c r="Q398" i="19"/>
  <c r="Q399" i="19"/>
  <c r="Q400" i="19"/>
  <c r="Q401" i="19"/>
  <c r="Q402" i="19"/>
  <c r="Q403" i="19"/>
  <c r="Q404" i="19"/>
  <c r="Q405" i="19"/>
  <c r="Q406" i="19"/>
  <c r="Q407" i="19"/>
  <c r="Q408" i="19"/>
  <c r="Q409" i="19"/>
  <c r="Q410" i="19"/>
  <c r="Q411" i="19"/>
  <c r="Q412" i="19"/>
  <c r="Q413" i="19"/>
  <c r="Q414" i="19"/>
  <c r="Q415" i="19"/>
  <c r="Q416" i="19"/>
  <c r="Q417" i="19"/>
  <c r="Q418" i="19"/>
  <c r="Q419" i="19"/>
  <c r="Q420" i="19"/>
  <c r="Q421" i="19"/>
  <c r="Q422" i="19"/>
  <c r="Q423" i="19"/>
  <c r="Q424" i="19"/>
  <c r="Q425" i="19"/>
  <c r="Q426" i="19"/>
  <c r="Q427" i="19"/>
  <c r="Q428" i="19"/>
  <c r="Q429" i="19"/>
  <c r="Q430" i="19"/>
  <c r="Q431" i="19"/>
  <c r="Q432" i="19"/>
  <c r="Q433" i="19"/>
  <c r="Q434" i="19"/>
  <c r="Q435" i="19"/>
  <c r="Q436" i="19"/>
  <c r="Q437" i="19"/>
  <c r="Q438" i="19"/>
  <c r="Q439" i="19"/>
  <c r="Q440" i="19"/>
  <c r="Q441" i="19"/>
  <c r="Q442" i="19"/>
  <c r="Q443" i="19"/>
  <c r="Q444" i="19"/>
  <c r="Q445" i="19"/>
  <c r="Q446" i="19"/>
  <c r="Q447" i="19"/>
  <c r="Q448" i="19"/>
  <c r="Q449" i="19"/>
  <c r="Q450" i="19"/>
  <c r="Q451" i="19"/>
  <c r="Q452" i="19"/>
  <c r="Q453" i="19"/>
  <c r="Q454" i="19"/>
  <c r="Q455" i="19"/>
  <c r="Q456" i="19"/>
  <c r="Q457" i="19"/>
  <c r="Q458" i="19"/>
  <c r="Q459" i="19"/>
  <c r="Q460" i="19"/>
  <c r="Q461" i="19"/>
  <c r="Q462" i="19"/>
  <c r="Q463" i="19"/>
  <c r="Q464" i="19"/>
  <c r="Q465" i="19"/>
  <c r="Q466" i="19"/>
  <c r="Q467" i="19"/>
  <c r="Q468" i="19"/>
  <c r="Q469" i="19"/>
  <c r="Q470" i="19"/>
  <c r="Q471" i="19"/>
  <c r="Q472" i="19"/>
  <c r="Q473" i="19"/>
  <c r="Q474" i="19"/>
  <c r="Q475" i="19"/>
  <c r="Q476" i="19"/>
  <c r="Q477" i="19"/>
  <c r="Q478" i="19"/>
  <c r="Q479" i="19"/>
  <c r="Q480" i="19"/>
  <c r="Q481" i="19"/>
  <c r="Q482" i="19"/>
  <c r="Q483" i="19"/>
  <c r="Q484" i="19"/>
  <c r="Q485" i="19"/>
  <c r="Q486" i="19"/>
  <c r="Q487" i="19"/>
  <c r="Q488" i="19"/>
  <c r="Q489" i="19"/>
  <c r="Q490" i="19"/>
  <c r="Q491" i="19"/>
  <c r="Q492" i="19"/>
  <c r="Q493" i="19"/>
  <c r="Q494" i="19"/>
  <c r="Q495" i="19"/>
  <c r="Q496" i="19"/>
  <c r="Q497" i="19"/>
  <c r="Q498" i="19"/>
  <c r="Q499" i="19"/>
  <c r="Q500" i="19"/>
  <c r="Q501" i="19"/>
  <c r="Q502" i="19"/>
  <c r="Q503" i="19"/>
  <c r="Q504" i="19"/>
  <c r="Q505" i="19"/>
  <c r="Q506" i="19"/>
  <c r="Q507" i="19"/>
  <c r="Q508" i="19"/>
  <c r="Q509" i="19"/>
  <c r="Q510" i="19"/>
  <c r="Q511" i="19"/>
  <c r="Q512" i="19"/>
  <c r="Q513" i="19"/>
  <c r="Q514" i="19"/>
  <c r="Q515" i="19"/>
  <c r="Q516" i="19"/>
  <c r="Q517" i="19"/>
  <c r="Q518" i="19"/>
  <c r="Q519" i="19"/>
  <c r="Q520" i="19"/>
  <c r="Q521" i="19"/>
  <c r="Q522" i="19"/>
  <c r="Q523" i="19"/>
  <c r="Q524" i="19"/>
  <c r="Q525" i="19"/>
  <c r="Q526" i="19"/>
  <c r="Q527" i="19"/>
  <c r="Q528" i="19"/>
  <c r="Q529" i="19"/>
  <c r="Q530" i="19"/>
  <c r="Q531" i="19"/>
  <c r="Q532" i="19"/>
  <c r="Q533" i="19"/>
  <c r="Q534" i="19"/>
  <c r="Q535" i="19"/>
  <c r="Q536" i="19"/>
  <c r="Q537" i="19"/>
  <c r="Q538" i="19"/>
  <c r="Q539" i="19"/>
  <c r="Q540" i="19"/>
  <c r="Q541" i="19"/>
  <c r="Q542" i="19"/>
  <c r="Q543" i="19"/>
  <c r="Q544" i="19"/>
  <c r="Q545" i="19"/>
  <c r="Q546" i="19"/>
  <c r="Q547" i="19"/>
  <c r="Q548" i="19"/>
  <c r="Q549" i="19"/>
  <c r="Q550" i="19"/>
  <c r="Q551" i="19"/>
  <c r="Q552" i="19"/>
  <c r="Q553" i="19"/>
  <c r="Q554" i="19"/>
  <c r="Q555" i="19"/>
  <c r="Q556" i="19"/>
  <c r="Q557" i="19"/>
  <c r="Q558" i="19"/>
  <c r="Q559" i="19"/>
  <c r="Q560" i="19"/>
  <c r="Q561" i="19"/>
  <c r="Q562" i="19"/>
  <c r="Q563" i="19"/>
  <c r="Q564" i="19"/>
  <c r="Q565" i="19"/>
  <c r="Q566" i="19"/>
  <c r="Q567" i="19"/>
  <c r="Q568" i="19"/>
  <c r="Q569" i="19"/>
  <c r="Q570" i="19"/>
  <c r="Q571" i="19"/>
  <c r="Q572" i="19"/>
  <c r="Q573" i="19"/>
  <c r="Q574" i="19"/>
  <c r="Q575" i="19"/>
  <c r="Q576" i="19"/>
  <c r="Q577" i="19"/>
  <c r="Q578" i="19"/>
  <c r="Q579" i="19"/>
  <c r="Q580" i="19"/>
  <c r="Q581" i="19"/>
  <c r="Q582" i="19"/>
  <c r="Q583" i="19"/>
  <c r="Q584" i="19"/>
  <c r="Q585" i="19"/>
  <c r="Q586" i="19"/>
  <c r="Q587" i="19"/>
  <c r="Q588" i="19"/>
  <c r="Q589" i="19"/>
  <c r="Q590" i="19"/>
  <c r="Q591" i="19"/>
  <c r="Q592" i="19"/>
  <c r="Q593" i="19"/>
  <c r="Q594" i="19"/>
  <c r="Q595" i="19"/>
  <c r="Q596" i="19"/>
  <c r="Q597" i="19"/>
  <c r="Q598" i="19"/>
  <c r="Q599" i="19"/>
  <c r="Q600" i="19"/>
  <c r="Q601" i="19"/>
  <c r="Q602" i="19"/>
  <c r="Q603" i="19"/>
  <c r="Q604" i="19"/>
  <c r="Q605" i="19"/>
  <c r="Q606" i="19"/>
  <c r="Q607" i="19"/>
  <c r="Q608" i="19"/>
  <c r="Q609" i="19"/>
  <c r="Q610" i="19"/>
  <c r="Q611" i="19"/>
  <c r="Q612" i="19"/>
  <c r="Q613" i="19"/>
  <c r="Q614" i="19"/>
  <c r="Q615" i="19"/>
  <c r="Q616" i="19"/>
  <c r="Q617" i="19"/>
  <c r="Q618" i="19"/>
  <c r="Q619" i="19"/>
  <c r="Q620" i="19"/>
  <c r="Q621" i="19"/>
  <c r="Q622" i="19"/>
  <c r="Q623" i="19"/>
  <c r="Q624" i="19"/>
  <c r="Q625" i="19"/>
  <c r="Q626" i="19"/>
  <c r="Q627" i="19"/>
  <c r="Q628" i="19"/>
  <c r="Q629" i="19"/>
  <c r="Q630" i="19"/>
  <c r="Q631" i="19"/>
  <c r="Q632" i="19"/>
  <c r="Q633" i="19"/>
  <c r="Q634" i="19"/>
  <c r="Q635" i="19"/>
  <c r="Q636" i="19"/>
  <c r="Q637" i="19"/>
  <c r="Q638" i="19"/>
  <c r="Q639" i="19"/>
  <c r="Q640" i="19"/>
  <c r="Q641" i="19"/>
  <c r="Q642" i="19"/>
  <c r="Q643" i="19"/>
  <c r="Q644" i="19"/>
  <c r="Q645" i="19"/>
  <c r="Q646" i="19"/>
  <c r="Q647" i="19"/>
  <c r="Q648" i="19"/>
  <c r="Q649" i="19"/>
  <c r="Q650" i="19"/>
  <c r="Q651" i="19"/>
  <c r="Q652" i="19"/>
  <c r="Q653" i="19"/>
  <c r="Q654" i="19"/>
  <c r="Q655" i="19"/>
  <c r="Q656" i="19"/>
  <c r="Q657" i="19"/>
  <c r="Q658" i="19"/>
  <c r="Q659" i="19"/>
  <c r="Q660" i="19"/>
  <c r="Q661" i="19"/>
  <c r="Q662" i="19"/>
  <c r="Q663" i="19"/>
  <c r="Q664" i="19"/>
  <c r="Q665" i="19"/>
  <c r="Q666" i="19"/>
  <c r="Q667" i="19"/>
  <c r="Q668" i="19"/>
  <c r="Q669" i="19"/>
  <c r="Q670" i="19"/>
  <c r="Q671" i="19"/>
  <c r="Q672" i="19"/>
  <c r="Q673" i="19"/>
  <c r="Q674" i="19"/>
  <c r="Q675" i="19"/>
  <c r="Q676" i="19"/>
  <c r="Q677" i="19"/>
  <c r="Q678" i="19"/>
  <c r="Q679" i="19"/>
  <c r="Q680" i="19"/>
  <c r="Q681" i="19"/>
  <c r="Q682" i="19"/>
  <c r="Q683" i="19"/>
  <c r="Q684" i="19"/>
  <c r="Q685" i="19"/>
  <c r="Q686" i="19"/>
  <c r="Q687" i="19"/>
  <c r="Q688" i="19"/>
  <c r="Q689" i="19"/>
  <c r="Q690" i="19"/>
  <c r="Q691" i="19"/>
  <c r="Q692" i="19"/>
  <c r="Q693" i="19"/>
  <c r="Q694" i="19"/>
  <c r="Q695" i="19"/>
  <c r="Q696" i="19"/>
  <c r="Q697" i="19"/>
  <c r="Q698" i="19"/>
  <c r="Q699" i="19"/>
  <c r="Q700" i="19"/>
  <c r="Q701" i="19"/>
  <c r="Q702" i="19"/>
  <c r="Q703" i="19"/>
  <c r="Q704" i="19"/>
  <c r="Q705" i="19"/>
  <c r="Q706" i="19"/>
  <c r="Q707" i="19"/>
  <c r="Q708" i="19"/>
  <c r="Q709" i="19"/>
  <c r="Q710" i="19"/>
  <c r="Q711" i="19"/>
  <c r="Q712" i="19"/>
  <c r="Q713" i="19"/>
  <c r="Q714" i="19"/>
  <c r="Q715" i="19"/>
  <c r="Q716" i="19"/>
  <c r="Q717" i="19"/>
  <c r="Q718" i="19"/>
  <c r="Q719" i="19"/>
  <c r="Q720" i="19"/>
  <c r="Q721" i="19"/>
  <c r="Q722" i="19"/>
  <c r="Q723" i="19"/>
  <c r="Q724" i="19"/>
  <c r="Q725" i="19"/>
  <c r="Q726" i="19"/>
  <c r="Q727" i="19"/>
  <c r="Q728" i="19"/>
  <c r="Q729" i="19"/>
  <c r="Q730" i="19"/>
  <c r="Q731" i="19"/>
  <c r="Q732" i="19"/>
  <c r="Q733" i="19"/>
  <c r="Q734" i="19"/>
  <c r="Q735" i="19"/>
  <c r="Q736" i="19"/>
  <c r="Q737" i="19"/>
  <c r="Q738" i="19"/>
  <c r="Q739" i="19"/>
  <c r="Q740" i="19"/>
  <c r="Q741" i="19"/>
  <c r="Q742" i="19"/>
  <c r="Q743" i="19"/>
  <c r="Q744" i="19"/>
  <c r="Q745" i="19"/>
  <c r="Q746" i="19"/>
  <c r="Q747" i="19"/>
  <c r="Q748" i="19"/>
  <c r="Q749" i="19"/>
  <c r="Q750" i="19"/>
  <c r="Q751" i="19"/>
  <c r="Q752" i="19"/>
  <c r="Q753" i="19"/>
  <c r="Q754" i="19"/>
  <c r="Q755" i="19"/>
  <c r="Q756" i="19"/>
  <c r="Q757" i="19"/>
  <c r="Q758" i="19"/>
  <c r="Q759" i="19"/>
  <c r="Q760" i="19"/>
  <c r="Q761" i="19"/>
  <c r="Q762" i="19"/>
  <c r="Q763" i="19"/>
  <c r="Q764" i="19"/>
  <c r="Q765" i="19"/>
  <c r="Q766" i="19"/>
  <c r="Q767" i="19"/>
  <c r="Q768" i="19"/>
  <c r="Q769" i="19"/>
  <c r="Q770" i="19"/>
  <c r="Q771" i="19"/>
  <c r="Q772" i="19"/>
  <c r="Q773" i="19"/>
  <c r="Q774" i="19"/>
  <c r="Q775" i="19"/>
  <c r="Q776" i="19"/>
  <c r="Q777" i="19"/>
  <c r="Q778" i="19"/>
  <c r="Q779" i="19"/>
  <c r="Q780" i="19"/>
  <c r="Q781" i="19"/>
  <c r="Q782" i="19"/>
  <c r="Q783" i="19"/>
  <c r="Q784" i="19"/>
  <c r="Q785" i="19"/>
  <c r="Q786" i="19"/>
  <c r="Q787" i="19"/>
  <c r="Q788" i="19"/>
  <c r="Q789" i="19"/>
  <c r="Q790" i="19"/>
  <c r="Q791" i="19"/>
  <c r="Q792" i="19"/>
  <c r="Q793" i="19"/>
  <c r="Q794" i="19"/>
  <c r="Q795" i="19"/>
  <c r="Q796" i="19"/>
  <c r="Q797" i="19"/>
  <c r="Q798" i="19"/>
  <c r="Q799" i="19"/>
  <c r="Q800" i="19"/>
  <c r="Q801" i="19"/>
  <c r="Q802" i="19"/>
  <c r="Q803" i="19"/>
  <c r="Q804" i="19"/>
  <c r="Q805" i="19"/>
  <c r="Q806" i="19"/>
  <c r="Q807" i="19"/>
  <c r="Q808" i="19"/>
  <c r="Q809" i="19"/>
  <c r="Q810" i="19"/>
  <c r="Q811" i="19"/>
  <c r="Q812" i="19"/>
  <c r="Q813" i="19"/>
  <c r="Q814" i="19"/>
  <c r="Q815" i="19"/>
  <c r="Q816" i="19"/>
  <c r="Q817" i="19"/>
  <c r="Q818" i="19"/>
  <c r="Q819" i="19"/>
  <c r="Q820" i="19"/>
  <c r="Q821" i="19"/>
  <c r="Q822" i="19"/>
  <c r="Q823" i="19"/>
  <c r="Q824" i="19"/>
  <c r="Q825" i="19"/>
  <c r="Q826" i="19"/>
  <c r="Q827" i="19"/>
  <c r="Q828" i="19"/>
  <c r="Q829" i="19"/>
  <c r="Q830" i="19"/>
  <c r="Q831" i="19"/>
  <c r="Q832" i="19"/>
  <c r="Q833" i="19"/>
  <c r="Q834" i="19"/>
  <c r="Q835" i="19"/>
  <c r="Q836" i="19"/>
  <c r="Q837" i="19"/>
  <c r="Q838" i="19"/>
  <c r="Q839" i="19"/>
  <c r="Q840" i="19"/>
  <c r="Q841" i="19"/>
  <c r="Q842" i="19"/>
  <c r="Q843" i="19"/>
  <c r="Q844" i="19"/>
  <c r="Q845" i="19"/>
  <c r="Q846" i="19"/>
  <c r="Q847" i="19"/>
  <c r="Q848" i="19"/>
  <c r="Q849" i="19"/>
  <c r="Q850" i="19"/>
  <c r="Q851" i="19"/>
  <c r="Q852" i="19"/>
  <c r="Q853" i="19"/>
  <c r="Q854" i="19"/>
  <c r="Q855" i="19"/>
  <c r="Q856" i="19"/>
  <c r="Q857" i="19"/>
  <c r="Q858" i="19"/>
  <c r="Q859" i="19"/>
  <c r="Q860" i="19"/>
  <c r="Q861" i="19"/>
  <c r="Q862" i="19"/>
  <c r="Q863" i="19"/>
  <c r="Q864" i="19"/>
  <c r="Q865" i="19"/>
  <c r="Q866" i="19"/>
  <c r="Q867" i="19"/>
  <c r="Q868" i="19"/>
  <c r="Q869" i="19"/>
  <c r="Q870" i="19"/>
  <c r="Q871" i="19"/>
  <c r="Q872" i="19"/>
  <c r="Q873" i="19"/>
  <c r="Q874" i="19"/>
  <c r="Q875" i="19"/>
  <c r="Q876" i="19"/>
  <c r="Q877" i="19"/>
  <c r="Q878" i="19"/>
  <c r="Q879" i="19"/>
  <c r="Q880" i="19"/>
  <c r="Q881" i="19"/>
  <c r="Q882" i="19"/>
  <c r="Q883" i="19"/>
  <c r="Q884" i="19"/>
  <c r="Q885" i="19"/>
  <c r="Q886" i="19"/>
  <c r="Q887" i="19"/>
  <c r="Q888" i="19"/>
  <c r="Q889" i="19"/>
  <c r="Q890" i="19"/>
  <c r="Q891" i="19"/>
  <c r="Q892" i="19"/>
  <c r="Q893" i="19"/>
  <c r="Q894" i="19"/>
  <c r="Q895" i="19"/>
  <c r="Q896" i="19"/>
  <c r="Q897" i="19"/>
  <c r="Q898" i="19"/>
  <c r="Q899" i="19"/>
  <c r="Q900" i="19"/>
  <c r="Q901" i="19"/>
  <c r="Q902" i="19"/>
  <c r="Q903" i="19"/>
  <c r="Q904" i="19"/>
  <c r="Q905" i="19"/>
  <c r="Q906" i="19"/>
  <c r="Q907" i="19"/>
  <c r="Q908" i="19"/>
  <c r="Q909" i="19"/>
  <c r="Q910" i="19"/>
  <c r="Q911" i="19"/>
  <c r="Q912" i="19"/>
  <c r="Q913" i="19"/>
  <c r="Q914" i="19"/>
  <c r="Q915" i="19"/>
  <c r="Q916" i="19"/>
  <c r="Q917" i="19"/>
  <c r="Q918" i="19"/>
  <c r="Q919" i="19"/>
  <c r="Q920" i="19"/>
  <c r="Q921" i="19"/>
  <c r="Q922" i="19"/>
  <c r="Q923" i="19"/>
  <c r="Q924" i="19"/>
  <c r="Q925" i="19"/>
  <c r="Q926" i="19"/>
  <c r="O3" i="19"/>
  <c r="P3" i="19"/>
  <c r="O4" i="19"/>
  <c r="P4" i="19"/>
  <c r="O5" i="19"/>
  <c r="P5" i="19"/>
  <c r="O6" i="19"/>
  <c r="P6" i="19"/>
  <c r="O7" i="19"/>
  <c r="P7" i="19"/>
  <c r="O8" i="19"/>
  <c r="P8" i="19"/>
  <c r="O9" i="19"/>
  <c r="P9" i="19"/>
  <c r="O10" i="19"/>
  <c r="P10" i="19"/>
  <c r="O11" i="19"/>
  <c r="P11" i="19"/>
  <c r="O12" i="19"/>
  <c r="P12" i="19"/>
  <c r="O13" i="19"/>
  <c r="P13" i="19"/>
  <c r="O14" i="19"/>
  <c r="P14" i="19"/>
  <c r="O15" i="19"/>
  <c r="P15" i="19"/>
  <c r="O16" i="19"/>
  <c r="P16" i="19"/>
  <c r="O17" i="19"/>
  <c r="P17" i="19"/>
  <c r="O18" i="19"/>
  <c r="P18" i="19"/>
  <c r="O19" i="19"/>
  <c r="P19" i="19"/>
  <c r="O20" i="19"/>
  <c r="P20" i="19"/>
  <c r="O21" i="19"/>
  <c r="P21" i="19"/>
  <c r="O22" i="19"/>
  <c r="P22" i="19"/>
  <c r="O23" i="19"/>
  <c r="P23" i="19"/>
  <c r="O24" i="19"/>
  <c r="P24" i="19"/>
  <c r="O25" i="19"/>
  <c r="P25" i="19"/>
  <c r="O26" i="19"/>
  <c r="P26" i="19"/>
  <c r="O27" i="19"/>
  <c r="P27" i="19"/>
  <c r="O28" i="19"/>
  <c r="P28" i="19"/>
  <c r="O29" i="19"/>
  <c r="P29" i="19"/>
  <c r="O30" i="19"/>
  <c r="P30" i="19"/>
  <c r="O31" i="19"/>
  <c r="P31" i="19"/>
  <c r="O32" i="19"/>
  <c r="P32" i="19"/>
  <c r="O33" i="19"/>
  <c r="P33" i="19"/>
  <c r="O34" i="19"/>
  <c r="P34" i="19"/>
  <c r="O35" i="19"/>
  <c r="P35" i="19"/>
  <c r="O36" i="19"/>
  <c r="P36" i="19"/>
  <c r="O37" i="19"/>
  <c r="P37" i="19"/>
  <c r="O38" i="19"/>
  <c r="P38" i="19"/>
  <c r="O39" i="19"/>
  <c r="P39" i="19"/>
  <c r="O40" i="19"/>
  <c r="P40" i="19"/>
  <c r="O41" i="19"/>
  <c r="P41" i="19"/>
  <c r="O42" i="19"/>
  <c r="P42" i="19"/>
  <c r="O43" i="19"/>
  <c r="P43" i="19"/>
  <c r="O44" i="19"/>
  <c r="P44" i="19"/>
  <c r="O45" i="19"/>
  <c r="P45" i="19"/>
  <c r="O46" i="19"/>
  <c r="P46" i="19"/>
  <c r="O47" i="19"/>
  <c r="P47" i="19"/>
  <c r="O48" i="19"/>
  <c r="P48" i="19"/>
  <c r="O49" i="19"/>
  <c r="P49" i="19"/>
  <c r="O50" i="19"/>
  <c r="P50" i="19"/>
  <c r="O51" i="19"/>
  <c r="P51" i="19"/>
  <c r="O52" i="19"/>
  <c r="P52" i="19"/>
  <c r="O53" i="19"/>
  <c r="P53" i="19"/>
  <c r="O54" i="19"/>
  <c r="P54" i="19"/>
  <c r="O55" i="19"/>
  <c r="P55" i="19"/>
  <c r="O56" i="19"/>
  <c r="P56" i="19"/>
  <c r="O57" i="19"/>
  <c r="P57" i="19"/>
  <c r="O58" i="19"/>
  <c r="P58" i="19"/>
  <c r="O59" i="19"/>
  <c r="P59" i="19"/>
  <c r="O60" i="19"/>
  <c r="P60" i="19"/>
  <c r="O61" i="19"/>
  <c r="P61" i="19"/>
  <c r="O62" i="19"/>
  <c r="P62" i="19"/>
  <c r="O63" i="19"/>
  <c r="P63" i="19"/>
  <c r="O64" i="19"/>
  <c r="P64" i="19"/>
  <c r="O65" i="19"/>
  <c r="P65" i="19"/>
  <c r="O66" i="19"/>
  <c r="P66" i="19"/>
  <c r="O67" i="19"/>
  <c r="P67" i="19"/>
  <c r="O68" i="19"/>
  <c r="P68" i="19"/>
  <c r="O69" i="19"/>
  <c r="P69" i="19"/>
  <c r="O70" i="19"/>
  <c r="P70" i="19"/>
  <c r="O71" i="19"/>
  <c r="P71" i="19"/>
  <c r="O72" i="19"/>
  <c r="P72" i="19"/>
  <c r="O73" i="19"/>
  <c r="P73" i="19"/>
  <c r="O74" i="19"/>
  <c r="P74" i="19"/>
  <c r="O75" i="19"/>
  <c r="P75" i="19"/>
  <c r="O76" i="19"/>
  <c r="P76" i="19"/>
  <c r="O77" i="19"/>
  <c r="P77" i="19"/>
  <c r="O78" i="19"/>
  <c r="P78" i="19"/>
  <c r="O79" i="19"/>
  <c r="P79" i="19"/>
  <c r="O80" i="19"/>
  <c r="P80" i="19"/>
  <c r="O81" i="19"/>
  <c r="P81" i="19"/>
  <c r="O82" i="19"/>
  <c r="P82" i="19"/>
  <c r="O83" i="19"/>
  <c r="P83" i="19"/>
  <c r="O84" i="19"/>
  <c r="P84" i="19"/>
  <c r="O85" i="19"/>
  <c r="P85" i="19"/>
  <c r="O86" i="19"/>
  <c r="P86" i="19"/>
  <c r="O87" i="19"/>
  <c r="P87" i="19"/>
  <c r="O88" i="19"/>
  <c r="P88" i="19"/>
  <c r="O89" i="19"/>
  <c r="P89" i="19"/>
  <c r="O90" i="19"/>
  <c r="P90" i="19"/>
  <c r="O91" i="19"/>
  <c r="P91" i="19"/>
  <c r="O92" i="19"/>
  <c r="P92" i="19"/>
  <c r="O93" i="19"/>
  <c r="P93" i="19"/>
  <c r="O94" i="19"/>
  <c r="P94" i="19"/>
  <c r="O95" i="19"/>
  <c r="P95" i="19"/>
  <c r="O96" i="19"/>
  <c r="P96" i="19"/>
  <c r="O97" i="19"/>
  <c r="P97" i="19"/>
  <c r="O98" i="19"/>
  <c r="P98" i="19"/>
  <c r="O99" i="19"/>
  <c r="P99" i="19"/>
  <c r="O100" i="19"/>
  <c r="P100" i="19"/>
  <c r="O101" i="19"/>
  <c r="P101" i="19"/>
  <c r="O102" i="19"/>
  <c r="P102" i="19"/>
  <c r="O103" i="19"/>
  <c r="P103" i="19"/>
  <c r="O104" i="19"/>
  <c r="P104" i="19"/>
  <c r="O105" i="19"/>
  <c r="P105" i="19"/>
  <c r="O106" i="19"/>
  <c r="P106" i="19"/>
  <c r="O107" i="19"/>
  <c r="P107" i="19"/>
  <c r="O108" i="19"/>
  <c r="P108" i="19"/>
  <c r="O109" i="19"/>
  <c r="P109" i="19"/>
  <c r="O110" i="19"/>
  <c r="P110" i="19"/>
  <c r="O111" i="19"/>
  <c r="P111" i="19"/>
  <c r="O112" i="19"/>
  <c r="P112" i="19"/>
  <c r="O113" i="19"/>
  <c r="P113" i="19"/>
  <c r="O114" i="19"/>
  <c r="P114" i="19"/>
  <c r="O115" i="19"/>
  <c r="P115" i="19"/>
  <c r="O116" i="19"/>
  <c r="P116" i="19"/>
  <c r="O117" i="19"/>
  <c r="P117" i="19"/>
  <c r="O118" i="19"/>
  <c r="P118" i="19"/>
  <c r="O119" i="19"/>
  <c r="P119" i="19"/>
  <c r="O120" i="19"/>
  <c r="P120" i="19"/>
  <c r="O121" i="19"/>
  <c r="P121" i="19"/>
  <c r="O122" i="19"/>
  <c r="P122" i="19"/>
  <c r="O123" i="19"/>
  <c r="P123" i="19"/>
  <c r="O124" i="19"/>
  <c r="P124" i="19"/>
  <c r="O125" i="19"/>
  <c r="P125" i="19"/>
  <c r="O126" i="19"/>
  <c r="P126" i="19"/>
  <c r="O127" i="19"/>
  <c r="P127" i="19"/>
  <c r="O128" i="19"/>
  <c r="P128" i="19"/>
  <c r="O129" i="19"/>
  <c r="P129" i="19"/>
  <c r="O130" i="19"/>
  <c r="P130" i="19"/>
  <c r="O131" i="19"/>
  <c r="P131" i="19"/>
  <c r="O132" i="19"/>
  <c r="P132" i="19"/>
  <c r="O133" i="19"/>
  <c r="P133" i="19"/>
  <c r="O134" i="19"/>
  <c r="P134" i="19"/>
  <c r="O135" i="19"/>
  <c r="P135" i="19"/>
  <c r="O136" i="19"/>
  <c r="P136" i="19"/>
  <c r="O137" i="19"/>
  <c r="P137" i="19"/>
  <c r="O138" i="19"/>
  <c r="P138" i="19"/>
  <c r="O139" i="19"/>
  <c r="P139" i="19"/>
  <c r="O140" i="19"/>
  <c r="P140" i="19"/>
  <c r="O141" i="19"/>
  <c r="P141" i="19"/>
  <c r="O142" i="19"/>
  <c r="P142" i="19"/>
  <c r="O143" i="19"/>
  <c r="P143" i="19"/>
  <c r="O144" i="19"/>
  <c r="P144" i="19"/>
  <c r="O145" i="19"/>
  <c r="P145" i="19"/>
  <c r="O146" i="19"/>
  <c r="P146" i="19"/>
  <c r="O147" i="19"/>
  <c r="P147" i="19"/>
  <c r="O148" i="19"/>
  <c r="P148" i="19"/>
  <c r="O149" i="19"/>
  <c r="P149" i="19"/>
  <c r="O150" i="19"/>
  <c r="P150" i="19"/>
  <c r="O151" i="19"/>
  <c r="P151" i="19"/>
  <c r="O152" i="19"/>
  <c r="P152" i="19"/>
  <c r="O153" i="19"/>
  <c r="P153" i="19"/>
  <c r="O154" i="19"/>
  <c r="P154" i="19"/>
  <c r="O155" i="19"/>
  <c r="P155" i="19"/>
  <c r="O156" i="19"/>
  <c r="P156" i="19"/>
  <c r="O157" i="19"/>
  <c r="P157" i="19"/>
  <c r="O158" i="19"/>
  <c r="P158" i="19"/>
  <c r="O159" i="19"/>
  <c r="P159" i="19"/>
  <c r="O160" i="19"/>
  <c r="P160" i="19"/>
  <c r="O161" i="19"/>
  <c r="P161" i="19"/>
  <c r="O162" i="19"/>
  <c r="P162" i="19"/>
  <c r="O163" i="19"/>
  <c r="P163" i="19"/>
  <c r="O164" i="19"/>
  <c r="P164" i="19"/>
  <c r="O165" i="19"/>
  <c r="P165" i="19"/>
  <c r="O166" i="19"/>
  <c r="P166" i="19"/>
  <c r="O167" i="19"/>
  <c r="P167" i="19"/>
  <c r="O168" i="19"/>
  <c r="P168" i="19"/>
  <c r="O169" i="19"/>
  <c r="P169" i="19"/>
  <c r="O170" i="19"/>
  <c r="P170" i="19"/>
  <c r="O171" i="19"/>
  <c r="P171" i="19"/>
  <c r="O172" i="19"/>
  <c r="P172" i="19"/>
  <c r="O173" i="19"/>
  <c r="P173" i="19"/>
  <c r="O174" i="19"/>
  <c r="P174" i="19"/>
  <c r="O175" i="19"/>
  <c r="P175" i="19"/>
  <c r="O176" i="19"/>
  <c r="P176" i="19"/>
  <c r="O177" i="19"/>
  <c r="P177" i="19"/>
  <c r="O178" i="19"/>
  <c r="P178" i="19"/>
  <c r="O179" i="19"/>
  <c r="P179" i="19"/>
  <c r="O180" i="19"/>
  <c r="P180" i="19"/>
  <c r="O181" i="19"/>
  <c r="P181" i="19"/>
  <c r="O182" i="19"/>
  <c r="P182" i="19"/>
  <c r="O183" i="19"/>
  <c r="P183" i="19"/>
  <c r="O184" i="19"/>
  <c r="P184" i="19"/>
  <c r="O185" i="19"/>
  <c r="P185" i="19"/>
  <c r="O186" i="19"/>
  <c r="P186" i="19"/>
  <c r="O187" i="19"/>
  <c r="P187" i="19"/>
  <c r="O188" i="19"/>
  <c r="P188" i="19"/>
  <c r="O189" i="19"/>
  <c r="P189" i="19"/>
  <c r="O190" i="19"/>
  <c r="P190" i="19"/>
  <c r="O191" i="19"/>
  <c r="P191" i="19"/>
  <c r="O192" i="19"/>
  <c r="P192" i="19"/>
  <c r="O193" i="19"/>
  <c r="P193" i="19"/>
  <c r="O194" i="19"/>
  <c r="P194" i="19"/>
  <c r="O195" i="19"/>
  <c r="P195" i="19"/>
  <c r="O196" i="19"/>
  <c r="P196" i="19"/>
  <c r="O197" i="19"/>
  <c r="P197" i="19"/>
  <c r="O198" i="19"/>
  <c r="P198" i="19"/>
  <c r="O199" i="19"/>
  <c r="P199" i="19"/>
  <c r="O200" i="19"/>
  <c r="P200" i="19"/>
  <c r="O201" i="19"/>
  <c r="P201" i="19"/>
  <c r="O202" i="19"/>
  <c r="P202" i="19"/>
  <c r="O203" i="19"/>
  <c r="P203" i="19"/>
  <c r="O204" i="19"/>
  <c r="P204" i="19"/>
  <c r="O205" i="19"/>
  <c r="P205" i="19"/>
  <c r="O206" i="19"/>
  <c r="P206" i="19"/>
  <c r="O207" i="19"/>
  <c r="P207" i="19"/>
  <c r="O208" i="19"/>
  <c r="P208" i="19"/>
  <c r="O209" i="19"/>
  <c r="P209" i="19"/>
  <c r="O210" i="19"/>
  <c r="P210" i="19"/>
  <c r="O211" i="19"/>
  <c r="P211" i="19"/>
  <c r="O212" i="19"/>
  <c r="P212" i="19"/>
  <c r="O213" i="19"/>
  <c r="P213" i="19"/>
  <c r="O214" i="19"/>
  <c r="P214" i="19"/>
  <c r="O215" i="19"/>
  <c r="P215" i="19"/>
  <c r="O216" i="19"/>
  <c r="P216" i="19"/>
  <c r="O217" i="19"/>
  <c r="P217" i="19"/>
  <c r="O218" i="19"/>
  <c r="P218" i="19"/>
  <c r="O219" i="19"/>
  <c r="P219" i="19"/>
  <c r="O220" i="19"/>
  <c r="P220" i="19"/>
  <c r="O221" i="19"/>
  <c r="P221" i="19"/>
  <c r="O222" i="19"/>
  <c r="P222" i="19"/>
  <c r="O223" i="19"/>
  <c r="P223" i="19"/>
  <c r="O224" i="19"/>
  <c r="P224" i="19"/>
  <c r="O225" i="19"/>
  <c r="P225" i="19"/>
  <c r="O226" i="19"/>
  <c r="P226" i="19"/>
  <c r="O227" i="19"/>
  <c r="P227" i="19"/>
  <c r="O228" i="19"/>
  <c r="P228" i="19"/>
  <c r="O229" i="19"/>
  <c r="P229" i="19"/>
  <c r="O230" i="19"/>
  <c r="P230" i="19"/>
  <c r="O231" i="19"/>
  <c r="P231" i="19"/>
  <c r="O232" i="19"/>
  <c r="P232" i="19"/>
  <c r="O233" i="19"/>
  <c r="P233" i="19"/>
  <c r="O234" i="19"/>
  <c r="P234" i="19"/>
  <c r="O235" i="19"/>
  <c r="P235" i="19"/>
  <c r="O236" i="19"/>
  <c r="P236" i="19"/>
  <c r="O237" i="19"/>
  <c r="P237" i="19"/>
  <c r="O238" i="19"/>
  <c r="P238" i="19"/>
  <c r="O239" i="19"/>
  <c r="P239" i="19"/>
  <c r="O240" i="19"/>
  <c r="P240" i="19"/>
  <c r="O241" i="19"/>
  <c r="P241" i="19"/>
  <c r="O242" i="19"/>
  <c r="P242" i="19"/>
  <c r="O243" i="19"/>
  <c r="P243" i="19"/>
  <c r="O244" i="19"/>
  <c r="P244" i="19"/>
  <c r="O245" i="19"/>
  <c r="P245" i="19"/>
  <c r="O246" i="19"/>
  <c r="P246" i="19"/>
  <c r="O247" i="19"/>
  <c r="P247" i="19"/>
  <c r="O248" i="19"/>
  <c r="P248" i="19"/>
  <c r="O249" i="19"/>
  <c r="P249" i="19"/>
  <c r="O250" i="19"/>
  <c r="P250" i="19"/>
  <c r="O251" i="19"/>
  <c r="P251" i="19"/>
  <c r="O252" i="19"/>
  <c r="P252" i="19"/>
  <c r="O253" i="19"/>
  <c r="P253" i="19"/>
  <c r="O254" i="19"/>
  <c r="P254" i="19"/>
  <c r="O255" i="19"/>
  <c r="P255" i="19"/>
  <c r="O256" i="19"/>
  <c r="P256" i="19"/>
  <c r="O257" i="19"/>
  <c r="P257" i="19"/>
  <c r="O258" i="19"/>
  <c r="P258" i="19"/>
  <c r="O259" i="19"/>
  <c r="P259" i="19"/>
  <c r="O260" i="19"/>
  <c r="P260" i="19"/>
  <c r="O261" i="19"/>
  <c r="P261" i="19"/>
  <c r="O262" i="19"/>
  <c r="P262" i="19"/>
  <c r="O263" i="19"/>
  <c r="P263" i="19"/>
  <c r="O264" i="19"/>
  <c r="P264" i="19"/>
  <c r="O265" i="19"/>
  <c r="P265" i="19"/>
  <c r="O266" i="19"/>
  <c r="P266" i="19"/>
  <c r="O267" i="19"/>
  <c r="P267" i="19"/>
  <c r="O268" i="19"/>
  <c r="P268" i="19"/>
  <c r="O269" i="19"/>
  <c r="P269" i="19"/>
  <c r="O270" i="19"/>
  <c r="P270" i="19"/>
  <c r="O271" i="19"/>
  <c r="P271" i="19"/>
  <c r="O272" i="19"/>
  <c r="P272" i="19"/>
  <c r="O273" i="19"/>
  <c r="P273" i="19"/>
  <c r="O274" i="19"/>
  <c r="P274" i="19"/>
  <c r="O275" i="19"/>
  <c r="P275" i="19"/>
  <c r="O276" i="19"/>
  <c r="P276" i="19"/>
  <c r="O277" i="19"/>
  <c r="P277" i="19"/>
  <c r="O278" i="19"/>
  <c r="P278" i="19"/>
  <c r="O279" i="19"/>
  <c r="P279" i="19"/>
  <c r="O280" i="19"/>
  <c r="P280" i="19"/>
  <c r="O281" i="19"/>
  <c r="P281" i="19"/>
  <c r="O282" i="19"/>
  <c r="P282" i="19"/>
  <c r="O283" i="19"/>
  <c r="P283" i="19"/>
  <c r="O284" i="19"/>
  <c r="P284" i="19"/>
  <c r="O285" i="19"/>
  <c r="P285" i="19"/>
  <c r="O286" i="19"/>
  <c r="P286" i="19"/>
  <c r="O287" i="19"/>
  <c r="P287" i="19"/>
  <c r="O288" i="19"/>
  <c r="P288" i="19"/>
  <c r="O289" i="19"/>
  <c r="P289" i="19"/>
  <c r="O290" i="19"/>
  <c r="P290" i="19"/>
  <c r="O291" i="19"/>
  <c r="P291" i="19"/>
  <c r="O292" i="19"/>
  <c r="P292" i="19"/>
  <c r="O293" i="19"/>
  <c r="P293" i="19"/>
  <c r="O294" i="19"/>
  <c r="P294" i="19"/>
  <c r="O295" i="19"/>
  <c r="P295" i="19"/>
  <c r="O296" i="19"/>
  <c r="P296" i="19"/>
  <c r="O297" i="19"/>
  <c r="P297" i="19"/>
  <c r="O298" i="19"/>
  <c r="P298" i="19"/>
  <c r="O299" i="19"/>
  <c r="P299" i="19"/>
  <c r="O300" i="19"/>
  <c r="P300" i="19"/>
  <c r="O301" i="19"/>
  <c r="P301" i="19"/>
  <c r="O302" i="19"/>
  <c r="P302" i="19"/>
  <c r="O303" i="19"/>
  <c r="P303" i="19"/>
  <c r="O304" i="19"/>
  <c r="P304" i="19"/>
  <c r="O305" i="19"/>
  <c r="P305" i="19"/>
  <c r="O306" i="19"/>
  <c r="P306" i="19"/>
  <c r="O307" i="19"/>
  <c r="P307" i="19"/>
  <c r="O308" i="19"/>
  <c r="P308" i="19"/>
  <c r="O309" i="19"/>
  <c r="P309" i="19"/>
  <c r="O310" i="19"/>
  <c r="P310" i="19"/>
  <c r="O311" i="19"/>
  <c r="P311" i="19"/>
  <c r="O312" i="19"/>
  <c r="P312" i="19"/>
  <c r="O313" i="19"/>
  <c r="P313" i="19"/>
  <c r="O314" i="19"/>
  <c r="P314" i="19"/>
  <c r="O315" i="19"/>
  <c r="P315" i="19"/>
  <c r="O316" i="19"/>
  <c r="P316" i="19"/>
  <c r="O317" i="19"/>
  <c r="P317" i="19"/>
  <c r="O318" i="19"/>
  <c r="P318" i="19"/>
  <c r="O319" i="19"/>
  <c r="P319" i="19"/>
  <c r="O320" i="19"/>
  <c r="P320" i="19"/>
  <c r="O321" i="19"/>
  <c r="P321" i="19"/>
  <c r="O322" i="19"/>
  <c r="P322" i="19"/>
  <c r="O323" i="19"/>
  <c r="P323" i="19"/>
  <c r="O324" i="19"/>
  <c r="P324" i="19"/>
  <c r="O325" i="19"/>
  <c r="P325" i="19"/>
  <c r="O326" i="19"/>
  <c r="P326" i="19"/>
  <c r="O327" i="19"/>
  <c r="P327" i="19"/>
  <c r="O328" i="19"/>
  <c r="P328" i="19"/>
  <c r="O329" i="19"/>
  <c r="P329" i="19"/>
  <c r="O330" i="19"/>
  <c r="P330" i="19"/>
  <c r="O331" i="19"/>
  <c r="P331" i="19"/>
  <c r="O332" i="19"/>
  <c r="P332" i="19"/>
  <c r="O333" i="19"/>
  <c r="P333" i="19"/>
  <c r="O334" i="19"/>
  <c r="P334" i="19"/>
  <c r="O335" i="19"/>
  <c r="P335" i="19"/>
  <c r="O336" i="19"/>
  <c r="P336" i="19"/>
  <c r="O337" i="19"/>
  <c r="P337" i="19"/>
  <c r="O338" i="19"/>
  <c r="P338" i="19"/>
  <c r="O339" i="19"/>
  <c r="P339" i="19"/>
  <c r="O340" i="19"/>
  <c r="P340" i="19"/>
  <c r="O341" i="19"/>
  <c r="P341" i="19"/>
  <c r="O342" i="19"/>
  <c r="P342" i="19"/>
  <c r="O343" i="19"/>
  <c r="P343" i="19"/>
  <c r="O344" i="19"/>
  <c r="P344" i="19"/>
  <c r="O345" i="19"/>
  <c r="P345" i="19"/>
  <c r="O346" i="19"/>
  <c r="P346" i="19"/>
  <c r="O347" i="19"/>
  <c r="P347" i="19"/>
  <c r="O348" i="19"/>
  <c r="P348" i="19"/>
  <c r="O349" i="19"/>
  <c r="P349" i="19"/>
  <c r="O350" i="19"/>
  <c r="P350" i="19"/>
  <c r="O351" i="19"/>
  <c r="P351" i="19"/>
  <c r="O352" i="19"/>
  <c r="P352" i="19"/>
  <c r="O353" i="19"/>
  <c r="P353" i="19"/>
  <c r="O354" i="19"/>
  <c r="P354" i="19"/>
  <c r="O355" i="19"/>
  <c r="P355" i="19"/>
  <c r="O356" i="19"/>
  <c r="P356" i="19"/>
  <c r="O357" i="19"/>
  <c r="P357" i="19"/>
  <c r="O358" i="19"/>
  <c r="P358" i="19"/>
  <c r="O359" i="19"/>
  <c r="P359" i="19"/>
  <c r="O360" i="19"/>
  <c r="P360" i="19"/>
  <c r="O361" i="19"/>
  <c r="P361" i="19"/>
  <c r="O362" i="19"/>
  <c r="P362" i="19"/>
  <c r="O363" i="19"/>
  <c r="P363" i="19"/>
  <c r="O364" i="19"/>
  <c r="P364" i="19"/>
  <c r="O365" i="19"/>
  <c r="P365" i="19"/>
  <c r="O366" i="19"/>
  <c r="P366" i="19"/>
  <c r="O367" i="19"/>
  <c r="P367" i="19"/>
  <c r="O368" i="19"/>
  <c r="P368" i="19"/>
  <c r="O369" i="19"/>
  <c r="P369" i="19"/>
  <c r="O370" i="19"/>
  <c r="P370" i="19"/>
  <c r="O371" i="19"/>
  <c r="P371" i="19"/>
  <c r="O372" i="19"/>
  <c r="P372" i="19"/>
  <c r="O373" i="19"/>
  <c r="P373" i="19"/>
  <c r="O374" i="19"/>
  <c r="P374" i="19"/>
  <c r="O375" i="19"/>
  <c r="P375" i="19"/>
  <c r="O376" i="19"/>
  <c r="P376" i="19"/>
  <c r="O377" i="19"/>
  <c r="P377" i="19"/>
  <c r="O378" i="19"/>
  <c r="P378" i="19"/>
  <c r="O379" i="19"/>
  <c r="P379" i="19"/>
  <c r="O380" i="19"/>
  <c r="P380" i="19"/>
  <c r="O381" i="19"/>
  <c r="P381" i="19"/>
  <c r="O382" i="19"/>
  <c r="P382" i="19"/>
  <c r="O383" i="19"/>
  <c r="P383" i="19"/>
  <c r="O384" i="19"/>
  <c r="P384" i="19"/>
  <c r="O385" i="19"/>
  <c r="P385" i="19"/>
  <c r="O386" i="19"/>
  <c r="P386" i="19"/>
  <c r="O387" i="19"/>
  <c r="P387" i="19"/>
  <c r="O388" i="19"/>
  <c r="P388" i="19"/>
  <c r="O389" i="19"/>
  <c r="P389" i="19"/>
  <c r="O390" i="19"/>
  <c r="P390" i="19"/>
  <c r="O391" i="19"/>
  <c r="P391" i="19"/>
  <c r="O392" i="19"/>
  <c r="P392" i="19"/>
  <c r="O393" i="19"/>
  <c r="P393" i="19"/>
  <c r="O394" i="19"/>
  <c r="P394" i="19"/>
  <c r="O395" i="19"/>
  <c r="P395" i="19"/>
  <c r="O396" i="19"/>
  <c r="P396" i="19"/>
  <c r="O397" i="19"/>
  <c r="P397" i="19"/>
  <c r="O398" i="19"/>
  <c r="P398" i="19"/>
  <c r="O399" i="19"/>
  <c r="P399" i="19"/>
  <c r="O400" i="19"/>
  <c r="P400" i="19"/>
  <c r="O401" i="19"/>
  <c r="P401" i="19"/>
  <c r="O402" i="19"/>
  <c r="P402" i="19"/>
  <c r="O403" i="19"/>
  <c r="P403" i="19"/>
  <c r="O404" i="19"/>
  <c r="P404" i="19"/>
  <c r="O405" i="19"/>
  <c r="P405" i="19"/>
  <c r="O406" i="19"/>
  <c r="P406" i="19"/>
  <c r="O407" i="19"/>
  <c r="P407" i="19"/>
  <c r="O408" i="19"/>
  <c r="P408" i="19"/>
  <c r="O409" i="19"/>
  <c r="P409" i="19"/>
  <c r="O410" i="19"/>
  <c r="P410" i="19"/>
  <c r="O411" i="19"/>
  <c r="P411" i="19"/>
  <c r="O412" i="19"/>
  <c r="P412" i="19"/>
  <c r="O413" i="19"/>
  <c r="P413" i="19"/>
  <c r="O414" i="19"/>
  <c r="P414" i="19"/>
  <c r="O415" i="19"/>
  <c r="P415" i="19"/>
  <c r="O416" i="19"/>
  <c r="P416" i="19"/>
  <c r="O417" i="19"/>
  <c r="P417" i="19"/>
  <c r="O418" i="19"/>
  <c r="P418" i="19"/>
  <c r="O419" i="19"/>
  <c r="P419" i="19"/>
  <c r="O420" i="19"/>
  <c r="P420" i="19"/>
  <c r="O421" i="19"/>
  <c r="P421" i="19"/>
  <c r="O422" i="19"/>
  <c r="P422" i="19"/>
  <c r="O423" i="19"/>
  <c r="P423" i="19"/>
  <c r="O424" i="19"/>
  <c r="P424" i="19"/>
  <c r="O425" i="19"/>
  <c r="P425" i="19"/>
  <c r="O426" i="19"/>
  <c r="P426" i="19"/>
  <c r="O427" i="19"/>
  <c r="P427" i="19"/>
  <c r="O428" i="19"/>
  <c r="P428" i="19"/>
  <c r="O429" i="19"/>
  <c r="P429" i="19"/>
  <c r="O430" i="19"/>
  <c r="P430" i="19"/>
  <c r="O431" i="19"/>
  <c r="P431" i="19"/>
  <c r="O432" i="19"/>
  <c r="P432" i="19"/>
  <c r="O433" i="19"/>
  <c r="P433" i="19"/>
  <c r="O434" i="19"/>
  <c r="P434" i="19"/>
  <c r="O435" i="19"/>
  <c r="P435" i="19"/>
  <c r="O436" i="19"/>
  <c r="P436" i="19"/>
  <c r="O437" i="19"/>
  <c r="P437" i="19"/>
  <c r="O438" i="19"/>
  <c r="P438" i="19"/>
  <c r="O439" i="19"/>
  <c r="P439" i="19"/>
  <c r="O440" i="19"/>
  <c r="P440" i="19"/>
  <c r="O441" i="19"/>
  <c r="P441" i="19"/>
  <c r="O442" i="19"/>
  <c r="P442" i="19"/>
  <c r="O443" i="19"/>
  <c r="P443" i="19"/>
  <c r="O444" i="19"/>
  <c r="P444" i="19"/>
  <c r="O445" i="19"/>
  <c r="P445" i="19"/>
  <c r="O446" i="19"/>
  <c r="P446" i="19"/>
  <c r="O447" i="19"/>
  <c r="P447" i="19"/>
  <c r="O448" i="19"/>
  <c r="P448" i="19"/>
  <c r="O449" i="19"/>
  <c r="P449" i="19"/>
  <c r="O450" i="19"/>
  <c r="P450" i="19"/>
  <c r="O451" i="19"/>
  <c r="P451" i="19"/>
  <c r="O452" i="19"/>
  <c r="P452" i="19"/>
  <c r="O453" i="19"/>
  <c r="P453" i="19"/>
  <c r="O454" i="19"/>
  <c r="P454" i="19"/>
  <c r="O455" i="19"/>
  <c r="P455" i="19"/>
  <c r="O456" i="19"/>
  <c r="P456" i="19"/>
  <c r="O457" i="19"/>
  <c r="P457" i="19"/>
  <c r="O458" i="19"/>
  <c r="P458" i="19"/>
  <c r="O459" i="19"/>
  <c r="P459" i="19"/>
  <c r="O460" i="19"/>
  <c r="P460" i="19"/>
  <c r="O461" i="19"/>
  <c r="P461" i="19"/>
  <c r="O462" i="19"/>
  <c r="P462" i="19"/>
  <c r="O463" i="19"/>
  <c r="P463" i="19"/>
  <c r="O464" i="19"/>
  <c r="P464" i="19"/>
  <c r="O465" i="19"/>
  <c r="P465" i="19"/>
  <c r="O466" i="19"/>
  <c r="P466" i="19"/>
  <c r="O467" i="19"/>
  <c r="P467" i="19"/>
  <c r="O468" i="19"/>
  <c r="P468" i="19"/>
  <c r="O469" i="19"/>
  <c r="P469" i="19"/>
  <c r="O470" i="19"/>
  <c r="P470" i="19"/>
  <c r="O471" i="19"/>
  <c r="P471" i="19"/>
  <c r="O472" i="19"/>
  <c r="P472" i="19"/>
  <c r="O473" i="19"/>
  <c r="P473" i="19"/>
  <c r="O474" i="19"/>
  <c r="P474" i="19"/>
  <c r="O475" i="19"/>
  <c r="P475" i="19"/>
  <c r="O476" i="19"/>
  <c r="P476" i="19"/>
  <c r="O477" i="19"/>
  <c r="P477" i="19"/>
  <c r="O478" i="19"/>
  <c r="P478" i="19"/>
  <c r="O479" i="19"/>
  <c r="P479" i="19"/>
  <c r="O480" i="19"/>
  <c r="P480" i="19"/>
  <c r="O481" i="19"/>
  <c r="P481" i="19"/>
  <c r="O482" i="19"/>
  <c r="P482" i="19"/>
  <c r="O483" i="19"/>
  <c r="P483" i="19"/>
  <c r="O484" i="19"/>
  <c r="P484" i="19"/>
  <c r="O485" i="19"/>
  <c r="P485" i="19"/>
  <c r="O486" i="19"/>
  <c r="P486" i="19"/>
  <c r="O487" i="19"/>
  <c r="P487" i="19"/>
  <c r="O488" i="19"/>
  <c r="P488" i="19"/>
  <c r="O489" i="19"/>
  <c r="P489" i="19"/>
  <c r="O490" i="19"/>
  <c r="P490" i="19"/>
  <c r="O491" i="19"/>
  <c r="P491" i="19"/>
  <c r="O492" i="19"/>
  <c r="P492" i="19"/>
  <c r="O493" i="19"/>
  <c r="P493" i="19"/>
  <c r="O494" i="19"/>
  <c r="P494" i="19"/>
  <c r="O495" i="19"/>
  <c r="P495" i="19"/>
  <c r="O496" i="19"/>
  <c r="P496" i="19"/>
  <c r="O497" i="19"/>
  <c r="P497" i="19"/>
  <c r="O498" i="19"/>
  <c r="P498" i="19"/>
  <c r="O499" i="19"/>
  <c r="P499" i="19"/>
  <c r="O500" i="19"/>
  <c r="P500" i="19"/>
  <c r="O501" i="19"/>
  <c r="P501" i="19"/>
  <c r="O502" i="19"/>
  <c r="P502" i="19"/>
  <c r="O503" i="19"/>
  <c r="P503" i="19"/>
  <c r="O504" i="19"/>
  <c r="P504" i="19"/>
  <c r="O505" i="19"/>
  <c r="P505" i="19"/>
  <c r="O506" i="19"/>
  <c r="P506" i="19"/>
  <c r="O507" i="19"/>
  <c r="P507" i="19"/>
  <c r="O508" i="19"/>
  <c r="P508" i="19"/>
  <c r="O509" i="19"/>
  <c r="P509" i="19"/>
  <c r="O510" i="19"/>
  <c r="P510" i="19"/>
  <c r="O511" i="19"/>
  <c r="P511" i="19"/>
  <c r="O512" i="19"/>
  <c r="P512" i="19"/>
  <c r="O513" i="19"/>
  <c r="P513" i="19"/>
  <c r="O514" i="19"/>
  <c r="P514" i="19"/>
  <c r="O515" i="19"/>
  <c r="P515" i="19"/>
  <c r="O516" i="19"/>
  <c r="P516" i="19"/>
  <c r="O517" i="19"/>
  <c r="P517" i="19"/>
  <c r="O518" i="19"/>
  <c r="P518" i="19"/>
  <c r="O519" i="19"/>
  <c r="P519" i="19"/>
  <c r="O520" i="19"/>
  <c r="P520" i="19"/>
  <c r="O521" i="19"/>
  <c r="P521" i="19"/>
  <c r="O522" i="19"/>
  <c r="P522" i="19"/>
  <c r="O523" i="19"/>
  <c r="P523" i="19"/>
  <c r="O524" i="19"/>
  <c r="P524" i="19"/>
  <c r="O525" i="19"/>
  <c r="P525" i="19"/>
  <c r="O526" i="19"/>
  <c r="P526" i="19"/>
  <c r="O527" i="19"/>
  <c r="P527" i="19"/>
  <c r="O528" i="19"/>
  <c r="P528" i="19"/>
  <c r="O529" i="19"/>
  <c r="P529" i="19"/>
  <c r="O530" i="19"/>
  <c r="P530" i="19"/>
  <c r="O531" i="19"/>
  <c r="P531" i="19"/>
  <c r="O532" i="19"/>
  <c r="P532" i="19"/>
  <c r="O533" i="19"/>
  <c r="P533" i="19"/>
  <c r="O534" i="19"/>
  <c r="P534" i="19"/>
  <c r="O535" i="19"/>
  <c r="P535" i="19"/>
  <c r="O536" i="19"/>
  <c r="P536" i="19"/>
  <c r="O537" i="19"/>
  <c r="P537" i="19"/>
  <c r="O538" i="19"/>
  <c r="P538" i="19"/>
  <c r="O539" i="19"/>
  <c r="P539" i="19"/>
  <c r="O540" i="19"/>
  <c r="P540" i="19"/>
  <c r="O541" i="19"/>
  <c r="P541" i="19"/>
  <c r="O542" i="19"/>
  <c r="P542" i="19"/>
  <c r="O543" i="19"/>
  <c r="P543" i="19"/>
  <c r="O544" i="19"/>
  <c r="P544" i="19"/>
  <c r="O545" i="19"/>
  <c r="P545" i="19"/>
  <c r="O546" i="19"/>
  <c r="P546" i="19"/>
  <c r="O547" i="19"/>
  <c r="P547" i="19"/>
  <c r="O548" i="19"/>
  <c r="P548" i="19"/>
  <c r="O549" i="19"/>
  <c r="P549" i="19"/>
  <c r="O550" i="19"/>
  <c r="P550" i="19"/>
  <c r="O551" i="19"/>
  <c r="P551" i="19"/>
  <c r="O552" i="19"/>
  <c r="P552" i="19"/>
  <c r="O553" i="19"/>
  <c r="P553" i="19"/>
  <c r="O554" i="19"/>
  <c r="P554" i="19"/>
  <c r="O555" i="19"/>
  <c r="P555" i="19"/>
  <c r="O556" i="19"/>
  <c r="P556" i="19"/>
  <c r="O557" i="19"/>
  <c r="P557" i="19"/>
  <c r="O558" i="19"/>
  <c r="P558" i="19"/>
  <c r="O559" i="19"/>
  <c r="P559" i="19"/>
  <c r="O560" i="19"/>
  <c r="P560" i="19"/>
  <c r="O561" i="19"/>
  <c r="P561" i="19"/>
  <c r="O562" i="19"/>
  <c r="P562" i="19"/>
  <c r="O563" i="19"/>
  <c r="P563" i="19"/>
  <c r="O564" i="19"/>
  <c r="P564" i="19"/>
  <c r="O565" i="19"/>
  <c r="P565" i="19"/>
  <c r="O566" i="19"/>
  <c r="P566" i="19"/>
  <c r="O567" i="19"/>
  <c r="P567" i="19"/>
  <c r="O568" i="19"/>
  <c r="P568" i="19"/>
  <c r="O569" i="19"/>
  <c r="P569" i="19"/>
  <c r="O570" i="19"/>
  <c r="P570" i="19"/>
  <c r="O571" i="19"/>
  <c r="P571" i="19"/>
  <c r="O572" i="19"/>
  <c r="P572" i="19"/>
  <c r="O573" i="19"/>
  <c r="P573" i="19"/>
  <c r="O574" i="19"/>
  <c r="P574" i="19"/>
  <c r="O575" i="19"/>
  <c r="P575" i="19"/>
  <c r="O576" i="19"/>
  <c r="P576" i="19"/>
  <c r="O577" i="19"/>
  <c r="P577" i="19"/>
  <c r="O578" i="19"/>
  <c r="P578" i="19"/>
  <c r="O579" i="19"/>
  <c r="P579" i="19"/>
  <c r="O580" i="19"/>
  <c r="P580" i="19"/>
  <c r="O581" i="19"/>
  <c r="P581" i="19"/>
  <c r="O582" i="19"/>
  <c r="P582" i="19"/>
  <c r="O583" i="19"/>
  <c r="P583" i="19"/>
  <c r="O584" i="19"/>
  <c r="P584" i="19"/>
  <c r="O585" i="19"/>
  <c r="P585" i="19"/>
  <c r="O586" i="19"/>
  <c r="P586" i="19"/>
  <c r="O587" i="19"/>
  <c r="P587" i="19"/>
  <c r="O588" i="19"/>
  <c r="P588" i="19"/>
  <c r="O589" i="19"/>
  <c r="P589" i="19"/>
  <c r="O590" i="19"/>
  <c r="P590" i="19"/>
  <c r="O591" i="19"/>
  <c r="P591" i="19"/>
  <c r="O592" i="19"/>
  <c r="P592" i="19"/>
  <c r="O593" i="19"/>
  <c r="P593" i="19"/>
  <c r="O594" i="19"/>
  <c r="P594" i="19"/>
  <c r="O595" i="19"/>
  <c r="P595" i="19"/>
  <c r="O596" i="19"/>
  <c r="P596" i="19"/>
  <c r="O597" i="19"/>
  <c r="P597" i="19"/>
  <c r="O598" i="19"/>
  <c r="P598" i="19"/>
  <c r="O599" i="19"/>
  <c r="P599" i="19"/>
  <c r="O600" i="19"/>
  <c r="P600" i="19"/>
  <c r="O601" i="19"/>
  <c r="P601" i="19"/>
  <c r="O602" i="19"/>
  <c r="P602" i="19"/>
  <c r="O603" i="19"/>
  <c r="P603" i="19"/>
  <c r="O604" i="19"/>
  <c r="P604" i="19"/>
  <c r="O605" i="19"/>
  <c r="P605" i="19"/>
  <c r="O606" i="19"/>
  <c r="P606" i="19"/>
  <c r="O607" i="19"/>
  <c r="P607" i="19"/>
  <c r="O608" i="19"/>
  <c r="P608" i="19"/>
  <c r="O609" i="19"/>
  <c r="P609" i="19"/>
  <c r="O610" i="19"/>
  <c r="P610" i="19"/>
  <c r="O611" i="19"/>
  <c r="P611" i="19"/>
  <c r="O612" i="19"/>
  <c r="P612" i="19"/>
  <c r="O613" i="19"/>
  <c r="P613" i="19"/>
  <c r="O614" i="19"/>
  <c r="P614" i="19"/>
  <c r="O615" i="19"/>
  <c r="P615" i="19"/>
  <c r="O616" i="19"/>
  <c r="P616" i="19"/>
  <c r="O617" i="19"/>
  <c r="P617" i="19"/>
  <c r="O618" i="19"/>
  <c r="P618" i="19"/>
  <c r="O619" i="19"/>
  <c r="P619" i="19"/>
  <c r="O620" i="19"/>
  <c r="P620" i="19"/>
  <c r="O621" i="19"/>
  <c r="P621" i="19"/>
  <c r="O622" i="19"/>
  <c r="P622" i="19"/>
  <c r="O623" i="19"/>
  <c r="P623" i="19"/>
  <c r="O624" i="19"/>
  <c r="P624" i="19"/>
  <c r="O625" i="19"/>
  <c r="P625" i="19"/>
  <c r="O626" i="19"/>
  <c r="P626" i="19"/>
  <c r="O627" i="19"/>
  <c r="P627" i="19"/>
  <c r="O628" i="19"/>
  <c r="P628" i="19"/>
  <c r="O629" i="19"/>
  <c r="P629" i="19"/>
  <c r="O630" i="19"/>
  <c r="P630" i="19"/>
  <c r="O631" i="19"/>
  <c r="P631" i="19"/>
  <c r="O632" i="19"/>
  <c r="P632" i="19"/>
  <c r="O633" i="19"/>
  <c r="P633" i="19"/>
  <c r="O634" i="19"/>
  <c r="P634" i="19"/>
  <c r="O635" i="19"/>
  <c r="P635" i="19"/>
  <c r="O636" i="19"/>
  <c r="P636" i="19"/>
  <c r="O637" i="19"/>
  <c r="P637" i="19"/>
  <c r="O638" i="19"/>
  <c r="P638" i="19"/>
  <c r="O639" i="19"/>
  <c r="P639" i="19"/>
  <c r="O640" i="19"/>
  <c r="P640" i="19"/>
  <c r="O641" i="19"/>
  <c r="P641" i="19"/>
  <c r="O642" i="19"/>
  <c r="P642" i="19"/>
  <c r="O643" i="19"/>
  <c r="P643" i="19"/>
  <c r="O644" i="19"/>
  <c r="P644" i="19"/>
  <c r="O645" i="19"/>
  <c r="P645" i="19"/>
  <c r="O646" i="19"/>
  <c r="P646" i="19"/>
  <c r="O647" i="19"/>
  <c r="P647" i="19"/>
  <c r="O648" i="19"/>
  <c r="P648" i="19"/>
  <c r="O649" i="19"/>
  <c r="P649" i="19"/>
  <c r="O650" i="19"/>
  <c r="P650" i="19"/>
  <c r="O651" i="19"/>
  <c r="P651" i="19"/>
  <c r="O652" i="19"/>
  <c r="P652" i="19"/>
  <c r="O653" i="19"/>
  <c r="P653" i="19"/>
  <c r="O654" i="19"/>
  <c r="P654" i="19"/>
  <c r="O655" i="19"/>
  <c r="P655" i="19"/>
  <c r="O656" i="19"/>
  <c r="P656" i="19"/>
  <c r="O657" i="19"/>
  <c r="P657" i="19"/>
  <c r="O658" i="19"/>
  <c r="P658" i="19"/>
  <c r="O659" i="19"/>
  <c r="P659" i="19"/>
  <c r="O660" i="19"/>
  <c r="P660" i="19"/>
  <c r="O661" i="19"/>
  <c r="P661" i="19"/>
  <c r="O662" i="19"/>
  <c r="P662" i="19"/>
  <c r="O663" i="19"/>
  <c r="P663" i="19"/>
  <c r="O664" i="19"/>
  <c r="P664" i="19"/>
  <c r="O665" i="19"/>
  <c r="P665" i="19"/>
  <c r="O666" i="19"/>
  <c r="P666" i="19"/>
  <c r="O667" i="19"/>
  <c r="P667" i="19"/>
  <c r="O668" i="19"/>
  <c r="P668" i="19"/>
  <c r="O669" i="19"/>
  <c r="P669" i="19"/>
  <c r="O670" i="19"/>
  <c r="P670" i="19"/>
  <c r="O671" i="19"/>
  <c r="P671" i="19"/>
  <c r="O672" i="19"/>
  <c r="P672" i="19"/>
  <c r="O673" i="19"/>
  <c r="P673" i="19"/>
  <c r="O674" i="19"/>
  <c r="P674" i="19"/>
  <c r="O675" i="19"/>
  <c r="P675" i="19"/>
  <c r="O676" i="19"/>
  <c r="P676" i="19"/>
  <c r="O677" i="19"/>
  <c r="P677" i="19"/>
  <c r="O678" i="19"/>
  <c r="P678" i="19"/>
  <c r="O679" i="19"/>
  <c r="P679" i="19"/>
  <c r="O680" i="19"/>
  <c r="P680" i="19"/>
  <c r="O681" i="19"/>
  <c r="P681" i="19"/>
  <c r="O682" i="19"/>
  <c r="P682" i="19"/>
  <c r="O683" i="19"/>
  <c r="P683" i="19"/>
  <c r="O684" i="19"/>
  <c r="P684" i="19"/>
  <c r="O685" i="19"/>
  <c r="P685" i="19"/>
  <c r="O686" i="19"/>
  <c r="P686" i="19"/>
  <c r="O687" i="19"/>
  <c r="P687" i="19"/>
  <c r="O688" i="19"/>
  <c r="P688" i="19"/>
  <c r="O689" i="19"/>
  <c r="P689" i="19"/>
  <c r="O690" i="19"/>
  <c r="P690" i="19"/>
  <c r="O691" i="19"/>
  <c r="P691" i="19"/>
  <c r="O692" i="19"/>
  <c r="P692" i="19"/>
  <c r="O693" i="19"/>
  <c r="P693" i="19"/>
  <c r="O694" i="19"/>
  <c r="P694" i="19"/>
  <c r="O695" i="19"/>
  <c r="P695" i="19"/>
  <c r="O696" i="19"/>
  <c r="P696" i="19"/>
  <c r="O697" i="19"/>
  <c r="P697" i="19"/>
  <c r="O698" i="19"/>
  <c r="P698" i="19"/>
  <c r="O699" i="19"/>
  <c r="P699" i="19"/>
  <c r="O700" i="19"/>
  <c r="P700" i="19"/>
  <c r="O701" i="19"/>
  <c r="P701" i="19"/>
  <c r="O702" i="19"/>
  <c r="P702" i="19"/>
  <c r="O703" i="19"/>
  <c r="P703" i="19"/>
  <c r="O704" i="19"/>
  <c r="P704" i="19"/>
  <c r="O705" i="19"/>
  <c r="P705" i="19"/>
  <c r="O706" i="19"/>
  <c r="P706" i="19"/>
  <c r="O707" i="19"/>
  <c r="P707" i="19"/>
  <c r="O708" i="19"/>
  <c r="P708" i="19"/>
  <c r="O709" i="19"/>
  <c r="P709" i="19"/>
  <c r="O710" i="19"/>
  <c r="P710" i="19"/>
  <c r="O711" i="19"/>
  <c r="P711" i="19"/>
  <c r="O712" i="19"/>
  <c r="P712" i="19"/>
  <c r="O713" i="19"/>
  <c r="P713" i="19"/>
  <c r="O714" i="19"/>
  <c r="P714" i="19"/>
  <c r="O715" i="19"/>
  <c r="P715" i="19"/>
  <c r="O716" i="19"/>
  <c r="P716" i="19"/>
  <c r="O717" i="19"/>
  <c r="P717" i="19"/>
  <c r="O718" i="19"/>
  <c r="P718" i="19"/>
  <c r="O719" i="19"/>
  <c r="P719" i="19"/>
  <c r="O720" i="19"/>
  <c r="P720" i="19"/>
  <c r="O721" i="19"/>
  <c r="P721" i="19"/>
  <c r="O722" i="19"/>
  <c r="P722" i="19"/>
  <c r="O723" i="19"/>
  <c r="P723" i="19"/>
  <c r="O724" i="19"/>
  <c r="P724" i="19"/>
  <c r="O725" i="19"/>
  <c r="P725" i="19"/>
  <c r="O726" i="19"/>
  <c r="P726" i="19"/>
  <c r="O727" i="19"/>
  <c r="P727" i="19"/>
  <c r="O728" i="19"/>
  <c r="P728" i="19"/>
  <c r="O729" i="19"/>
  <c r="P729" i="19"/>
  <c r="O730" i="19"/>
  <c r="P730" i="19"/>
  <c r="O731" i="19"/>
  <c r="P731" i="19"/>
  <c r="O732" i="19"/>
  <c r="P732" i="19"/>
  <c r="O733" i="19"/>
  <c r="P733" i="19"/>
  <c r="O734" i="19"/>
  <c r="P734" i="19"/>
  <c r="O735" i="19"/>
  <c r="P735" i="19"/>
  <c r="O736" i="19"/>
  <c r="P736" i="19"/>
  <c r="O737" i="19"/>
  <c r="P737" i="19"/>
  <c r="O738" i="19"/>
  <c r="P738" i="19"/>
  <c r="O739" i="19"/>
  <c r="P739" i="19"/>
  <c r="O740" i="19"/>
  <c r="P740" i="19"/>
  <c r="O741" i="19"/>
  <c r="P741" i="19"/>
  <c r="O742" i="19"/>
  <c r="P742" i="19"/>
  <c r="O743" i="19"/>
  <c r="P743" i="19"/>
  <c r="O744" i="19"/>
  <c r="P744" i="19"/>
  <c r="O745" i="19"/>
  <c r="P745" i="19"/>
  <c r="O746" i="19"/>
  <c r="P746" i="19"/>
  <c r="O747" i="19"/>
  <c r="P747" i="19"/>
  <c r="O748" i="19"/>
  <c r="P748" i="19"/>
  <c r="O749" i="19"/>
  <c r="P749" i="19"/>
  <c r="O750" i="19"/>
  <c r="P750" i="19"/>
  <c r="O751" i="19"/>
  <c r="P751" i="19"/>
  <c r="O752" i="19"/>
  <c r="P752" i="19"/>
  <c r="O753" i="19"/>
  <c r="P753" i="19"/>
  <c r="O754" i="19"/>
  <c r="P754" i="19"/>
  <c r="O755" i="19"/>
  <c r="P755" i="19"/>
  <c r="O756" i="19"/>
  <c r="P756" i="19"/>
  <c r="O757" i="19"/>
  <c r="P757" i="19"/>
  <c r="O758" i="19"/>
  <c r="P758" i="19"/>
  <c r="O759" i="19"/>
  <c r="P759" i="19"/>
  <c r="O760" i="19"/>
  <c r="P760" i="19"/>
  <c r="O761" i="19"/>
  <c r="P761" i="19"/>
  <c r="O762" i="19"/>
  <c r="P762" i="19"/>
  <c r="O763" i="19"/>
  <c r="P763" i="19"/>
  <c r="O764" i="19"/>
  <c r="P764" i="19"/>
  <c r="O765" i="19"/>
  <c r="P765" i="19"/>
  <c r="O766" i="19"/>
  <c r="P766" i="19"/>
  <c r="O767" i="19"/>
  <c r="P767" i="19"/>
  <c r="O768" i="19"/>
  <c r="P768" i="19"/>
  <c r="O769" i="19"/>
  <c r="P769" i="19"/>
  <c r="O770" i="19"/>
  <c r="P770" i="19"/>
  <c r="O771" i="19"/>
  <c r="P771" i="19"/>
  <c r="O772" i="19"/>
  <c r="P772" i="19"/>
  <c r="O773" i="19"/>
  <c r="P773" i="19"/>
  <c r="O774" i="19"/>
  <c r="P774" i="19"/>
  <c r="O775" i="19"/>
  <c r="P775" i="19"/>
  <c r="O776" i="19"/>
  <c r="P776" i="19"/>
  <c r="O777" i="19"/>
  <c r="P777" i="19"/>
  <c r="O778" i="19"/>
  <c r="P778" i="19"/>
  <c r="O779" i="19"/>
  <c r="P779" i="19"/>
  <c r="O780" i="19"/>
  <c r="P780" i="19"/>
  <c r="O781" i="19"/>
  <c r="P781" i="19"/>
  <c r="O782" i="19"/>
  <c r="P782" i="19"/>
  <c r="O783" i="19"/>
  <c r="P783" i="19"/>
  <c r="O784" i="19"/>
  <c r="P784" i="19"/>
  <c r="O785" i="19"/>
  <c r="P785" i="19"/>
  <c r="O786" i="19"/>
  <c r="P786" i="19"/>
  <c r="O787" i="19"/>
  <c r="P787" i="19"/>
  <c r="O788" i="19"/>
  <c r="P788" i="19"/>
  <c r="O789" i="19"/>
  <c r="P789" i="19"/>
  <c r="O790" i="19"/>
  <c r="P790" i="19"/>
  <c r="O791" i="19"/>
  <c r="P791" i="19"/>
  <c r="O792" i="19"/>
  <c r="P792" i="19"/>
  <c r="O793" i="19"/>
  <c r="P793" i="19"/>
  <c r="O794" i="19"/>
  <c r="P794" i="19"/>
  <c r="O795" i="19"/>
  <c r="P795" i="19"/>
  <c r="O796" i="19"/>
  <c r="P796" i="19"/>
  <c r="O797" i="19"/>
  <c r="P797" i="19"/>
  <c r="O798" i="19"/>
  <c r="P798" i="19"/>
  <c r="O799" i="19"/>
  <c r="P799" i="19"/>
  <c r="O800" i="19"/>
  <c r="P800" i="19"/>
  <c r="O801" i="19"/>
  <c r="P801" i="19"/>
  <c r="O802" i="19"/>
  <c r="P802" i="19"/>
  <c r="O803" i="19"/>
  <c r="P803" i="19"/>
  <c r="O804" i="19"/>
  <c r="P804" i="19"/>
  <c r="O805" i="19"/>
  <c r="P805" i="19"/>
  <c r="O806" i="19"/>
  <c r="P806" i="19"/>
  <c r="O807" i="19"/>
  <c r="P807" i="19"/>
  <c r="O808" i="19"/>
  <c r="P808" i="19"/>
  <c r="O809" i="19"/>
  <c r="P809" i="19"/>
  <c r="O810" i="19"/>
  <c r="P810" i="19"/>
  <c r="O811" i="19"/>
  <c r="P811" i="19"/>
  <c r="O812" i="19"/>
  <c r="P812" i="19"/>
  <c r="O813" i="19"/>
  <c r="P813" i="19"/>
  <c r="O814" i="19"/>
  <c r="P814" i="19"/>
  <c r="O815" i="19"/>
  <c r="P815" i="19"/>
  <c r="O816" i="19"/>
  <c r="P816" i="19"/>
  <c r="O817" i="19"/>
  <c r="P817" i="19"/>
  <c r="O818" i="19"/>
  <c r="P818" i="19"/>
  <c r="O819" i="19"/>
  <c r="P819" i="19"/>
  <c r="O820" i="19"/>
  <c r="P820" i="19"/>
  <c r="O821" i="19"/>
  <c r="P821" i="19"/>
  <c r="O822" i="19"/>
  <c r="P822" i="19"/>
  <c r="O823" i="19"/>
  <c r="P823" i="19"/>
  <c r="O824" i="19"/>
  <c r="P824" i="19"/>
  <c r="O825" i="19"/>
  <c r="P825" i="19"/>
  <c r="O826" i="19"/>
  <c r="P826" i="19"/>
  <c r="O827" i="19"/>
  <c r="P827" i="19"/>
  <c r="O828" i="19"/>
  <c r="P828" i="19"/>
  <c r="O829" i="19"/>
  <c r="P829" i="19"/>
  <c r="O830" i="19"/>
  <c r="P830" i="19"/>
  <c r="O831" i="19"/>
  <c r="P831" i="19"/>
  <c r="O832" i="19"/>
  <c r="P832" i="19"/>
  <c r="O833" i="19"/>
  <c r="P833" i="19"/>
  <c r="O834" i="19"/>
  <c r="P834" i="19"/>
  <c r="O835" i="19"/>
  <c r="P835" i="19"/>
  <c r="O836" i="19"/>
  <c r="P836" i="19"/>
  <c r="O837" i="19"/>
  <c r="P837" i="19"/>
  <c r="O838" i="19"/>
  <c r="P838" i="19"/>
  <c r="O839" i="19"/>
  <c r="P839" i="19"/>
  <c r="O840" i="19"/>
  <c r="P840" i="19"/>
  <c r="O841" i="19"/>
  <c r="P841" i="19"/>
  <c r="O842" i="19"/>
  <c r="P842" i="19"/>
  <c r="O843" i="19"/>
  <c r="P843" i="19"/>
  <c r="O844" i="19"/>
  <c r="P844" i="19"/>
  <c r="O845" i="19"/>
  <c r="P845" i="19"/>
  <c r="O846" i="19"/>
  <c r="P846" i="19"/>
  <c r="O847" i="19"/>
  <c r="P847" i="19"/>
  <c r="O848" i="19"/>
  <c r="P848" i="19"/>
  <c r="O849" i="19"/>
  <c r="P849" i="19"/>
  <c r="O850" i="19"/>
  <c r="P850" i="19"/>
  <c r="O851" i="19"/>
  <c r="P851" i="19"/>
  <c r="O852" i="19"/>
  <c r="P852" i="19"/>
  <c r="O853" i="19"/>
  <c r="P853" i="19"/>
  <c r="O854" i="19"/>
  <c r="P854" i="19"/>
  <c r="O855" i="19"/>
  <c r="P855" i="19"/>
  <c r="O856" i="19"/>
  <c r="P856" i="19"/>
  <c r="O857" i="19"/>
  <c r="P857" i="19"/>
  <c r="O858" i="19"/>
  <c r="P858" i="19"/>
  <c r="O859" i="19"/>
  <c r="P859" i="19"/>
  <c r="O860" i="19"/>
  <c r="P860" i="19"/>
  <c r="O861" i="19"/>
  <c r="P861" i="19"/>
  <c r="O862" i="19"/>
  <c r="P862" i="19"/>
  <c r="O863" i="19"/>
  <c r="P863" i="19"/>
  <c r="O864" i="19"/>
  <c r="P864" i="19"/>
  <c r="O865" i="19"/>
  <c r="P865" i="19"/>
  <c r="O866" i="19"/>
  <c r="P866" i="19"/>
  <c r="O867" i="19"/>
  <c r="P867" i="19"/>
  <c r="O868" i="19"/>
  <c r="P868" i="19"/>
  <c r="O869" i="19"/>
  <c r="P869" i="19"/>
  <c r="O870" i="19"/>
  <c r="P870" i="19"/>
  <c r="O871" i="19"/>
  <c r="P871" i="19"/>
  <c r="O872" i="19"/>
  <c r="P872" i="19"/>
  <c r="O873" i="19"/>
  <c r="P873" i="19"/>
  <c r="O874" i="19"/>
  <c r="P874" i="19"/>
  <c r="O875" i="19"/>
  <c r="P875" i="19"/>
  <c r="O876" i="19"/>
  <c r="P876" i="19"/>
  <c r="O877" i="19"/>
  <c r="P877" i="19"/>
  <c r="O878" i="19"/>
  <c r="P878" i="19"/>
  <c r="O879" i="19"/>
  <c r="P879" i="19"/>
  <c r="O880" i="19"/>
  <c r="P880" i="19"/>
  <c r="O881" i="19"/>
  <c r="P881" i="19"/>
  <c r="O882" i="19"/>
  <c r="P882" i="19"/>
  <c r="O883" i="19"/>
  <c r="P883" i="19"/>
  <c r="O884" i="19"/>
  <c r="P884" i="19"/>
  <c r="O885" i="19"/>
  <c r="P885" i="19"/>
  <c r="O886" i="19"/>
  <c r="P886" i="19"/>
  <c r="O887" i="19"/>
  <c r="P887" i="19"/>
  <c r="O888" i="19"/>
  <c r="P888" i="19"/>
  <c r="O889" i="19"/>
  <c r="P889" i="19"/>
  <c r="O890" i="19"/>
  <c r="P890" i="19"/>
  <c r="O891" i="19"/>
  <c r="P891" i="19"/>
  <c r="O892" i="19"/>
  <c r="P892" i="19"/>
  <c r="O893" i="19"/>
  <c r="P893" i="19"/>
  <c r="O894" i="19"/>
  <c r="P894" i="19"/>
  <c r="O895" i="19"/>
  <c r="P895" i="19"/>
  <c r="O896" i="19"/>
  <c r="P896" i="19"/>
  <c r="O897" i="19"/>
  <c r="P897" i="19"/>
  <c r="O898" i="19"/>
  <c r="P898" i="19"/>
  <c r="O899" i="19"/>
  <c r="P899" i="19"/>
  <c r="O900" i="19"/>
  <c r="P900" i="19"/>
  <c r="O901" i="19"/>
  <c r="P901" i="19"/>
  <c r="O902" i="19"/>
  <c r="P902" i="19"/>
  <c r="O903" i="19"/>
  <c r="P903" i="19"/>
  <c r="O904" i="19"/>
  <c r="P904" i="19"/>
  <c r="O905" i="19"/>
  <c r="P905" i="19"/>
  <c r="O906" i="19"/>
  <c r="P906" i="19"/>
  <c r="O907" i="19"/>
  <c r="P907" i="19"/>
  <c r="O908" i="19"/>
  <c r="P908" i="19"/>
  <c r="O909" i="19"/>
  <c r="P909" i="19"/>
  <c r="O910" i="19"/>
  <c r="P910" i="19"/>
  <c r="O911" i="19"/>
  <c r="P911" i="19"/>
  <c r="O912" i="19"/>
  <c r="P912" i="19"/>
  <c r="O913" i="19"/>
  <c r="P913" i="19"/>
  <c r="O914" i="19"/>
  <c r="P914" i="19"/>
  <c r="O915" i="19"/>
  <c r="P915" i="19"/>
  <c r="O916" i="19"/>
  <c r="P916" i="19"/>
  <c r="O917" i="19"/>
  <c r="P917" i="19"/>
  <c r="O918" i="19"/>
  <c r="P918" i="19"/>
  <c r="O919" i="19"/>
  <c r="P919" i="19"/>
  <c r="O920" i="19"/>
  <c r="P920" i="19"/>
  <c r="O921" i="19"/>
  <c r="P921" i="19"/>
  <c r="O922" i="19"/>
  <c r="P922" i="19"/>
  <c r="O923" i="19"/>
  <c r="P923" i="19"/>
  <c r="O924" i="19"/>
  <c r="P924" i="19"/>
  <c r="O925" i="19"/>
  <c r="P925" i="19"/>
  <c r="O926" i="19"/>
  <c r="P926" i="19"/>
  <c r="P2" i="19"/>
  <c r="O2" i="19"/>
  <c r="C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51" i="19"/>
  <c r="C452" i="19"/>
  <c r="C453" i="19"/>
  <c r="C454" i="19"/>
  <c r="C455" i="19"/>
  <c r="C456" i="19"/>
  <c r="C457" i="19"/>
  <c r="C458" i="19"/>
  <c r="C459" i="19"/>
  <c r="C460" i="19"/>
  <c r="C461" i="19"/>
  <c r="C462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475" i="19"/>
  <c r="C476" i="19"/>
  <c r="C477" i="19"/>
  <c r="C478" i="19"/>
  <c r="C479" i="19"/>
  <c r="C480" i="19"/>
  <c r="C481" i="19"/>
  <c r="C482" i="19"/>
  <c r="C483" i="19"/>
  <c r="C484" i="19"/>
  <c r="C485" i="19"/>
  <c r="C486" i="19"/>
  <c r="C487" i="19"/>
  <c r="C488" i="19"/>
  <c r="C489" i="19"/>
  <c r="C490" i="19"/>
  <c r="C491" i="19"/>
  <c r="C492" i="19"/>
  <c r="C493" i="19"/>
  <c r="C494" i="19"/>
  <c r="C495" i="19"/>
  <c r="C496" i="19"/>
  <c r="C497" i="19"/>
  <c r="C498" i="19"/>
  <c r="C499" i="19"/>
  <c r="C500" i="19"/>
  <c r="C501" i="19"/>
  <c r="C502" i="19"/>
  <c r="C503" i="19"/>
  <c r="C504" i="19"/>
  <c r="C505" i="19"/>
  <c r="C506" i="19"/>
  <c r="C507" i="19"/>
  <c r="C508" i="19"/>
  <c r="C509" i="19"/>
  <c r="C510" i="19"/>
  <c r="C511" i="19"/>
  <c r="C512" i="19"/>
  <c r="C513" i="19"/>
  <c r="C514" i="19"/>
  <c r="C515" i="19"/>
  <c r="C516" i="19"/>
  <c r="C517" i="19"/>
  <c r="C518" i="19"/>
  <c r="C519" i="19"/>
  <c r="C520" i="19"/>
  <c r="C521" i="19"/>
  <c r="C522" i="19"/>
  <c r="C523" i="19"/>
  <c r="C524" i="19"/>
  <c r="C525" i="19"/>
  <c r="C526" i="19"/>
  <c r="C527" i="19"/>
  <c r="C528" i="19"/>
  <c r="C529" i="19"/>
  <c r="C530" i="19"/>
  <c r="C531" i="19"/>
  <c r="C532" i="19"/>
  <c r="C533" i="19"/>
  <c r="C534" i="19"/>
  <c r="C535" i="19"/>
  <c r="C536" i="19"/>
  <c r="C537" i="19"/>
  <c r="C538" i="19"/>
  <c r="C539" i="19"/>
  <c r="C540" i="19"/>
  <c r="C541" i="19"/>
  <c r="C542" i="19"/>
  <c r="C543" i="19"/>
  <c r="C544" i="19"/>
  <c r="C545" i="19"/>
  <c r="C546" i="19"/>
  <c r="C547" i="19"/>
  <c r="C548" i="19"/>
  <c r="C549" i="19"/>
  <c r="C550" i="19"/>
  <c r="C551" i="19"/>
  <c r="C552" i="19"/>
  <c r="C553" i="19"/>
  <c r="C554" i="19"/>
  <c r="C555" i="19"/>
  <c r="C556" i="19"/>
  <c r="C557" i="19"/>
  <c r="C558" i="19"/>
  <c r="C559" i="19"/>
  <c r="C560" i="19"/>
  <c r="C561" i="19"/>
  <c r="C562" i="19"/>
  <c r="C563" i="19"/>
  <c r="C564" i="19"/>
  <c r="C565" i="19"/>
  <c r="C566" i="19"/>
  <c r="C567" i="19"/>
  <c r="C568" i="19"/>
  <c r="C569" i="19"/>
  <c r="C570" i="19"/>
  <c r="C571" i="19"/>
  <c r="C572" i="19"/>
  <c r="C573" i="19"/>
  <c r="C574" i="19"/>
  <c r="C575" i="19"/>
  <c r="C576" i="19"/>
  <c r="C577" i="19"/>
  <c r="C578" i="19"/>
  <c r="C579" i="19"/>
  <c r="C580" i="19"/>
  <c r="C581" i="19"/>
  <c r="C582" i="19"/>
  <c r="C583" i="19"/>
  <c r="C584" i="19"/>
  <c r="C585" i="19"/>
  <c r="C586" i="19"/>
  <c r="C587" i="19"/>
  <c r="C588" i="19"/>
  <c r="C589" i="19"/>
  <c r="C590" i="19"/>
  <c r="C591" i="19"/>
  <c r="C592" i="19"/>
  <c r="C593" i="19"/>
  <c r="C594" i="19"/>
  <c r="C595" i="19"/>
  <c r="C596" i="19"/>
  <c r="C597" i="19"/>
  <c r="C598" i="19"/>
  <c r="C599" i="19"/>
  <c r="C600" i="19"/>
  <c r="C601" i="19"/>
  <c r="C602" i="19"/>
  <c r="C603" i="19"/>
  <c r="C604" i="19"/>
  <c r="C605" i="19"/>
  <c r="C606" i="19"/>
  <c r="C607" i="19"/>
  <c r="C608" i="19"/>
  <c r="C609" i="19"/>
  <c r="C610" i="19"/>
  <c r="C611" i="19"/>
  <c r="C612" i="19"/>
  <c r="C613" i="19"/>
  <c r="C614" i="19"/>
  <c r="C615" i="19"/>
  <c r="C616" i="19"/>
  <c r="C617" i="19"/>
  <c r="C618" i="19"/>
  <c r="C619" i="19"/>
  <c r="C620" i="19"/>
  <c r="C621" i="19"/>
  <c r="C622" i="19"/>
  <c r="C623" i="19"/>
  <c r="C624" i="19"/>
  <c r="C625" i="19"/>
  <c r="C626" i="19"/>
  <c r="C627" i="19"/>
  <c r="C628" i="19"/>
  <c r="C629" i="19"/>
  <c r="C630" i="19"/>
  <c r="C631" i="19"/>
  <c r="C632" i="19"/>
  <c r="C633" i="19"/>
  <c r="C634" i="19"/>
  <c r="C635" i="19"/>
  <c r="C636" i="19"/>
  <c r="C637" i="19"/>
  <c r="C638" i="19"/>
  <c r="C639" i="19"/>
  <c r="C640" i="19"/>
  <c r="C641" i="19"/>
  <c r="C642" i="19"/>
  <c r="C643" i="19"/>
  <c r="C644" i="19"/>
  <c r="C645" i="19"/>
  <c r="C646" i="19"/>
  <c r="C647" i="19"/>
  <c r="C648" i="19"/>
  <c r="C649" i="19"/>
  <c r="C650" i="19"/>
  <c r="C651" i="19"/>
  <c r="C652" i="19"/>
  <c r="C653" i="19"/>
  <c r="C654" i="19"/>
  <c r="C655" i="19"/>
  <c r="C656" i="19"/>
  <c r="C657" i="19"/>
  <c r="C658" i="19"/>
  <c r="C659" i="19"/>
  <c r="C660" i="19"/>
  <c r="C661" i="19"/>
  <c r="C662" i="19"/>
  <c r="C663" i="19"/>
  <c r="C664" i="19"/>
  <c r="C665" i="19"/>
  <c r="C666" i="19"/>
  <c r="C667" i="19"/>
  <c r="C668" i="19"/>
  <c r="C669" i="19"/>
  <c r="C670" i="19"/>
  <c r="C671" i="19"/>
  <c r="C672" i="19"/>
  <c r="C673" i="19"/>
  <c r="C674" i="19"/>
  <c r="C675" i="19"/>
  <c r="C676" i="19"/>
  <c r="C677" i="19"/>
  <c r="C678" i="19"/>
  <c r="C679" i="19"/>
  <c r="C680" i="19"/>
  <c r="C681" i="19"/>
  <c r="C682" i="19"/>
  <c r="C683" i="19"/>
  <c r="C684" i="19"/>
  <c r="C685" i="19"/>
  <c r="C686" i="19"/>
  <c r="C687" i="19"/>
  <c r="C688" i="19"/>
  <c r="C689" i="19"/>
  <c r="C690" i="19"/>
  <c r="C691" i="19"/>
  <c r="C692" i="19"/>
  <c r="C693" i="19"/>
  <c r="C694" i="19"/>
  <c r="C695" i="19"/>
  <c r="C696" i="19"/>
  <c r="C697" i="19"/>
  <c r="C698" i="19"/>
  <c r="C699" i="19"/>
  <c r="C700" i="19"/>
  <c r="C701" i="19"/>
  <c r="C702" i="19"/>
  <c r="C703" i="19"/>
  <c r="C704" i="19"/>
  <c r="C705" i="19"/>
  <c r="C706" i="19"/>
  <c r="C707" i="19"/>
  <c r="C708" i="19"/>
  <c r="C709" i="19"/>
  <c r="C710" i="19"/>
  <c r="C711" i="19"/>
  <c r="C712" i="19"/>
  <c r="C713" i="19"/>
  <c r="C714" i="19"/>
  <c r="C715" i="19"/>
  <c r="C716" i="19"/>
  <c r="C717" i="19"/>
  <c r="C718" i="19"/>
  <c r="C719" i="19"/>
  <c r="C720" i="19"/>
  <c r="C721" i="19"/>
  <c r="C722" i="19"/>
  <c r="C723" i="19"/>
  <c r="C724" i="19"/>
  <c r="C725" i="19"/>
  <c r="C726" i="19"/>
  <c r="C727" i="19"/>
  <c r="C728" i="19"/>
  <c r="C729" i="19"/>
  <c r="C730" i="19"/>
  <c r="C731" i="19"/>
  <c r="C732" i="19"/>
  <c r="C733" i="19"/>
  <c r="C734" i="19"/>
  <c r="C735" i="19"/>
  <c r="C736" i="19"/>
  <c r="C737" i="19"/>
  <c r="C738" i="19"/>
  <c r="C739" i="19"/>
  <c r="C740" i="19"/>
  <c r="C741" i="19"/>
  <c r="C742" i="19"/>
  <c r="C743" i="19"/>
  <c r="C744" i="19"/>
  <c r="C745" i="19"/>
  <c r="C746" i="19"/>
  <c r="C747" i="19"/>
  <c r="C748" i="19"/>
  <c r="C749" i="19"/>
  <c r="C750" i="19"/>
  <c r="C751" i="19"/>
  <c r="C752" i="19"/>
  <c r="C753" i="19"/>
  <c r="C754" i="19"/>
  <c r="C755" i="19"/>
  <c r="C756" i="19"/>
  <c r="C757" i="19"/>
  <c r="C758" i="19"/>
  <c r="C759" i="19"/>
  <c r="C760" i="19"/>
  <c r="C761" i="19"/>
  <c r="C762" i="19"/>
  <c r="C763" i="19"/>
  <c r="C764" i="19"/>
  <c r="C765" i="19"/>
  <c r="C766" i="19"/>
  <c r="C767" i="19"/>
  <c r="C768" i="19"/>
  <c r="C769" i="19"/>
  <c r="C770" i="19"/>
  <c r="C771" i="19"/>
  <c r="C772" i="19"/>
  <c r="C773" i="19"/>
  <c r="C774" i="19"/>
  <c r="C775" i="19"/>
  <c r="C776" i="19"/>
  <c r="C777" i="19"/>
  <c r="C778" i="19"/>
  <c r="C779" i="19"/>
  <c r="C780" i="19"/>
  <c r="C781" i="19"/>
  <c r="C782" i="19"/>
  <c r="C783" i="19"/>
  <c r="C784" i="19"/>
  <c r="C785" i="19"/>
  <c r="C786" i="19"/>
  <c r="C787" i="19"/>
  <c r="C788" i="19"/>
  <c r="C789" i="19"/>
  <c r="C790" i="19"/>
  <c r="C791" i="19"/>
  <c r="C792" i="19"/>
  <c r="C793" i="19"/>
  <c r="C794" i="19"/>
  <c r="C795" i="19"/>
  <c r="C796" i="19"/>
  <c r="C797" i="19"/>
  <c r="C798" i="19"/>
  <c r="C799" i="19"/>
  <c r="C800" i="19"/>
  <c r="C801" i="19"/>
  <c r="C802" i="19"/>
  <c r="C803" i="19"/>
  <c r="C804" i="19"/>
  <c r="C805" i="19"/>
  <c r="C806" i="19"/>
  <c r="C807" i="19"/>
  <c r="C808" i="19"/>
  <c r="C809" i="19"/>
  <c r="C810" i="19"/>
  <c r="C811" i="19"/>
  <c r="C812" i="19"/>
  <c r="C813" i="19"/>
  <c r="C814" i="19"/>
  <c r="C815" i="19"/>
  <c r="C816" i="19"/>
  <c r="C817" i="19"/>
  <c r="C818" i="19"/>
  <c r="C819" i="19"/>
  <c r="C820" i="19"/>
  <c r="C821" i="19"/>
  <c r="C822" i="19"/>
  <c r="C823" i="19"/>
  <c r="C824" i="19"/>
  <c r="C825" i="19"/>
  <c r="C826" i="19"/>
  <c r="C827" i="19"/>
  <c r="C828" i="19"/>
  <c r="C829" i="19"/>
  <c r="C830" i="19"/>
  <c r="C831" i="19"/>
  <c r="C832" i="19"/>
  <c r="C833" i="19"/>
  <c r="C834" i="19"/>
  <c r="C835" i="19"/>
  <c r="C836" i="19"/>
  <c r="C837" i="19"/>
  <c r="C838" i="19"/>
  <c r="C839" i="19"/>
  <c r="C840" i="19"/>
  <c r="C841" i="19"/>
  <c r="C842" i="19"/>
  <c r="C843" i="19"/>
  <c r="C844" i="19"/>
  <c r="C845" i="19"/>
  <c r="C846" i="19"/>
  <c r="C847" i="19"/>
  <c r="C848" i="19"/>
  <c r="C849" i="19"/>
  <c r="C850" i="19"/>
  <c r="C851" i="19"/>
  <c r="C852" i="19"/>
  <c r="C853" i="19"/>
  <c r="C854" i="19"/>
  <c r="C855" i="19"/>
  <c r="C856" i="19"/>
  <c r="C857" i="19"/>
  <c r="C858" i="19"/>
  <c r="C859" i="19"/>
  <c r="C860" i="19"/>
  <c r="C861" i="19"/>
  <c r="C862" i="19"/>
  <c r="C863" i="19"/>
  <c r="C864" i="19"/>
  <c r="C865" i="19"/>
  <c r="C866" i="19"/>
  <c r="C867" i="19"/>
  <c r="C868" i="19"/>
  <c r="C869" i="19"/>
  <c r="C870" i="19"/>
  <c r="C871" i="19"/>
  <c r="C872" i="19"/>
  <c r="C873" i="19"/>
  <c r="C874" i="19"/>
  <c r="C875" i="19"/>
  <c r="C876" i="19"/>
  <c r="C877" i="19"/>
  <c r="C878" i="19"/>
  <c r="C879" i="19"/>
  <c r="C880" i="19"/>
  <c r="C881" i="19"/>
  <c r="C882" i="19"/>
  <c r="C883" i="19"/>
  <c r="C884" i="19"/>
  <c r="C885" i="19"/>
  <c r="C886" i="19"/>
  <c r="C887" i="19"/>
  <c r="C888" i="19"/>
  <c r="C889" i="19"/>
  <c r="C890" i="19"/>
  <c r="C891" i="19"/>
  <c r="C892" i="19"/>
  <c r="C893" i="19"/>
  <c r="C894" i="19"/>
  <c r="C895" i="19"/>
  <c r="C896" i="19"/>
  <c r="C897" i="19"/>
  <c r="C898" i="19"/>
  <c r="C899" i="19"/>
  <c r="C900" i="19"/>
  <c r="C901" i="19"/>
  <c r="C902" i="19"/>
  <c r="C903" i="19"/>
  <c r="C904" i="19"/>
  <c r="C905" i="19"/>
  <c r="C906" i="19"/>
  <c r="C907" i="19"/>
  <c r="C908" i="19"/>
  <c r="C909" i="19"/>
  <c r="C910" i="19"/>
  <c r="C911" i="19"/>
  <c r="C912" i="19"/>
  <c r="C913" i="19"/>
  <c r="C914" i="19"/>
  <c r="C915" i="19"/>
  <c r="C916" i="19"/>
  <c r="C917" i="19"/>
  <c r="C918" i="19"/>
  <c r="C919" i="19"/>
  <c r="C920" i="19"/>
  <c r="C921" i="19"/>
  <c r="C922" i="19"/>
  <c r="C923" i="19"/>
  <c r="C924" i="19"/>
  <c r="C925" i="19"/>
  <c r="C926" i="19"/>
  <c r="B2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B307" i="19"/>
  <c r="B308" i="19"/>
  <c r="B309" i="19"/>
  <c r="B310" i="19"/>
  <c r="B311" i="19"/>
  <c r="B312" i="19"/>
  <c r="B313" i="19"/>
  <c r="B314" i="19"/>
  <c r="B315" i="19"/>
  <c r="B316" i="19"/>
  <c r="B317" i="19"/>
  <c r="B318" i="19"/>
  <c r="B319" i="19"/>
  <c r="B320" i="19"/>
  <c r="B321" i="19"/>
  <c r="B322" i="19"/>
  <c r="B323" i="19"/>
  <c r="B324" i="19"/>
  <c r="B325" i="19"/>
  <c r="B326" i="19"/>
  <c r="B327" i="19"/>
  <c r="B328" i="19"/>
  <c r="B329" i="19"/>
  <c r="B330" i="19"/>
  <c r="B331" i="19"/>
  <c r="B332" i="19"/>
  <c r="B333" i="19"/>
  <c r="B334" i="19"/>
  <c r="B335" i="19"/>
  <c r="B336" i="19"/>
  <c r="B337" i="19"/>
  <c r="B338" i="19"/>
  <c r="B339" i="19"/>
  <c r="B340" i="19"/>
  <c r="B341" i="19"/>
  <c r="B342" i="19"/>
  <c r="B343" i="19"/>
  <c r="B344" i="19"/>
  <c r="B345" i="19"/>
  <c r="B346" i="19"/>
  <c r="B347" i="19"/>
  <c r="B348" i="19"/>
  <c r="B349" i="19"/>
  <c r="B350" i="19"/>
  <c r="B351" i="19"/>
  <c r="B352" i="19"/>
  <c r="B353" i="19"/>
  <c r="B354" i="19"/>
  <c r="B355" i="19"/>
  <c r="B356" i="19"/>
  <c r="B357" i="19"/>
  <c r="B358" i="19"/>
  <c r="B359" i="19"/>
  <c r="B360" i="19"/>
  <c r="B361" i="19"/>
  <c r="B362" i="19"/>
  <c r="B363" i="19"/>
  <c r="B364" i="19"/>
  <c r="B365" i="19"/>
  <c r="B366" i="19"/>
  <c r="B367" i="19"/>
  <c r="B368" i="19"/>
  <c r="B369" i="19"/>
  <c r="B370" i="19"/>
  <c r="B371" i="19"/>
  <c r="B372" i="19"/>
  <c r="B373" i="19"/>
  <c r="B374" i="19"/>
  <c r="B375" i="19"/>
  <c r="B376" i="19"/>
  <c r="B377" i="19"/>
  <c r="B378" i="19"/>
  <c r="B379" i="19"/>
  <c r="B380" i="19"/>
  <c r="B381" i="19"/>
  <c r="B382" i="19"/>
  <c r="B383" i="19"/>
  <c r="B384" i="19"/>
  <c r="B385" i="19"/>
  <c r="B386" i="19"/>
  <c r="B387" i="19"/>
  <c r="B388" i="19"/>
  <c r="B389" i="19"/>
  <c r="B390" i="19"/>
  <c r="B391" i="19"/>
  <c r="B392" i="19"/>
  <c r="B393" i="19"/>
  <c r="B394" i="19"/>
  <c r="B395" i="19"/>
  <c r="B396" i="19"/>
  <c r="B397" i="19"/>
  <c r="B398" i="19"/>
  <c r="B399" i="19"/>
  <c r="B400" i="19"/>
  <c r="B401" i="19"/>
  <c r="B402" i="19"/>
  <c r="B403" i="19"/>
  <c r="B404" i="19"/>
  <c r="B405" i="19"/>
  <c r="B406" i="19"/>
  <c r="B407" i="19"/>
  <c r="B408" i="19"/>
  <c r="B409" i="19"/>
  <c r="B410" i="19"/>
  <c r="B411" i="19"/>
  <c r="B412" i="19"/>
  <c r="B413" i="19"/>
  <c r="B414" i="19"/>
  <c r="B415" i="19"/>
  <c r="B416" i="19"/>
  <c r="B417" i="19"/>
  <c r="B418" i="19"/>
  <c r="B419" i="19"/>
  <c r="B420" i="19"/>
  <c r="B421" i="19"/>
  <c r="B422" i="19"/>
  <c r="B423" i="19"/>
  <c r="B424" i="19"/>
  <c r="B425" i="19"/>
  <c r="B426" i="19"/>
  <c r="B427" i="19"/>
  <c r="B428" i="19"/>
  <c r="B429" i="19"/>
  <c r="B430" i="19"/>
  <c r="B431" i="19"/>
  <c r="B432" i="19"/>
  <c r="B433" i="19"/>
  <c r="B434" i="19"/>
  <c r="B435" i="19"/>
  <c r="B436" i="19"/>
  <c r="B437" i="19"/>
  <c r="B438" i="19"/>
  <c r="B439" i="19"/>
  <c r="B440" i="19"/>
  <c r="B441" i="19"/>
  <c r="B442" i="19"/>
  <c r="B443" i="19"/>
  <c r="B444" i="19"/>
  <c r="B445" i="19"/>
  <c r="B446" i="19"/>
  <c r="B447" i="19"/>
  <c r="B448" i="19"/>
  <c r="B449" i="19"/>
  <c r="B450" i="19"/>
  <c r="B451" i="19"/>
  <c r="B452" i="19"/>
  <c r="B453" i="19"/>
  <c r="B454" i="19"/>
  <c r="B455" i="19"/>
  <c r="B456" i="19"/>
  <c r="B457" i="19"/>
  <c r="B458" i="19"/>
  <c r="B459" i="19"/>
  <c r="B460" i="19"/>
  <c r="B461" i="19"/>
  <c r="B462" i="19"/>
  <c r="B463" i="19"/>
  <c r="B464" i="19"/>
  <c r="B465" i="19"/>
  <c r="B466" i="19"/>
  <c r="B467" i="19"/>
  <c r="B468" i="19"/>
  <c r="B469" i="19"/>
  <c r="B470" i="19"/>
  <c r="B471" i="19"/>
  <c r="B472" i="19"/>
  <c r="B473" i="19"/>
  <c r="B474" i="19"/>
  <c r="B475" i="19"/>
  <c r="B476" i="19"/>
  <c r="B477" i="19"/>
  <c r="B478" i="19"/>
  <c r="B479" i="19"/>
  <c r="B480" i="19"/>
  <c r="B481" i="19"/>
  <c r="B482" i="19"/>
  <c r="B483" i="19"/>
  <c r="B484" i="19"/>
  <c r="B485" i="19"/>
  <c r="B486" i="19"/>
  <c r="B487" i="19"/>
  <c r="B488" i="19"/>
  <c r="B489" i="19"/>
  <c r="B490" i="19"/>
  <c r="B491" i="19"/>
  <c r="B492" i="19"/>
  <c r="B493" i="19"/>
  <c r="B494" i="19"/>
  <c r="B495" i="19"/>
  <c r="B496" i="19"/>
  <c r="B497" i="19"/>
  <c r="B498" i="19"/>
  <c r="B499" i="19"/>
  <c r="B500" i="19"/>
  <c r="B501" i="19"/>
  <c r="B502" i="19"/>
  <c r="B503" i="19"/>
  <c r="B504" i="19"/>
  <c r="B505" i="19"/>
  <c r="B506" i="19"/>
  <c r="B507" i="19"/>
  <c r="B508" i="19"/>
  <c r="B509" i="19"/>
  <c r="B510" i="19"/>
  <c r="B511" i="19"/>
  <c r="B512" i="19"/>
  <c r="B513" i="19"/>
  <c r="B514" i="19"/>
  <c r="B515" i="19"/>
  <c r="B516" i="19"/>
  <c r="B517" i="19"/>
  <c r="B518" i="19"/>
  <c r="B519" i="19"/>
  <c r="B520" i="19"/>
  <c r="B521" i="19"/>
  <c r="B522" i="19"/>
  <c r="B523" i="19"/>
  <c r="B524" i="19"/>
  <c r="B525" i="19"/>
  <c r="B526" i="19"/>
  <c r="B527" i="19"/>
  <c r="B528" i="19"/>
  <c r="B529" i="19"/>
  <c r="B530" i="19"/>
  <c r="B531" i="19"/>
  <c r="B532" i="19"/>
  <c r="B533" i="19"/>
  <c r="B534" i="19"/>
  <c r="B535" i="19"/>
  <c r="B536" i="19"/>
  <c r="B537" i="19"/>
  <c r="B538" i="19"/>
  <c r="B539" i="19"/>
  <c r="B540" i="19"/>
  <c r="B541" i="19"/>
  <c r="B542" i="19"/>
  <c r="B543" i="19"/>
  <c r="B544" i="19"/>
  <c r="B545" i="19"/>
  <c r="B546" i="19"/>
  <c r="B547" i="19"/>
  <c r="B548" i="19"/>
  <c r="B549" i="19"/>
  <c r="B550" i="19"/>
  <c r="B551" i="19"/>
  <c r="B552" i="19"/>
  <c r="B553" i="19"/>
  <c r="B554" i="19"/>
  <c r="B555" i="19"/>
  <c r="B556" i="19"/>
  <c r="B557" i="19"/>
  <c r="B558" i="19"/>
  <c r="B559" i="19"/>
  <c r="B560" i="19"/>
  <c r="B561" i="19"/>
  <c r="B562" i="19"/>
  <c r="B563" i="19"/>
  <c r="B564" i="19"/>
  <c r="B565" i="19"/>
  <c r="B566" i="19"/>
  <c r="B567" i="19"/>
  <c r="B568" i="19"/>
  <c r="B569" i="19"/>
  <c r="B570" i="19"/>
  <c r="B571" i="19"/>
  <c r="B572" i="19"/>
  <c r="B573" i="19"/>
  <c r="B574" i="19"/>
  <c r="B575" i="19"/>
  <c r="B576" i="19"/>
  <c r="B577" i="19"/>
  <c r="B578" i="19"/>
  <c r="B579" i="19"/>
  <c r="B580" i="19"/>
  <c r="B581" i="19"/>
  <c r="B582" i="19"/>
  <c r="B583" i="19"/>
  <c r="B584" i="19"/>
  <c r="B585" i="19"/>
  <c r="B586" i="19"/>
  <c r="B587" i="19"/>
  <c r="B588" i="19"/>
  <c r="B589" i="19"/>
  <c r="B590" i="19"/>
  <c r="B591" i="19"/>
  <c r="B592" i="19"/>
  <c r="B593" i="19"/>
  <c r="B594" i="19"/>
  <c r="B595" i="19"/>
  <c r="B596" i="19"/>
  <c r="B597" i="19"/>
  <c r="B598" i="19"/>
  <c r="B599" i="19"/>
  <c r="B600" i="19"/>
  <c r="B601" i="19"/>
  <c r="B602" i="19"/>
  <c r="B603" i="19"/>
  <c r="B604" i="19"/>
  <c r="B605" i="19"/>
  <c r="B606" i="19"/>
  <c r="B607" i="19"/>
  <c r="B608" i="19"/>
  <c r="B609" i="19"/>
  <c r="B610" i="19"/>
  <c r="B611" i="19"/>
  <c r="B612" i="19"/>
  <c r="B613" i="19"/>
  <c r="B614" i="19"/>
  <c r="B615" i="19"/>
  <c r="B616" i="19"/>
  <c r="B617" i="19"/>
  <c r="B618" i="19"/>
  <c r="B619" i="19"/>
  <c r="B620" i="19"/>
  <c r="B621" i="19"/>
  <c r="B622" i="19"/>
  <c r="B623" i="19"/>
  <c r="B624" i="19"/>
  <c r="B625" i="19"/>
  <c r="B626" i="19"/>
  <c r="B627" i="19"/>
  <c r="B628" i="19"/>
  <c r="B629" i="19"/>
  <c r="B630" i="19"/>
  <c r="B631" i="19"/>
  <c r="B632" i="19"/>
  <c r="B633" i="19"/>
  <c r="B634" i="19"/>
  <c r="B635" i="19"/>
  <c r="B636" i="19"/>
  <c r="B637" i="19"/>
  <c r="B638" i="19"/>
  <c r="B639" i="19"/>
  <c r="B640" i="19"/>
  <c r="B641" i="19"/>
  <c r="B642" i="19"/>
  <c r="B643" i="19"/>
  <c r="B644" i="19"/>
  <c r="B645" i="19"/>
  <c r="B646" i="19"/>
  <c r="B647" i="19"/>
  <c r="B648" i="19"/>
  <c r="B649" i="19"/>
  <c r="B650" i="19"/>
  <c r="B651" i="19"/>
  <c r="B652" i="19"/>
  <c r="B653" i="19"/>
  <c r="B654" i="19"/>
  <c r="B655" i="19"/>
  <c r="B656" i="19"/>
  <c r="B657" i="19"/>
  <c r="B658" i="19"/>
  <c r="B659" i="19"/>
  <c r="B660" i="19"/>
  <c r="B661" i="19"/>
  <c r="B662" i="19"/>
  <c r="B663" i="19"/>
  <c r="B664" i="19"/>
  <c r="B665" i="19"/>
  <c r="B666" i="19"/>
  <c r="B667" i="19"/>
  <c r="B668" i="19"/>
  <c r="B669" i="19"/>
  <c r="B670" i="19"/>
  <c r="B671" i="19"/>
  <c r="B672" i="19"/>
  <c r="B673" i="19"/>
  <c r="B674" i="19"/>
  <c r="B675" i="19"/>
  <c r="B676" i="19"/>
  <c r="B677" i="19"/>
  <c r="B678" i="19"/>
  <c r="B679" i="19"/>
  <c r="B680" i="19"/>
  <c r="B681" i="19"/>
  <c r="B682" i="19"/>
  <c r="B683" i="19"/>
  <c r="B684" i="19"/>
  <c r="B685" i="19"/>
  <c r="B686" i="19"/>
  <c r="B687" i="19"/>
  <c r="B688" i="19"/>
  <c r="B689" i="19"/>
  <c r="B690" i="19"/>
  <c r="B691" i="19"/>
  <c r="B692" i="19"/>
  <c r="B693" i="19"/>
  <c r="B694" i="19"/>
  <c r="B695" i="19"/>
  <c r="B696" i="19"/>
  <c r="B697" i="19"/>
  <c r="B698" i="19"/>
  <c r="B699" i="19"/>
  <c r="B700" i="19"/>
  <c r="B701" i="19"/>
  <c r="B702" i="19"/>
  <c r="B703" i="19"/>
  <c r="B704" i="19"/>
  <c r="B705" i="19"/>
  <c r="B706" i="19"/>
  <c r="B707" i="19"/>
  <c r="B708" i="19"/>
  <c r="B709" i="19"/>
  <c r="B710" i="19"/>
  <c r="B711" i="19"/>
  <c r="B712" i="19"/>
  <c r="B713" i="19"/>
  <c r="B714" i="19"/>
  <c r="B715" i="19"/>
  <c r="B716" i="19"/>
  <c r="B717" i="19"/>
  <c r="B718" i="19"/>
  <c r="B719" i="19"/>
  <c r="B720" i="19"/>
  <c r="B721" i="19"/>
  <c r="B722" i="19"/>
  <c r="B723" i="19"/>
  <c r="B724" i="19"/>
  <c r="B725" i="19"/>
  <c r="B726" i="19"/>
  <c r="B727" i="19"/>
  <c r="B728" i="19"/>
  <c r="B729" i="19"/>
  <c r="B730" i="19"/>
  <c r="B731" i="19"/>
  <c r="B732" i="19"/>
  <c r="B733" i="19"/>
  <c r="B734" i="19"/>
  <c r="B735" i="19"/>
  <c r="B736" i="19"/>
  <c r="B737" i="19"/>
  <c r="B738" i="19"/>
  <c r="B739" i="19"/>
  <c r="B740" i="19"/>
  <c r="B741" i="19"/>
  <c r="B742" i="19"/>
  <c r="B743" i="19"/>
  <c r="B744" i="19"/>
  <c r="B745" i="19"/>
  <c r="B746" i="19"/>
  <c r="B747" i="19"/>
  <c r="B748" i="19"/>
  <c r="B749" i="19"/>
  <c r="B750" i="19"/>
  <c r="B751" i="19"/>
  <c r="B752" i="19"/>
  <c r="B753" i="19"/>
  <c r="B754" i="19"/>
  <c r="B755" i="19"/>
  <c r="B756" i="19"/>
  <c r="B757" i="19"/>
  <c r="B758" i="19"/>
  <c r="B759" i="19"/>
  <c r="B760" i="19"/>
  <c r="B761" i="19"/>
  <c r="B762" i="19"/>
  <c r="B763" i="19"/>
  <c r="B764" i="19"/>
  <c r="B765" i="19"/>
  <c r="B766" i="19"/>
  <c r="B767" i="19"/>
  <c r="B768" i="19"/>
  <c r="B769" i="19"/>
  <c r="B770" i="19"/>
  <c r="B771" i="19"/>
  <c r="B772" i="19"/>
  <c r="B773" i="19"/>
  <c r="B774" i="19"/>
  <c r="B775" i="19"/>
  <c r="B776" i="19"/>
  <c r="B777" i="19"/>
  <c r="B778" i="19"/>
  <c r="B779" i="19"/>
  <c r="B780" i="19"/>
  <c r="B781" i="19"/>
  <c r="B782" i="19"/>
  <c r="B783" i="19"/>
  <c r="B784" i="19"/>
  <c r="B785" i="19"/>
  <c r="B786" i="19"/>
  <c r="B787" i="19"/>
  <c r="B788" i="19"/>
  <c r="B789" i="19"/>
  <c r="B790" i="19"/>
  <c r="B791" i="19"/>
  <c r="B792" i="19"/>
  <c r="B793" i="19"/>
  <c r="B794" i="19"/>
  <c r="B795" i="19"/>
  <c r="B796" i="19"/>
  <c r="B797" i="19"/>
  <c r="B798" i="19"/>
  <c r="B799" i="19"/>
  <c r="B800" i="19"/>
  <c r="B801" i="19"/>
  <c r="B802" i="19"/>
  <c r="B803" i="19"/>
  <c r="B804" i="19"/>
  <c r="B805" i="19"/>
  <c r="B806" i="19"/>
  <c r="B807" i="19"/>
  <c r="B808" i="19"/>
  <c r="B809" i="19"/>
  <c r="B810" i="19"/>
  <c r="B811" i="19"/>
  <c r="B812" i="19"/>
  <c r="B813" i="19"/>
  <c r="B814" i="19"/>
  <c r="B815" i="19"/>
  <c r="B816" i="19"/>
  <c r="B817" i="19"/>
  <c r="B818" i="19"/>
  <c r="B819" i="19"/>
  <c r="B820" i="19"/>
  <c r="B821" i="19"/>
  <c r="B822" i="19"/>
  <c r="B823" i="19"/>
  <c r="B824" i="19"/>
  <c r="B825" i="19"/>
  <c r="B826" i="19"/>
  <c r="B827" i="19"/>
  <c r="B828" i="19"/>
  <c r="B829" i="19"/>
  <c r="B830" i="19"/>
  <c r="B831" i="19"/>
  <c r="B832" i="19"/>
  <c r="B833" i="19"/>
  <c r="B834" i="19"/>
  <c r="B835" i="19"/>
  <c r="B836" i="19"/>
  <c r="B837" i="19"/>
  <c r="B838" i="19"/>
  <c r="B839" i="19"/>
  <c r="B840" i="19"/>
  <c r="B841" i="19"/>
  <c r="B842" i="19"/>
  <c r="B843" i="19"/>
  <c r="B844" i="19"/>
  <c r="B845" i="19"/>
  <c r="B846" i="19"/>
  <c r="B847" i="19"/>
  <c r="B848" i="19"/>
  <c r="B849" i="19"/>
  <c r="B850" i="19"/>
  <c r="B851" i="19"/>
  <c r="B852" i="19"/>
  <c r="B853" i="19"/>
  <c r="B854" i="19"/>
  <c r="B855" i="19"/>
  <c r="B856" i="19"/>
  <c r="B857" i="19"/>
  <c r="B858" i="19"/>
  <c r="B859" i="19"/>
  <c r="B860" i="19"/>
  <c r="B861" i="19"/>
  <c r="B862" i="19"/>
  <c r="B863" i="19"/>
  <c r="B864" i="19"/>
  <c r="B865" i="19"/>
  <c r="B866" i="19"/>
  <c r="B867" i="19"/>
  <c r="B868" i="19"/>
  <c r="B869" i="19"/>
  <c r="B870" i="19"/>
  <c r="B871" i="19"/>
  <c r="B872" i="19"/>
  <c r="B873" i="19"/>
  <c r="B874" i="19"/>
  <c r="B875" i="19"/>
  <c r="B876" i="19"/>
  <c r="B877" i="19"/>
  <c r="B878" i="19"/>
  <c r="B879" i="19"/>
  <c r="B880" i="19"/>
  <c r="B881" i="19"/>
  <c r="B882" i="19"/>
  <c r="B883" i="19"/>
  <c r="B884" i="19"/>
  <c r="B885" i="19"/>
  <c r="B886" i="19"/>
  <c r="B887" i="19"/>
  <c r="B888" i="19"/>
  <c r="B889" i="19"/>
  <c r="B890" i="19"/>
  <c r="B891" i="19"/>
  <c r="B892" i="19"/>
  <c r="B893" i="19"/>
  <c r="B894" i="19"/>
  <c r="B895" i="19"/>
  <c r="B896" i="19"/>
  <c r="B897" i="19"/>
  <c r="B898" i="19"/>
  <c r="B899" i="19"/>
  <c r="B900" i="19"/>
  <c r="B901" i="19"/>
  <c r="B902" i="19"/>
  <c r="B903" i="19"/>
  <c r="B904" i="19"/>
  <c r="B905" i="19"/>
  <c r="B906" i="19"/>
  <c r="B907" i="19"/>
  <c r="B908" i="19"/>
  <c r="B909" i="19"/>
  <c r="B910" i="19"/>
  <c r="B911" i="19"/>
  <c r="B912" i="19"/>
  <c r="B913" i="19"/>
  <c r="B914" i="19"/>
  <c r="B915" i="19"/>
  <c r="B916" i="19"/>
  <c r="B917" i="19"/>
  <c r="B918" i="19"/>
  <c r="B919" i="19"/>
  <c r="B920" i="19"/>
  <c r="B921" i="19"/>
  <c r="B922" i="19"/>
  <c r="B923" i="19"/>
  <c r="B924" i="19"/>
  <c r="B925" i="19"/>
  <c r="B926" i="19"/>
  <c r="E2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203" i="19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343" i="19"/>
  <c r="E344" i="19"/>
  <c r="E345" i="19"/>
  <c r="E346" i="19"/>
  <c r="E347" i="19"/>
  <c r="E348" i="19"/>
  <c r="E349" i="19"/>
  <c r="E350" i="19"/>
  <c r="E351" i="19"/>
  <c r="E352" i="19"/>
  <c r="E353" i="19"/>
  <c r="E354" i="19"/>
  <c r="E355" i="19"/>
  <c r="E356" i="19"/>
  <c r="E357" i="19"/>
  <c r="E358" i="19"/>
  <c r="E359" i="19"/>
  <c r="E360" i="19"/>
  <c r="E361" i="19"/>
  <c r="E362" i="19"/>
  <c r="E363" i="19"/>
  <c r="E364" i="19"/>
  <c r="E365" i="19"/>
  <c r="E366" i="19"/>
  <c r="E367" i="19"/>
  <c r="E368" i="19"/>
  <c r="E369" i="19"/>
  <c r="E370" i="19"/>
  <c r="E371" i="19"/>
  <c r="E372" i="19"/>
  <c r="E373" i="19"/>
  <c r="E374" i="19"/>
  <c r="E375" i="19"/>
  <c r="E376" i="19"/>
  <c r="E377" i="19"/>
  <c r="E378" i="19"/>
  <c r="E379" i="19"/>
  <c r="E380" i="19"/>
  <c r="E381" i="19"/>
  <c r="E382" i="19"/>
  <c r="E383" i="19"/>
  <c r="E384" i="19"/>
  <c r="E385" i="19"/>
  <c r="E386" i="19"/>
  <c r="E387" i="19"/>
  <c r="E388" i="19"/>
  <c r="E389" i="19"/>
  <c r="E390" i="19"/>
  <c r="E391" i="19"/>
  <c r="E392" i="19"/>
  <c r="E393" i="19"/>
  <c r="E394" i="19"/>
  <c r="E395" i="19"/>
  <c r="E396" i="19"/>
  <c r="E397" i="19"/>
  <c r="E398" i="19"/>
  <c r="E399" i="19"/>
  <c r="E400" i="19"/>
  <c r="E401" i="19"/>
  <c r="E402" i="19"/>
  <c r="E403" i="19"/>
  <c r="E404" i="19"/>
  <c r="E405" i="19"/>
  <c r="E406" i="19"/>
  <c r="E407" i="19"/>
  <c r="E408" i="19"/>
  <c r="E409" i="19"/>
  <c r="E410" i="19"/>
  <c r="E411" i="19"/>
  <c r="E412" i="19"/>
  <c r="E413" i="19"/>
  <c r="E414" i="19"/>
  <c r="E415" i="19"/>
  <c r="E416" i="19"/>
  <c r="E417" i="19"/>
  <c r="E418" i="19"/>
  <c r="E419" i="19"/>
  <c r="E420" i="19"/>
  <c r="E421" i="19"/>
  <c r="E422" i="19"/>
  <c r="E423" i="19"/>
  <c r="E424" i="19"/>
  <c r="E425" i="19"/>
  <c r="E426" i="19"/>
  <c r="E427" i="19"/>
  <c r="E428" i="19"/>
  <c r="E429" i="19"/>
  <c r="E430" i="19"/>
  <c r="E431" i="19"/>
  <c r="E432" i="19"/>
  <c r="E433" i="19"/>
  <c r="E434" i="19"/>
  <c r="E435" i="19"/>
  <c r="E436" i="19"/>
  <c r="E437" i="19"/>
  <c r="E438" i="19"/>
  <c r="E439" i="19"/>
  <c r="E440" i="19"/>
  <c r="E441" i="19"/>
  <c r="E442" i="19"/>
  <c r="E443" i="19"/>
  <c r="E444" i="19"/>
  <c r="E445" i="19"/>
  <c r="E446" i="19"/>
  <c r="E447" i="19"/>
  <c r="E448" i="19"/>
  <c r="E449" i="19"/>
  <c r="E450" i="19"/>
  <c r="E451" i="19"/>
  <c r="E452" i="19"/>
  <c r="E453" i="19"/>
  <c r="E454" i="19"/>
  <c r="E455" i="19"/>
  <c r="E456" i="19"/>
  <c r="E457" i="19"/>
  <c r="E458" i="19"/>
  <c r="E459" i="19"/>
  <c r="E460" i="19"/>
  <c r="E461" i="19"/>
  <c r="E462" i="19"/>
  <c r="E463" i="19"/>
  <c r="E464" i="19"/>
  <c r="E465" i="19"/>
  <c r="E466" i="19"/>
  <c r="E467" i="19"/>
  <c r="E468" i="19"/>
  <c r="E469" i="19"/>
  <c r="E470" i="19"/>
  <c r="E471" i="19"/>
  <c r="E472" i="19"/>
  <c r="E473" i="19"/>
  <c r="E474" i="19"/>
  <c r="E475" i="19"/>
  <c r="E476" i="19"/>
  <c r="E477" i="19"/>
  <c r="E478" i="19"/>
  <c r="E479" i="19"/>
  <c r="E480" i="19"/>
  <c r="E481" i="19"/>
  <c r="E482" i="19"/>
  <c r="E483" i="19"/>
  <c r="E484" i="19"/>
  <c r="E485" i="19"/>
  <c r="E486" i="19"/>
  <c r="E487" i="19"/>
  <c r="E488" i="19"/>
  <c r="E489" i="19"/>
  <c r="E490" i="19"/>
  <c r="E491" i="19"/>
  <c r="E492" i="19"/>
  <c r="E493" i="19"/>
  <c r="E494" i="19"/>
  <c r="E495" i="19"/>
  <c r="E496" i="19"/>
  <c r="E497" i="19"/>
  <c r="E498" i="19"/>
  <c r="E499" i="19"/>
  <c r="E500" i="19"/>
  <c r="E501" i="19"/>
  <c r="E502" i="19"/>
  <c r="E503" i="19"/>
  <c r="E504" i="19"/>
  <c r="E505" i="19"/>
  <c r="E506" i="19"/>
  <c r="E507" i="19"/>
  <c r="E508" i="19"/>
  <c r="E509" i="19"/>
  <c r="E510" i="19"/>
  <c r="E511" i="19"/>
  <c r="E512" i="19"/>
  <c r="E513" i="19"/>
  <c r="E514" i="19"/>
  <c r="E515" i="19"/>
  <c r="E516" i="19"/>
  <c r="E517" i="19"/>
  <c r="E518" i="19"/>
  <c r="E519" i="19"/>
  <c r="E520" i="19"/>
  <c r="E521" i="19"/>
  <c r="E522" i="19"/>
  <c r="E523" i="19"/>
  <c r="E524" i="19"/>
  <c r="E525" i="19"/>
  <c r="E526" i="19"/>
  <c r="E527" i="19"/>
  <c r="E528" i="19"/>
  <c r="E529" i="19"/>
  <c r="E530" i="19"/>
  <c r="E531" i="19"/>
  <c r="E532" i="19"/>
  <c r="E533" i="19"/>
  <c r="E534" i="19"/>
  <c r="E535" i="19"/>
  <c r="E536" i="19"/>
  <c r="E537" i="19"/>
  <c r="E538" i="19"/>
  <c r="E539" i="19"/>
  <c r="E540" i="19"/>
  <c r="E541" i="19"/>
  <c r="E542" i="19"/>
  <c r="E543" i="19"/>
  <c r="E544" i="19"/>
  <c r="E545" i="19"/>
  <c r="E546" i="19"/>
  <c r="E547" i="19"/>
  <c r="E548" i="19"/>
  <c r="E549" i="19"/>
  <c r="E550" i="19"/>
  <c r="E551" i="19"/>
  <c r="E552" i="19"/>
  <c r="E553" i="19"/>
  <c r="E554" i="19"/>
  <c r="E555" i="19"/>
  <c r="E556" i="19"/>
  <c r="E557" i="19"/>
  <c r="E558" i="19"/>
  <c r="E559" i="19"/>
  <c r="E560" i="19"/>
  <c r="E561" i="19"/>
  <c r="E562" i="19"/>
  <c r="E563" i="19"/>
  <c r="E564" i="19"/>
  <c r="E565" i="19"/>
  <c r="E566" i="19"/>
  <c r="E567" i="19"/>
  <c r="E568" i="19"/>
  <c r="E569" i="19"/>
  <c r="E570" i="19"/>
  <c r="E571" i="19"/>
  <c r="E572" i="19"/>
  <c r="E573" i="19"/>
  <c r="E574" i="19"/>
  <c r="E575" i="19"/>
  <c r="E576" i="19"/>
  <c r="E577" i="19"/>
  <c r="E578" i="19"/>
  <c r="E579" i="19"/>
  <c r="E580" i="19"/>
  <c r="E581" i="19"/>
  <c r="E582" i="19"/>
  <c r="E583" i="19"/>
  <c r="E584" i="19"/>
  <c r="E585" i="19"/>
  <c r="E586" i="19"/>
  <c r="E587" i="19"/>
  <c r="E588" i="19"/>
  <c r="E589" i="19"/>
  <c r="E590" i="19"/>
  <c r="E591" i="19"/>
  <c r="E592" i="19"/>
  <c r="E593" i="19"/>
  <c r="E594" i="19"/>
  <c r="E595" i="19"/>
  <c r="E596" i="19"/>
  <c r="E597" i="19"/>
  <c r="E598" i="19"/>
  <c r="E599" i="19"/>
  <c r="E600" i="19"/>
  <c r="E601" i="19"/>
  <c r="E602" i="19"/>
  <c r="E603" i="19"/>
  <c r="E604" i="19"/>
  <c r="E605" i="19"/>
  <c r="E606" i="19"/>
  <c r="E607" i="19"/>
  <c r="E608" i="19"/>
  <c r="E609" i="19"/>
  <c r="E610" i="19"/>
  <c r="E611" i="19"/>
  <c r="E612" i="19"/>
  <c r="E613" i="19"/>
  <c r="E614" i="19"/>
  <c r="E615" i="19"/>
  <c r="E616" i="19"/>
  <c r="E617" i="19"/>
  <c r="E618" i="19"/>
  <c r="E619" i="19"/>
  <c r="E620" i="19"/>
  <c r="E621" i="19"/>
  <c r="E622" i="19"/>
  <c r="E623" i="19"/>
  <c r="E624" i="19"/>
  <c r="E625" i="19"/>
  <c r="E626" i="19"/>
  <c r="E627" i="19"/>
  <c r="E628" i="19"/>
  <c r="E629" i="19"/>
  <c r="E630" i="19"/>
  <c r="E631" i="19"/>
  <c r="E632" i="19"/>
  <c r="E633" i="19"/>
  <c r="E634" i="19"/>
  <c r="E635" i="19"/>
  <c r="E636" i="19"/>
  <c r="E637" i="19"/>
  <c r="E638" i="19"/>
  <c r="E639" i="19"/>
  <c r="E640" i="19"/>
  <c r="E641" i="19"/>
  <c r="E642" i="19"/>
  <c r="E643" i="19"/>
  <c r="E644" i="19"/>
  <c r="E645" i="19"/>
  <c r="E646" i="19"/>
  <c r="E647" i="19"/>
  <c r="E648" i="19"/>
  <c r="E649" i="19"/>
  <c r="E650" i="19"/>
  <c r="E651" i="19"/>
  <c r="E652" i="19"/>
  <c r="E653" i="19"/>
  <c r="E654" i="19"/>
  <c r="E655" i="19"/>
  <c r="E656" i="19"/>
  <c r="E657" i="19"/>
  <c r="E658" i="19"/>
  <c r="E659" i="19"/>
  <c r="E660" i="19"/>
  <c r="E661" i="19"/>
  <c r="E662" i="19"/>
  <c r="E663" i="19"/>
  <c r="E664" i="19"/>
  <c r="E665" i="19"/>
  <c r="E666" i="19"/>
  <c r="E667" i="19"/>
  <c r="E668" i="19"/>
  <c r="E669" i="19"/>
  <c r="E670" i="19"/>
  <c r="E671" i="19"/>
  <c r="E672" i="19"/>
  <c r="E673" i="19"/>
  <c r="E674" i="19"/>
  <c r="E675" i="19"/>
  <c r="E676" i="19"/>
  <c r="E677" i="19"/>
  <c r="E678" i="19"/>
  <c r="E679" i="19"/>
  <c r="E680" i="19"/>
  <c r="E681" i="19"/>
  <c r="E682" i="19"/>
  <c r="E683" i="19"/>
  <c r="E684" i="19"/>
  <c r="E685" i="19"/>
  <c r="E686" i="19"/>
  <c r="E687" i="19"/>
  <c r="E688" i="19"/>
  <c r="E689" i="19"/>
  <c r="E690" i="19"/>
  <c r="E691" i="19"/>
  <c r="E692" i="19"/>
  <c r="E693" i="19"/>
  <c r="E694" i="19"/>
  <c r="E695" i="19"/>
  <c r="E696" i="19"/>
  <c r="E697" i="19"/>
  <c r="E698" i="19"/>
  <c r="E699" i="19"/>
  <c r="E700" i="19"/>
  <c r="E701" i="19"/>
  <c r="E702" i="19"/>
  <c r="E703" i="19"/>
  <c r="E704" i="19"/>
  <c r="E705" i="19"/>
  <c r="E706" i="19"/>
  <c r="E707" i="19"/>
  <c r="E708" i="19"/>
  <c r="E709" i="19"/>
  <c r="E710" i="19"/>
  <c r="E711" i="19"/>
  <c r="E712" i="19"/>
  <c r="E713" i="19"/>
  <c r="E714" i="19"/>
  <c r="E715" i="19"/>
  <c r="E716" i="19"/>
  <c r="E717" i="19"/>
  <c r="E718" i="19"/>
  <c r="E719" i="19"/>
  <c r="E720" i="19"/>
  <c r="E721" i="19"/>
  <c r="E722" i="19"/>
  <c r="E723" i="19"/>
  <c r="E724" i="19"/>
  <c r="E725" i="19"/>
  <c r="E726" i="19"/>
  <c r="E727" i="19"/>
  <c r="E728" i="19"/>
  <c r="E729" i="19"/>
  <c r="E730" i="19"/>
  <c r="E731" i="19"/>
  <c r="E732" i="19"/>
  <c r="E733" i="19"/>
  <c r="E734" i="19"/>
  <c r="E735" i="19"/>
  <c r="E736" i="19"/>
  <c r="E737" i="19"/>
  <c r="E738" i="19"/>
  <c r="E739" i="19"/>
  <c r="E740" i="19"/>
  <c r="E741" i="19"/>
  <c r="E742" i="19"/>
  <c r="E743" i="19"/>
  <c r="E744" i="19"/>
  <c r="E745" i="19"/>
  <c r="E746" i="19"/>
  <c r="E747" i="19"/>
  <c r="E748" i="19"/>
  <c r="E749" i="19"/>
  <c r="E750" i="19"/>
  <c r="E751" i="19"/>
  <c r="E752" i="19"/>
  <c r="E753" i="19"/>
  <c r="E754" i="19"/>
  <c r="E755" i="19"/>
  <c r="E756" i="19"/>
  <c r="E757" i="19"/>
  <c r="E758" i="19"/>
  <c r="E759" i="19"/>
  <c r="E760" i="19"/>
  <c r="E761" i="19"/>
  <c r="E762" i="19"/>
  <c r="E763" i="19"/>
  <c r="E764" i="19"/>
  <c r="E765" i="19"/>
  <c r="E766" i="19"/>
  <c r="E767" i="19"/>
  <c r="E768" i="19"/>
  <c r="E769" i="19"/>
  <c r="E770" i="19"/>
  <c r="E771" i="19"/>
  <c r="E772" i="19"/>
  <c r="E773" i="19"/>
  <c r="E774" i="19"/>
  <c r="E775" i="19"/>
  <c r="E776" i="19"/>
  <c r="E777" i="19"/>
  <c r="E778" i="19"/>
  <c r="E779" i="19"/>
  <c r="E780" i="19"/>
  <c r="E781" i="19"/>
  <c r="E782" i="19"/>
  <c r="E783" i="19"/>
  <c r="E784" i="19"/>
  <c r="E785" i="19"/>
  <c r="E786" i="19"/>
  <c r="E787" i="19"/>
  <c r="E788" i="19"/>
  <c r="E789" i="19"/>
  <c r="E790" i="19"/>
  <c r="E791" i="19"/>
  <c r="E792" i="19"/>
  <c r="E793" i="19"/>
  <c r="E794" i="19"/>
  <c r="E795" i="19"/>
  <c r="E796" i="19"/>
  <c r="E797" i="19"/>
  <c r="E798" i="19"/>
  <c r="E799" i="19"/>
  <c r="E800" i="19"/>
  <c r="E801" i="19"/>
  <c r="E802" i="19"/>
  <c r="E803" i="19"/>
  <c r="E804" i="19"/>
  <c r="E805" i="19"/>
  <c r="E806" i="19"/>
  <c r="E807" i="19"/>
  <c r="E808" i="19"/>
  <c r="E809" i="19"/>
  <c r="E810" i="19"/>
  <c r="E811" i="19"/>
  <c r="E812" i="19"/>
  <c r="E813" i="19"/>
  <c r="E814" i="19"/>
  <c r="E815" i="19"/>
  <c r="E816" i="19"/>
  <c r="E817" i="19"/>
  <c r="E818" i="19"/>
  <c r="E819" i="19"/>
  <c r="E820" i="19"/>
  <c r="E821" i="19"/>
  <c r="E822" i="19"/>
  <c r="E823" i="19"/>
  <c r="E824" i="19"/>
  <c r="E825" i="19"/>
  <c r="E826" i="19"/>
  <c r="E827" i="19"/>
  <c r="E828" i="19"/>
  <c r="E829" i="19"/>
  <c r="E830" i="19"/>
  <c r="E831" i="19"/>
  <c r="E832" i="19"/>
  <c r="E833" i="19"/>
  <c r="E834" i="19"/>
  <c r="E835" i="19"/>
  <c r="E836" i="19"/>
  <c r="E837" i="19"/>
  <c r="E838" i="19"/>
  <c r="E839" i="19"/>
  <c r="E840" i="19"/>
  <c r="E841" i="19"/>
  <c r="E842" i="19"/>
  <c r="E843" i="19"/>
  <c r="E844" i="19"/>
  <c r="E845" i="19"/>
  <c r="E846" i="19"/>
  <c r="E847" i="19"/>
  <c r="E848" i="19"/>
  <c r="E849" i="19"/>
  <c r="E850" i="19"/>
  <c r="E851" i="19"/>
  <c r="E852" i="19"/>
  <c r="E853" i="19"/>
  <c r="E854" i="19"/>
  <c r="E855" i="19"/>
  <c r="E856" i="19"/>
  <c r="E857" i="19"/>
  <c r="E858" i="19"/>
  <c r="E859" i="19"/>
  <c r="E860" i="19"/>
  <c r="E861" i="19"/>
  <c r="E862" i="19"/>
  <c r="E863" i="19"/>
  <c r="E864" i="19"/>
  <c r="E865" i="19"/>
  <c r="E866" i="19"/>
  <c r="E867" i="19"/>
  <c r="E868" i="19"/>
  <c r="E869" i="19"/>
  <c r="E870" i="19"/>
  <c r="E871" i="19"/>
  <c r="E872" i="19"/>
  <c r="E873" i="19"/>
  <c r="E874" i="19"/>
  <c r="E875" i="19"/>
  <c r="E876" i="19"/>
  <c r="E877" i="19"/>
  <c r="E878" i="19"/>
  <c r="E879" i="19"/>
  <c r="E880" i="19"/>
  <c r="E881" i="19"/>
  <c r="E882" i="19"/>
  <c r="E883" i="19"/>
  <c r="E884" i="19"/>
  <c r="E885" i="19"/>
  <c r="E886" i="19"/>
  <c r="E887" i="19"/>
  <c r="E888" i="19"/>
  <c r="E889" i="19"/>
  <c r="E890" i="19"/>
  <c r="E891" i="19"/>
  <c r="E892" i="19"/>
  <c r="E893" i="19"/>
  <c r="E894" i="19"/>
  <c r="E895" i="19"/>
  <c r="E896" i="19"/>
  <c r="E897" i="19"/>
  <c r="E898" i="19"/>
  <c r="E899" i="19"/>
  <c r="E900" i="19"/>
  <c r="E901" i="19"/>
  <c r="E902" i="19"/>
  <c r="E903" i="19"/>
  <c r="E904" i="19"/>
  <c r="E905" i="19"/>
  <c r="E906" i="19"/>
  <c r="E907" i="19"/>
  <c r="E908" i="19"/>
  <c r="E909" i="19"/>
  <c r="E910" i="19"/>
  <c r="E911" i="19"/>
  <c r="E912" i="19"/>
  <c r="E913" i="19"/>
  <c r="E914" i="19"/>
  <c r="E915" i="19"/>
  <c r="E916" i="19"/>
  <c r="E917" i="19"/>
  <c r="E918" i="19"/>
  <c r="E919" i="19"/>
  <c r="E920" i="19"/>
  <c r="E921" i="19"/>
  <c r="E922" i="19"/>
  <c r="E923" i="19"/>
  <c r="E924" i="19"/>
  <c r="E925" i="19"/>
  <c r="E926" i="19"/>
  <c r="E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15" i="18"/>
  <c r="E216" i="18"/>
  <c r="E217" i="18"/>
  <c r="E218" i="18"/>
  <c r="E219" i="18"/>
  <c r="E220" i="18"/>
  <c r="E221" i="18"/>
  <c r="E222" i="18"/>
  <c r="E223" i="18"/>
  <c r="A3" i="19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144" i="19" s="1"/>
  <c r="A145" i="19" s="1"/>
  <c r="A146" i="19" s="1"/>
  <c r="A147" i="19" s="1"/>
  <c r="A148" i="19" s="1"/>
  <c r="A149" i="19" s="1"/>
  <c r="A150" i="19" s="1"/>
  <c r="A151" i="19" s="1"/>
  <c r="A152" i="19" s="1"/>
  <c r="A153" i="19" s="1"/>
  <c r="A154" i="19" s="1"/>
  <c r="A155" i="19" s="1"/>
  <c r="A156" i="19" s="1"/>
  <c r="A157" i="19" s="1"/>
  <c r="A158" i="19" s="1"/>
  <c r="A159" i="19" s="1"/>
  <c r="A160" i="19" s="1"/>
  <c r="A161" i="19" s="1"/>
  <c r="A162" i="19" s="1"/>
  <c r="A163" i="19" s="1"/>
  <c r="A164" i="19" s="1"/>
  <c r="A165" i="19" s="1"/>
  <c r="A166" i="19" s="1"/>
  <c r="A167" i="19" s="1"/>
  <c r="A168" i="19" s="1"/>
  <c r="A169" i="19" s="1"/>
  <c r="A170" i="19" s="1"/>
  <c r="A171" i="19" s="1"/>
  <c r="A172" i="19" s="1"/>
  <c r="A173" i="19" s="1"/>
  <c r="A174" i="19" s="1"/>
  <c r="A175" i="19" s="1"/>
  <c r="A176" i="19" s="1"/>
  <c r="A177" i="19" s="1"/>
  <c r="A178" i="19" s="1"/>
  <c r="A179" i="19" s="1"/>
  <c r="A180" i="19" s="1"/>
  <c r="A181" i="19" s="1"/>
  <c r="A182" i="19" s="1"/>
  <c r="A183" i="19" s="1"/>
  <c r="A184" i="19" s="1"/>
  <c r="A185" i="19" s="1"/>
  <c r="A186" i="19" s="1"/>
  <c r="A187" i="19" s="1"/>
  <c r="A188" i="19" s="1"/>
  <c r="A189" i="19" s="1"/>
  <c r="A190" i="19" s="1"/>
  <c r="A191" i="19" s="1"/>
  <c r="A192" i="19" s="1"/>
  <c r="A193" i="19" s="1"/>
  <c r="A194" i="19" s="1"/>
  <c r="A195" i="19" s="1"/>
  <c r="A196" i="19" s="1"/>
  <c r="A197" i="19" s="1"/>
  <c r="A198" i="19" s="1"/>
  <c r="A199" i="19" s="1"/>
  <c r="A200" i="19" s="1"/>
  <c r="A201" i="19" s="1"/>
  <c r="A202" i="19" s="1"/>
  <c r="A203" i="19" s="1"/>
  <c r="A204" i="19" s="1"/>
  <c r="A205" i="19" s="1"/>
  <c r="A206" i="19" s="1"/>
  <c r="A207" i="19" s="1"/>
  <c r="A208" i="19" s="1"/>
  <c r="A209" i="19" s="1"/>
  <c r="A210" i="19" s="1"/>
  <c r="A211" i="19" s="1"/>
  <c r="A212" i="19" s="1"/>
  <c r="A213" i="19" s="1"/>
  <c r="A214" i="19" s="1"/>
  <c r="A215" i="19" s="1"/>
  <c r="A216" i="19" s="1"/>
  <c r="A217" i="19" s="1"/>
  <c r="A218" i="19" s="1"/>
  <c r="A219" i="19" s="1"/>
  <c r="A220" i="19" s="1"/>
  <c r="A221" i="19" s="1"/>
  <c r="A222" i="19" s="1"/>
  <c r="A223" i="19" s="1"/>
  <c r="A224" i="19" s="1"/>
  <c r="A225" i="19" s="1"/>
  <c r="A226" i="19" s="1"/>
  <c r="A227" i="19" s="1"/>
  <c r="A228" i="19" s="1"/>
  <c r="A229" i="19" s="1"/>
  <c r="A230" i="19" s="1"/>
  <c r="A231" i="19" s="1"/>
  <c r="A232" i="19" s="1"/>
  <c r="A233" i="19" s="1"/>
  <c r="A234" i="19" s="1"/>
  <c r="A235" i="19" s="1"/>
  <c r="A236" i="19" s="1"/>
  <c r="A237" i="19" s="1"/>
  <c r="A238" i="19" s="1"/>
  <c r="A239" i="19" s="1"/>
  <c r="A240" i="19" s="1"/>
  <c r="A241" i="19" s="1"/>
  <c r="A242" i="19" s="1"/>
  <c r="A243" i="19" s="1"/>
  <c r="A244" i="19" s="1"/>
  <c r="A245" i="19" s="1"/>
  <c r="A246" i="19" s="1"/>
  <c r="A247" i="19" s="1"/>
  <c r="A248" i="19" s="1"/>
  <c r="A249" i="19" s="1"/>
  <c r="A250" i="19" s="1"/>
  <c r="A251" i="19" s="1"/>
  <c r="A252" i="19" s="1"/>
  <c r="A253" i="19" s="1"/>
  <c r="A254" i="19" s="1"/>
  <c r="A255" i="19" s="1"/>
  <c r="A256" i="19" s="1"/>
  <c r="A257" i="19" s="1"/>
  <c r="A258" i="19" s="1"/>
  <c r="A259" i="19" s="1"/>
  <c r="A260" i="19" s="1"/>
  <c r="A261" i="19" s="1"/>
  <c r="A262" i="19" s="1"/>
  <c r="A263" i="19" s="1"/>
  <c r="A264" i="19" s="1"/>
  <c r="A265" i="19" s="1"/>
  <c r="A266" i="19" s="1"/>
  <c r="A267" i="19" s="1"/>
  <c r="A268" i="19" s="1"/>
  <c r="A269" i="19" s="1"/>
  <c r="A270" i="19" s="1"/>
  <c r="A271" i="19" s="1"/>
  <c r="A272" i="19" s="1"/>
  <c r="A273" i="19" s="1"/>
  <c r="A274" i="19" s="1"/>
  <c r="A275" i="19" s="1"/>
  <c r="A276" i="19" s="1"/>
  <c r="A277" i="19" s="1"/>
  <c r="A278" i="19" s="1"/>
  <c r="A279" i="19" s="1"/>
  <c r="A280" i="19" s="1"/>
  <c r="A281" i="19" s="1"/>
  <c r="A282" i="19" s="1"/>
  <c r="A283" i="19" s="1"/>
  <c r="A284" i="19" s="1"/>
  <c r="A285" i="19" s="1"/>
  <c r="A286" i="19" s="1"/>
  <c r="A287" i="19" s="1"/>
  <c r="A288" i="19" s="1"/>
  <c r="A289" i="19" s="1"/>
  <c r="A290" i="19" s="1"/>
  <c r="A291" i="19" s="1"/>
  <c r="A292" i="19" s="1"/>
  <c r="A293" i="19" s="1"/>
  <c r="A294" i="19" s="1"/>
  <c r="A295" i="19" s="1"/>
  <c r="A296" i="19" s="1"/>
  <c r="A297" i="19" s="1"/>
  <c r="A298" i="19" s="1"/>
  <c r="A299" i="19" s="1"/>
  <c r="A300" i="19" s="1"/>
  <c r="A301" i="19" s="1"/>
  <c r="A302" i="19" s="1"/>
  <c r="A303" i="19" s="1"/>
  <c r="A304" i="19" s="1"/>
  <c r="A305" i="19" s="1"/>
  <c r="A306" i="19" s="1"/>
  <c r="A307" i="19" s="1"/>
  <c r="A308" i="19" s="1"/>
  <c r="A309" i="19" s="1"/>
  <c r="A310" i="19" s="1"/>
  <c r="A311" i="19" s="1"/>
  <c r="A312" i="19" s="1"/>
  <c r="A313" i="19" s="1"/>
  <c r="A314" i="19" s="1"/>
  <c r="A315" i="19" s="1"/>
  <c r="A316" i="19" s="1"/>
  <c r="A317" i="19" s="1"/>
  <c r="A318" i="19" s="1"/>
  <c r="A319" i="19" s="1"/>
  <c r="A320" i="19" s="1"/>
  <c r="A321" i="19" s="1"/>
  <c r="A322" i="19" s="1"/>
  <c r="A323" i="19" s="1"/>
  <c r="A324" i="19" s="1"/>
  <c r="A325" i="19" s="1"/>
  <c r="A326" i="19" s="1"/>
  <c r="A327" i="19" s="1"/>
  <c r="A328" i="19" s="1"/>
  <c r="A329" i="19" s="1"/>
  <c r="A330" i="19" s="1"/>
  <c r="A331" i="19" s="1"/>
  <c r="A332" i="19" s="1"/>
  <c r="A333" i="19" s="1"/>
  <c r="A334" i="19" s="1"/>
  <c r="A335" i="19" s="1"/>
  <c r="A336" i="19" s="1"/>
  <c r="A337" i="19" s="1"/>
  <c r="A338" i="19" s="1"/>
  <c r="A339" i="19" s="1"/>
  <c r="A340" i="19" s="1"/>
  <c r="A341" i="19" s="1"/>
  <c r="A342" i="19" s="1"/>
  <c r="A343" i="19" s="1"/>
  <c r="A344" i="19" s="1"/>
  <c r="A345" i="19" s="1"/>
  <c r="A346" i="19" s="1"/>
  <c r="A347" i="19" s="1"/>
  <c r="A348" i="19" s="1"/>
  <c r="A349" i="19" s="1"/>
  <c r="A350" i="19" s="1"/>
  <c r="A351" i="19" s="1"/>
  <c r="A352" i="19" s="1"/>
  <c r="A353" i="19" s="1"/>
  <c r="A354" i="19" s="1"/>
  <c r="A355" i="19" s="1"/>
  <c r="A356" i="19" s="1"/>
  <c r="A357" i="19" s="1"/>
  <c r="A358" i="19" s="1"/>
  <c r="A359" i="19" s="1"/>
  <c r="A360" i="19" s="1"/>
  <c r="A361" i="19" s="1"/>
  <c r="A362" i="19" s="1"/>
  <c r="A363" i="19" s="1"/>
  <c r="A364" i="19" s="1"/>
  <c r="A365" i="19" s="1"/>
  <c r="A366" i="19" s="1"/>
  <c r="A367" i="19" s="1"/>
  <c r="A368" i="19" s="1"/>
  <c r="A369" i="19" s="1"/>
  <c r="A370" i="19" s="1"/>
  <c r="A371" i="19" s="1"/>
  <c r="A372" i="19" s="1"/>
  <c r="A373" i="19" s="1"/>
  <c r="A374" i="19" s="1"/>
  <c r="A375" i="19" s="1"/>
  <c r="A376" i="19" s="1"/>
  <c r="A377" i="19" s="1"/>
  <c r="A378" i="19" s="1"/>
  <c r="A379" i="19" s="1"/>
  <c r="A380" i="19" s="1"/>
  <c r="A381" i="19" s="1"/>
  <c r="A382" i="19" s="1"/>
  <c r="A383" i="19" s="1"/>
  <c r="A384" i="19" s="1"/>
  <c r="A385" i="19" s="1"/>
  <c r="A386" i="19" s="1"/>
  <c r="A387" i="19" s="1"/>
  <c r="A388" i="19" s="1"/>
  <c r="A389" i="19" s="1"/>
  <c r="A390" i="19" s="1"/>
  <c r="A391" i="19" s="1"/>
  <c r="A392" i="19" s="1"/>
  <c r="A393" i="19" s="1"/>
  <c r="A394" i="19" s="1"/>
  <c r="A395" i="19" s="1"/>
  <c r="A396" i="19" s="1"/>
  <c r="A397" i="19" s="1"/>
  <c r="A398" i="19" s="1"/>
  <c r="A399" i="19" s="1"/>
  <c r="A400" i="19" s="1"/>
  <c r="A401" i="19" s="1"/>
  <c r="A402" i="19" s="1"/>
  <c r="A403" i="19" s="1"/>
  <c r="A404" i="19" s="1"/>
  <c r="A405" i="19" s="1"/>
  <c r="A406" i="19" s="1"/>
  <c r="A407" i="19" s="1"/>
  <c r="A408" i="19" s="1"/>
  <c r="A409" i="19" s="1"/>
  <c r="A410" i="19" s="1"/>
  <c r="A411" i="19" s="1"/>
  <c r="A412" i="19" s="1"/>
  <c r="A413" i="19" s="1"/>
  <c r="A414" i="19" s="1"/>
  <c r="A415" i="19" s="1"/>
  <c r="A416" i="19" s="1"/>
  <c r="A417" i="19" s="1"/>
  <c r="A418" i="19" s="1"/>
  <c r="A419" i="19" s="1"/>
  <c r="A420" i="19" s="1"/>
  <c r="A421" i="19" s="1"/>
  <c r="A422" i="19" s="1"/>
  <c r="A423" i="19" s="1"/>
  <c r="A424" i="19" s="1"/>
  <c r="A425" i="19" s="1"/>
  <c r="A426" i="19" s="1"/>
  <c r="A427" i="19" s="1"/>
  <c r="A428" i="19" s="1"/>
  <c r="A429" i="19" s="1"/>
  <c r="A430" i="19" s="1"/>
  <c r="A431" i="19" s="1"/>
  <c r="A432" i="19" s="1"/>
  <c r="A433" i="19" s="1"/>
  <c r="A434" i="19" s="1"/>
  <c r="A435" i="19" s="1"/>
  <c r="A436" i="19" s="1"/>
  <c r="A437" i="19" s="1"/>
  <c r="A438" i="19" s="1"/>
  <c r="A439" i="19" s="1"/>
  <c r="A440" i="19" s="1"/>
  <c r="A441" i="19" s="1"/>
  <c r="A442" i="19" s="1"/>
  <c r="A443" i="19" s="1"/>
  <c r="A444" i="19" s="1"/>
  <c r="A445" i="19" s="1"/>
  <c r="A446" i="19" s="1"/>
  <c r="A447" i="19" s="1"/>
  <c r="A448" i="19" s="1"/>
  <c r="A449" i="19" s="1"/>
  <c r="A450" i="19" s="1"/>
  <c r="A451" i="19" s="1"/>
  <c r="A452" i="19" s="1"/>
  <c r="A453" i="19" s="1"/>
  <c r="A454" i="19" s="1"/>
  <c r="A455" i="19" s="1"/>
  <c r="A456" i="19" s="1"/>
  <c r="A457" i="19" s="1"/>
  <c r="A458" i="19" s="1"/>
  <c r="A459" i="19" s="1"/>
  <c r="A460" i="19" s="1"/>
  <c r="A461" i="19" s="1"/>
  <c r="A462" i="19" s="1"/>
  <c r="A463" i="19" s="1"/>
  <c r="A464" i="19" s="1"/>
  <c r="A465" i="19" s="1"/>
  <c r="A466" i="19" s="1"/>
  <c r="A467" i="19" s="1"/>
  <c r="A468" i="19" s="1"/>
  <c r="A469" i="19" s="1"/>
  <c r="A470" i="19" s="1"/>
  <c r="A471" i="19" s="1"/>
  <c r="A472" i="19" s="1"/>
  <c r="A473" i="19" s="1"/>
  <c r="A474" i="19" s="1"/>
  <c r="A475" i="19" s="1"/>
  <c r="A476" i="19" s="1"/>
  <c r="A477" i="19" s="1"/>
  <c r="A478" i="19" s="1"/>
  <c r="A479" i="19" s="1"/>
  <c r="A480" i="19" s="1"/>
  <c r="A481" i="19" s="1"/>
  <c r="A482" i="19" s="1"/>
  <c r="A483" i="19" s="1"/>
  <c r="A484" i="19" s="1"/>
  <c r="A485" i="19" s="1"/>
  <c r="A486" i="19" s="1"/>
  <c r="A487" i="19" s="1"/>
  <c r="A488" i="19" s="1"/>
  <c r="A489" i="19" s="1"/>
  <c r="A490" i="19" s="1"/>
  <c r="A491" i="19" s="1"/>
  <c r="A492" i="19" s="1"/>
  <c r="A493" i="19" s="1"/>
  <c r="A494" i="19" s="1"/>
  <c r="A495" i="19" s="1"/>
  <c r="A496" i="19" s="1"/>
  <c r="A497" i="19" s="1"/>
  <c r="A498" i="19" s="1"/>
  <c r="A499" i="19" s="1"/>
  <c r="A500" i="19" s="1"/>
  <c r="A501" i="19" s="1"/>
  <c r="A502" i="19" s="1"/>
  <c r="A503" i="19" s="1"/>
  <c r="A504" i="19" s="1"/>
  <c r="A505" i="19" s="1"/>
  <c r="A506" i="19" s="1"/>
  <c r="A507" i="19" s="1"/>
  <c r="A508" i="19" s="1"/>
  <c r="A509" i="19" s="1"/>
  <c r="A510" i="19" s="1"/>
  <c r="A511" i="19" s="1"/>
  <c r="A512" i="19" s="1"/>
  <c r="A513" i="19" s="1"/>
  <c r="A514" i="19" s="1"/>
  <c r="A515" i="19" s="1"/>
  <c r="A516" i="19" s="1"/>
  <c r="A517" i="19" s="1"/>
  <c r="A518" i="19" s="1"/>
  <c r="A519" i="19" s="1"/>
  <c r="A520" i="19" s="1"/>
  <c r="A521" i="19" s="1"/>
  <c r="A522" i="19" s="1"/>
  <c r="A523" i="19" s="1"/>
  <c r="A524" i="19" s="1"/>
  <c r="A525" i="19" s="1"/>
  <c r="A526" i="19" s="1"/>
  <c r="A527" i="19" s="1"/>
  <c r="A528" i="19" s="1"/>
  <c r="A529" i="19" s="1"/>
  <c r="A530" i="19" s="1"/>
  <c r="A531" i="19" s="1"/>
  <c r="A532" i="19" s="1"/>
  <c r="A533" i="19" s="1"/>
  <c r="A534" i="19" s="1"/>
  <c r="A535" i="19" s="1"/>
  <c r="A536" i="19" s="1"/>
  <c r="A537" i="19" s="1"/>
  <c r="A538" i="19" s="1"/>
  <c r="A539" i="19" s="1"/>
  <c r="A540" i="19" s="1"/>
  <c r="A541" i="19" s="1"/>
  <c r="A542" i="19" s="1"/>
  <c r="A543" i="19" s="1"/>
  <c r="A544" i="19" s="1"/>
  <c r="A545" i="19" s="1"/>
  <c r="A546" i="19" s="1"/>
  <c r="A547" i="19" s="1"/>
  <c r="A548" i="19" s="1"/>
  <c r="A549" i="19" s="1"/>
  <c r="A550" i="19" s="1"/>
  <c r="A551" i="19" s="1"/>
  <c r="A552" i="19" s="1"/>
  <c r="A553" i="19" s="1"/>
  <c r="A554" i="19" s="1"/>
  <c r="A555" i="19" s="1"/>
  <c r="A556" i="19" s="1"/>
  <c r="A557" i="19" s="1"/>
  <c r="A558" i="19" s="1"/>
  <c r="A559" i="19" s="1"/>
  <c r="A560" i="19" s="1"/>
  <c r="A561" i="19" s="1"/>
  <c r="A562" i="19" s="1"/>
  <c r="A563" i="19" s="1"/>
  <c r="A564" i="19" s="1"/>
  <c r="A565" i="19" s="1"/>
  <c r="A566" i="19" s="1"/>
  <c r="A567" i="19" s="1"/>
  <c r="A568" i="19" s="1"/>
  <c r="A569" i="19" s="1"/>
  <c r="A570" i="19" s="1"/>
  <c r="A571" i="19" s="1"/>
  <c r="A572" i="19" s="1"/>
  <c r="A573" i="19" s="1"/>
  <c r="A574" i="19" s="1"/>
  <c r="A575" i="19" s="1"/>
  <c r="A576" i="19" s="1"/>
  <c r="A577" i="19" s="1"/>
  <c r="A578" i="19" s="1"/>
  <c r="A579" i="19" s="1"/>
  <c r="A580" i="19" s="1"/>
  <c r="A581" i="19" s="1"/>
  <c r="A582" i="19" s="1"/>
  <c r="A583" i="19" s="1"/>
  <c r="A584" i="19" s="1"/>
  <c r="A585" i="19" s="1"/>
  <c r="A586" i="19" s="1"/>
  <c r="A587" i="19" s="1"/>
  <c r="A588" i="19" s="1"/>
  <c r="A589" i="19" s="1"/>
  <c r="A590" i="19" s="1"/>
  <c r="A591" i="19" s="1"/>
  <c r="A592" i="19" s="1"/>
  <c r="A593" i="19" s="1"/>
  <c r="A594" i="19" s="1"/>
  <c r="A595" i="19" s="1"/>
  <c r="A596" i="19" s="1"/>
  <c r="A597" i="19" s="1"/>
  <c r="A598" i="19" s="1"/>
  <c r="A599" i="19" s="1"/>
  <c r="A600" i="19" s="1"/>
  <c r="A601" i="19" s="1"/>
  <c r="A602" i="19" s="1"/>
  <c r="A603" i="19" s="1"/>
  <c r="A604" i="19" s="1"/>
  <c r="A605" i="19" s="1"/>
  <c r="A606" i="19" s="1"/>
  <c r="A607" i="19" s="1"/>
  <c r="A608" i="19" s="1"/>
  <c r="A609" i="19" s="1"/>
  <c r="A610" i="19" s="1"/>
  <c r="A611" i="19" s="1"/>
  <c r="A612" i="19" s="1"/>
  <c r="A613" i="19" s="1"/>
  <c r="A614" i="19" s="1"/>
  <c r="A615" i="19" s="1"/>
  <c r="A616" i="19" s="1"/>
  <c r="A617" i="19" s="1"/>
  <c r="A618" i="19" s="1"/>
  <c r="A619" i="19" s="1"/>
  <c r="A620" i="19" s="1"/>
  <c r="A621" i="19" s="1"/>
  <c r="A622" i="19" s="1"/>
  <c r="A623" i="19" s="1"/>
  <c r="A624" i="19" s="1"/>
  <c r="A625" i="19" s="1"/>
  <c r="A626" i="19" s="1"/>
  <c r="A627" i="19" s="1"/>
  <c r="A628" i="19" s="1"/>
  <c r="A629" i="19" s="1"/>
  <c r="A630" i="19" s="1"/>
  <c r="A631" i="19" s="1"/>
  <c r="A632" i="19" s="1"/>
  <c r="A633" i="19" s="1"/>
  <c r="A634" i="19" s="1"/>
  <c r="A635" i="19" s="1"/>
  <c r="A636" i="19" s="1"/>
  <c r="A637" i="19" s="1"/>
  <c r="A638" i="19" s="1"/>
  <c r="A639" i="19" s="1"/>
  <c r="A640" i="19" s="1"/>
  <c r="A641" i="19" s="1"/>
  <c r="A642" i="19" s="1"/>
  <c r="A643" i="19" s="1"/>
  <c r="A644" i="19" s="1"/>
  <c r="A645" i="19" s="1"/>
  <c r="A646" i="19" s="1"/>
  <c r="A647" i="19" s="1"/>
  <c r="A648" i="19" s="1"/>
  <c r="A649" i="19" s="1"/>
  <c r="A650" i="19" s="1"/>
  <c r="A651" i="19" s="1"/>
  <c r="A652" i="19" s="1"/>
  <c r="A653" i="19" s="1"/>
  <c r="A654" i="19" s="1"/>
  <c r="A655" i="19" s="1"/>
  <c r="A656" i="19" s="1"/>
  <c r="A657" i="19" s="1"/>
  <c r="A658" i="19" s="1"/>
  <c r="A659" i="19" s="1"/>
  <c r="A660" i="19" s="1"/>
  <c r="A661" i="19" s="1"/>
  <c r="A662" i="19" s="1"/>
  <c r="A663" i="19" s="1"/>
  <c r="A664" i="19" s="1"/>
  <c r="A665" i="19" s="1"/>
  <c r="A666" i="19" s="1"/>
  <c r="A667" i="19" s="1"/>
  <c r="A668" i="19" s="1"/>
  <c r="A669" i="19" s="1"/>
  <c r="A670" i="19" s="1"/>
  <c r="A671" i="19" s="1"/>
  <c r="A672" i="19" s="1"/>
  <c r="A673" i="19" s="1"/>
  <c r="A674" i="19" s="1"/>
  <c r="A675" i="19" s="1"/>
  <c r="A676" i="19" s="1"/>
  <c r="A677" i="19" s="1"/>
  <c r="A678" i="19" s="1"/>
  <c r="A679" i="19" s="1"/>
  <c r="A680" i="19" s="1"/>
  <c r="A681" i="19" s="1"/>
  <c r="A682" i="19" s="1"/>
  <c r="A683" i="19" s="1"/>
  <c r="A684" i="19" s="1"/>
  <c r="A685" i="19" s="1"/>
  <c r="A686" i="19" s="1"/>
  <c r="A687" i="19" s="1"/>
  <c r="A688" i="19" s="1"/>
  <c r="A689" i="19" s="1"/>
  <c r="A690" i="19" s="1"/>
  <c r="A691" i="19" s="1"/>
  <c r="A692" i="19" s="1"/>
  <c r="A693" i="19" s="1"/>
  <c r="A694" i="19" s="1"/>
  <c r="A695" i="19" s="1"/>
  <c r="A696" i="19" s="1"/>
  <c r="A697" i="19" s="1"/>
  <c r="A698" i="19" s="1"/>
  <c r="A699" i="19" s="1"/>
  <c r="A700" i="19" s="1"/>
  <c r="A701" i="19" s="1"/>
  <c r="A702" i="19" s="1"/>
  <c r="A703" i="19" s="1"/>
  <c r="A704" i="19" s="1"/>
  <c r="A705" i="19" s="1"/>
  <c r="A706" i="19" s="1"/>
  <c r="A707" i="19" s="1"/>
  <c r="A708" i="19" s="1"/>
  <c r="A709" i="19" s="1"/>
  <c r="A710" i="19" s="1"/>
  <c r="A711" i="19" s="1"/>
  <c r="A712" i="19" s="1"/>
  <c r="A713" i="19" s="1"/>
  <c r="A714" i="19" s="1"/>
  <c r="A715" i="19" s="1"/>
  <c r="A716" i="19" s="1"/>
  <c r="A717" i="19" s="1"/>
  <c r="A718" i="19" s="1"/>
  <c r="A719" i="19" s="1"/>
  <c r="A720" i="19" s="1"/>
  <c r="A721" i="19" s="1"/>
  <c r="A722" i="19" s="1"/>
  <c r="A723" i="19" s="1"/>
  <c r="A724" i="19" s="1"/>
  <c r="A725" i="19" s="1"/>
  <c r="A726" i="19" s="1"/>
  <c r="A727" i="19" s="1"/>
  <c r="A728" i="19" s="1"/>
  <c r="A729" i="19" s="1"/>
  <c r="A730" i="19" s="1"/>
  <c r="A731" i="19" s="1"/>
  <c r="A732" i="19" s="1"/>
  <c r="A733" i="19" s="1"/>
  <c r="A734" i="19" s="1"/>
  <c r="A735" i="19" s="1"/>
  <c r="A736" i="19" s="1"/>
  <c r="A737" i="19" s="1"/>
  <c r="A738" i="19" s="1"/>
  <c r="A739" i="19" s="1"/>
  <c r="A740" i="19" s="1"/>
  <c r="A741" i="19" s="1"/>
  <c r="A742" i="19" s="1"/>
  <c r="A743" i="19" s="1"/>
  <c r="A744" i="19" s="1"/>
  <c r="A745" i="19" s="1"/>
  <c r="A746" i="19" s="1"/>
  <c r="A747" i="19" s="1"/>
  <c r="A748" i="19" s="1"/>
  <c r="A749" i="19" s="1"/>
  <c r="A750" i="19" s="1"/>
  <c r="A751" i="19" s="1"/>
  <c r="A752" i="19" s="1"/>
  <c r="A753" i="19" s="1"/>
  <c r="A754" i="19" s="1"/>
  <c r="A755" i="19" s="1"/>
  <c r="A756" i="19" s="1"/>
  <c r="A757" i="19" s="1"/>
  <c r="A758" i="19" s="1"/>
  <c r="A759" i="19" s="1"/>
  <c r="A760" i="19" s="1"/>
  <c r="A761" i="19" s="1"/>
  <c r="A762" i="19" s="1"/>
  <c r="A763" i="19" s="1"/>
  <c r="A764" i="19" s="1"/>
  <c r="A765" i="19" s="1"/>
  <c r="A766" i="19" s="1"/>
  <c r="A767" i="19" s="1"/>
  <c r="A768" i="19" s="1"/>
  <c r="A769" i="19" s="1"/>
  <c r="A770" i="19" s="1"/>
  <c r="A771" i="19" s="1"/>
  <c r="A772" i="19" s="1"/>
  <c r="A773" i="19" s="1"/>
  <c r="A774" i="19" s="1"/>
  <c r="A775" i="19" s="1"/>
  <c r="A776" i="19" s="1"/>
  <c r="A777" i="19" s="1"/>
  <c r="A778" i="19" s="1"/>
  <c r="A779" i="19" s="1"/>
  <c r="A780" i="19" s="1"/>
  <c r="A781" i="19" s="1"/>
  <c r="A782" i="19" s="1"/>
  <c r="A783" i="19" s="1"/>
  <c r="A784" i="19" s="1"/>
  <c r="A785" i="19" s="1"/>
  <c r="A786" i="19" s="1"/>
  <c r="A787" i="19" s="1"/>
  <c r="A788" i="19" s="1"/>
  <c r="A789" i="19" s="1"/>
  <c r="A790" i="19" s="1"/>
  <c r="A791" i="19" s="1"/>
  <c r="A792" i="19" s="1"/>
  <c r="A793" i="19" s="1"/>
  <c r="A794" i="19" s="1"/>
  <c r="A795" i="19" s="1"/>
  <c r="A796" i="19" s="1"/>
  <c r="A797" i="19" s="1"/>
  <c r="A798" i="19" s="1"/>
  <c r="A799" i="19" s="1"/>
  <c r="A800" i="19" s="1"/>
  <c r="A801" i="19" s="1"/>
  <c r="A802" i="19" s="1"/>
  <c r="A803" i="19" s="1"/>
  <c r="A804" i="19" s="1"/>
  <c r="A805" i="19" s="1"/>
  <c r="A806" i="19" s="1"/>
  <c r="A807" i="19" s="1"/>
  <c r="A808" i="19" s="1"/>
  <c r="A809" i="19" s="1"/>
  <c r="A810" i="19" s="1"/>
  <c r="A811" i="19" s="1"/>
  <c r="A812" i="19" s="1"/>
  <c r="A813" i="19" s="1"/>
  <c r="A814" i="19" s="1"/>
  <c r="A815" i="19" s="1"/>
  <c r="A816" i="19" s="1"/>
  <c r="A817" i="19" s="1"/>
  <c r="A818" i="19" s="1"/>
  <c r="A819" i="19" s="1"/>
  <c r="A820" i="19" s="1"/>
  <c r="A821" i="19" s="1"/>
  <c r="A822" i="19" s="1"/>
  <c r="A823" i="19" s="1"/>
  <c r="A824" i="19" s="1"/>
  <c r="A825" i="19" s="1"/>
  <c r="A826" i="19" s="1"/>
  <c r="A827" i="19" s="1"/>
  <c r="A828" i="19" s="1"/>
  <c r="A829" i="19" s="1"/>
  <c r="A830" i="19" s="1"/>
  <c r="A831" i="19" s="1"/>
  <c r="A832" i="19" s="1"/>
  <c r="A833" i="19" s="1"/>
  <c r="A834" i="19" s="1"/>
  <c r="A835" i="19" s="1"/>
  <c r="A836" i="19" s="1"/>
  <c r="A837" i="19" s="1"/>
  <c r="A838" i="19" s="1"/>
  <c r="A839" i="19" s="1"/>
  <c r="A840" i="19" s="1"/>
  <c r="A841" i="19" s="1"/>
  <c r="A842" i="19" s="1"/>
  <c r="A843" i="19" s="1"/>
  <c r="A844" i="19" s="1"/>
  <c r="A845" i="19" s="1"/>
  <c r="A846" i="19" s="1"/>
  <c r="A847" i="19" s="1"/>
  <c r="A848" i="19" s="1"/>
  <c r="A849" i="19" s="1"/>
  <c r="A850" i="19" s="1"/>
  <c r="A851" i="19" s="1"/>
  <c r="A852" i="19" s="1"/>
  <c r="A853" i="19" s="1"/>
  <c r="A854" i="19" s="1"/>
  <c r="A855" i="19" s="1"/>
  <c r="A856" i="19" s="1"/>
  <c r="A857" i="19" s="1"/>
  <c r="A858" i="19" s="1"/>
  <c r="A859" i="19" s="1"/>
  <c r="A860" i="19" s="1"/>
  <c r="A861" i="19" s="1"/>
  <c r="A862" i="19" s="1"/>
  <c r="A863" i="19" s="1"/>
  <c r="A864" i="19" s="1"/>
  <c r="A865" i="19" s="1"/>
  <c r="A866" i="19" s="1"/>
  <c r="A867" i="19" s="1"/>
  <c r="A868" i="19" s="1"/>
  <c r="A869" i="19" s="1"/>
  <c r="A870" i="19" s="1"/>
  <c r="A871" i="19" s="1"/>
  <c r="A872" i="19" s="1"/>
  <c r="A873" i="19" s="1"/>
  <c r="A874" i="19" s="1"/>
  <c r="A875" i="19" s="1"/>
  <c r="A876" i="19" s="1"/>
  <c r="A877" i="19" s="1"/>
  <c r="A878" i="19" s="1"/>
  <c r="A879" i="19" s="1"/>
  <c r="A880" i="19" s="1"/>
  <c r="A881" i="19" s="1"/>
  <c r="A882" i="19" s="1"/>
  <c r="A883" i="19" s="1"/>
  <c r="A884" i="19" s="1"/>
  <c r="A885" i="19" s="1"/>
  <c r="A886" i="19" s="1"/>
  <c r="A887" i="19" s="1"/>
  <c r="A888" i="19" s="1"/>
  <c r="A889" i="19" s="1"/>
  <c r="A890" i="19" s="1"/>
  <c r="A891" i="19" s="1"/>
  <c r="A892" i="19" s="1"/>
  <c r="A893" i="19" s="1"/>
  <c r="A894" i="19" s="1"/>
  <c r="A895" i="19" s="1"/>
  <c r="A896" i="19" s="1"/>
  <c r="A897" i="19" s="1"/>
  <c r="A898" i="19" s="1"/>
  <c r="A899" i="19" s="1"/>
  <c r="A900" i="19" s="1"/>
  <c r="A901" i="19" s="1"/>
  <c r="A902" i="19" s="1"/>
  <c r="A903" i="19" s="1"/>
  <c r="A904" i="19" s="1"/>
  <c r="A905" i="19" s="1"/>
  <c r="A906" i="19" s="1"/>
  <c r="A907" i="19" s="1"/>
  <c r="A908" i="19" s="1"/>
  <c r="A909" i="19" s="1"/>
  <c r="A910" i="19" s="1"/>
  <c r="A911" i="19" s="1"/>
  <c r="A912" i="19" s="1"/>
  <c r="A913" i="19" s="1"/>
  <c r="A914" i="19" s="1"/>
  <c r="A915" i="19" s="1"/>
  <c r="A916" i="19" s="1"/>
  <c r="A917" i="19" s="1"/>
  <c r="A918" i="19" s="1"/>
  <c r="A919" i="19" s="1"/>
  <c r="A920" i="19" s="1"/>
  <c r="A921" i="19" s="1"/>
  <c r="A922" i="19" s="1"/>
  <c r="A923" i="19" s="1"/>
  <c r="A924" i="19" s="1"/>
  <c r="A925" i="19" s="1"/>
  <c r="A926" i="19" s="1"/>
  <c r="A927" i="19" s="1"/>
  <c r="A928" i="19" s="1"/>
  <c r="A929" i="19" s="1"/>
  <c r="A930" i="19" s="1"/>
  <c r="A931" i="19" s="1"/>
  <c r="A932" i="19" s="1"/>
  <c r="A933" i="19" s="1"/>
  <c r="A934" i="19" s="1"/>
  <c r="A935" i="19" s="1"/>
  <c r="A936" i="19" s="1"/>
  <c r="A937" i="19" s="1"/>
  <c r="A938" i="19" s="1"/>
  <c r="A939" i="19" s="1"/>
  <c r="A940" i="19" s="1"/>
  <c r="A941" i="19" s="1"/>
  <c r="A942" i="19" s="1"/>
  <c r="A943" i="19" s="1"/>
  <c r="A944" i="19" s="1"/>
  <c r="A945" i="19" s="1"/>
  <c r="A946" i="19" s="1"/>
  <c r="A947" i="19" s="1"/>
  <c r="A948" i="19" s="1"/>
  <c r="A949" i="19" s="1"/>
  <c r="A950" i="19" s="1"/>
  <c r="A951" i="19" s="1"/>
  <c r="A952" i="19" s="1"/>
  <c r="A953" i="19" s="1"/>
  <c r="A954" i="19" s="1"/>
  <c r="A955" i="19" s="1"/>
  <c r="A956" i="19" s="1"/>
  <c r="A957" i="19" s="1"/>
  <c r="A958" i="19" s="1"/>
  <c r="A959" i="19" s="1"/>
  <c r="A960" i="19" s="1"/>
  <c r="A961" i="19" s="1"/>
  <c r="A962" i="19" s="1"/>
  <c r="A963" i="19" s="1"/>
  <c r="A964" i="19" s="1"/>
  <c r="A965" i="19" s="1"/>
  <c r="A966" i="19" s="1"/>
  <c r="A967" i="19" s="1"/>
  <c r="A968" i="19" s="1"/>
  <c r="A969" i="19" s="1"/>
  <c r="A970" i="19" s="1"/>
  <c r="A971" i="19" s="1"/>
  <c r="A972" i="19" s="1"/>
  <c r="A973" i="19" s="1"/>
  <c r="A974" i="19" s="1"/>
  <c r="A975" i="19" s="1"/>
  <c r="A976" i="19" s="1"/>
  <c r="A977" i="19" s="1"/>
  <c r="A978" i="19" s="1"/>
  <c r="A979" i="19" s="1"/>
  <c r="A980" i="19" s="1"/>
  <c r="A981" i="19" s="1"/>
  <c r="A982" i="19" s="1"/>
  <c r="A983" i="19" s="1"/>
  <c r="A984" i="19" s="1"/>
  <c r="A985" i="19" s="1"/>
  <c r="A986" i="19" s="1"/>
  <c r="A987" i="19" s="1"/>
  <c r="A988" i="19" s="1"/>
  <c r="A989" i="19" s="1"/>
  <c r="A990" i="19" s="1"/>
  <c r="A991" i="19" s="1"/>
  <c r="A992" i="19" s="1"/>
  <c r="A993" i="19" s="1"/>
  <c r="A994" i="19" s="1"/>
  <c r="A995" i="19" s="1"/>
  <c r="A996" i="19" s="1"/>
  <c r="A997" i="19" s="1"/>
  <c r="A998" i="19" s="1"/>
  <c r="A999" i="19" s="1"/>
  <c r="A1000" i="19" s="1"/>
  <c r="A1001" i="19" s="1"/>
  <c r="A1002" i="19" s="1"/>
  <c r="A1003" i="19" s="1"/>
  <c r="A1004" i="19" s="1"/>
  <c r="A1005" i="19" s="1"/>
  <c r="A1006" i="19" s="1"/>
  <c r="A1007" i="19" s="1"/>
  <c r="A1008" i="19" s="1"/>
  <c r="A1009" i="19" s="1"/>
  <c r="A1010" i="19" s="1"/>
  <c r="A1011" i="19" s="1"/>
  <c r="A1012" i="19" s="1"/>
  <c r="A1013" i="19" s="1"/>
  <c r="A1014" i="19" s="1"/>
  <c r="A1015" i="19" s="1"/>
  <c r="A1016" i="19" s="1"/>
  <c r="A1017" i="19" s="1"/>
  <c r="A1018" i="19" s="1"/>
  <c r="A1019" i="19" s="1"/>
  <c r="A1020" i="19" s="1"/>
  <c r="A1021" i="19" s="1"/>
  <c r="A1022" i="19" s="1"/>
  <c r="A1023" i="19" s="1"/>
  <c r="A1024" i="19" s="1"/>
  <c r="A1025" i="19" s="1"/>
  <c r="A1026" i="19" s="1"/>
  <c r="A1027" i="19" s="1"/>
  <c r="A1028" i="19" s="1"/>
  <c r="A1029" i="19" s="1"/>
  <c r="A1030" i="19" s="1"/>
  <c r="A1031" i="19" s="1"/>
  <c r="A1032" i="19" s="1"/>
  <c r="A1033" i="19" s="1"/>
  <c r="A1034" i="19" s="1"/>
  <c r="A1035" i="19" s="1"/>
  <c r="A1036" i="19" s="1"/>
  <c r="A1037" i="19" s="1"/>
  <c r="A1038" i="19" s="1"/>
  <c r="A1039" i="19" s="1"/>
  <c r="A1040" i="19" s="1"/>
  <c r="A1041" i="19" s="1"/>
  <c r="A1042" i="19" s="1"/>
  <c r="A1043" i="19" s="1"/>
  <c r="A1044" i="19" s="1"/>
  <c r="A1045" i="19" s="1"/>
  <c r="A1046" i="19" s="1"/>
  <c r="A1047" i="19" s="1"/>
  <c r="A1048" i="19" s="1"/>
  <c r="A1049" i="19" s="1"/>
  <c r="A1050" i="19" s="1"/>
  <c r="A1051" i="19" s="1"/>
  <c r="A1052" i="19" s="1"/>
  <c r="A1053" i="19" s="1"/>
  <c r="A1054" i="19" s="1"/>
  <c r="A1055" i="19" s="1"/>
  <c r="A1056" i="19" s="1"/>
  <c r="A1057" i="19" s="1"/>
  <c r="A1058" i="19" s="1"/>
  <c r="A1059" i="19" s="1"/>
  <c r="A1060" i="19" s="1"/>
  <c r="A1061" i="19" s="1"/>
  <c r="A1062" i="19" s="1"/>
  <c r="A1063" i="19" s="1"/>
  <c r="A1064" i="19" s="1"/>
  <c r="A1065" i="19" s="1"/>
  <c r="A1066" i="19" s="1"/>
  <c r="A1067" i="19" s="1"/>
  <c r="A1068" i="19" s="1"/>
  <c r="A1069" i="19" s="1"/>
  <c r="A1070" i="19" s="1"/>
  <c r="A1071" i="19" s="1"/>
  <c r="A1072" i="19" s="1"/>
  <c r="A1073" i="19" s="1"/>
  <c r="A1074" i="19" s="1"/>
  <c r="A1075" i="19" s="1"/>
  <c r="A1076" i="19" s="1"/>
  <c r="A1077" i="19" s="1"/>
  <c r="A1078" i="19" s="1"/>
  <c r="A1079" i="19" s="1"/>
  <c r="A1080" i="19" s="1"/>
  <c r="A1081" i="19" s="1"/>
  <c r="A1082" i="19" s="1"/>
  <c r="A1083" i="19" s="1"/>
  <c r="A1084" i="19" s="1"/>
  <c r="A1085" i="19" s="1"/>
  <c r="A1086" i="19" s="1"/>
  <c r="A1087" i="19" s="1"/>
  <c r="A1088" i="19" s="1"/>
  <c r="A1089" i="19" s="1"/>
  <c r="A1090" i="19" s="1"/>
  <c r="A1091" i="19" s="1"/>
  <c r="A1092" i="19" s="1"/>
  <c r="A1093" i="19" s="1"/>
  <c r="S3" i="18"/>
  <c r="T3" i="18"/>
  <c r="S4" i="18"/>
  <c r="T4" i="18"/>
  <c r="S5" i="18"/>
  <c r="T5" i="18"/>
  <c r="S6" i="18"/>
  <c r="T6" i="18"/>
  <c r="S7" i="18"/>
  <c r="T7" i="18"/>
  <c r="S8" i="18"/>
  <c r="T8" i="18"/>
  <c r="S9" i="18"/>
  <c r="T9" i="18"/>
  <c r="S10" i="18"/>
  <c r="T10" i="18"/>
  <c r="S11" i="18"/>
  <c r="T11" i="18"/>
  <c r="S12" i="18"/>
  <c r="T12" i="18"/>
  <c r="S13" i="18"/>
  <c r="T13" i="18"/>
  <c r="S14" i="18"/>
  <c r="T14" i="18"/>
  <c r="S15" i="18"/>
  <c r="T15" i="18"/>
  <c r="S16" i="18"/>
  <c r="T16" i="18"/>
  <c r="S17" i="18"/>
  <c r="T17" i="18"/>
  <c r="S18" i="18"/>
  <c r="T18" i="18"/>
  <c r="S19" i="18"/>
  <c r="T19" i="18"/>
  <c r="S20" i="18"/>
  <c r="T20" i="18"/>
  <c r="S21" i="18"/>
  <c r="T21" i="18"/>
  <c r="S22" i="18"/>
  <c r="T22" i="18"/>
  <c r="S23" i="18"/>
  <c r="T23" i="18"/>
  <c r="S24" i="18"/>
  <c r="T24" i="18"/>
  <c r="S25" i="18"/>
  <c r="T25" i="18"/>
  <c r="S26" i="18"/>
  <c r="T26" i="18"/>
  <c r="S27" i="18"/>
  <c r="T27" i="18"/>
  <c r="S28" i="18"/>
  <c r="T28" i="18"/>
  <c r="S29" i="18"/>
  <c r="T29" i="18"/>
  <c r="S30" i="18"/>
  <c r="T30" i="18"/>
  <c r="S31" i="18"/>
  <c r="T31" i="18"/>
  <c r="S32" i="18"/>
  <c r="T32" i="18"/>
  <c r="S33" i="18"/>
  <c r="T33" i="18"/>
  <c r="S34" i="18"/>
  <c r="T34" i="18"/>
  <c r="S35" i="18"/>
  <c r="T35" i="18"/>
  <c r="S36" i="18"/>
  <c r="T36" i="18"/>
  <c r="S37" i="18"/>
  <c r="T37" i="18"/>
  <c r="S38" i="18"/>
  <c r="T38" i="18"/>
  <c r="S39" i="18"/>
  <c r="T39" i="18"/>
  <c r="S40" i="18"/>
  <c r="T40" i="18"/>
  <c r="S41" i="18"/>
  <c r="T41" i="18"/>
  <c r="S42" i="18"/>
  <c r="T42" i="18"/>
  <c r="S43" i="18"/>
  <c r="T43" i="18"/>
  <c r="S44" i="18"/>
  <c r="T44" i="18"/>
  <c r="S45" i="18"/>
  <c r="T45" i="18"/>
  <c r="S46" i="18"/>
  <c r="T46" i="18"/>
  <c r="S47" i="18"/>
  <c r="T47" i="18"/>
  <c r="S48" i="18"/>
  <c r="T48" i="18"/>
  <c r="S49" i="18"/>
  <c r="T49" i="18"/>
  <c r="S50" i="18"/>
  <c r="T50" i="18"/>
  <c r="S51" i="18"/>
  <c r="T51" i="18"/>
  <c r="S52" i="18"/>
  <c r="T52" i="18"/>
  <c r="S53" i="18"/>
  <c r="T53" i="18"/>
  <c r="S54" i="18"/>
  <c r="T54" i="18"/>
  <c r="S55" i="18"/>
  <c r="T55" i="18"/>
  <c r="S56" i="18"/>
  <c r="T56" i="18"/>
  <c r="S57" i="18"/>
  <c r="T57" i="18"/>
  <c r="S58" i="18"/>
  <c r="T58" i="18"/>
  <c r="S59" i="18"/>
  <c r="T59" i="18"/>
  <c r="S60" i="18"/>
  <c r="T60" i="18"/>
  <c r="S61" i="18"/>
  <c r="T61" i="18"/>
  <c r="S62" i="18"/>
  <c r="T62" i="18"/>
  <c r="S63" i="18"/>
  <c r="T63" i="18"/>
  <c r="S64" i="18"/>
  <c r="T64" i="18"/>
  <c r="S65" i="18"/>
  <c r="T65" i="18"/>
  <c r="S66" i="18"/>
  <c r="T66" i="18"/>
  <c r="S67" i="18"/>
  <c r="T67" i="18"/>
  <c r="S68" i="18"/>
  <c r="T68" i="18"/>
  <c r="S69" i="18"/>
  <c r="T69" i="18"/>
  <c r="S70" i="18"/>
  <c r="T70" i="18"/>
  <c r="S71" i="18"/>
  <c r="T71" i="18"/>
  <c r="S72" i="18"/>
  <c r="T72" i="18"/>
  <c r="S73" i="18"/>
  <c r="T73" i="18"/>
  <c r="S74" i="18"/>
  <c r="T74" i="18"/>
  <c r="S75" i="18"/>
  <c r="T75" i="18"/>
  <c r="S76" i="18"/>
  <c r="T76" i="18"/>
  <c r="S77" i="18"/>
  <c r="T77" i="18"/>
  <c r="S78" i="18"/>
  <c r="T78" i="18"/>
  <c r="S79" i="18"/>
  <c r="T79" i="18"/>
  <c r="S80" i="18"/>
  <c r="T80" i="18"/>
  <c r="S81" i="18"/>
  <c r="T81" i="18"/>
  <c r="S82" i="18"/>
  <c r="T82" i="18"/>
  <c r="S83" i="18"/>
  <c r="T83" i="18"/>
  <c r="S84" i="18"/>
  <c r="T84" i="18"/>
  <c r="S85" i="18"/>
  <c r="T85" i="18"/>
  <c r="S86" i="18"/>
  <c r="T86" i="18"/>
  <c r="S87" i="18"/>
  <c r="T87" i="18"/>
  <c r="S88" i="18"/>
  <c r="T88" i="18"/>
  <c r="S89" i="18"/>
  <c r="T89" i="18"/>
  <c r="S90" i="18"/>
  <c r="T90" i="18"/>
  <c r="S91" i="18"/>
  <c r="T91" i="18"/>
  <c r="S92" i="18"/>
  <c r="T92" i="18"/>
  <c r="S93" i="18"/>
  <c r="T93" i="18"/>
  <c r="S94" i="18"/>
  <c r="T94" i="18"/>
  <c r="S95" i="18"/>
  <c r="T95" i="18"/>
  <c r="S96" i="18"/>
  <c r="T96" i="18"/>
  <c r="S97" i="18"/>
  <c r="T97" i="18"/>
  <c r="S98" i="18"/>
  <c r="T98" i="18"/>
  <c r="S99" i="18"/>
  <c r="T99" i="18"/>
  <c r="S100" i="18"/>
  <c r="T100" i="18"/>
  <c r="S101" i="18"/>
  <c r="T101" i="18"/>
  <c r="S102" i="18"/>
  <c r="T102" i="18"/>
  <c r="S103" i="18"/>
  <c r="T103" i="18"/>
  <c r="S104" i="18"/>
  <c r="T104" i="18"/>
  <c r="S105" i="18"/>
  <c r="T105" i="18"/>
  <c r="S106" i="18"/>
  <c r="T106" i="18"/>
  <c r="S107" i="18"/>
  <c r="T107" i="18"/>
  <c r="S108" i="18"/>
  <c r="T108" i="18"/>
  <c r="S109" i="18"/>
  <c r="T109" i="18"/>
  <c r="S110" i="18"/>
  <c r="T110" i="18"/>
  <c r="S111" i="18"/>
  <c r="T111" i="18"/>
  <c r="S112" i="18"/>
  <c r="T112" i="18"/>
  <c r="S113" i="18"/>
  <c r="T113" i="18"/>
  <c r="S114" i="18"/>
  <c r="T114" i="18"/>
  <c r="S115" i="18"/>
  <c r="T115" i="18"/>
  <c r="S116" i="18"/>
  <c r="T116" i="18"/>
  <c r="S117" i="18"/>
  <c r="T117" i="18"/>
  <c r="S118" i="18"/>
  <c r="T118" i="18"/>
  <c r="S119" i="18"/>
  <c r="T119" i="18"/>
  <c r="S120" i="18"/>
  <c r="T120" i="18"/>
  <c r="S121" i="18"/>
  <c r="T121" i="18"/>
  <c r="S122" i="18"/>
  <c r="T122" i="18"/>
  <c r="S123" i="18"/>
  <c r="T123" i="18"/>
  <c r="S124" i="18"/>
  <c r="T124" i="18"/>
  <c r="S125" i="18"/>
  <c r="T125" i="18"/>
  <c r="S126" i="18"/>
  <c r="T126" i="18"/>
  <c r="S127" i="18"/>
  <c r="T127" i="18"/>
  <c r="S128" i="18"/>
  <c r="T128" i="18"/>
  <c r="S129" i="18"/>
  <c r="T129" i="18"/>
  <c r="S130" i="18"/>
  <c r="T130" i="18"/>
  <c r="S131" i="18"/>
  <c r="T131" i="18"/>
  <c r="S132" i="18"/>
  <c r="T132" i="18"/>
  <c r="S133" i="18"/>
  <c r="T133" i="18"/>
  <c r="S134" i="18"/>
  <c r="T134" i="18"/>
  <c r="S135" i="18"/>
  <c r="T135" i="18"/>
  <c r="S136" i="18"/>
  <c r="T136" i="18"/>
  <c r="S137" i="18"/>
  <c r="T137" i="18"/>
  <c r="S138" i="18"/>
  <c r="T138" i="18"/>
  <c r="S139" i="18"/>
  <c r="T139" i="18"/>
  <c r="S140" i="18"/>
  <c r="T140" i="18"/>
  <c r="S141" i="18"/>
  <c r="T141" i="18"/>
  <c r="S142" i="18"/>
  <c r="T142" i="18"/>
  <c r="S143" i="18"/>
  <c r="T143" i="18"/>
  <c r="S144" i="18"/>
  <c r="T144" i="18"/>
  <c r="S145" i="18"/>
  <c r="T145" i="18"/>
  <c r="S146" i="18"/>
  <c r="T146" i="18"/>
  <c r="S147" i="18"/>
  <c r="T147" i="18"/>
  <c r="S148" i="18"/>
  <c r="T148" i="18"/>
  <c r="S149" i="18"/>
  <c r="T149" i="18"/>
  <c r="S150" i="18"/>
  <c r="T150" i="18"/>
  <c r="S151" i="18"/>
  <c r="T151" i="18"/>
  <c r="S152" i="18"/>
  <c r="T152" i="18"/>
  <c r="S153" i="18"/>
  <c r="T153" i="18"/>
  <c r="S154" i="18"/>
  <c r="T154" i="18"/>
  <c r="S155" i="18"/>
  <c r="T155" i="18"/>
  <c r="S156" i="18"/>
  <c r="T156" i="18"/>
  <c r="S157" i="18"/>
  <c r="T157" i="18"/>
  <c r="S158" i="18"/>
  <c r="T158" i="18"/>
  <c r="S159" i="18"/>
  <c r="T159" i="18"/>
  <c r="S160" i="18"/>
  <c r="T160" i="18"/>
  <c r="S161" i="18"/>
  <c r="T161" i="18"/>
  <c r="S162" i="18"/>
  <c r="T162" i="18"/>
  <c r="S163" i="18"/>
  <c r="T163" i="18"/>
  <c r="S164" i="18"/>
  <c r="T164" i="18"/>
  <c r="S165" i="18"/>
  <c r="T165" i="18"/>
  <c r="S166" i="18"/>
  <c r="T166" i="18"/>
  <c r="S167" i="18"/>
  <c r="T167" i="18"/>
  <c r="S168" i="18"/>
  <c r="T168" i="18"/>
  <c r="S169" i="18"/>
  <c r="T169" i="18"/>
  <c r="S170" i="18"/>
  <c r="T170" i="18"/>
  <c r="S171" i="18"/>
  <c r="T171" i="18"/>
  <c r="S172" i="18"/>
  <c r="T172" i="18"/>
  <c r="S173" i="18"/>
  <c r="T173" i="18"/>
  <c r="S174" i="18"/>
  <c r="T174" i="18"/>
  <c r="S175" i="18"/>
  <c r="T175" i="18"/>
  <c r="S176" i="18"/>
  <c r="T176" i="18"/>
  <c r="S177" i="18"/>
  <c r="T177" i="18"/>
  <c r="S178" i="18"/>
  <c r="T178" i="18"/>
  <c r="S179" i="18"/>
  <c r="T179" i="18"/>
  <c r="S180" i="18"/>
  <c r="T180" i="18"/>
  <c r="S181" i="18"/>
  <c r="T181" i="18"/>
  <c r="S182" i="18"/>
  <c r="T182" i="18"/>
  <c r="S183" i="18"/>
  <c r="T183" i="18"/>
  <c r="S184" i="18"/>
  <c r="T184" i="18"/>
  <c r="S185" i="18"/>
  <c r="T185" i="18"/>
  <c r="S186" i="18"/>
  <c r="T186" i="18"/>
  <c r="S187" i="18"/>
  <c r="T187" i="18"/>
  <c r="S188" i="18"/>
  <c r="T188" i="18"/>
  <c r="S189" i="18"/>
  <c r="T189" i="18"/>
  <c r="S190" i="18"/>
  <c r="T190" i="18"/>
  <c r="S191" i="18"/>
  <c r="T191" i="18"/>
  <c r="S192" i="18"/>
  <c r="T192" i="18"/>
  <c r="S193" i="18"/>
  <c r="T193" i="18"/>
  <c r="S194" i="18"/>
  <c r="T194" i="18"/>
  <c r="S195" i="18"/>
  <c r="T195" i="18"/>
  <c r="S196" i="18"/>
  <c r="T196" i="18"/>
  <c r="S197" i="18"/>
  <c r="T197" i="18"/>
  <c r="S198" i="18"/>
  <c r="T198" i="18"/>
  <c r="S199" i="18"/>
  <c r="T199" i="18"/>
  <c r="S200" i="18"/>
  <c r="T200" i="18"/>
  <c r="S201" i="18"/>
  <c r="T201" i="18"/>
  <c r="S202" i="18"/>
  <c r="T202" i="18"/>
  <c r="S203" i="18"/>
  <c r="T203" i="18"/>
  <c r="S204" i="18"/>
  <c r="T204" i="18"/>
  <c r="S205" i="18"/>
  <c r="T205" i="18"/>
  <c r="S206" i="18"/>
  <c r="T206" i="18"/>
  <c r="S207" i="18"/>
  <c r="T207" i="18"/>
  <c r="S208" i="18"/>
  <c r="T208" i="18"/>
  <c r="S209" i="18"/>
  <c r="T209" i="18"/>
  <c r="S210" i="18"/>
  <c r="T210" i="18"/>
  <c r="S211" i="18"/>
  <c r="T211" i="18"/>
  <c r="S212" i="18"/>
  <c r="T212" i="18"/>
  <c r="S213" i="18"/>
  <c r="T213" i="18"/>
  <c r="S214" i="18"/>
  <c r="T214" i="18"/>
  <c r="S215" i="18"/>
  <c r="T215" i="18"/>
  <c r="S216" i="18"/>
  <c r="T216" i="18"/>
  <c r="S217" i="18"/>
  <c r="T217" i="18"/>
  <c r="S218" i="18"/>
  <c r="T218" i="18"/>
  <c r="S219" i="18"/>
  <c r="T219" i="18"/>
  <c r="S220" i="18"/>
  <c r="T220" i="18"/>
  <c r="S221" i="18"/>
  <c r="T221" i="18"/>
  <c r="S222" i="18"/>
  <c r="T222" i="18"/>
  <c r="S223" i="18"/>
  <c r="T223" i="18"/>
  <c r="T2" i="18"/>
  <c r="S2" i="18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B2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/>
  <c r="B155" i="18"/>
  <c r="B156" i="18"/>
  <c r="B157" i="18"/>
  <c r="B158" i="18"/>
  <c r="B159" i="18"/>
  <c r="B160" i="18"/>
  <c r="B161" i="18"/>
  <c r="B162" i="18"/>
  <c r="B163" i="18"/>
  <c r="B164" i="18"/>
  <c r="B165" i="18"/>
  <c r="B166" i="18"/>
  <c r="B167" i="18"/>
  <c r="B168" i="18"/>
  <c r="B169" i="18"/>
  <c r="B170" i="18"/>
  <c r="B171" i="18"/>
  <c r="B172" i="18"/>
  <c r="B173" i="18"/>
  <c r="B174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B206" i="18"/>
  <c r="B207" i="18"/>
  <c r="B208" i="18"/>
  <c r="B209" i="18"/>
  <c r="B210" i="18"/>
  <c r="B211" i="18"/>
  <c r="B212" i="18"/>
  <c r="B213" i="18"/>
  <c r="B214" i="18"/>
  <c r="B215" i="18"/>
  <c r="B216" i="18"/>
  <c r="B217" i="18"/>
  <c r="B218" i="18"/>
  <c r="B219" i="18"/>
  <c r="B220" i="18"/>
  <c r="B221" i="18"/>
  <c r="B222" i="18"/>
  <c r="B223" i="18"/>
  <c r="A3" i="18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59" i="18" s="1"/>
  <c r="A160" i="18" s="1"/>
  <c r="A161" i="18" s="1"/>
  <c r="A162" i="18" s="1"/>
  <c r="A163" i="18" s="1"/>
  <c r="A164" i="18" s="1"/>
  <c r="A165" i="18" s="1"/>
  <c r="A166" i="18" s="1"/>
  <c r="A167" i="18" s="1"/>
  <c r="A168" i="18" s="1"/>
  <c r="A169" i="18" s="1"/>
  <c r="A170" i="18" s="1"/>
  <c r="A171" i="18" s="1"/>
  <c r="A172" i="18" s="1"/>
  <c r="A173" i="18" s="1"/>
  <c r="A174" i="18" s="1"/>
  <c r="A175" i="18" s="1"/>
  <c r="A176" i="18" s="1"/>
  <c r="A177" i="18" s="1"/>
  <c r="A178" i="18" s="1"/>
  <c r="A179" i="18" s="1"/>
  <c r="A180" i="18" s="1"/>
  <c r="A181" i="18" s="1"/>
  <c r="A182" i="18" s="1"/>
  <c r="A183" i="18" s="1"/>
  <c r="A184" i="18" s="1"/>
  <c r="A185" i="18" s="1"/>
  <c r="A186" i="18" s="1"/>
  <c r="A187" i="18" s="1"/>
  <c r="A188" i="18" s="1"/>
  <c r="A189" i="18" s="1"/>
  <c r="A190" i="18" s="1"/>
  <c r="A191" i="18" s="1"/>
  <c r="A192" i="18" s="1"/>
  <c r="A193" i="18" s="1"/>
  <c r="A194" i="18" s="1"/>
  <c r="A195" i="18" s="1"/>
  <c r="A196" i="18" s="1"/>
  <c r="A197" i="18" s="1"/>
  <c r="A198" i="18" s="1"/>
  <c r="A199" i="18" s="1"/>
  <c r="A200" i="18" s="1"/>
  <c r="A201" i="18" s="1"/>
  <c r="A202" i="18" s="1"/>
  <c r="A203" i="18" s="1"/>
  <c r="A204" i="18" s="1"/>
  <c r="A205" i="18" s="1"/>
  <c r="A206" i="18" s="1"/>
  <c r="A207" i="18" s="1"/>
  <c r="A208" i="18" s="1"/>
  <c r="A209" i="18" s="1"/>
  <c r="A210" i="18" s="1"/>
  <c r="A211" i="18" s="1"/>
  <c r="A212" i="18" s="1"/>
  <c r="A213" i="18" s="1"/>
  <c r="A214" i="18" s="1"/>
  <c r="A215" i="18" s="1"/>
  <c r="A216" i="18" s="1"/>
  <c r="A217" i="18" s="1"/>
  <c r="A218" i="18" s="1"/>
  <c r="A219" i="18" s="1"/>
  <c r="A220" i="18" s="1"/>
  <c r="A221" i="18" s="1"/>
  <c r="A222" i="18" s="1"/>
  <c r="A223" i="18" s="1"/>
  <c r="A224" i="18" s="1"/>
  <c r="A225" i="18" s="1"/>
  <c r="A226" i="18" s="1"/>
  <c r="A227" i="18" s="1"/>
  <c r="A228" i="18" s="1"/>
  <c r="A229" i="18" s="1"/>
  <c r="A230" i="18" s="1"/>
  <c r="A231" i="18" s="1"/>
  <c r="A232" i="18" s="1"/>
  <c r="A233" i="18" s="1"/>
  <c r="A234" i="18" s="1"/>
  <c r="A235" i="18" s="1"/>
  <c r="A236" i="18" s="1"/>
  <c r="A237" i="18" s="1"/>
  <c r="A238" i="18" s="1"/>
  <c r="A239" i="18" s="1"/>
  <c r="A240" i="18" s="1"/>
  <c r="A241" i="18" s="1"/>
  <c r="A242" i="18" s="1"/>
  <c r="A243" i="18" s="1"/>
  <c r="A244" i="18" s="1"/>
  <c r="A245" i="18" s="1"/>
  <c r="A246" i="18" s="1"/>
  <c r="A247" i="18" s="1"/>
  <c r="A248" i="18" s="1"/>
  <c r="A249" i="18" s="1"/>
  <c r="A250" i="18" s="1"/>
  <c r="A251" i="18" s="1"/>
  <c r="A252" i="18" s="1"/>
  <c r="A253" i="18" s="1"/>
  <c r="A254" i="18" s="1"/>
  <c r="A255" i="18" s="1"/>
  <c r="A256" i="18" s="1"/>
  <c r="A257" i="18" s="1"/>
  <c r="A258" i="18" s="1"/>
  <c r="A259" i="18" s="1"/>
  <c r="A260" i="18" s="1"/>
  <c r="A261" i="18" s="1"/>
  <c r="A262" i="18" s="1"/>
  <c r="A263" i="18" s="1"/>
  <c r="A264" i="18" s="1"/>
  <c r="A265" i="18" s="1"/>
  <c r="A266" i="18" s="1"/>
  <c r="A267" i="18" s="1"/>
  <c r="A268" i="18" s="1"/>
  <c r="A269" i="18" s="1"/>
  <c r="A270" i="18" s="1"/>
  <c r="A271" i="18" s="1"/>
  <c r="A272" i="18" s="1"/>
  <c r="A273" i="18" s="1"/>
  <c r="A274" i="18" s="1"/>
  <c r="A275" i="18" s="1"/>
  <c r="A276" i="18" s="1"/>
  <c r="A277" i="18" s="1"/>
  <c r="A278" i="18" s="1"/>
  <c r="A279" i="18" s="1"/>
  <c r="A280" i="18" s="1"/>
  <c r="A281" i="18" s="1"/>
  <c r="A282" i="18" s="1"/>
  <c r="A283" i="18" s="1"/>
  <c r="A284" i="18" s="1"/>
  <c r="A285" i="18" s="1"/>
  <c r="A286" i="18" s="1"/>
  <c r="A287" i="18" s="1"/>
  <c r="A288" i="18" s="1"/>
  <c r="A289" i="18" s="1"/>
  <c r="A290" i="18" s="1"/>
  <c r="A291" i="18" s="1"/>
  <c r="A292" i="18" s="1"/>
  <c r="A293" i="18" s="1"/>
  <c r="A294" i="18" s="1"/>
  <c r="A295" i="18" s="1"/>
  <c r="A296" i="18" s="1"/>
  <c r="A297" i="18" s="1"/>
  <c r="A298" i="18" s="1"/>
  <c r="A299" i="18" s="1"/>
  <c r="A300" i="18" s="1"/>
  <c r="A301" i="18" s="1"/>
  <c r="A302" i="18" s="1"/>
  <c r="A303" i="18" s="1"/>
  <c r="A304" i="18" s="1"/>
  <c r="A305" i="18" s="1"/>
  <c r="A306" i="18" s="1"/>
  <c r="A307" i="18" s="1"/>
  <c r="A308" i="18" s="1"/>
  <c r="A309" i="18" s="1"/>
  <c r="A310" i="18" s="1"/>
  <c r="A311" i="18" s="1"/>
  <c r="A312" i="18" s="1"/>
  <c r="A313" i="18" s="1"/>
  <c r="A314" i="18" s="1"/>
  <c r="A315" i="18" s="1"/>
  <c r="A316" i="18" s="1"/>
  <c r="A317" i="18" s="1"/>
  <c r="A318" i="18" s="1"/>
  <c r="A319" i="18" s="1"/>
  <c r="A320" i="18" s="1"/>
  <c r="A321" i="18" s="1"/>
  <c r="A322" i="18" s="1"/>
  <c r="A323" i="18" s="1"/>
  <c r="A324" i="18" s="1"/>
  <c r="A325" i="18" s="1"/>
  <c r="A326" i="18" s="1"/>
  <c r="A327" i="18" s="1"/>
  <c r="A328" i="18" s="1"/>
  <c r="A329" i="18" s="1"/>
  <c r="A330" i="18" s="1"/>
  <c r="A331" i="18" s="1"/>
  <c r="A332" i="18" s="1"/>
  <c r="A333" i="18" s="1"/>
  <c r="A334" i="18" s="1"/>
  <c r="A335" i="18" s="1"/>
  <c r="A336" i="18" s="1"/>
  <c r="CP87" i="1" l="1"/>
  <c r="CQ87" i="1"/>
  <c r="CR87" i="1"/>
  <c r="CT87" i="1"/>
  <c r="DB87" i="1" s="1"/>
  <c r="CV87" i="1"/>
  <c r="DD87" i="1" s="1"/>
  <c r="CX87" i="1"/>
  <c r="DF87" i="1" s="1"/>
  <c r="CZ87" i="1"/>
  <c r="DH87" i="1" s="1"/>
  <c r="DK87" i="1"/>
  <c r="DJ87" i="1" l="1"/>
  <c r="DL87" i="1" s="1"/>
  <c r="D29" i="12" l="1"/>
  <c r="F29" i="12"/>
  <c r="CP86" i="1" l="1"/>
  <c r="CQ86" i="1"/>
  <c r="CR86" i="1"/>
  <c r="CT86" i="1"/>
  <c r="DB86" i="1" s="1"/>
  <c r="CV86" i="1"/>
  <c r="DD86" i="1" s="1"/>
  <c r="CX86" i="1"/>
  <c r="DF86" i="1" s="1"/>
  <c r="CZ86" i="1"/>
  <c r="DH86" i="1" s="1"/>
  <c r="DK86" i="1"/>
  <c r="DJ86" i="1" l="1"/>
  <c r="DL86" i="1" s="1"/>
  <c r="CP85" i="1" l="1"/>
  <c r="CQ85" i="1"/>
  <c r="CR85" i="1"/>
  <c r="CT85" i="1"/>
  <c r="DB85" i="1" s="1"/>
  <c r="CV85" i="1"/>
  <c r="DD85" i="1" s="1"/>
  <c r="CX85" i="1"/>
  <c r="DF85" i="1" s="1"/>
  <c r="CZ85" i="1"/>
  <c r="DH85" i="1" s="1"/>
  <c r="DK85" i="1"/>
  <c r="DJ85" i="1" l="1"/>
  <c r="DL85" i="1" s="1"/>
  <c r="CP84" i="1"/>
  <c r="CQ84" i="1"/>
  <c r="CR84" i="1"/>
  <c r="CT84" i="1"/>
  <c r="DB84" i="1" s="1"/>
  <c r="CV84" i="1"/>
  <c r="DD84" i="1" s="1"/>
  <c r="CX84" i="1"/>
  <c r="DF84" i="1" s="1"/>
  <c r="CZ84" i="1"/>
  <c r="DH84" i="1" s="1"/>
  <c r="DK84" i="1"/>
  <c r="DJ84" i="1" l="1"/>
  <c r="DL84" i="1" s="1"/>
  <c r="CP83" i="1" l="1"/>
  <c r="CQ83" i="1"/>
  <c r="CR83" i="1"/>
  <c r="CT83" i="1"/>
  <c r="DB83" i="1" s="1"/>
  <c r="CV83" i="1"/>
  <c r="DD83" i="1" s="1"/>
  <c r="CX83" i="1"/>
  <c r="DF83" i="1" s="1"/>
  <c r="CZ83" i="1"/>
  <c r="DH83" i="1" s="1"/>
  <c r="DK83" i="1"/>
  <c r="DJ83" i="1" l="1"/>
  <c r="DL83" i="1" s="1"/>
  <c r="CP82" i="1" l="1"/>
  <c r="CQ82" i="1"/>
  <c r="CR82" i="1"/>
  <c r="CT82" i="1"/>
  <c r="DB82" i="1" s="1"/>
  <c r="CV82" i="1"/>
  <c r="DD82" i="1" s="1"/>
  <c r="CX82" i="1"/>
  <c r="DF82" i="1" s="1"/>
  <c r="CZ82" i="1"/>
  <c r="DH82" i="1" s="1"/>
  <c r="DK82" i="1"/>
  <c r="DJ82" i="1" l="1"/>
  <c r="DL82" i="1" s="1"/>
  <c r="CP81" i="1" l="1"/>
  <c r="CQ81" i="1"/>
  <c r="CR81" i="1"/>
  <c r="CT81" i="1"/>
  <c r="DB81" i="1" s="1"/>
  <c r="CV81" i="1"/>
  <c r="DD81" i="1" s="1"/>
  <c r="CX81" i="1"/>
  <c r="DF81" i="1" s="1"/>
  <c r="CZ81" i="1"/>
  <c r="DH81" i="1" s="1"/>
  <c r="DK81" i="1"/>
  <c r="DJ81" i="1" l="1"/>
  <c r="DL81" i="1" s="1"/>
  <c r="I635" i="19"/>
  <c r="I871" i="19"/>
  <c r="H110" i="19"/>
  <c r="I895" i="19"/>
  <c r="H155" i="19"/>
  <c r="I611" i="19"/>
  <c r="H471" i="19"/>
  <c r="I751" i="19"/>
  <c r="H674" i="19"/>
  <c r="I10" i="19"/>
  <c r="I718" i="19"/>
  <c r="H214" i="19"/>
  <c r="H461" i="19"/>
  <c r="H242" i="19"/>
  <c r="I171" i="19"/>
  <c r="I310" i="19"/>
  <c r="H103" i="19"/>
  <c r="I372" i="19"/>
  <c r="H603" i="19"/>
  <c r="I53" i="19"/>
  <c r="I22" i="19"/>
  <c r="I473" i="19"/>
  <c r="I651" i="19"/>
  <c r="H907" i="19"/>
  <c r="H366" i="19"/>
  <c r="I246" i="19"/>
  <c r="H306" i="19"/>
  <c r="H385" i="19"/>
  <c r="H205" i="19"/>
  <c r="H216" i="19"/>
  <c r="I627" i="19"/>
  <c r="I792" i="19"/>
  <c r="I649" i="19"/>
  <c r="I665" i="19"/>
  <c r="I157" i="19"/>
  <c r="H101" i="19"/>
  <c r="I593" i="19"/>
  <c r="I405" i="19"/>
  <c r="H113" i="19"/>
  <c r="H163" i="19"/>
  <c r="I869" i="19"/>
  <c r="H379" i="19"/>
  <c r="H566" i="19"/>
  <c r="H409" i="19"/>
  <c r="H35" i="19"/>
  <c r="H225" i="19"/>
  <c r="I496" i="19"/>
  <c r="I700" i="19"/>
  <c r="I523" i="19"/>
  <c r="I165" i="19"/>
  <c r="H369" i="19"/>
  <c r="I732" i="19"/>
  <c r="I311" i="19"/>
  <c r="I201" i="19"/>
  <c r="I365" i="19"/>
  <c r="I345" i="19"/>
  <c r="I890" i="19"/>
  <c r="H631" i="19"/>
  <c r="I622" i="19"/>
  <c r="I518" i="19"/>
  <c r="H129" i="19"/>
  <c r="I145" i="19"/>
  <c r="I222" i="19"/>
  <c r="I528" i="19"/>
  <c r="H416" i="19"/>
  <c r="H304" i="19"/>
  <c r="H604" i="19"/>
  <c r="I545" i="19"/>
  <c r="I196" i="19"/>
  <c r="I699" i="19"/>
  <c r="I349" i="19"/>
  <c r="H654" i="19"/>
  <c r="I498" i="19"/>
  <c r="I178" i="19"/>
  <c r="I610" i="19"/>
  <c r="H221" i="19"/>
  <c r="I164" i="19"/>
  <c r="I309" i="19"/>
  <c r="I88" i="19"/>
  <c r="H51" i="19"/>
  <c r="I247" i="19"/>
  <c r="H692" i="19"/>
  <c r="I550" i="19"/>
  <c r="I466" i="19"/>
  <c r="I28" i="19"/>
  <c r="I13" i="19"/>
  <c r="I572" i="19"/>
  <c r="I193" i="19"/>
  <c r="H787" i="19"/>
  <c r="I519" i="19"/>
  <c r="H904" i="19"/>
  <c r="I321" i="19"/>
  <c r="I687" i="19"/>
  <c r="H88" i="19"/>
  <c r="H637" i="19"/>
  <c r="H89" i="19"/>
  <c r="H661" i="19"/>
  <c r="I347" i="19"/>
  <c r="I192" i="19"/>
  <c r="I558" i="19"/>
  <c r="H795" i="19"/>
  <c r="H900" i="19"/>
  <c r="H893" i="19"/>
  <c r="I618" i="19"/>
  <c r="H652" i="19"/>
  <c r="I75" i="19"/>
  <c r="I839" i="19"/>
  <c r="I840" i="19"/>
  <c r="H682" i="19"/>
  <c r="I521" i="19"/>
  <c r="H710" i="19"/>
  <c r="I217" i="19"/>
  <c r="I457" i="19"/>
  <c r="I290" i="19"/>
  <c r="I472" i="19"/>
  <c r="H340" i="19"/>
  <c r="H476" i="19"/>
  <c r="H722" i="19"/>
  <c r="H290" i="19"/>
  <c r="I770" i="19"/>
  <c r="I648" i="19"/>
  <c r="H412" i="19"/>
  <c r="H724" i="19"/>
  <c r="I65" i="19"/>
  <c r="I420" i="19"/>
  <c r="H916" i="19"/>
  <c r="H779" i="19"/>
  <c r="I359" i="19"/>
  <c r="I464" i="19"/>
  <c r="H894" i="19"/>
  <c r="H279" i="19"/>
  <c r="I672" i="19"/>
  <c r="I97" i="19"/>
  <c r="I91" i="19"/>
  <c r="H141" i="19"/>
  <c r="I670" i="19"/>
  <c r="I348" i="19"/>
  <c r="I378" i="19"/>
  <c r="I827" i="19"/>
  <c r="H556" i="19"/>
  <c r="H196" i="19"/>
  <c r="H181" i="19"/>
  <c r="I316" i="19"/>
  <c r="I407" i="19"/>
  <c r="H193" i="19"/>
  <c r="I785" i="19"/>
  <c r="H69" i="19"/>
  <c r="I711" i="19"/>
  <c r="H592" i="19"/>
  <c r="I369" i="19"/>
  <c r="H735" i="19"/>
  <c r="I888" i="19"/>
  <c r="H208" i="19"/>
  <c r="I763" i="19"/>
  <c r="H521" i="19"/>
  <c r="I560" i="19"/>
  <c r="H568" i="19"/>
  <c r="H199" i="19"/>
  <c r="H98" i="19"/>
  <c r="I43" i="19"/>
  <c r="I114" i="19"/>
  <c r="I213" i="19"/>
  <c r="I337" i="19"/>
  <c r="I434" i="19"/>
  <c r="H712" i="19"/>
  <c r="I636" i="19"/>
  <c r="I507" i="19"/>
  <c r="I516" i="19"/>
  <c r="I136" i="19"/>
  <c r="I400" i="19"/>
  <c r="I579" i="19"/>
  <c r="H314" i="19"/>
  <c r="I416" i="19"/>
  <c r="I351" i="19"/>
  <c r="I82" i="19"/>
  <c r="I870" i="19"/>
  <c r="I604" i="19"/>
  <c r="H709" i="19"/>
  <c r="I458" i="19"/>
  <c r="H490" i="19"/>
  <c r="H456" i="19"/>
  <c r="I357" i="19"/>
  <c r="H647" i="19"/>
  <c r="I158" i="19"/>
  <c r="H807" i="19"/>
  <c r="I368" i="19"/>
  <c r="I381" i="19"/>
  <c r="I215" i="19"/>
  <c r="H865" i="19"/>
  <c r="I209" i="19"/>
  <c r="H660" i="19"/>
  <c r="H627" i="19"/>
  <c r="H184" i="19"/>
  <c r="I24" i="19"/>
  <c r="I285" i="19"/>
  <c r="I490" i="19"/>
  <c r="H164" i="19"/>
  <c r="H522" i="19"/>
  <c r="H677" i="19"/>
  <c r="H192" i="19"/>
  <c r="I110" i="19"/>
  <c r="I317" i="19"/>
  <c r="I707" i="19"/>
  <c r="H296" i="19"/>
  <c r="H915" i="19"/>
  <c r="I860" i="19"/>
  <c r="I634" i="19"/>
  <c r="I620" i="19"/>
  <c r="H489" i="19"/>
  <c r="I509" i="19"/>
  <c r="H560" i="19"/>
  <c r="I312" i="19"/>
  <c r="I134" i="19"/>
  <c r="H332" i="19"/>
  <c r="H47" i="19"/>
  <c r="I343" i="19"/>
  <c r="H812" i="19"/>
  <c r="I654" i="19"/>
  <c r="I791" i="19"/>
  <c r="I631" i="19"/>
  <c r="I142" i="19"/>
  <c r="I896" i="19"/>
  <c r="H274" i="19"/>
  <c r="I161" i="19"/>
  <c r="I644" i="19"/>
  <c r="H130" i="19"/>
  <c r="H2" i="19"/>
  <c r="H666" i="19"/>
  <c r="H537" i="19"/>
  <c r="I76" i="19"/>
  <c r="H657" i="19"/>
  <c r="I334" i="19"/>
  <c r="H447" i="19"/>
  <c r="H462" i="19"/>
  <c r="I404" i="19"/>
  <c r="H590" i="19"/>
  <c r="I476" i="19"/>
  <c r="I248" i="19"/>
  <c r="I671" i="19"/>
  <c r="I271" i="19"/>
  <c r="H672" i="19"/>
  <c r="H80" i="19"/>
  <c r="H665" i="19"/>
  <c r="H801" i="19"/>
  <c r="H624" i="19"/>
  <c r="I64" i="19"/>
  <c r="I529" i="19"/>
  <c r="I406" i="19"/>
  <c r="H158" i="19"/>
  <c r="I717" i="19"/>
  <c r="I25" i="19"/>
  <c r="H313" i="19"/>
  <c r="H500" i="19"/>
  <c r="H83" i="19"/>
  <c r="H19" i="19"/>
  <c r="H389" i="19"/>
  <c r="I448" i="19"/>
  <c r="I878" i="19"/>
  <c r="I278" i="19"/>
  <c r="I302" i="19"/>
  <c r="H240" i="19"/>
  <c r="I726" i="19"/>
  <c r="H573" i="19"/>
  <c r="H853" i="19"/>
  <c r="I233" i="19"/>
  <c r="H688" i="19"/>
  <c r="I315" i="19"/>
  <c r="H423" i="19"/>
  <c r="I760" i="19"/>
  <c r="I629" i="19"/>
  <c r="I379" i="19"/>
  <c r="I11" i="19"/>
  <c r="I439" i="19"/>
  <c r="I187" i="19"/>
  <c r="H920" i="19"/>
  <c r="H46" i="19"/>
  <c r="H527" i="19"/>
  <c r="I152" i="19"/>
  <c r="H289" i="19"/>
  <c r="I832" i="19"/>
  <c r="H925" i="19"/>
  <c r="I207" i="19"/>
  <c r="H139" i="19"/>
  <c r="I663" i="19"/>
  <c r="I865" i="19"/>
  <c r="H872" i="19"/>
  <c r="H28" i="19"/>
  <c r="I16" i="19"/>
  <c r="H162" i="19"/>
  <c r="H859" i="19"/>
  <c r="I774" i="19"/>
  <c r="I106" i="19"/>
  <c r="I742" i="19"/>
  <c r="I798" i="19"/>
  <c r="H77" i="19"/>
  <c r="H616" i="19"/>
  <c r="I900" i="19"/>
  <c r="I533" i="19"/>
  <c r="I613" i="19"/>
  <c r="I907" i="19"/>
  <c r="I112" i="19"/>
  <c r="I3" i="19"/>
  <c r="H621" i="19"/>
  <c r="H899" i="19"/>
  <c r="I191" i="19"/>
  <c r="H63" i="19"/>
  <c r="H494" i="19"/>
  <c r="H365" i="19"/>
  <c r="I138" i="19"/>
  <c r="I542" i="19"/>
  <c r="I682" i="19"/>
  <c r="I681" i="19"/>
  <c r="H27" i="19"/>
  <c r="I87" i="19"/>
  <c r="I855" i="19"/>
  <c r="I371" i="19"/>
  <c r="H179" i="19"/>
  <c r="I777" i="19"/>
  <c r="H293" i="19"/>
  <c r="I361" i="19"/>
  <c r="I252" i="19"/>
  <c r="I318" i="19"/>
  <c r="H60" i="19"/>
  <c r="H623" i="19"/>
  <c r="I810" i="19"/>
  <c r="I525" i="19"/>
  <c r="I56" i="19"/>
  <c r="I329" i="19"/>
  <c r="H498" i="19"/>
  <c r="I470" i="19"/>
  <c r="H542" i="19"/>
  <c r="I219" i="19"/>
  <c r="H816" i="19"/>
  <c r="I474" i="19"/>
  <c r="H474" i="19"/>
  <c r="H727" i="19"/>
  <c r="I208" i="19"/>
  <c r="H469" i="19"/>
  <c r="I737" i="19"/>
  <c r="I226" i="19"/>
  <c r="H118" i="19"/>
  <c r="I729" i="19"/>
  <c r="I585" i="19"/>
  <c r="I801" i="19"/>
  <c r="H344" i="19"/>
  <c r="H151" i="19"/>
  <c r="H328" i="19"/>
  <c r="H508" i="19"/>
  <c r="I241" i="19"/>
  <c r="I822" i="19"/>
  <c r="I205" i="19"/>
  <c r="H320" i="19"/>
  <c r="I805" i="19"/>
  <c r="I804" i="19"/>
  <c r="H154" i="19"/>
  <c r="H402" i="19"/>
  <c r="H459" i="19"/>
  <c r="I556" i="19"/>
  <c r="I695" i="19"/>
  <c r="H396" i="19"/>
  <c r="I124" i="19"/>
  <c r="I26" i="19"/>
  <c r="I118" i="19"/>
  <c r="I614" i="19"/>
  <c r="H443" i="19"/>
  <c r="I773" i="19"/>
  <c r="I787" i="19"/>
  <c r="I828" i="19"/>
  <c r="I501" i="19"/>
  <c r="H112" i="19"/>
  <c r="I70" i="19"/>
  <c r="I743" i="19"/>
  <c r="H100" i="19"/>
  <c r="I108" i="19"/>
  <c r="I169" i="19"/>
  <c r="I546" i="19"/>
  <c r="H186" i="19"/>
  <c r="H572" i="19"/>
  <c r="H750" i="19"/>
  <c r="I494" i="19"/>
  <c r="H628" i="19"/>
  <c r="I535" i="19"/>
  <c r="H42" i="19"/>
  <c r="H268" i="19"/>
  <c r="H465" i="19"/>
  <c r="I183" i="19"/>
  <c r="I706" i="19"/>
  <c r="H567" i="19"/>
  <c r="I759" i="19"/>
  <c r="I284" i="19"/>
  <c r="H680" i="19"/>
  <c r="I330" i="19"/>
  <c r="H758" i="19"/>
  <c r="I826" i="19"/>
  <c r="I879" i="19"/>
  <c r="H656" i="19"/>
  <c r="H614" i="19"/>
  <c r="H487" i="19"/>
  <c r="I425" i="19"/>
  <c r="H536" i="19"/>
  <c r="I862" i="19"/>
  <c r="I463" i="19"/>
  <c r="H91" i="19"/>
  <c r="I566" i="19"/>
  <c r="I37" i="19"/>
  <c r="H739" i="19"/>
  <c r="H646" i="19"/>
  <c r="I917" i="19"/>
  <c r="H821" i="19"/>
  <c r="H41" i="19"/>
  <c r="H173" i="19"/>
  <c r="I386" i="19"/>
  <c r="H617" i="19"/>
  <c r="H224" i="19"/>
  <c r="H642" i="19"/>
  <c r="I51" i="19"/>
  <c r="H507" i="19"/>
  <c r="I764" i="19"/>
  <c r="I305" i="19"/>
  <c r="H777" i="19"/>
  <c r="I225" i="19"/>
  <c r="I354" i="19"/>
  <c r="H693" i="19"/>
  <c r="H896" i="19"/>
  <c r="I836" i="19"/>
  <c r="H753" i="19"/>
  <c r="H629" i="19"/>
  <c r="H707" i="19"/>
  <c r="H676" i="19"/>
  <c r="H879" i="19"/>
  <c r="H841" i="19"/>
  <c r="H236" i="19"/>
  <c r="I254" i="19"/>
  <c r="H793" i="19"/>
  <c r="I255" i="19"/>
  <c r="I41" i="19"/>
  <c r="H29" i="19"/>
  <c r="H496" i="19"/>
  <c r="H448" i="19"/>
  <c r="H159" i="19"/>
  <c r="H84" i="19"/>
  <c r="H34" i="19"/>
  <c r="I280" i="19"/>
  <c r="I783" i="19"/>
  <c r="H378" i="19"/>
  <c r="H67" i="19"/>
  <c r="I795" i="19"/>
  <c r="H180" i="19"/>
  <c r="I606" i="19"/>
  <c r="H728" i="19"/>
  <c r="I430" i="19"/>
  <c r="H70" i="19"/>
  <c r="H422" i="19"/>
  <c r="H415" i="19"/>
  <c r="I857" i="19"/>
  <c r="H212" i="19"/>
  <c r="H919" i="19"/>
  <c r="H342" i="19"/>
  <c r="H167" i="19"/>
  <c r="H618" i="19"/>
  <c r="H452" i="19"/>
  <c r="H375" i="19"/>
  <c r="I139" i="19"/>
  <c r="H534" i="19"/>
  <c r="H338" i="19"/>
  <c r="I852" i="19"/>
  <c r="H145" i="19"/>
  <c r="H630" i="19"/>
  <c r="I754" i="19"/>
  <c r="I626" i="19"/>
  <c r="I23" i="19"/>
  <c r="I231" i="19"/>
  <c r="I659" i="19"/>
  <c r="H325" i="19"/>
  <c r="H202" i="19"/>
  <c r="H397" i="19"/>
  <c r="H300" i="19"/>
  <c r="H324" i="19"/>
  <c r="H466" i="19"/>
  <c r="H906" i="19"/>
  <c r="I633" i="19"/>
  <c r="H636" i="19"/>
  <c r="I98" i="19"/>
  <c r="H194" i="19"/>
  <c r="H664" i="19"/>
  <c r="H393" i="19"/>
  <c r="H718" i="19"/>
  <c r="H684" i="19"/>
  <c r="H359" i="19"/>
  <c r="H73" i="19"/>
  <c r="I582" i="19"/>
  <c r="I630" i="19"/>
  <c r="H780" i="19"/>
  <c r="H878" i="19"/>
  <c r="I397" i="19"/>
  <c r="I339" i="19"/>
  <c r="H570" i="19"/>
  <c r="I382" i="19"/>
  <c r="I93" i="19"/>
  <c r="H117" i="19"/>
  <c r="I786" i="19"/>
  <c r="I723" i="19"/>
  <c r="H334" i="19"/>
  <c r="H464" i="19"/>
  <c r="H172" i="19"/>
  <c r="I833" i="19"/>
  <c r="I831" i="19"/>
  <c r="I31" i="19"/>
  <c r="I803" i="19"/>
  <c r="H901" i="19"/>
  <c r="H810" i="19"/>
  <c r="I590" i="19"/>
  <c r="H773" i="19"/>
  <c r="I809" i="19"/>
  <c r="I150" i="19"/>
  <c r="I422" i="19"/>
  <c r="I674" i="19"/>
  <c r="H670" i="19"/>
  <c r="I779" i="19"/>
  <c r="H691" i="19"/>
  <c r="I526" i="19"/>
  <c r="H513" i="19"/>
  <c r="H126" i="19"/>
  <c r="H40" i="19"/>
  <c r="I71" i="19"/>
  <c r="H457" i="19"/>
  <c r="I240" i="19"/>
  <c r="I460" i="19"/>
  <c r="I652" i="19"/>
  <c r="H408" i="19"/>
  <c r="H451" i="19"/>
  <c r="H814" i="19"/>
  <c r="I40" i="19"/>
  <c r="I232" i="19"/>
  <c r="H283" i="19"/>
  <c r="H20" i="19"/>
  <c r="I303" i="19"/>
  <c r="I468" i="19"/>
  <c r="H769" i="19"/>
  <c r="I696" i="19"/>
  <c r="H755" i="19"/>
  <c r="H784" i="19"/>
  <c r="I61" i="19"/>
  <c r="H704" i="19"/>
  <c r="H62" i="19"/>
  <c r="H398" i="19"/>
  <c r="I79" i="19"/>
  <c r="I574" i="19"/>
  <c r="I389" i="19"/>
  <c r="H387" i="19"/>
  <c r="I856" i="19"/>
  <c r="I829" i="19"/>
  <c r="H770" i="19"/>
  <c r="H231" i="19"/>
  <c r="I724" i="19"/>
  <c r="H391" i="19"/>
  <c r="H551" i="19"/>
  <c r="H911" i="19"/>
  <c r="H823" i="19"/>
  <c r="I376" i="19"/>
  <c r="H612" i="19"/>
  <c r="H748" i="19"/>
  <c r="I894" i="19"/>
  <c r="H404" i="19"/>
  <c r="H44" i="19"/>
  <c r="I915" i="19"/>
  <c r="I173" i="19"/>
  <c r="I624" i="19"/>
  <c r="H341" i="19"/>
  <c r="H903" i="19"/>
  <c r="I594" i="19"/>
  <c r="H913" i="19"/>
  <c r="H38" i="19"/>
  <c r="I578" i="19"/>
  <c r="H897" i="19"/>
  <c r="I392" i="19"/>
  <c r="I390" i="19"/>
  <c r="I484" i="19"/>
  <c r="I211" i="19"/>
  <c r="H401" i="19"/>
  <c r="I249" i="19"/>
  <c r="I725" i="19"/>
  <c r="I480" i="19"/>
  <c r="H481" i="19"/>
  <c r="H210" i="19"/>
  <c r="H257" i="19"/>
  <c r="H209" i="19"/>
  <c r="H880" i="19"/>
  <c r="I532" i="19"/>
  <c r="H655" i="19"/>
  <c r="I180" i="19"/>
  <c r="I176" i="19"/>
  <c r="H809" i="19"/>
  <c r="H751" i="19"/>
  <c r="I186" i="19"/>
  <c r="I607" i="19"/>
  <c r="I731" i="19"/>
  <c r="H68" i="19"/>
  <c r="I849" i="19"/>
  <c r="H329" i="19"/>
  <c r="H286" i="19"/>
  <c r="H694" i="19"/>
  <c r="H123" i="19"/>
  <c r="H128" i="19"/>
  <c r="I59" i="19"/>
  <c r="I235" i="19"/>
  <c r="I289" i="19"/>
  <c r="H307" i="19"/>
  <c r="H756" i="19"/>
  <c r="H833" i="19"/>
  <c r="H578" i="19"/>
  <c r="I691" i="19"/>
  <c r="I286" i="19"/>
  <c r="I336" i="19"/>
  <c r="I96" i="19"/>
  <c r="H819" i="19"/>
  <c r="H302" i="19"/>
  <c r="H148" i="19"/>
  <c r="I720" i="19"/>
  <c r="I481" i="19"/>
  <c r="I686" i="19"/>
  <c r="I817" i="19"/>
  <c r="I641" i="19"/>
  <c r="I168" i="19"/>
  <c r="I182" i="19"/>
  <c r="H785" i="19"/>
  <c r="I868" i="19"/>
  <c r="I414" i="19"/>
  <c r="I748" i="19"/>
  <c r="I234" i="19"/>
  <c r="I383" i="19"/>
  <c r="H499" i="19"/>
  <c r="H204" i="19"/>
  <c r="I845" i="19"/>
  <c r="I755" i="19"/>
  <c r="H368" i="19"/>
  <c r="I918" i="19"/>
  <c r="I366" i="19"/>
  <c r="I299" i="19"/>
  <c r="I505" i="19"/>
  <c r="I170" i="19"/>
  <c r="I823" i="19"/>
  <c r="I834" i="19"/>
  <c r="I160" i="19"/>
  <c r="H501" i="19"/>
  <c r="I684" i="19"/>
  <c r="I679" i="19"/>
  <c r="H914" i="19"/>
  <c r="I436" i="19"/>
  <c r="I48" i="19"/>
  <c r="I149" i="19"/>
  <c r="I762" i="19"/>
  <c r="H492" i="19"/>
  <c r="H108" i="19"/>
  <c r="H152" i="19"/>
  <c r="I424" i="19"/>
  <c r="H625" i="19"/>
  <c r="H318" i="19"/>
  <c r="I583" i="19"/>
  <c r="H86" i="19"/>
  <c r="I20" i="19"/>
  <c r="I298" i="19"/>
  <c r="I268" i="19"/>
  <c r="H783" i="19"/>
  <c r="I830" i="19"/>
  <c r="H730" i="19"/>
  <c r="H824" i="19"/>
  <c r="I78" i="19"/>
  <c r="I393" i="19"/>
  <c r="H743" i="19"/>
  <c r="H581" i="19"/>
  <c r="I673" i="19"/>
  <c r="I493" i="19"/>
  <c r="H21" i="19"/>
  <c r="H805" i="19"/>
  <c r="H881" i="19"/>
  <c r="H696" i="19"/>
  <c r="I721" i="19"/>
  <c r="H529" i="19"/>
  <c r="I638" i="19"/>
  <c r="I444" i="19"/>
  <c r="I377" i="19"/>
  <c r="I117" i="19"/>
  <c r="I189" i="19"/>
  <c r="H175" i="19"/>
  <c r="H384" i="19"/>
  <c r="I515" i="19"/>
  <c r="H157" i="19"/>
  <c r="H584" i="19"/>
  <c r="I60" i="19"/>
  <c r="I537" i="19"/>
  <c r="I358" i="19"/>
  <c r="H532" i="19"/>
  <c r="H671" i="19"/>
  <c r="H822" i="19"/>
  <c r="I562" i="19"/>
  <c r="I716" i="19"/>
  <c r="H870" i="19"/>
  <c r="I790" i="19"/>
  <c r="H828" i="19"/>
  <c r="I639" i="19"/>
  <c r="H454" i="19"/>
  <c r="H444" i="19"/>
  <c r="I559" i="19"/>
  <c r="I454" i="19"/>
  <c r="I5" i="19"/>
  <c r="H50" i="19"/>
  <c r="H301" i="19"/>
  <c r="H737" i="19"/>
  <c r="H697" i="19"/>
  <c r="I575" i="19"/>
  <c r="I530" i="19"/>
  <c r="H851" i="19"/>
  <c r="I465" i="19"/>
  <c r="H244" i="19"/>
  <c r="H705" i="19"/>
  <c r="H220" i="19"/>
  <c r="I162" i="19"/>
  <c r="I666" i="19"/>
  <c r="I924" i="19"/>
  <c r="H9" i="19"/>
  <c r="H764" i="19"/>
  <c r="I9" i="19"/>
  <c r="H645" i="19"/>
  <c r="I218" i="19"/>
  <c r="I413" i="19"/>
  <c r="I645" i="19"/>
  <c r="H820" i="19"/>
  <c r="I815" i="19"/>
  <c r="H595" i="19"/>
  <c r="I8" i="19"/>
  <c r="H354" i="19"/>
  <c r="H45" i="19"/>
  <c r="I752" i="19"/>
  <c r="I502" i="19"/>
  <c r="I126" i="19"/>
  <c r="I734" i="19"/>
  <c r="I813" i="19"/>
  <c r="I591" i="19"/>
  <c r="I109" i="19"/>
  <c r="I553" i="19"/>
  <c r="H82" i="19"/>
  <c r="H250" i="19"/>
  <c r="H849" i="19"/>
  <c r="I520" i="19"/>
  <c r="I179" i="19"/>
  <c r="I702" i="19"/>
  <c r="I69" i="19"/>
  <c r="I159" i="19"/>
  <c r="I151" i="19"/>
  <c r="H518" i="19"/>
  <c r="I101" i="19"/>
  <c r="H708" i="19"/>
  <c r="H230" i="19"/>
  <c r="I495" i="19"/>
  <c r="H434" i="19"/>
  <c r="H836" i="19"/>
  <c r="H357" i="19"/>
  <c r="I584" i="19"/>
  <c r="H668" i="19"/>
  <c r="I429" i="19"/>
  <c r="I697" i="19"/>
  <c r="H857" i="19"/>
  <c r="H187" i="19"/>
  <c r="H5" i="19"/>
  <c r="H165" i="19"/>
  <c r="H253" i="19"/>
  <c r="H535" i="19"/>
  <c r="H683" i="19"/>
  <c r="H436" i="19"/>
  <c r="I749" i="19"/>
  <c r="H266" i="19"/>
  <c r="H243" i="19"/>
  <c r="I462" i="19"/>
  <c r="I602" i="19"/>
  <c r="I293" i="19"/>
  <c r="H140" i="19"/>
  <c r="H309" i="19"/>
  <c r="H817" i="19"/>
  <c r="I920" i="19"/>
  <c r="H271" i="19"/>
  <c r="H386" i="19"/>
  <c r="H575" i="19"/>
  <c r="H176" i="19"/>
  <c r="I62" i="19"/>
  <c r="I753" i="19"/>
  <c r="I409" i="19"/>
  <c r="H392" i="19"/>
  <c r="H12" i="19"/>
  <c r="H153" i="19"/>
  <c r="H75" i="19"/>
  <c r="H18" i="19"/>
  <c r="H902" i="19"/>
  <c r="H85" i="19"/>
  <c r="I534" i="19"/>
  <c r="H767" i="19"/>
  <c r="H114" i="19"/>
  <c r="H761" i="19"/>
  <c r="H168" i="19"/>
  <c r="H539" i="19"/>
  <c r="H918" i="19"/>
  <c r="I544" i="19"/>
  <c r="I703" i="19"/>
  <c r="H78" i="19"/>
  <c r="H874" i="19"/>
  <c r="H64" i="19"/>
  <c r="H182" i="19"/>
  <c r="I220" i="19"/>
  <c r="H374" i="19"/>
  <c r="I848" i="19"/>
  <c r="I701" i="19"/>
  <c r="I923" i="19"/>
  <c r="H288" i="19"/>
  <c r="I34" i="19"/>
  <c r="I517" i="19"/>
  <c r="I612" i="19"/>
  <c r="I818" i="19"/>
  <c r="I131" i="19"/>
  <c r="H606" i="19"/>
  <c r="H282" i="19"/>
  <c r="I536" i="19"/>
  <c r="H213" i="19"/>
  <c r="H685" i="19"/>
  <c r="I95" i="19"/>
  <c r="I485" i="19"/>
  <c r="H746" i="19"/>
  <c r="I319" i="19"/>
  <c r="I403" i="19"/>
  <c r="H277" i="19"/>
  <c r="H435" i="19"/>
  <c r="H59" i="19"/>
  <c r="H339" i="19"/>
  <c r="I758" i="19"/>
  <c r="I266" i="19"/>
  <c r="H669" i="19"/>
  <c r="H495" i="19"/>
  <c r="H97" i="19"/>
  <c r="H569" i="19"/>
  <c r="H651" i="19"/>
  <c r="I45" i="19"/>
  <c r="I910" i="19"/>
  <c r="H445" i="19"/>
  <c r="I864" i="19"/>
  <c r="H594" i="19"/>
  <c r="I538" i="19"/>
  <c r="H195" i="19"/>
  <c r="H259" i="19"/>
  <c r="H185" i="19"/>
  <c r="I370" i="19"/>
  <c r="H768" i="19"/>
  <c r="H66" i="19"/>
  <c r="H364" i="19"/>
  <c r="H585" i="19"/>
  <c r="H615" i="19"/>
  <c r="H241" i="19"/>
  <c r="I364" i="19"/>
  <c r="I597" i="19"/>
  <c r="I199" i="19"/>
  <c r="H30" i="19"/>
  <c r="H381" i="19"/>
  <c r="I608" i="19"/>
  <c r="I102" i="19"/>
  <c r="I592" i="19"/>
  <c r="I313" i="19"/>
  <c r="H802" i="19"/>
  <c r="H295" i="19"/>
  <c r="H119" i="19"/>
  <c r="I344" i="19"/>
  <c r="H347" i="19"/>
  <c r="H871" i="19"/>
  <c r="H322" i="19"/>
  <c r="I797" i="19"/>
  <c r="H376" i="19"/>
  <c r="H854" i="19"/>
  <c r="I237" i="19"/>
  <c r="H923" i="19"/>
  <c r="H714" i="19"/>
  <c r="I859" i="19"/>
  <c r="H308" i="19"/>
  <c r="H142" i="19"/>
  <c r="I740" i="19"/>
  <c r="I133" i="19"/>
  <c r="I482" i="19"/>
  <c r="H144" i="19"/>
  <c r="I190" i="19"/>
  <c r="I402" i="19"/>
  <c r="I875" i="19"/>
  <c r="I294" i="19"/>
  <c r="H576" i="19"/>
  <c r="I705" i="19"/>
  <c r="H109" i="19"/>
  <c r="I708" i="19"/>
  <c r="I322" i="19"/>
  <c r="H706" i="19"/>
  <c r="I148" i="19"/>
  <c r="I423" i="19"/>
  <c r="I548" i="19"/>
  <c r="I771" i="19"/>
  <c r="H663" i="19"/>
  <c r="H321" i="19"/>
  <c r="H337" i="19"/>
  <c r="I388" i="19"/>
  <c r="I328" i="19"/>
  <c r="I80" i="19"/>
  <c r="H488" i="19"/>
  <c r="I194" i="19"/>
  <c r="H782" i="19"/>
  <c r="I353" i="19"/>
  <c r="H818" i="19"/>
  <c r="H105" i="19"/>
  <c r="H729" i="19"/>
  <c r="H593" i="19"/>
  <c r="H561" i="19"/>
  <c r="I256" i="19"/>
  <c r="I775" i="19"/>
  <c r="H431" i="19"/>
  <c r="I688" i="19"/>
  <c r="I36" i="19"/>
  <c r="H348" i="19"/>
  <c r="I881" i="19"/>
  <c r="I46" i="19"/>
  <c r="I292" i="19"/>
  <c r="I477" i="19"/>
  <c r="H403" i="19"/>
  <c r="H370" i="19"/>
  <c r="H346" i="19"/>
  <c r="H146" i="19"/>
  <c r="H267" i="19"/>
  <c r="I264" i="19"/>
  <c r="H72" i="19"/>
  <c r="H695" i="19"/>
  <c r="I589" i="19"/>
  <c r="H862" i="19"/>
  <c r="I728" i="19"/>
  <c r="H845" i="19"/>
  <c r="I395" i="19"/>
  <c r="I394" i="19"/>
  <c r="I916" i="19"/>
  <c r="I807" i="19"/>
  <c r="I94" i="19"/>
  <c r="I508" i="19"/>
  <c r="I54" i="19"/>
  <c r="I356" i="19"/>
  <c r="H788" i="19"/>
  <c r="H7" i="19"/>
  <c r="I115" i="19"/>
  <c r="H869" i="19"/>
  <c r="H246" i="19"/>
  <c r="I577" i="19"/>
  <c r="I667" i="19"/>
  <c r="H25" i="19"/>
  <c r="I320" i="19"/>
  <c r="I510" i="19"/>
  <c r="I487" i="19"/>
  <c r="H806" i="19"/>
  <c r="I837" i="19"/>
  <c r="H577" i="19"/>
  <c r="H601" i="19"/>
  <c r="H256" i="19"/>
  <c r="H725" i="19"/>
  <c r="H875" i="19"/>
  <c r="H689" i="19"/>
  <c r="H263" i="19"/>
  <c r="I55" i="19"/>
  <c r="H662" i="19"/>
  <c r="H839" i="19"/>
  <c r="I568" i="19"/>
  <c r="I332" i="19"/>
  <c r="H437" i="19"/>
  <c r="I74" i="19"/>
  <c r="H292" i="19"/>
  <c r="I229" i="19"/>
  <c r="I73" i="19"/>
  <c r="I632" i="19"/>
  <c r="H138" i="19"/>
  <c r="I586" i="19"/>
  <c r="H855" i="19"/>
  <c r="I766" i="19"/>
  <c r="H298" i="19"/>
  <c r="H885" i="19"/>
  <c r="I385" i="19"/>
  <c r="H774" i="19"/>
  <c r="H278" i="19"/>
  <c r="I789" i="19"/>
  <c r="H796" i="19"/>
  <c r="I147" i="19"/>
  <c r="H291" i="19"/>
  <c r="H455" i="19"/>
  <c r="H52" i="19"/>
  <c r="I257" i="19"/>
  <c r="I491" i="19"/>
  <c r="I100" i="19"/>
  <c r="I432" i="19"/>
  <c r="I887" i="19"/>
  <c r="I373" i="19"/>
  <c r="H520" i="19"/>
  <c r="I650" i="19"/>
  <c r="I250" i="19"/>
  <c r="H591" i="19"/>
  <c r="H61" i="19"/>
  <c r="I30" i="19"/>
  <c r="H107" i="19"/>
  <c r="I295" i="19"/>
  <c r="I744" i="19"/>
  <c r="I892" i="19"/>
  <c r="H433" i="19"/>
  <c r="I421" i="19"/>
  <c r="H143" i="19"/>
  <c r="I876" i="19"/>
  <c r="I506" i="19"/>
  <c r="I850" i="19"/>
  <c r="I203" i="19"/>
  <c r="I146" i="19"/>
  <c r="H759" i="19"/>
  <c r="I122" i="19"/>
  <c r="I374" i="19"/>
  <c r="H861" i="19"/>
  <c r="I140" i="19"/>
  <c r="H228" i="19"/>
  <c r="I500" i="19"/>
  <c r="I346" i="19"/>
  <c r="H826" i="19"/>
  <c r="I727" i="19"/>
  <c r="H698" i="19"/>
  <c r="I471" i="19"/>
  <c r="I287" i="19"/>
  <c r="H511" i="19"/>
  <c r="H877" i="19"/>
  <c r="I847" i="19"/>
  <c r="I824" i="19"/>
  <c r="H183" i="19"/>
  <c r="I677" i="19"/>
  <c r="I300" i="19"/>
  <c r="I637" i="19"/>
  <c r="H798" i="19"/>
  <c r="I275" i="19"/>
  <c r="I58" i="19"/>
  <c r="I873" i="19"/>
  <c r="H700" i="19"/>
  <c r="I453" i="19"/>
  <c r="I488" i="19"/>
  <c r="I440" i="19"/>
  <c r="H926" i="19"/>
  <c r="H740" i="19"/>
  <c r="H15" i="19"/>
  <c r="I44" i="19"/>
  <c r="I7" i="19"/>
  <c r="H93" i="19"/>
  <c r="H280" i="19"/>
  <c r="I21" i="19"/>
  <c r="H356" i="19"/>
  <c r="H596" i="19"/>
  <c r="H605" i="19"/>
  <c r="H137" i="19"/>
  <c r="I144" i="19"/>
  <c r="H390" i="19"/>
  <c r="H580" i="19"/>
  <c r="H317" i="19"/>
  <c r="I154" i="19"/>
  <c r="H95" i="19"/>
  <c r="I437" i="19"/>
  <c r="I796" i="19"/>
  <c r="I156" i="19"/>
  <c r="H217" i="19"/>
  <c r="H116" i="19"/>
  <c r="H229" i="19"/>
  <c r="H763" i="19"/>
  <c r="I279" i="19"/>
  <c r="H792" i="19"/>
  <c r="I625" i="19"/>
  <c r="H420" i="19"/>
  <c r="H744" i="19"/>
  <c r="H675" i="19"/>
  <c r="H843" i="19"/>
  <c r="I450" i="19"/>
  <c r="H380" i="19"/>
  <c r="I662" i="19"/>
  <c r="H786" i="19"/>
  <c r="I276" i="19"/>
  <c r="I714" i="19"/>
  <c r="I657" i="19"/>
  <c r="I29" i="19"/>
  <c r="I296" i="19"/>
  <c r="H333" i="19"/>
  <c r="H679" i="19"/>
  <c r="H460" i="19"/>
  <c r="I853" i="19"/>
  <c r="H741" i="19"/>
  <c r="H563" i="19"/>
  <c r="I543" i="19"/>
  <c r="I2" i="19"/>
  <c r="H258" i="19"/>
  <c r="H150" i="19"/>
  <c r="I886" i="19"/>
  <c r="I603" i="19"/>
  <c r="I172" i="19"/>
  <c r="H838" i="19"/>
  <c r="I569" i="19"/>
  <c r="H222" i="19"/>
  <c r="H260" i="19"/>
  <c r="H505" i="19"/>
  <c r="H887" i="19"/>
  <c r="H120" i="19"/>
  <c r="H135" i="19"/>
  <c r="I623" i="19"/>
  <c r="H335" i="19"/>
  <c r="H734" i="19"/>
  <c r="H189" i="19"/>
  <c r="H326" i="19"/>
  <c r="I42" i="19"/>
  <c r="H831" i="19"/>
  <c r="I175" i="19"/>
  <c r="H363" i="19"/>
  <c r="I914" i="19"/>
  <c r="I39" i="19"/>
  <c r="I690" i="19"/>
  <c r="I274" i="19"/>
  <c r="I866" i="19"/>
  <c r="H571" i="19"/>
  <c r="I121" i="19"/>
  <c r="I819" i="19"/>
  <c r="H131" i="19"/>
  <c r="I443" i="19"/>
  <c r="I746" i="19"/>
  <c r="H582" i="19"/>
  <c r="I81" i="19"/>
  <c r="I811" i="19"/>
  <c r="I757" i="19"/>
  <c r="H846" i="19"/>
  <c r="I352" i="19"/>
  <c r="H547" i="19"/>
  <c r="I761" i="19"/>
  <c r="H81" i="19"/>
  <c r="I135" i="19"/>
  <c r="I47" i="19"/>
  <c r="I260" i="19"/>
  <c r="H32" i="19"/>
  <c r="I107" i="19"/>
  <c r="I267" i="19"/>
  <c r="I270" i="19"/>
  <c r="H538" i="19"/>
  <c r="H905" i="19"/>
  <c r="H548" i="19"/>
  <c r="H111" i="19"/>
  <c r="I489" i="19"/>
  <c r="H90" i="19"/>
  <c r="I552" i="19"/>
  <c r="I331" i="19"/>
  <c r="H37" i="19"/>
  <c r="I588" i="19"/>
  <c r="H361" i="19"/>
  <c r="H133" i="19"/>
  <c r="H653" i="19"/>
  <c r="I709" i="19"/>
  <c r="H170" i="19"/>
  <c r="H265" i="19"/>
  <c r="I63" i="19"/>
  <c r="H868" i="19"/>
  <c r="H832" i="19"/>
  <c r="H355" i="19"/>
  <c r="H765" i="19"/>
  <c r="H598" i="19"/>
  <c r="H473" i="19"/>
  <c r="I854" i="19"/>
  <c r="I573" i="19"/>
  <c r="I838" i="19"/>
  <c r="H815" i="19"/>
  <c r="I230" i="19"/>
  <c r="I735" i="19"/>
  <c r="I897" i="19"/>
  <c r="I767" i="19"/>
  <c r="I461" i="19"/>
  <c r="H681" i="19"/>
  <c r="I483" i="19"/>
  <c r="H360" i="19"/>
  <c r="I549" i="19"/>
  <c r="I615" i="19"/>
  <c r="I551" i="19"/>
  <c r="H602" i="19"/>
  <c r="I678" i="19"/>
  <c r="H171" i="19"/>
  <c r="I49" i="19"/>
  <c r="H557" i="19"/>
  <c r="H776" i="19"/>
  <c r="H803" i="19"/>
  <c r="H597" i="19"/>
  <c r="I438" i="19"/>
  <c r="I540" i="19"/>
  <c r="I129" i="19"/>
  <c r="I6" i="19"/>
  <c r="I776" i="19"/>
  <c r="H14" i="19"/>
  <c r="I238" i="19"/>
  <c r="I227" i="19"/>
  <c r="H514" i="19"/>
  <c r="H127" i="19"/>
  <c r="H377" i="19"/>
  <c r="H450" i="19"/>
  <c r="H516" i="19"/>
  <c r="H54" i="19"/>
  <c r="H57" i="19"/>
  <c r="H254" i="19"/>
  <c r="H562" i="19"/>
  <c r="I281" i="19"/>
  <c r="H49" i="19"/>
  <c r="I206" i="19"/>
  <c r="H686" i="19"/>
  <c r="I441" i="19"/>
  <c r="H39" i="19"/>
  <c r="I617" i="19"/>
  <c r="I19" i="19"/>
  <c r="I668" i="19"/>
  <c r="H771" i="19"/>
  <c r="H207" i="19"/>
  <c r="I646" i="19"/>
  <c r="H804" i="19"/>
  <c r="H399" i="19"/>
  <c r="I710" i="19"/>
  <c r="H658" i="19"/>
  <c r="I904" i="19"/>
  <c r="I123" i="19"/>
  <c r="I846" i="19"/>
  <c r="I704" i="19"/>
  <c r="H754" i="19"/>
  <c r="H102" i="19"/>
  <c r="H353" i="19"/>
  <c r="H191" i="19"/>
  <c r="H523" i="19"/>
  <c r="I733" i="19"/>
  <c r="I396" i="19"/>
  <c r="I874" i="19"/>
  <c r="I452" i="19"/>
  <c r="I899" i="19"/>
  <c r="H493" i="19"/>
  <c r="I459" i="19"/>
  <c r="H219" i="19"/>
  <c r="H96" i="19"/>
  <c r="H909" i="19"/>
  <c r="H124" i="19"/>
  <c r="I557" i="19"/>
  <c r="I570" i="19"/>
  <c r="H701" i="19"/>
  <c r="H837" i="19"/>
  <c r="I694" i="19"/>
  <c r="H371" i="19"/>
  <c r="H549" i="19"/>
  <c r="I513" i="19"/>
  <c r="I605" i="19"/>
  <c r="H349" i="19"/>
  <c r="I877" i="19"/>
  <c r="I889" i="19"/>
  <c r="H610" i="19"/>
  <c r="H586" i="19"/>
  <c r="H486" i="19"/>
  <c r="I350" i="19"/>
  <c r="H426" i="19"/>
  <c r="H284" i="19"/>
  <c r="I228" i="19"/>
  <c r="I814" i="19"/>
  <c r="H512" i="19"/>
  <c r="H510" i="19"/>
  <c r="H607" i="19"/>
  <c r="H922" i="19"/>
  <c r="H738" i="19"/>
  <c r="H43" i="19"/>
  <c r="I913" i="19"/>
  <c r="H898" i="19"/>
  <c r="I188" i="19"/>
  <c r="H468" i="19"/>
  <c r="I745" i="19"/>
  <c r="I155" i="19"/>
  <c r="H641" i="19"/>
  <c r="I77" i="19"/>
  <c r="H829" i="19"/>
  <c r="I15" i="19"/>
  <c r="H33" i="19"/>
  <c r="H406" i="19"/>
  <c r="H715" i="19"/>
  <c r="I261" i="19"/>
  <c r="I901" i="19"/>
  <c r="H509" i="19"/>
  <c r="H251" i="19"/>
  <c r="H717" i="19"/>
  <c r="H583" i="19"/>
  <c r="I360" i="19"/>
  <c r="H844" i="19"/>
  <c r="I794" i="19"/>
  <c r="I33" i="19"/>
  <c r="I282" i="19"/>
  <c r="I174" i="19"/>
  <c r="I499" i="19"/>
  <c r="I676" i="19"/>
  <c r="I738" i="19"/>
  <c r="I527" i="19"/>
  <c r="H775" i="19"/>
  <c r="H634" i="19"/>
  <c r="I137" i="19"/>
  <c r="I342" i="19"/>
  <c r="H856" i="19"/>
  <c r="I712" i="19"/>
  <c r="I747" i="19"/>
  <c r="I262" i="19"/>
  <c r="I469" i="19"/>
  <c r="I621" i="19"/>
  <c r="H811" i="19"/>
  <c r="I67" i="19"/>
  <c r="I273" i="19"/>
  <c r="I693" i="19"/>
  <c r="I919" i="19"/>
  <c r="I600" i="19"/>
  <c r="H92" i="19"/>
  <c r="H644" i="19"/>
  <c r="H238" i="19"/>
  <c r="H762" i="19"/>
  <c r="I561" i="19"/>
  <c r="H484" i="19"/>
  <c r="I426" i="19"/>
  <c r="I647" i="19"/>
  <c r="H287" i="19"/>
  <c r="I555" i="19"/>
  <c r="H276" i="19"/>
  <c r="H519" i="19"/>
  <c r="I609" i="19"/>
  <c r="H424" i="19"/>
  <c r="H237" i="19"/>
  <c r="H564" i="19"/>
  <c r="H281" i="19"/>
  <c r="H156" i="19"/>
  <c r="H56" i="19"/>
  <c r="H882" i="19"/>
  <c r="I514" i="19"/>
  <c r="H104" i="19"/>
  <c r="I884" i="19"/>
  <c r="I216" i="19"/>
  <c r="I497" i="19"/>
  <c r="I675" i="19"/>
  <c r="I599" i="19"/>
  <c r="H772" i="19"/>
  <c r="H316" i="19"/>
  <c r="H589" i="19"/>
  <c r="I619" i="19"/>
  <c r="I86" i="19"/>
  <c r="H554" i="19"/>
  <c r="I210" i="19"/>
  <c r="H223" i="19"/>
  <c r="H559" i="19"/>
  <c r="H553" i="19"/>
  <c r="I669" i="19"/>
  <c r="I105" i="19"/>
  <c r="I922" i="19"/>
  <c r="I893" i="19"/>
  <c r="I784" i="19"/>
  <c r="I224" i="19"/>
  <c r="I283" i="19"/>
  <c r="I72" i="19"/>
  <c r="H565" i="19"/>
  <c r="I883" i="19"/>
  <c r="H188" i="19"/>
  <c r="H315" i="19"/>
  <c r="I581" i="19"/>
  <c r="I341" i="19"/>
  <c r="H6" i="19"/>
  <c r="I410" i="19"/>
  <c r="H411" i="19"/>
  <c r="H319" i="19"/>
  <c r="I643" i="19"/>
  <c r="I259" i="19"/>
  <c r="I243" i="19"/>
  <c r="H79" i="19"/>
  <c r="H866" i="19"/>
  <c r="H622" i="19"/>
  <c r="I891" i="19"/>
  <c r="I851" i="19"/>
  <c r="I277" i="19"/>
  <c r="I204" i="19"/>
  <c r="I503" i="19"/>
  <c r="H611" i="19"/>
  <c r="H417" i="19"/>
  <c r="I258" i="19"/>
  <c r="I601" i="19"/>
  <c r="I120" i="19"/>
  <c r="I308" i="19"/>
  <c r="H272" i="19"/>
  <c r="H439" i="19"/>
  <c r="H503" i="19"/>
  <c r="H206" i="19"/>
  <c r="I685" i="19"/>
  <c r="H733" i="19"/>
  <c r="H429" i="19"/>
  <c r="I653" i="19"/>
  <c r="I265" i="19"/>
  <c r="I301" i="19"/>
  <c r="H749" i="19"/>
  <c r="H721" i="19"/>
  <c r="H388" i="19"/>
  <c r="H345" i="19"/>
  <c r="H305" i="19"/>
  <c r="H26" i="19"/>
  <c r="I83" i="19"/>
  <c r="H372" i="19"/>
  <c r="H540" i="19"/>
  <c r="I782" i="19"/>
  <c r="I38" i="19"/>
  <c r="H453" i="19"/>
  <c r="H752" i="19"/>
  <c r="H600" i="19"/>
  <c r="H524" i="19"/>
  <c r="I212" i="19"/>
  <c r="H438" i="19"/>
  <c r="I57" i="19"/>
  <c r="H149" i="19"/>
  <c r="H800" i="19"/>
  <c r="I387" i="19"/>
  <c r="H643" i="19"/>
  <c r="H840" i="19"/>
  <c r="H873" i="19"/>
  <c r="H239" i="19"/>
  <c r="H747" i="19"/>
  <c r="I84" i="19"/>
  <c r="H860" i="19"/>
  <c r="H350" i="19"/>
  <c r="I253" i="19"/>
  <c r="H626" i="19"/>
  <c r="H910" i="19"/>
  <c r="I398" i="19"/>
  <c r="I185" i="19"/>
  <c r="H94" i="19"/>
  <c r="H31" i="19"/>
  <c r="H732" i="19"/>
  <c r="I113" i="19"/>
  <c r="H699" i="19"/>
  <c r="H609" i="19"/>
  <c r="I565" i="19"/>
  <c r="H467" i="19"/>
  <c r="H362" i="19"/>
  <c r="I363" i="19"/>
  <c r="H825" i="19"/>
  <c r="H294" i="19"/>
  <c r="H174" i="19"/>
  <c r="H760" i="19"/>
  <c r="I269" i="19"/>
  <c r="I68" i="19"/>
  <c r="H458" i="19"/>
  <c r="I412" i="19"/>
  <c r="H544" i="19"/>
  <c r="H430" i="19"/>
  <c r="I143" i="19"/>
  <c r="H745" i="19"/>
  <c r="H485" i="19"/>
  <c r="H835" i="19"/>
  <c r="H264" i="19"/>
  <c r="H400" i="19"/>
  <c r="I449" i="19"/>
  <c r="H74" i="19"/>
  <c r="H720" i="19"/>
  <c r="I130" i="19"/>
  <c r="I288" i="19"/>
  <c r="H327" i="19"/>
  <c r="H640" i="19"/>
  <c r="I680" i="19"/>
  <c r="I730" i="19"/>
  <c r="H678" i="19"/>
  <c r="H648" i="19"/>
  <c r="H310" i="19"/>
  <c r="H650" i="19"/>
  <c r="H160" i="19"/>
  <c r="H166" i="19"/>
  <c r="I660" i="19"/>
  <c r="H121" i="19"/>
  <c r="I554" i="19"/>
  <c r="I778" i="19"/>
  <c r="H526" i="19"/>
  <c r="H419" i="19"/>
  <c r="I446" i="19"/>
  <c r="H285" i="19"/>
  <c r="H889" i="19"/>
  <c r="H876" i="19"/>
  <c r="I128" i="19"/>
  <c r="I772" i="19"/>
  <c r="H169" i="19"/>
  <c r="H373" i="19"/>
  <c r="I842" i="19"/>
  <c r="I861" i="19"/>
  <c r="I769" i="19"/>
  <c r="H449" i="19"/>
  <c r="I417" i="19"/>
  <c r="I921" i="19"/>
  <c r="H867" i="19"/>
  <c r="I325" i="19"/>
  <c r="I640" i="19"/>
  <c r="H533" i="19"/>
  <c r="I587" i="19"/>
  <c r="H864" i="19"/>
  <c r="H842" i="19"/>
  <c r="H766" i="19"/>
  <c r="H884" i="19"/>
  <c r="I153" i="19"/>
  <c r="I841" i="19"/>
  <c r="I656" i="19"/>
  <c r="H552" i="19"/>
  <c r="I655" i="19"/>
  <c r="H76" i="19"/>
  <c r="H122" i="19"/>
  <c r="I719" i="19"/>
  <c r="H917" i="19"/>
  <c r="I442" i="19"/>
  <c r="H425" i="19"/>
  <c r="I90" i="19"/>
  <c r="I925" i="19"/>
  <c r="H245" i="19"/>
  <c r="I411" i="19"/>
  <c r="I127" i="19"/>
  <c r="I467" i="19"/>
  <c r="I239" i="19"/>
  <c r="H252" i="19"/>
  <c r="I340" i="19"/>
  <c r="I333" i="19"/>
  <c r="H891" i="19"/>
  <c r="I85" i="19"/>
  <c r="H827" i="19"/>
  <c r="H233" i="19"/>
  <c r="I367" i="19"/>
  <c r="I835" i="19"/>
  <c r="I323" i="19"/>
  <c r="H530" i="19"/>
  <c r="H850" i="19"/>
  <c r="I793" i="19"/>
  <c r="I306" i="19"/>
  <c r="H351" i="19"/>
  <c r="H608" i="19"/>
  <c r="H269" i="19"/>
  <c r="H808" i="19"/>
  <c r="H227" i="19"/>
  <c r="H312" i="19"/>
  <c r="H414" i="19"/>
  <c r="I598" i="19"/>
  <c r="I167" i="19"/>
  <c r="I380" i="19"/>
  <c r="H232" i="19"/>
  <c r="H58" i="19"/>
  <c r="H633" i="19"/>
  <c r="I816" i="19"/>
  <c r="H367" i="19"/>
  <c r="I926" i="19"/>
  <c r="I531" i="19"/>
  <c r="H234" i="19"/>
  <c r="I736" i="19"/>
  <c r="I431" i="19"/>
  <c r="I335" i="19"/>
  <c r="H599" i="19"/>
  <c r="I119" i="19"/>
  <c r="I195" i="19"/>
  <c r="H330" i="19"/>
  <c r="I200" i="19"/>
  <c r="H716" i="19"/>
  <c r="I104" i="19"/>
  <c r="I445" i="19"/>
  <c r="H255" i="19"/>
  <c r="H506" i="19"/>
  <c r="I522" i="19"/>
  <c r="H852" i="19"/>
  <c r="H418" i="19"/>
  <c r="H218" i="19"/>
  <c r="I912" i="19"/>
  <c r="I451" i="19"/>
  <c r="H731" i="19"/>
  <c r="I399" i="19"/>
  <c r="H413" i="19"/>
  <c r="H482" i="19"/>
  <c r="H190" i="19"/>
  <c r="I125" i="19"/>
  <c r="I338" i="19"/>
  <c r="H23" i="19"/>
  <c r="H895" i="19"/>
  <c r="H890" i="19"/>
  <c r="I541" i="19"/>
  <c r="H10" i="19"/>
  <c r="H53" i="19"/>
  <c r="I713" i="19"/>
  <c r="I428" i="19"/>
  <c r="I418" i="19"/>
  <c r="I880" i="19"/>
  <c r="H440" i="19"/>
  <c r="H65" i="19"/>
  <c r="H71" i="19"/>
  <c r="H659" i="19"/>
  <c r="H550" i="19"/>
  <c r="I571" i="19"/>
  <c r="I198" i="19"/>
  <c r="I433" i="19"/>
  <c r="H24" i="19"/>
  <c r="H555" i="19"/>
  <c r="I263" i="19"/>
  <c r="H395" i="19"/>
  <c r="H99" i="19"/>
  <c r="H479" i="19"/>
  <c r="I214" i="19"/>
  <c r="I806" i="19"/>
  <c r="I304" i="19"/>
  <c r="I642" i="19"/>
  <c r="H394" i="19"/>
  <c r="H703" i="19"/>
  <c r="H546" i="19"/>
  <c r="H690" i="19"/>
  <c r="I885" i="19"/>
  <c r="H531" i="19"/>
  <c r="I242" i="19"/>
  <c r="H249" i="19"/>
  <c r="I375" i="19"/>
  <c r="I658" i="19"/>
  <c r="H4" i="19"/>
  <c r="I765" i="19"/>
  <c r="I547" i="19"/>
  <c r="H525" i="19"/>
  <c r="I478" i="19"/>
  <c r="H147" i="19"/>
  <c r="I698" i="19"/>
  <c r="I825" i="19"/>
  <c r="H16" i="19"/>
  <c r="I867" i="19"/>
  <c r="H134" i="19"/>
  <c r="H17" i="19"/>
  <c r="I362" i="19"/>
  <c r="I524" i="19"/>
  <c r="I427" i="19"/>
  <c r="I18" i="19"/>
  <c r="I821" i="19"/>
  <c r="H226" i="19"/>
  <c r="H924" i="19"/>
  <c r="H742" i="19"/>
  <c r="I906" i="19"/>
  <c r="H247" i="19"/>
  <c r="H574" i="19"/>
  <c r="I251" i="19"/>
  <c r="I89" i="19"/>
  <c r="I291" i="19"/>
  <c r="I177" i="19"/>
  <c r="H515" i="19"/>
  <c r="H863" i="19"/>
  <c r="H528" i="19"/>
  <c r="I780" i="19"/>
  <c r="I27" i="19"/>
  <c r="I628" i="19"/>
  <c r="I456" i="19"/>
  <c r="H848" i="19"/>
  <c r="I111" i="19"/>
  <c r="I202" i="19"/>
  <c r="I14" i="19"/>
  <c r="H921" i="19"/>
  <c r="H858" i="19"/>
  <c r="H687" i="19"/>
  <c r="H480" i="19"/>
  <c r="I750" i="19"/>
  <c r="I858" i="19"/>
  <c r="H667" i="19"/>
  <c r="H830" i="19"/>
  <c r="I184" i="19"/>
  <c r="H649" i="19"/>
  <c r="H613" i="19"/>
  <c r="I314" i="19"/>
  <c r="H178" i="19"/>
  <c r="H781" i="19"/>
  <c r="H702" i="19"/>
  <c r="I512" i="19"/>
  <c r="H558" i="19"/>
  <c r="I116" i="19"/>
  <c r="I689" i="19"/>
  <c r="I788" i="19"/>
  <c r="H22" i="19"/>
  <c r="I223" i="19"/>
  <c r="H211" i="19"/>
  <c r="I905" i="19"/>
  <c r="H215" i="19"/>
  <c r="H383" i="19"/>
  <c r="I141" i="19"/>
  <c r="I103" i="19"/>
  <c r="I911" i="19"/>
  <c r="H892" i="19"/>
  <c r="H432" i="19"/>
  <c r="H177" i="19"/>
  <c r="I504" i="19"/>
  <c r="H478" i="19"/>
  <c r="H736" i="19"/>
  <c r="H358" i="19"/>
  <c r="I92" i="19"/>
  <c r="H48" i="19"/>
  <c r="I324" i="19"/>
  <c r="H248" i="19"/>
  <c r="H797" i="19"/>
  <c r="H262" i="19"/>
  <c r="H261" i="19"/>
  <c r="I4" i="19"/>
  <c r="H632" i="19"/>
  <c r="I297" i="19"/>
  <c r="H115" i="19"/>
  <c r="I768" i="19"/>
  <c r="I66" i="19"/>
  <c r="I486" i="19"/>
  <c r="I800" i="19"/>
  <c r="I664" i="19"/>
  <c r="H620" i="19"/>
  <c r="H198" i="19"/>
  <c r="I50" i="19"/>
  <c r="I595" i="19"/>
  <c r="H352" i="19"/>
  <c r="H888" i="19"/>
  <c r="H446" i="19"/>
  <c r="I616" i="19"/>
  <c r="I799" i="19"/>
  <c r="H336" i="19"/>
  <c r="I756" i="19"/>
  <c r="H410" i="19"/>
  <c r="I576" i="19"/>
  <c r="H55" i="19"/>
  <c r="I99" i="19"/>
  <c r="H638" i="19"/>
  <c r="H483" i="19"/>
  <c r="H545" i="19"/>
  <c r="I455" i="19"/>
  <c r="I863" i="19"/>
  <c r="I492" i="19"/>
  <c r="H161" i="19"/>
  <c r="I435" i="19"/>
  <c r="I419" i="19"/>
  <c r="I166" i="19"/>
  <c r="H789" i="19"/>
  <c r="H517" i="19"/>
  <c r="H673" i="19"/>
  <c r="H200" i="19"/>
  <c r="I812" i="19"/>
  <c r="I511" i="19"/>
  <c r="I221" i="19"/>
  <c r="H13" i="19"/>
  <c r="H323" i="19"/>
  <c r="I563" i="19"/>
  <c r="H87" i="19"/>
  <c r="I844" i="19"/>
  <c r="H311" i="19"/>
  <c r="H11" i="19"/>
  <c r="H270" i="19"/>
  <c r="I479" i="19"/>
  <c r="H197" i="19"/>
  <c r="H428" i="19"/>
  <c r="I32" i="19"/>
  <c r="I902" i="19"/>
  <c r="H711" i="19"/>
  <c r="I820" i="19"/>
  <c r="I17" i="19"/>
  <c r="I163" i="19"/>
  <c r="H504" i="19"/>
  <c r="I326" i="19"/>
  <c r="I843" i="19"/>
  <c r="H407" i="19"/>
  <c r="H813" i="19"/>
  <c r="H791" i="19"/>
  <c r="H427" i="19"/>
  <c r="I272" i="19"/>
  <c r="I539" i="19"/>
  <c r="I872" i="19"/>
  <c r="H794" i="19"/>
  <c r="H201" i="19"/>
  <c r="H886" i="19"/>
  <c r="H405" i="19"/>
  <c r="H275" i="19"/>
  <c r="H472" i="19"/>
  <c r="I415" i="19"/>
  <c r="H497" i="19"/>
  <c r="H635" i="19"/>
  <c r="H912" i="19"/>
  <c r="H132" i="19"/>
  <c r="I802" i="19"/>
  <c r="H799" i="19"/>
  <c r="I692" i="19"/>
  <c r="I882" i="19"/>
  <c r="I384" i="19"/>
  <c r="I307" i="19"/>
  <c r="H588" i="19"/>
  <c r="H3" i="19"/>
  <c r="H343" i="19"/>
  <c r="I715" i="19"/>
  <c r="I909" i="19"/>
  <c r="H136" i="19"/>
  <c r="I567" i="19"/>
  <c r="H491" i="19"/>
  <c r="I327" i="19"/>
  <c r="I244" i="19"/>
  <c r="I808" i="19"/>
  <c r="I52" i="19"/>
  <c r="H713" i="19"/>
  <c r="H203" i="19"/>
  <c r="I236" i="19"/>
  <c r="I197" i="19"/>
  <c r="H273" i="19"/>
  <c r="H331" i="19"/>
  <c r="H297" i="19"/>
  <c r="I181" i="19"/>
  <c r="H834" i="19"/>
  <c r="H502" i="19"/>
  <c r="H36" i="19"/>
  <c r="H757" i="19"/>
  <c r="H303" i="19"/>
  <c r="H719" i="19"/>
  <c r="H543" i="19"/>
  <c r="H778" i="19"/>
  <c r="H235" i="19"/>
  <c r="I580" i="19"/>
  <c r="I596" i="19"/>
  <c r="I391" i="19"/>
  <c r="H441" i="19"/>
  <c r="H723" i="19"/>
  <c r="I447" i="19"/>
  <c r="H8" i="19"/>
  <c r="I908" i="19"/>
  <c r="I661" i="19"/>
  <c r="H587" i="19"/>
  <c r="I564" i="19"/>
  <c r="H382" i="19"/>
  <c r="I245" i="19"/>
  <c r="I475" i="19"/>
  <c r="I132" i="19"/>
  <c r="H726" i="19"/>
  <c r="H908" i="19"/>
  <c r="I781" i="19"/>
  <c r="I903" i="19"/>
  <c r="I898" i="19"/>
  <c r="H579" i="19"/>
  <c r="H639" i="19"/>
  <c r="H463" i="19"/>
  <c r="I35" i="19"/>
  <c r="H790" i="19"/>
  <c r="I408" i="19"/>
  <c r="I739" i="19"/>
  <c r="H847" i="19"/>
  <c r="I741" i="19"/>
  <c r="H125" i="19"/>
  <c r="I683" i="19"/>
  <c r="H470" i="19"/>
  <c r="H421" i="19"/>
  <c r="I12" i="19"/>
  <c r="I401" i="19"/>
  <c r="H299" i="19"/>
  <c r="H477" i="19"/>
  <c r="H541" i="19"/>
  <c r="H442" i="19"/>
  <c r="H619" i="19"/>
  <c r="H106" i="19"/>
  <c r="H883" i="19"/>
  <c r="I355" i="19"/>
  <c r="H475" i="19"/>
  <c r="I722" i="19"/>
  <c r="CP80" i="1" l="1"/>
  <c r="CQ80" i="1"/>
  <c r="CR80" i="1"/>
  <c r="CT80" i="1"/>
  <c r="DB80" i="1" s="1"/>
  <c r="CV80" i="1"/>
  <c r="DD80" i="1" s="1"/>
  <c r="CX80" i="1"/>
  <c r="DF80" i="1" s="1"/>
  <c r="CZ80" i="1"/>
  <c r="DH80" i="1" s="1"/>
  <c r="DK80" i="1"/>
  <c r="L108" i="18"/>
  <c r="L46" i="18"/>
  <c r="I112" i="18"/>
  <c r="I48" i="18"/>
  <c r="H123" i="18"/>
  <c r="L89" i="18"/>
  <c r="L145" i="18"/>
  <c r="L41" i="18"/>
  <c r="L40" i="18"/>
  <c r="L191" i="18"/>
  <c r="I41" i="18"/>
  <c r="L3" i="18"/>
  <c r="L6" i="18"/>
  <c r="H91" i="18"/>
  <c r="L21" i="18"/>
  <c r="I206" i="18"/>
  <c r="I161" i="18"/>
  <c r="L193" i="18"/>
  <c r="L195" i="18"/>
  <c r="I51" i="18"/>
  <c r="I106" i="18"/>
  <c r="I76" i="18"/>
  <c r="L8" i="18"/>
  <c r="H160" i="18"/>
  <c r="L32" i="18"/>
  <c r="H141" i="18"/>
  <c r="I177" i="18"/>
  <c r="H129" i="18"/>
  <c r="H192" i="18"/>
  <c r="I105" i="18"/>
  <c r="L135" i="18"/>
  <c r="H221" i="18"/>
  <c r="H143" i="18"/>
  <c r="L71" i="18"/>
  <c r="I39" i="18"/>
  <c r="H135" i="18"/>
  <c r="L81" i="18"/>
  <c r="I118" i="18"/>
  <c r="L43" i="18"/>
  <c r="L169" i="18"/>
  <c r="L138" i="18"/>
  <c r="I92" i="18"/>
  <c r="H74" i="18"/>
  <c r="H34" i="18"/>
  <c r="H171" i="18"/>
  <c r="L173" i="18"/>
  <c r="L109" i="18"/>
  <c r="L69" i="18"/>
  <c r="L164" i="18"/>
  <c r="L177" i="18"/>
  <c r="I215" i="18"/>
  <c r="I129" i="18"/>
  <c r="L91" i="18"/>
  <c r="I132" i="18"/>
  <c r="H206" i="18"/>
  <c r="I130" i="18"/>
  <c r="H54" i="18"/>
  <c r="I136" i="18"/>
  <c r="L44" i="18"/>
  <c r="I97" i="18"/>
  <c r="H25" i="18"/>
  <c r="I157" i="18"/>
  <c r="L107" i="18"/>
  <c r="H145" i="18"/>
  <c r="I126" i="18"/>
  <c r="I154" i="18"/>
  <c r="L174" i="18"/>
  <c r="H99" i="18"/>
  <c r="H172" i="18"/>
  <c r="H175" i="18"/>
  <c r="L200" i="18"/>
  <c r="I30" i="18"/>
  <c r="H161" i="18"/>
  <c r="I52" i="18"/>
  <c r="I187" i="18"/>
  <c r="L94" i="18"/>
  <c r="I35" i="18"/>
  <c r="I56" i="18"/>
  <c r="L57" i="18"/>
  <c r="L158" i="18"/>
  <c r="H178" i="18"/>
  <c r="I70" i="18"/>
  <c r="H57" i="18"/>
  <c r="I99" i="18"/>
  <c r="H28" i="18"/>
  <c r="H39" i="18"/>
  <c r="L202" i="18"/>
  <c r="I166" i="18"/>
  <c r="I64" i="18"/>
  <c r="H93" i="18"/>
  <c r="I175" i="18"/>
  <c r="L170" i="18"/>
  <c r="L142" i="18"/>
  <c r="I169" i="18"/>
  <c r="I210" i="18"/>
  <c r="L194" i="18"/>
  <c r="L115" i="18"/>
  <c r="H80" i="18"/>
  <c r="I3" i="18"/>
  <c r="L17" i="18"/>
  <c r="I94" i="18"/>
  <c r="H218" i="18"/>
  <c r="I29" i="18"/>
  <c r="H110" i="18"/>
  <c r="I23" i="18"/>
  <c r="H7" i="18"/>
  <c r="I32" i="18"/>
  <c r="H144" i="18"/>
  <c r="L100" i="18"/>
  <c r="L34" i="18"/>
  <c r="I114" i="18"/>
  <c r="L68" i="18"/>
  <c r="I202" i="18"/>
  <c r="I199" i="18"/>
  <c r="I146" i="18"/>
  <c r="H50" i="18"/>
  <c r="H153" i="18"/>
  <c r="H104" i="18"/>
  <c r="I170" i="18"/>
  <c r="I91" i="18"/>
  <c r="H140" i="18"/>
  <c r="H156" i="18"/>
  <c r="L23" i="18"/>
  <c r="H102" i="18"/>
  <c r="L136" i="18"/>
  <c r="I43" i="18"/>
  <c r="L211" i="18"/>
  <c r="I100" i="18"/>
  <c r="I8" i="18"/>
  <c r="H38" i="18"/>
  <c r="I171" i="18"/>
  <c r="L58" i="18"/>
  <c r="I182" i="18"/>
  <c r="H27" i="18"/>
  <c r="H19" i="18"/>
  <c r="L210" i="18"/>
  <c r="H137" i="18"/>
  <c r="L186" i="18"/>
  <c r="L75" i="18"/>
  <c r="I204" i="18"/>
  <c r="L54" i="18"/>
  <c r="L2" i="18"/>
  <c r="H62" i="18"/>
  <c r="H213" i="18"/>
  <c r="I20" i="18"/>
  <c r="L73" i="18"/>
  <c r="L180" i="18"/>
  <c r="I120" i="18"/>
  <c r="I122" i="18"/>
  <c r="H64" i="18"/>
  <c r="I156" i="18"/>
  <c r="I72" i="18"/>
  <c r="L98" i="18"/>
  <c r="I216" i="18"/>
  <c r="H179" i="18"/>
  <c r="I109" i="18"/>
  <c r="H82" i="18"/>
  <c r="I201" i="18"/>
  <c r="I193" i="18"/>
  <c r="I81" i="18"/>
  <c r="H61" i="18"/>
  <c r="I125" i="18"/>
  <c r="L187" i="18"/>
  <c r="H215" i="18"/>
  <c r="H133" i="18"/>
  <c r="H51" i="18"/>
  <c r="I180" i="18"/>
  <c r="L184" i="18"/>
  <c r="I68" i="18"/>
  <c r="I110" i="18"/>
  <c r="L51" i="18"/>
  <c r="L121" i="18"/>
  <c r="H101" i="18"/>
  <c r="L16" i="18"/>
  <c r="L52" i="18"/>
  <c r="L78" i="18"/>
  <c r="I88" i="18"/>
  <c r="H24" i="18"/>
  <c r="H126" i="18"/>
  <c r="L99" i="18"/>
  <c r="H186" i="18"/>
  <c r="I93" i="18"/>
  <c r="H131" i="18"/>
  <c r="H158" i="18"/>
  <c r="L5" i="18"/>
  <c r="L132" i="18"/>
  <c r="I36" i="18"/>
  <c r="I17" i="18"/>
  <c r="L196" i="18"/>
  <c r="H49" i="18"/>
  <c r="I174" i="18"/>
  <c r="H87" i="18"/>
  <c r="L103" i="18"/>
  <c r="I142" i="18"/>
  <c r="L159" i="18"/>
  <c r="H84" i="18"/>
  <c r="L151" i="18"/>
  <c r="L143" i="18"/>
  <c r="H214" i="18"/>
  <c r="I165" i="18"/>
  <c r="I209" i="18"/>
  <c r="L12" i="18"/>
  <c r="H170" i="18"/>
  <c r="L126" i="18"/>
  <c r="H116" i="18"/>
  <c r="L48" i="18"/>
  <c r="H117" i="18"/>
  <c r="H109" i="18"/>
  <c r="I113" i="18"/>
  <c r="H53" i="18"/>
  <c r="I222" i="18"/>
  <c r="I198" i="18"/>
  <c r="H203" i="18"/>
  <c r="L11" i="18"/>
  <c r="H106" i="18"/>
  <c r="L30" i="18"/>
  <c r="H37" i="18"/>
  <c r="L137" i="18"/>
  <c r="I16" i="18"/>
  <c r="I178" i="18"/>
  <c r="I98" i="18"/>
  <c r="L122" i="18"/>
  <c r="I127" i="18"/>
  <c r="H43" i="18"/>
  <c r="H174" i="18"/>
  <c r="L171" i="18"/>
  <c r="H29" i="18"/>
  <c r="I63" i="18"/>
  <c r="I78" i="18"/>
  <c r="H107" i="18"/>
  <c r="L192" i="18"/>
  <c r="L87" i="18"/>
  <c r="H222" i="18"/>
  <c r="L141" i="18"/>
  <c r="H152" i="18"/>
  <c r="H216" i="18"/>
  <c r="H35" i="18"/>
  <c r="I108" i="18"/>
  <c r="H76" i="18"/>
  <c r="I46" i="18"/>
  <c r="L61" i="18"/>
  <c r="H60" i="18"/>
  <c r="L128" i="18"/>
  <c r="I28" i="18"/>
  <c r="L86" i="18"/>
  <c r="H69" i="18"/>
  <c r="H220" i="18"/>
  <c r="L198" i="18"/>
  <c r="L56" i="18"/>
  <c r="H164" i="18"/>
  <c r="I22" i="18"/>
  <c r="L123" i="18"/>
  <c r="L38" i="18"/>
  <c r="L201" i="18"/>
  <c r="H40" i="18"/>
  <c r="I124" i="18"/>
  <c r="L70" i="18"/>
  <c r="H18" i="18"/>
  <c r="L85" i="18"/>
  <c r="L127" i="18"/>
  <c r="H193" i="18"/>
  <c r="L39" i="18"/>
  <c r="I79" i="18"/>
  <c r="L168" i="18"/>
  <c r="I203" i="18"/>
  <c r="H92" i="18"/>
  <c r="H72" i="18"/>
  <c r="I61" i="18"/>
  <c r="L77" i="18"/>
  <c r="H97" i="18"/>
  <c r="I184" i="18"/>
  <c r="I2" i="18"/>
  <c r="H182" i="18"/>
  <c r="I172" i="18"/>
  <c r="L133" i="18"/>
  <c r="H115" i="18"/>
  <c r="H199" i="18"/>
  <c r="H46" i="18"/>
  <c r="H95" i="18"/>
  <c r="H119" i="18"/>
  <c r="I80" i="18"/>
  <c r="I191" i="18"/>
  <c r="L110" i="18"/>
  <c r="L37" i="18"/>
  <c r="H154" i="18"/>
  <c r="I6" i="18"/>
  <c r="L95" i="18"/>
  <c r="L119" i="18"/>
  <c r="H194" i="18"/>
  <c r="I141" i="18"/>
  <c r="H103" i="18"/>
  <c r="H183" i="18"/>
  <c r="I69" i="18"/>
  <c r="L207" i="18"/>
  <c r="L60" i="18"/>
  <c r="L179" i="18"/>
  <c r="I135" i="18"/>
  <c r="L175" i="18"/>
  <c r="L50" i="18"/>
  <c r="L118" i="18"/>
  <c r="H121" i="18"/>
  <c r="I9" i="18"/>
  <c r="H112" i="18"/>
  <c r="H68" i="18"/>
  <c r="H187" i="18"/>
  <c r="I115" i="18"/>
  <c r="H157" i="18"/>
  <c r="I140" i="18"/>
  <c r="I133" i="18"/>
  <c r="L63" i="18"/>
  <c r="L65" i="18"/>
  <c r="H150" i="18"/>
  <c r="I117" i="18"/>
  <c r="I144" i="18"/>
  <c r="L212" i="18"/>
  <c r="I194" i="18"/>
  <c r="I26" i="18"/>
  <c r="L27" i="18"/>
  <c r="H168" i="18"/>
  <c r="I219" i="18"/>
  <c r="H148" i="18"/>
  <c r="L76" i="18"/>
  <c r="I214" i="18"/>
  <c r="L18" i="18"/>
  <c r="H128" i="18"/>
  <c r="H10" i="18"/>
  <c r="H14" i="18"/>
  <c r="H96" i="18"/>
  <c r="H165" i="18"/>
  <c r="I223" i="18"/>
  <c r="L120" i="18"/>
  <c r="H4" i="18"/>
  <c r="H58" i="18"/>
  <c r="L59" i="18"/>
  <c r="I181" i="18"/>
  <c r="I197" i="18"/>
  <c r="L62" i="18"/>
  <c r="L83" i="18"/>
  <c r="L104" i="18"/>
  <c r="H63" i="18"/>
  <c r="I221" i="18"/>
  <c r="H65" i="18"/>
  <c r="I155" i="18"/>
  <c r="H155" i="18"/>
  <c r="H211" i="18"/>
  <c r="I84" i="18"/>
  <c r="H207" i="18"/>
  <c r="I21" i="18"/>
  <c r="H17" i="18"/>
  <c r="I18" i="18"/>
  <c r="H31" i="18"/>
  <c r="H23" i="18"/>
  <c r="I12" i="18"/>
  <c r="H47" i="18"/>
  <c r="L125" i="18"/>
  <c r="I220" i="18"/>
  <c r="H159" i="18"/>
  <c r="H204" i="18"/>
  <c r="L157" i="18"/>
  <c r="H33" i="18"/>
  <c r="I179" i="18"/>
  <c r="I145" i="18"/>
  <c r="H75" i="18"/>
  <c r="H9" i="18"/>
  <c r="H210" i="18"/>
  <c r="I119" i="18"/>
  <c r="L153" i="18"/>
  <c r="I5" i="18"/>
  <c r="L82" i="18"/>
  <c r="L25" i="18"/>
  <c r="I42" i="18"/>
  <c r="I213" i="18"/>
  <c r="H70" i="18"/>
  <c r="H12" i="18"/>
  <c r="H45" i="18"/>
  <c r="L204" i="18"/>
  <c r="I137" i="18"/>
  <c r="I66" i="18"/>
  <c r="I38" i="18"/>
  <c r="I47" i="18"/>
  <c r="I200" i="18"/>
  <c r="L178" i="18"/>
  <c r="I211" i="18"/>
  <c r="L14" i="18"/>
  <c r="I153" i="18"/>
  <c r="I85" i="18"/>
  <c r="H149" i="18"/>
  <c r="L20" i="18"/>
  <c r="L106" i="18"/>
  <c r="I116" i="18"/>
  <c r="L155" i="18"/>
  <c r="I90" i="18"/>
  <c r="L36" i="18"/>
  <c r="H127" i="18"/>
  <c r="L10" i="18"/>
  <c r="L13" i="18"/>
  <c r="H3" i="18"/>
  <c r="H66" i="18"/>
  <c r="I162" i="18"/>
  <c r="H205" i="18"/>
  <c r="H212" i="18"/>
  <c r="H180" i="18"/>
  <c r="H177" i="18"/>
  <c r="I44" i="18"/>
  <c r="H191" i="18"/>
  <c r="H139" i="18"/>
  <c r="L102" i="18"/>
  <c r="H48" i="18"/>
  <c r="L90" i="18"/>
  <c r="H8" i="18"/>
  <c r="I148" i="18"/>
  <c r="I196" i="18"/>
  <c r="H142" i="18"/>
  <c r="L9" i="18"/>
  <c r="L45" i="18"/>
  <c r="H77" i="18"/>
  <c r="I123" i="18"/>
  <c r="L149" i="18"/>
  <c r="I73" i="18"/>
  <c r="H198" i="18"/>
  <c r="L163" i="18"/>
  <c r="H189" i="18"/>
  <c r="I77" i="18"/>
  <c r="I151" i="18"/>
  <c r="I218" i="18"/>
  <c r="H36" i="18"/>
  <c r="L28" i="18"/>
  <c r="L167" i="18"/>
  <c r="I208" i="18"/>
  <c r="I10" i="18"/>
  <c r="H197" i="18"/>
  <c r="I11" i="18"/>
  <c r="L22" i="18"/>
  <c r="I13" i="18"/>
  <c r="H30" i="18"/>
  <c r="I67" i="18"/>
  <c r="I33" i="18"/>
  <c r="H151" i="18"/>
  <c r="L111" i="18"/>
  <c r="H162" i="18"/>
  <c r="L96" i="18"/>
  <c r="H41" i="18"/>
  <c r="I149" i="18"/>
  <c r="H111" i="18"/>
  <c r="L80" i="18"/>
  <c r="H6" i="18"/>
  <c r="H167" i="18"/>
  <c r="I82" i="18"/>
  <c r="H55" i="18"/>
  <c r="H163" i="18"/>
  <c r="L88" i="18"/>
  <c r="H13" i="18"/>
  <c r="I59" i="18"/>
  <c r="I121" i="18"/>
  <c r="H122" i="18"/>
  <c r="L84" i="18"/>
  <c r="L4" i="18"/>
  <c r="L79" i="18"/>
  <c r="H219" i="18"/>
  <c r="H56" i="18"/>
  <c r="H114" i="18"/>
  <c r="I176" i="18"/>
  <c r="I152" i="18"/>
  <c r="L117" i="18"/>
  <c r="I128" i="18"/>
  <c r="H105" i="18"/>
  <c r="H136" i="18"/>
  <c r="I143" i="18"/>
  <c r="I71" i="18"/>
  <c r="I205" i="18"/>
  <c r="L35" i="18"/>
  <c r="H169" i="18"/>
  <c r="H86" i="18"/>
  <c r="L97" i="18"/>
  <c r="L183" i="18"/>
  <c r="L53" i="18"/>
  <c r="I168" i="18"/>
  <c r="I75" i="18"/>
  <c r="I139" i="18"/>
  <c r="H130" i="18"/>
  <c r="H223" i="18"/>
  <c r="L162" i="18"/>
  <c r="L19" i="18"/>
  <c r="I7" i="18"/>
  <c r="I27" i="18"/>
  <c r="L165" i="18"/>
  <c r="H147" i="18"/>
  <c r="I167" i="18"/>
  <c r="L161" i="18"/>
  <c r="H138" i="18"/>
  <c r="H146" i="18"/>
  <c r="I188" i="18"/>
  <c r="H22" i="18"/>
  <c r="H188" i="18"/>
  <c r="L154" i="18"/>
  <c r="I50" i="18"/>
  <c r="H94" i="18"/>
  <c r="H26" i="18"/>
  <c r="L93" i="18"/>
  <c r="I163" i="18"/>
  <c r="I185" i="18"/>
  <c r="I83" i="18"/>
  <c r="I195" i="18"/>
  <c r="H202" i="18"/>
  <c r="L209" i="18"/>
  <c r="I104" i="18"/>
  <c r="I138" i="18"/>
  <c r="I186" i="18"/>
  <c r="L129" i="18"/>
  <c r="I102" i="18"/>
  <c r="H134" i="18"/>
  <c r="H20" i="18"/>
  <c r="L7" i="18"/>
  <c r="H190" i="18"/>
  <c r="I89" i="18"/>
  <c r="H195" i="18"/>
  <c r="L152" i="18"/>
  <c r="H173" i="18"/>
  <c r="L156" i="18"/>
  <c r="L185" i="18"/>
  <c r="I103" i="18"/>
  <c r="I58" i="18"/>
  <c r="L203" i="18"/>
  <c r="L26" i="18"/>
  <c r="L146" i="18"/>
  <c r="L140" i="18"/>
  <c r="I24" i="18"/>
  <c r="L197" i="18"/>
  <c r="H5" i="18"/>
  <c r="H16" i="18"/>
  <c r="L112" i="18"/>
  <c r="I31" i="18"/>
  <c r="I37" i="18"/>
  <c r="H208" i="18"/>
  <c r="H71" i="18"/>
  <c r="H100" i="18"/>
  <c r="L208" i="18"/>
  <c r="I134" i="18"/>
  <c r="L47" i="18"/>
  <c r="H32" i="18"/>
  <c r="L92" i="18"/>
  <c r="H176" i="18"/>
  <c r="L147" i="18"/>
  <c r="L64" i="18"/>
  <c r="H118" i="18"/>
  <c r="I74" i="18"/>
  <c r="L182" i="18"/>
  <c r="I57" i="18"/>
  <c r="I183" i="18"/>
  <c r="L24" i="18"/>
  <c r="L206" i="18"/>
  <c r="L139" i="18"/>
  <c r="I34" i="18"/>
  <c r="H113" i="18"/>
  <c r="L49" i="18"/>
  <c r="H166" i="18"/>
  <c r="I96" i="18"/>
  <c r="I60" i="18"/>
  <c r="H78" i="18"/>
  <c r="L205" i="18"/>
  <c r="I87" i="18"/>
  <c r="I150" i="18"/>
  <c r="I15" i="18"/>
  <c r="L116" i="18"/>
  <c r="I164" i="18"/>
  <c r="I190" i="18"/>
  <c r="H67" i="18"/>
  <c r="H44" i="18"/>
  <c r="I65" i="18"/>
  <c r="H21" i="18"/>
  <c r="H73" i="18"/>
  <c r="H89" i="18"/>
  <c r="H42" i="18"/>
  <c r="I107" i="18"/>
  <c r="H83" i="18"/>
  <c r="H124" i="18"/>
  <c r="L33" i="18"/>
  <c r="H11" i="18"/>
  <c r="L148" i="18"/>
  <c r="L31" i="18"/>
  <c r="L176" i="18"/>
  <c r="L134" i="18"/>
  <c r="L181" i="18"/>
  <c r="L124" i="18"/>
  <c r="H52" i="18"/>
  <c r="L144" i="18"/>
  <c r="H90" i="18"/>
  <c r="H85" i="18"/>
  <c r="I173" i="18"/>
  <c r="H196" i="18"/>
  <c r="I212" i="18"/>
  <c r="H98" i="18"/>
  <c r="H181" i="18"/>
  <c r="L66" i="18"/>
  <c r="L101" i="18"/>
  <c r="I14" i="18"/>
  <c r="I62" i="18"/>
  <c r="L160" i="18"/>
  <c r="I192" i="18"/>
  <c r="I95" i="18"/>
  <c r="H2" i="18"/>
  <c r="L29" i="18"/>
  <c r="I40" i="18"/>
  <c r="L172" i="18"/>
  <c r="I111" i="18"/>
  <c r="H120" i="18"/>
  <c r="H209" i="18"/>
  <c r="L113" i="18"/>
  <c r="I160" i="18"/>
  <c r="L74" i="18"/>
  <c r="H15" i="18"/>
  <c r="H217" i="18"/>
  <c r="H201" i="18"/>
  <c r="I4" i="18"/>
  <c r="L114" i="18"/>
  <c r="H59" i="18"/>
  <c r="I19" i="18"/>
  <c r="I159" i="18"/>
  <c r="H79" i="18"/>
  <c r="H185" i="18"/>
  <c r="I25" i="18"/>
  <c r="L105" i="18"/>
  <c r="I217" i="18"/>
  <c r="L130" i="18"/>
  <c r="I54" i="18"/>
  <c r="H184" i="18"/>
  <c r="L150" i="18"/>
  <c r="I207" i="18"/>
  <c r="L67" i="18"/>
  <c r="I55" i="18"/>
  <c r="H88" i="18"/>
  <c r="I86" i="18"/>
  <c r="L166" i="18"/>
  <c r="I45" i="18"/>
  <c r="L15" i="18"/>
  <c r="I147" i="18"/>
  <c r="I53" i="18"/>
  <c r="H81" i="18"/>
  <c r="L131" i="18"/>
  <c r="H125" i="18"/>
  <c r="L199" i="18"/>
  <c r="H132" i="18"/>
  <c r="I49" i="18"/>
  <c r="H200" i="18"/>
  <c r="I101" i="18"/>
  <c r="H108" i="18"/>
  <c r="I158" i="18"/>
  <c r="L55" i="18"/>
  <c r="I189" i="18"/>
  <c r="L72" i="18"/>
  <c r="L42" i="18"/>
  <c r="I131" i="18"/>
  <c r="DJ80" i="1" l="1"/>
  <c r="DL80" i="1" s="1"/>
  <c r="CP79" i="1" l="1"/>
  <c r="CQ79" i="1"/>
  <c r="CR79" i="1"/>
  <c r="CT79" i="1"/>
  <c r="DB79" i="1" s="1"/>
  <c r="CV79" i="1"/>
  <c r="DD79" i="1" s="1"/>
  <c r="CX79" i="1"/>
  <c r="DF79" i="1" s="1"/>
  <c r="CZ79" i="1"/>
  <c r="DH79" i="1" s="1"/>
  <c r="DK79" i="1"/>
  <c r="DJ79" i="1" l="1"/>
  <c r="DL79" i="1" s="1"/>
  <c r="CP78" i="1" l="1"/>
  <c r="CQ78" i="1"/>
  <c r="CR78" i="1"/>
  <c r="CT78" i="1"/>
  <c r="DB78" i="1" s="1"/>
  <c r="CV78" i="1"/>
  <c r="DD78" i="1" s="1"/>
  <c r="CX78" i="1"/>
  <c r="DF78" i="1" s="1"/>
  <c r="CZ78" i="1"/>
  <c r="DH78" i="1" s="1"/>
  <c r="DK78" i="1"/>
  <c r="DJ78" i="1" l="1"/>
  <c r="DL78" i="1" s="1"/>
  <c r="CP77" i="1" l="1"/>
  <c r="CQ77" i="1"/>
  <c r="CR77" i="1"/>
  <c r="CT77" i="1"/>
  <c r="DB77" i="1" s="1"/>
  <c r="CV77" i="1"/>
  <c r="DD77" i="1" s="1"/>
  <c r="CX77" i="1"/>
  <c r="DF77" i="1" s="1"/>
  <c r="CZ77" i="1"/>
  <c r="DH77" i="1" s="1"/>
  <c r="DK77" i="1"/>
  <c r="DJ77" i="1" l="1"/>
  <c r="DL77" i="1" s="1"/>
  <c r="CP76" i="1"/>
  <c r="CQ76" i="1"/>
  <c r="CR76" i="1"/>
  <c r="CT76" i="1"/>
  <c r="DB76" i="1" s="1"/>
  <c r="CV76" i="1"/>
  <c r="DD76" i="1" s="1"/>
  <c r="CX76" i="1"/>
  <c r="DF76" i="1" s="1"/>
  <c r="CZ76" i="1"/>
  <c r="DH76" i="1" s="1"/>
  <c r="DK76" i="1"/>
  <c r="DJ76" i="1" l="1"/>
  <c r="DL76" i="1" s="1"/>
  <c r="CP75" i="1"/>
  <c r="CQ75" i="1"/>
  <c r="CR75" i="1"/>
  <c r="CT75" i="1"/>
  <c r="DB75" i="1" s="1"/>
  <c r="CV75" i="1"/>
  <c r="DD75" i="1" s="1"/>
  <c r="CX75" i="1"/>
  <c r="DF75" i="1" s="1"/>
  <c r="CZ75" i="1"/>
  <c r="DH75" i="1" s="1"/>
  <c r="DK75" i="1"/>
  <c r="DJ75" i="1" l="1"/>
  <c r="DL75" i="1" s="1"/>
  <c r="CP74" i="1" l="1"/>
  <c r="CQ74" i="1"/>
  <c r="CR74" i="1"/>
  <c r="CT74" i="1"/>
  <c r="DB74" i="1" s="1"/>
  <c r="CV74" i="1"/>
  <c r="DD74" i="1" s="1"/>
  <c r="CX74" i="1"/>
  <c r="DF74" i="1" s="1"/>
  <c r="CZ74" i="1"/>
  <c r="DH74" i="1" s="1"/>
  <c r="DK74" i="1"/>
  <c r="DJ74" i="1" l="1"/>
  <c r="DL74" i="1" s="1"/>
  <c r="CP73" i="1" l="1"/>
  <c r="CQ73" i="1"/>
  <c r="CR73" i="1"/>
  <c r="CT73" i="1"/>
  <c r="DB73" i="1" s="1"/>
  <c r="CV73" i="1"/>
  <c r="DD73" i="1" s="1"/>
  <c r="CX73" i="1"/>
  <c r="DF73" i="1" s="1"/>
  <c r="CZ73" i="1"/>
  <c r="DH73" i="1" s="1"/>
  <c r="DK73" i="1"/>
  <c r="DJ73" i="1" l="1"/>
  <c r="DL73" i="1" s="1"/>
  <c r="CP72" i="1" l="1"/>
  <c r="CQ72" i="1"/>
  <c r="CR72" i="1"/>
  <c r="CT72" i="1"/>
  <c r="DB72" i="1" s="1"/>
  <c r="CV72" i="1"/>
  <c r="DD72" i="1" s="1"/>
  <c r="CX72" i="1"/>
  <c r="DF72" i="1" s="1"/>
  <c r="CZ72" i="1"/>
  <c r="DH72" i="1" s="1"/>
  <c r="DK72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P71" i="1"/>
  <c r="CQ71" i="1"/>
  <c r="CT71" i="1"/>
  <c r="DB71" i="1" s="1"/>
  <c r="CV71" i="1"/>
  <c r="DD71" i="1" s="1"/>
  <c r="CX71" i="1"/>
  <c r="DF71" i="1" s="1"/>
  <c r="CZ71" i="1"/>
  <c r="DH71" i="1" s="1"/>
  <c r="DK71" i="1"/>
  <c r="DJ72" i="1" l="1"/>
  <c r="DL72" i="1" s="1"/>
  <c r="DJ71" i="1"/>
  <c r="DL71" i="1" s="1"/>
  <c r="CP70" i="1" l="1"/>
  <c r="CQ70" i="1"/>
  <c r="CT70" i="1"/>
  <c r="DB70" i="1" s="1"/>
  <c r="CV70" i="1"/>
  <c r="DD70" i="1" s="1"/>
  <c r="CX70" i="1"/>
  <c r="DF70" i="1" s="1"/>
  <c r="CZ70" i="1"/>
  <c r="DH70" i="1" s="1"/>
  <c r="DK70" i="1"/>
  <c r="DJ70" i="1" l="1"/>
  <c r="DL70" i="1" s="1"/>
  <c r="CP69" i="1" l="1"/>
  <c r="CQ69" i="1"/>
  <c r="CT69" i="1"/>
  <c r="DB69" i="1" s="1"/>
  <c r="CV69" i="1"/>
  <c r="DD69" i="1" s="1"/>
  <c r="CX69" i="1"/>
  <c r="DF69" i="1" s="1"/>
  <c r="CZ69" i="1"/>
  <c r="DH69" i="1" s="1"/>
  <c r="DK69" i="1"/>
  <c r="AW67" i="16"/>
  <c r="DJ69" i="1" l="1"/>
  <c r="DL69" i="1" s="1"/>
  <c r="CP68" i="1"/>
  <c r="CQ68" i="1"/>
  <c r="CT68" i="1"/>
  <c r="DB68" i="1" s="1"/>
  <c r="CV68" i="1"/>
  <c r="DD68" i="1" s="1"/>
  <c r="CX68" i="1"/>
  <c r="DF68" i="1" s="1"/>
  <c r="CZ68" i="1"/>
  <c r="DH68" i="1" s="1"/>
  <c r="DK68" i="1"/>
  <c r="AW66" i="16"/>
  <c r="DJ68" i="1" l="1"/>
  <c r="DL68" i="1" s="1"/>
  <c r="AW65" i="16"/>
  <c r="CP67" i="1"/>
  <c r="CQ67" i="1"/>
  <c r="CT67" i="1"/>
  <c r="DB67" i="1" s="1"/>
  <c r="CV67" i="1"/>
  <c r="DD67" i="1" s="1"/>
  <c r="CX67" i="1"/>
  <c r="DF67" i="1" s="1"/>
  <c r="CZ67" i="1"/>
  <c r="DH67" i="1" s="1"/>
  <c r="DK67" i="1"/>
  <c r="DJ67" i="1" l="1"/>
  <c r="DL67" i="1" s="1"/>
  <c r="CP66" i="1" l="1"/>
  <c r="CQ66" i="1"/>
  <c r="CT66" i="1"/>
  <c r="DB66" i="1" s="1"/>
  <c r="CV66" i="1"/>
  <c r="DD66" i="1" s="1"/>
  <c r="CX66" i="1"/>
  <c r="DF66" i="1" s="1"/>
  <c r="CZ66" i="1"/>
  <c r="DH66" i="1" s="1"/>
  <c r="DK66" i="1"/>
  <c r="DJ66" i="1" l="1"/>
  <c r="DL66" i="1" s="1"/>
  <c r="B3" i="12" l="1"/>
  <c r="B2" i="12" l="1"/>
  <c r="F18" i="12" l="1"/>
  <c r="J18" i="12"/>
  <c r="N18" i="12"/>
  <c r="R18" i="12"/>
  <c r="V18" i="12"/>
  <c r="Z18" i="12"/>
  <c r="AD18" i="12"/>
  <c r="AH18" i="12"/>
  <c r="AL18" i="12"/>
  <c r="AP18" i="12"/>
  <c r="F17" i="12"/>
  <c r="X17" i="12"/>
  <c r="AR17" i="12"/>
  <c r="C18" i="12"/>
  <c r="G18" i="12"/>
  <c r="K18" i="12"/>
  <c r="O18" i="12"/>
  <c r="S18" i="12"/>
  <c r="W18" i="12"/>
  <c r="AA18" i="12"/>
  <c r="AE18" i="12"/>
  <c r="AI18" i="12"/>
  <c r="AM18" i="12"/>
  <c r="AQ18" i="12"/>
  <c r="B18" i="12"/>
  <c r="G17" i="12"/>
  <c r="L17" i="12"/>
  <c r="AC17" i="12"/>
  <c r="AK17" i="12"/>
  <c r="AT17" i="12"/>
  <c r="D18" i="12"/>
  <c r="H18" i="12"/>
  <c r="L18" i="12"/>
  <c r="P18" i="12"/>
  <c r="T18" i="12"/>
  <c r="X18" i="12"/>
  <c r="AB18" i="12"/>
  <c r="AF18" i="12"/>
  <c r="AJ18" i="12"/>
  <c r="AN18" i="12"/>
  <c r="AR18" i="12"/>
  <c r="C17" i="12"/>
  <c r="H17" i="12"/>
  <c r="S17" i="12"/>
  <c r="AG17" i="12"/>
  <c r="AL17" i="12"/>
  <c r="E18" i="12"/>
  <c r="I18" i="12"/>
  <c r="M18" i="12"/>
  <c r="Q18" i="12"/>
  <c r="U18" i="12"/>
  <c r="Y18" i="12"/>
  <c r="AC18" i="12"/>
  <c r="AG18" i="12"/>
  <c r="AK18" i="12"/>
  <c r="AO18" i="12"/>
  <c r="AS18" i="12"/>
  <c r="D17" i="12"/>
  <c r="I17" i="12"/>
  <c r="V17" i="12"/>
  <c r="AH17" i="12"/>
  <c r="AM17" i="12"/>
  <c r="AT18" i="12"/>
  <c r="K17" i="12"/>
  <c r="AJ17" i="12"/>
  <c r="B17" i="12"/>
  <c r="C14" i="12"/>
  <c r="G14" i="12"/>
  <c r="K14" i="12"/>
  <c r="O14" i="12"/>
  <c r="S14" i="12"/>
  <c r="W14" i="12"/>
  <c r="AA14" i="12"/>
  <c r="AE14" i="12"/>
  <c r="AI14" i="12"/>
  <c r="AM14" i="12"/>
  <c r="AQ14" i="12"/>
  <c r="B14" i="12"/>
  <c r="Q9" i="12"/>
  <c r="V9" i="12"/>
  <c r="AJ9" i="12"/>
  <c r="F6" i="12"/>
  <c r="K6" i="12"/>
  <c r="X6" i="12"/>
  <c r="AJ6" i="12"/>
  <c r="AR6" i="12"/>
  <c r="I14" i="12"/>
  <c r="J14" i="12"/>
  <c r="D14" i="12"/>
  <c r="H14" i="12"/>
  <c r="L14" i="12"/>
  <c r="P14" i="12"/>
  <c r="T14" i="12"/>
  <c r="X14" i="12"/>
  <c r="AB14" i="12"/>
  <c r="AF14" i="12"/>
  <c r="AJ14" i="12"/>
  <c r="AN14" i="12"/>
  <c r="AR14" i="12"/>
  <c r="E9" i="12"/>
  <c r="R9" i="12"/>
  <c r="W9" i="12"/>
  <c r="AT9" i="12"/>
  <c r="G6" i="12"/>
  <c r="L6" i="12"/>
  <c r="AC6" i="12"/>
  <c r="AK6" i="12"/>
  <c r="AT6" i="12"/>
  <c r="E14" i="12"/>
  <c r="M14" i="12"/>
  <c r="Q14" i="12"/>
  <c r="U14" i="12"/>
  <c r="Y14" i="12"/>
  <c r="AC14" i="12"/>
  <c r="AG14" i="12"/>
  <c r="AK14" i="12"/>
  <c r="AO14" i="12"/>
  <c r="AS14" i="12"/>
  <c r="O9" i="12"/>
  <c r="T9" i="12"/>
  <c r="AD9" i="12"/>
  <c r="C6" i="12"/>
  <c r="H6" i="12"/>
  <c r="S6" i="12"/>
  <c r="AG6" i="12"/>
  <c r="AL6" i="12"/>
  <c r="B6" i="12"/>
  <c r="F14" i="12"/>
  <c r="N14" i="12"/>
  <c r="R14" i="12"/>
  <c r="V14" i="12"/>
  <c r="Z14" i="12"/>
  <c r="AD14" i="12"/>
  <c r="AH14" i="12"/>
  <c r="AL14" i="12"/>
  <c r="AP14" i="12"/>
  <c r="AT14" i="12"/>
  <c r="P9" i="12"/>
  <c r="U9" i="12"/>
  <c r="AF9" i="12"/>
  <c r="D6" i="12"/>
  <c r="I6" i="12"/>
  <c r="V6" i="12"/>
  <c r="AH6" i="12"/>
  <c r="AM6" i="12"/>
  <c r="AE17" i="12"/>
  <c r="W17" i="12"/>
  <c r="J17" i="12"/>
  <c r="AF6" i="12"/>
  <c r="P17" i="12"/>
  <c r="AI17" i="12"/>
  <c r="AI6" i="12"/>
  <c r="AQ17" i="12"/>
  <c r="AP6" i="12"/>
  <c r="J6" i="12"/>
  <c r="AD17" i="12"/>
  <c r="AS6" i="12"/>
  <c r="Q6" i="12"/>
  <c r="AG9" i="12"/>
  <c r="K9" i="12"/>
  <c r="Y9" i="12"/>
  <c r="AE9" i="12"/>
  <c r="H9" i="12"/>
  <c r="AC9" i="12"/>
  <c r="AI9" i="12"/>
  <c r="AH9" i="12"/>
  <c r="AS17" i="12"/>
  <c r="AA17" i="12"/>
  <c r="X9" i="12"/>
  <c r="S9" i="12"/>
  <c r="Q17" i="12"/>
  <c r="M17" i="12"/>
  <c r="T6" i="12"/>
  <c r="AB6" i="12"/>
  <c r="Y17" i="12"/>
  <c r="AF17" i="12"/>
  <c r="AE6" i="12"/>
  <c r="O17" i="12"/>
  <c r="Z6" i="12"/>
  <c r="E17" i="12"/>
  <c r="AO6" i="12"/>
  <c r="M6" i="12"/>
  <c r="J9" i="12"/>
  <c r="AA9" i="12"/>
  <c r="I9" i="12"/>
  <c r="AP9" i="12"/>
  <c r="AQ9" i="12"/>
  <c r="AB9" i="12"/>
  <c r="AO9" i="12"/>
  <c r="G9" i="12"/>
  <c r="N17" i="12"/>
  <c r="P6" i="12"/>
  <c r="N6" i="12"/>
  <c r="D9" i="12"/>
  <c r="AM9" i="12"/>
  <c r="AL9" i="12"/>
  <c r="Z17" i="12"/>
  <c r="AP17" i="12"/>
  <c r="O6" i="12"/>
  <c r="AA6" i="12"/>
  <c r="R17" i="12"/>
  <c r="AN6" i="12"/>
  <c r="AB17" i="12"/>
  <c r="W6" i="12"/>
  <c r="AN17" i="12"/>
  <c r="R6" i="12"/>
  <c r="U17" i="12"/>
  <c r="Y6" i="12"/>
  <c r="E6" i="12"/>
  <c r="N9" i="12"/>
  <c r="L9" i="12"/>
  <c r="M9" i="12"/>
  <c r="C9" i="12"/>
  <c r="B9" i="12"/>
  <c r="AR9" i="12"/>
  <c r="AN9" i="12"/>
  <c r="AO17" i="12"/>
  <c r="F9" i="12"/>
  <c r="AD6" i="12"/>
  <c r="AQ6" i="12"/>
  <c r="T17" i="12"/>
  <c r="U6" i="12"/>
  <c r="AK9" i="12"/>
  <c r="Z9" i="12"/>
  <c r="AS9" i="12"/>
  <c r="C3" i="12"/>
  <c r="B5" i="12" l="1"/>
  <c r="K13" i="12"/>
  <c r="V13" i="12"/>
  <c r="W13" i="12"/>
  <c r="J13" i="12"/>
  <c r="I13" i="12"/>
  <c r="L13" i="12"/>
  <c r="E13" i="12"/>
  <c r="T13" i="12"/>
  <c r="AA13" i="12"/>
  <c r="AF13" i="12"/>
  <c r="Y13" i="12"/>
  <c r="O13" i="12"/>
  <c r="Q13" i="12"/>
  <c r="X13" i="12"/>
  <c r="P13" i="12"/>
  <c r="AJ13" i="12"/>
  <c r="U13" i="12"/>
  <c r="N13" i="12"/>
  <c r="Z13" i="12"/>
  <c r="AD13" i="12"/>
  <c r="R13" i="12"/>
  <c r="M13" i="12"/>
  <c r="CP65" i="1"/>
  <c r="CQ65" i="1"/>
  <c r="CT65" i="1"/>
  <c r="DB65" i="1" s="1"/>
  <c r="CV65" i="1"/>
  <c r="DD65" i="1" s="1"/>
  <c r="CX65" i="1"/>
  <c r="DF65" i="1" s="1"/>
  <c r="CZ65" i="1"/>
  <c r="DH65" i="1" s="1"/>
  <c r="DK65" i="1"/>
  <c r="CP64" i="1"/>
  <c r="CT64" i="1"/>
  <c r="DB64" i="1" s="1"/>
  <c r="CV64" i="1"/>
  <c r="DD64" i="1" s="1"/>
  <c r="CX64" i="1"/>
  <c r="DF64" i="1" s="1"/>
  <c r="CZ64" i="1"/>
  <c r="DH64" i="1" s="1"/>
  <c r="DK64" i="1"/>
  <c r="DJ65" i="1" l="1"/>
  <c r="DL65" i="1" s="1"/>
  <c r="CQ64" i="1"/>
  <c r="DJ64" i="1"/>
  <c r="DL64" i="1" s="1"/>
  <c r="CP63" i="1" l="1"/>
  <c r="CQ63" i="1"/>
  <c r="CT63" i="1"/>
  <c r="DB63" i="1" s="1"/>
  <c r="CV63" i="1"/>
  <c r="DD63" i="1" s="1"/>
  <c r="CX63" i="1"/>
  <c r="DF63" i="1" s="1"/>
  <c r="CZ63" i="1"/>
  <c r="DH63" i="1" s="1"/>
  <c r="DK63" i="1"/>
  <c r="DJ63" i="1" l="1"/>
  <c r="DL63" i="1" s="1"/>
  <c r="CQ62" i="1"/>
  <c r="CT62" i="1"/>
  <c r="DB62" i="1" s="1"/>
  <c r="CV62" i="1"/>
  <c r="DD62" i="1" s="1"/>
  <c r="CX62" i="1"/>
  <c r="DF62" i="1" s="1"/>
  <c r="DK62" i="1"/>
  <c r="AW59" i="16" l="1"/>
  <c r="CP61" i="1" l="1"/>
  <c r="CQ61" i="1"/>
  <c r="CT61" i="1"/>
  <c r="DB61" i="1" s="1"/>
  <c r="CV61" i="1"/>
  <c r="DD61" i="1" s="1"/>
  <c r="CX61" i="1"/>
  <c r="DF61" i="1" s="1"/>
  <c r="CZ61" i="1"/>
  <c r="DH61" i="1" s="1"/>
  <c r="DK61" i="1"/>
  <c r="DJ61" i="1" l="1"/>
  <c r="DL61" i="1" s="1"/>
  <c r="CP60" i="1"/>
  <c r="CQ60" i="1"/>
  <c r="CT60" i="1"/>
  <c r="DB60" i="1" s="1"/>
  <c r="CV60" i="1"/>
  <c r="DD60" i="1" s="1"/>
  <c r="CX60" i="1"/>
  <c r="DF60" i="1" s="1"/>
  <c r="CZ60" i="1"/>
  <c r="DH60" i="1" s="1"/>
  <c r="DK60" i="1"/>
  <c r="DJ60" i="1" l="1"/>
  <c r="DL60" i="1" s="1"/>
  <c r="CP59" i="1"/>
  <c r="CQ59" i="1"/>
  <c r="CT59" i="1"/>
  <c r="DB59" i="1" s="1"/>
  <c r="CV59" i="1"/>
  <c r="DD59" i="1" s="1"/>
  <c r="CX59" i="1"/>
  <c r="DF59" i="1" s="1"/>
  <c r="CZ59" i="1"/>
  <c r="DH59" i="1" s="1"/>
  <c r="DK59" i="1"/>
  <c r="DJ59" i="1" l="1"/>
  <c r="DL59" i="1" s="1"/>
  <c r="CP58" i="1"/>
  <c r="CQ58" i="1"/>
  <c r="CT58" i="1"/>
  <c r="DB58" i="1" s="1"/>
  <c r="CV58" i="1"/>
  <c r="DD58" i="1" s="1"/>
  <c r="CX58" i="1"/>
  <c r="DF58" i="1" s="1"/>
  <c r="CZ58" i="1"/>
  <c r="DH58" i="1" s="1"/>
  <c r="DK58" i="1"/>
  <c r="DJ58" i="1" l="1"/>
  <c r="DL58" i="1" s="1"/>
  <c r="CP57" i="1" l="1"/>
  <c r="CQ57" i="1"/>
  <c r="CT57" i="1"/>
  <c r="DB57" i="1" s="1"/>
  <c r="CV57" i="1"/>
  <c r="DD57" i="1" s="1"/>
  <c r="CX57" i="1"/>
  <c r="DF57" i="1" s="1"/>
  <c r="CZ57" i="1"/>
  <c r="DH57" i="1" s="1"/>
  <c r="DK57" i="1"/>
  <c r="DJ57" i="1" l="1"/>
  <c r="DL57" i="1" s="1"/>
  <c r="CQ56" i="1" l="1"/>
  <c r="CP56" i="1"/>
  <c r="CT56" i="1"/>
  <c r="DB56" i="1" s="1"/>
  <c r="CV56" i="1"/>
  <c r="DD56" i="1" s="1"/>
  <c r="CX56" i="1"/>
  <c r="DF56" i="1" s="1"/>
  <c r="CZ56" i="1"/>
  <c r="DH56" i="1" s="1"/>
  <c r="DK56" i="1"/>
  <c r="DJ56" i="1" l="1"/>
  <c r="DL56" i="1" s="1"/>
  <c r="AV53" i="16" l="1"/>
  <c r="AU53" i="16"/>
  <c r="AT53" i="16"/>
  <c r="AS53" i="16"/>
  <c r="AR53" i="16"/>
  <c r="AQ53" i="16"/>
  <c r="AP53" i="16"/>
  <c r="AO53" i="16"/>
  <c r="AN53" i="16"/>
  <c r="AM53" i="16"/>
  <c r="AL53" i="16"/>
  <c r="AK53" i="16"/>
  <c r="AJ53" i="16"/>
  <c r="AI53" i="16"/>
  <c r="AH53" i="16"/>
  <c r="AG53" i="16"/>
  <c r="AF53" i="16"/>
  <c r="AE53" i="16"/>
  <c r="AD53" i="16"/>
  <c r="AC53" i="16"/>
  <c r="AB53" i="16"/>
  <c r="AA53" i="16"/>
  <c r="Z53" i="16"/>
  <c r="Y53" i="16"/>
  <c r="X53" i="16"/>
  <c r="W53" i="16"/>
  <c r="V53" i="16"/>
  <c r="U53" i="16"/>
  <c r="T53" i="16"/>
  <c r="S53" i="16"/>
  <c r="R53" i="16"/>
  <c r="Q53" i="16"/>
  <c r="P53" i="16"/>
  <c r="O53" i="16"/>
  <c r="N53" i="16"/>
  <c r="M53" i="16"/>
  <c r="L53" i="16"/>
  <c r="K53" i="16"/>
  <c r="J53" i="16"/>
  <c r="I53" i="16"/>
  <c r="H53" i="16"/>
  <c r="G53" i="16"/>
  <c r="F53" i="16"/>
  <c r="E53" i="16"/>
  <c r="CP55" i="1"/>
  <c r="CQ55" i="1"/>
  <c r="CT55" i="1"/>
  <c r="DB55" i="1" s="1"/>
  <c r="CV55" i="1"/>
  <c r="DD55" i="1" s="1"/>
  <c r="CX55" i="1"/>
  <c r="DF55" i="1" s="1"/>
  <c r="CZ55" i="1"/>
  <c r="DH55" i="1" s="1"/>
  <c r="DK55" i="1"/>
  <c r="AW53" i="16" l="1"/>
  <c r="DJ55" i="1"/>
  <c r="DL55" i="1" s="1"/>
  <c r="AW52" i="16" l="1"/>
  <c r="CP54" i="1" l="1"/>
  <c r="CQ54" i="1"/>
  <c r="CT54" i="1"/>
  <c r="DB54" i="1" s="1"/>
  <c r="CV54" i="1"/>
  <c r="DD54" i="1" s="1"/>
  <c r="CX54" i="1"/>
  <c r="DF54" i="1" s="1"/>
  <c r="CZ54" i="1"/>
  <c r="DH54" i="1" s="1"/>
  <c r="DK54" i="1"/>
  <c r="DJ54" i="1" l="1"/>
  <c r="DL54" i="1" s="1"/>
  <c r="CP53" i="1" l="1"/>
  <c r="CQ53" i="1"/>
  <c r="CT53" i="1"/>
  <c r="DB53" i="1" s="1"/>
  <c r="CV53" i="1"/>
  <c r="DD53" i="1" s="1"/>
  <c r="CX53" i="1"/>
  <c r="DF53" i="1" s="1"/>
  <c r="CZ53" i="1"/>
  <c r="DH53" i="1" s="1"/>
  <c r="DK53" i="1"/>
  <c r="DJ53" i="1" l="1"/>
  <c r="DL53" i="1" s="1"/>
  <c r="CP52" i="1" l="1"/>
  <c r="CQ52" i="1"/>
  <c r="CT52" i="1"/>
  <c r="DB52" i="1" s="1"/>
  <c r="CV52" i="1"/>
  <c r="DD52" i="1" s="1"/>
  <c r="CX52" i="1"/>
  <c r="DF52" i="1" s="1"/>
  <c r="CZ52" i="1"/>
  <c r="DH52" i="1" s="1"/>
  <c r="DK52" i="1"/>
  <c r="DJ52" i="1" l="1"/>
  <c r="DL52" i="1" s="1"/>
  <c r="CP51" i="1" l="1"/>
  <c r="CQ51" i="1"/>
  <c r="CT51" i="1"/>
  <c r="DB51" i="1" s="1"/>
  <c r="CV51" i="1"/>
  <c r="DD51" i="1" s="1"/>
  <c r="CX51" i="1"/>
  <c r="DF51" i="1" s="1"/>
  <c r="CZ51" i="1"/>
  <c r="DH51" i="1" s="1"/>
  <c r="DK51" i="1"/>
  <c r="B7" i="12" l="1"/>
  <c r="DJ51" i="1"/>
  <c r="DL51" i="1" s="1"/>
  <c r="CP50" i="1" l="1"/>
  <c r="CQ50" i="1"/>
  <c r="CT50" i="1"/>
  <c r="DB50" i="1" s="1"/>
  <c r="CV50" i="1"/>
  <c r="DD50" i="1" s="1"/>
  <c r="CX50" i="1"/>
  <c r="DF50" i="1" s="1"/>
  <c r="CZ50" i="1"/>
  <c r="DH50" i="1" s="1"/>
  <c r="DK50" i="1"/>
  <c r="AC13" i="12" l="1"/>
  <c r="S13" i="12"/>
  <c r="C13" i="12"/>
  <c r="AR13" i="12"/>
  <c r="AE13" i="12"/>
  <c r="AS13" i="12"/>
  <c r="D13" i="12"/>
  <c r="AQ13" i="12"/>
  <c r="AO13" i="12"/>
  <c r="H13" i="12"/>
  <c r="AB13" i="12"/>
  <c r="AP13" i="12"/>
  <c r="AI13" i="12"/>
  <c r="AL13" i="12"/>
  <c r="F13" i="12"/>
  <c r="AH13" i="12"/>
  <c r="AN13" i="12"/>
  <c r="AG13" i="12"/>
  <c r="AM13" i="12"/>
  <c r="G13" i="12"/>
  <c r="AK13" i="12"/>
  <c r="DJ50" i="1"/>
  <c r="DL50" i="1" s="1"/>
  <c r="CP49" i="1" l="1"/>
  <c r="CQ49" i="1"/>
  <c r="CT49" i="1"/>
  <c r="DB49" i="1" s="1"/>
  <c r="CV49" i="1"/>
  <c r="DD49" i="1" s="1"/>
  <c r="CX49" i="1"/>
  <c r="DF49" i="1" s="1"/>
  <c r="CZ49" i="1"/>
  <c r="DH49" i="1" s="1"/>
  <c r="DK49" i="1"/>
  <c r="DJ49" i="1" l="1"/>
  <c r="DL49" i="1" s="1"/>
  <c r="CP48" i="1" l="1"/>
  <c r="CQ48" i="1"/>
  <c r="CT48" i="1"/>
  <c r="DB48" i="1" s="1"/>
  <c r="CV48" i="1"/>
  <c r="DD48" i="1" s="1"/>
  <c r="CX48" i="1"/>
  <c r="DF48" i="1" s="1"/>
  <c r="CZ48" i="1"/>
  <c r="DH48" i="1" s="1"/>
  <c r="DK48" i="1"/>
  <c r="DJ48" i="1" l="1"/>
  <c r="DL48" i="1" s="1"/>
  <c r="CP47" i="1" l="1"/>
  <c r="CQ47" i="1"/>
  <c r="CT47" i="1"/>
  <c r="DB47" i="1" s="1"/>
  <c r="CV47" i="1"/>
  <c r="DD47" i="1" s="1"/>
  <c r="CX47" i="1"/>
  <c r="DF47" i="1" s="1"/>
  <c r="CZ47" i="1"/>
  <c r="DH47" i="1" s="1"/>
  <c r="DK47" i="1"/>
  <c r="DJ47" i="1" l="1"/>
  <c r="DL47" i="1" s="1"/>
  <c r="CP46" i="1" l="1"/>
  <c r="CQ46" i="1"/>
  <c r="CT46" i="1"/>
  <c r="DB46" i="1" s="1"/>
  <c r="CV46" i="1"/>
  <c r="DD46" i="1" s="1"/>
  <c r="CX46" i="1"/>
  <c r="DF46" i="1" s="1"/>
  <c r="CZ46" i="1"/>
  <c r="DH46" i="1" s="1"/>
  <c r="DK46" i="1"/>
  <c r="DJ46" i="1" l="1"/>
  <c r="DL46" i="1" s="1"/>
  <c r="CP45" i="1" l="1"/>
  <c r="CQ45" i="1"/>
  <c r="CT45" i="1"/>
  <c r="DB45" i="1" s="1"/>
  <c r="CV45" i="1"/>
  <c r="DD45" i="1" s="1"/>
  <c r="CX45" i="1"/>
  <c r="DF45" i="1" s="1"/>
  <c r="CZ45" i="1"/>
  <c r="DH45" i="1" s="1"/>
  <c r="DK45" i="1"/>
  <c r="DJ45" i="1" l="1"/>
  <c r="DL45" i="1" s="1"/>
  <c r="CP44" i="1" l="1"/>
  <c r="CQ44" i="1"/>
  <c r="CT44" i="1"/>
  <c r="DB44" i="1" s="1"/>
  <c r="CV44" i="1"/>
  <c r="DD44" i="1" s="1"/>
  <c r="CX44" i="1"/>
  <c r="DF44" i="1" s="1"/>
  <c r="CZ44" i="1"/>
  <c r="DH44" i="1" s="1"/>
  <c r="DK44" i="1"/>
  <c r="DJ44" i="1" l="1"/>
  <c r="DL44" i="1" s="1"/>
  <c r="C3" i="16" l="1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CP43" i="1"/>
  <c r="CQ43" i="1"/>
  <c r="CT43" i="1"/>
  <c r="DB43" i="1" s="1"/>
  <c r="CV43" i="1"/>
  <c r="DD43" i="1" s="1"/>
  <c r="CX43" i="1"/>
  <c r="DF43" i="1" s="1"/>
  <c r="CZ43" i="1"/>
  <c r="DH43" i="1" s="1"/>
  <c r="DK43" i="1"/>
  <c r="DJ43" i="1" l="1"/>
  <c r="DL43" i="1" s="1"/>
  <c r="CP42" i="1" l="1"/>
  <c r="CQ42" i="1"/>
  <c r="CT42" i="1"/>
  <c r="DB42" i="1" s="1"/>
  <c r="CV42" i="1"/>
  <c r="DD42" i="1" s="1"/>
  <c r="CX42" i="1"/>
  <c r="DF42" i="1" s="1"/>
  <c r="CZ42" i="1"/>
  <c r="DH42" i="1" s="1"/>
  <c r="DK42" i="1"/>
  <c r="DJ42" i="1" l="1"/>
  <c r="DL42" i="1" s="1"/>
  <c r="J15" i="15" l="1"/>
  <c r="J27" i="15" s="1"/>
  <c r="J39" i="15" s="1"/>
  <c r="J16" i="15"/>
  <c r="J28" i="15" s="1"/>
  <c r="J40" i="15" s="1"/>
  <c r="J17" i="15"/>
  <c r="J29" i="15" s="1"/>
  <c r="J41" i="15" s="1"/>
  <c r="J18" i="15"/>
  <c r="J30" i="15" s="1"/>
  <c r="J42" i="15" s="1"/>
  <c r="J19" i="15"/>
  <c r="J31" i="15" s="1"/>
  <c r="J43" i="15" s="1"/>
  <c r="J20" i="15"/>
  <c r="J32" i="15" s="1"/>
  <c r="J44" i="15" s="1"/>
  <c r="J21" i="15"/>
  <c r="J33" i="15" s="1"/>
  <c r="J45" i="15" s="1"/>
  <c r="J22" i="15"/>
  <c r="J34" i="15" s="1"/>
  <c r="J46" i="15" s="1"/>
  <c r="J23" i="15"/>
  <c r="J35" i="15" s="1"/>
  <c r="J47" i="15" s="1"/>
  <c r="J24" i="15"/>
  <c r="J36" i="15" s="1"/>
  <c r="J48" i="15" s="1"/>
  <c r="J25" i="15"/>
  <c r="J37" i="15" s="1"/>
  <c r="J49" i="15" s="1"/>
  <c r="J14" i="15"/>
  <c r="J26" i="15" s="1"/>
  <c r="J38" i="15" s="1"/>
  <c r="CP41" i="1" l="1"/>
  <c r="CQ41" i="1"/>
  <c r="CT41" i="1"/>
  <c r="DB41" i="1" s="1"/>
  <c r="CV41" i="1"/>
  <c r="DD41" i="1" s="1"/>
  <c r="CX41" i="1"/>
  <c r="DF41" i="1" s="1"/>
  <c r="CZ41" i="1"/>
  <c r="DH41" i="1" s="1"/>
  <c r="DK41" i="1"/>
  <c r="DJ41" i="1" l="1"/>
  <c r="DL41" i="1" s="1"/>
  <c r="CP40" i="1"/>
  <c r="CQ40" i="1"/>
  <c r="CT40" i="1"/>
  <c r="DB40" i="1" s="1"/>
  <c r="CV40" i="1"/>
  <c r="DD40" i="1" s="1"/>
  <c r="CX40" i="1"/>
  <c r="DF40" i="1" s="1"/>
  <c r="CZ40" i="1"/>
  <c r="DH40" i="1" s="1"/>
  <c r="DK40" i="1"/>
  <c r="DJ40" i="1" l="1"/>
  <c r="DL40" i="1" s="1"/>
  <c r="AE2" i="15" l="1"/>
  <c r="AE3" i="15"/>
  <c r="AE4" i="15"/>
  <c r="AE5" i="15"/>
  <c r="AE6" i="15"/>
  <c r="AE7" i="15"/>
  <c r="AE8" i="15"/>
  <c r="AE9" i="15"/>
  <c r="AE10" i="15"/>
  <c r="AE11" i="15"/>
  <c r="AE12" i="15"/>
  <c r="AE13" i="15"/>
  <c r="AE14" i="15"/>
  <c r="AE15" i="15"/>
  <c r="AE16" i="15"/>
  <c r="AE17" i="15"/>
  <c r="AE18" i="15"/>
  <c r="AE19" i="15"/>
  <c r="AE20" i="15"/>
  <c r="AE21" i="15"/>
  <c r="AE22" i="15"/>
  <c r="AE23" i="15"/>
  <c r="AE24" i="15"/>
  <c r="AE25" i="15"/>
  <c r="AE26" i="15"/>
  <c r="AE27" i="15"/>
  <c r="AE28" i="15"/>
  <c r="AE29" i="15"/>
  <c r="AE30" i="15"/>
  <c r="AE31" i="15"/>
  <c r="AE32" i="15"/>
  <c r="AE33" i="15"/>
  <c r="AE34" i="15"/>
  <c r="AE35" i="15"/>
  <c r="AE36" i="15"/>
  <c r="AE37" i="15"/>
  <c r="AE38" i="15"/>
  <c r="AE39" i="15"/>
  <c r="AE40" i="15"/>
  <c r="AE41" i="15"/>
  <c r="AE42" i="15"/>
  <c r="AE43" i="15"/>
  <c r="AE44" i="15"/>
  <c r="AE45" i="15"/>
  <c r="AE46" i="15"/>
  <c r="AE47" i="15"/>
  <c r="AE48" i="15"/>
  <c r="AE49" i="15"/>
  <c r="CP39" i="1" l="1"/>
  <c r="CQ39" i="1"/>
  <c r="CT39" i="1"/>
  <c r="DB39" i="1" s="1"/>
  <c r="CV39" i="1"/>
  <c r="DD39" i="1" s="1"/>
  <c r="CX39" i="1"/>
  <c r="DF39" i="1" s="1"/>
  <c r="CZ39" i="1"/>
  <c r="DH39" i="1" s="1"/>
  <c r="DK39" i="1"/>
  <c r="DJ39" i="1" l="1"/>
  <c r="DL39" i="1" s="1"/>
  <c r="CP38" i="1" l="1"/>
  <c r="CQ38" i="1"/>
  <c r="CT38" i="1"/>
  <c r="DB38" i="1" s="1"/>
  <c r="CV38" i="1"/>
  <c r="DD38" i="1" s="1"/>
  <c r="CX38" i="1"/>
  <c r="DF38" i="1" s="1"/>
  <c r="CZ38" i="1"/>
  <c r="DH38" i="1" s="1"/>
  <c r="DK38" i="1"/>
  <c r="DJ38" i="1" l="1"/>
  <c r="DL38" i="1" s="1"/>
  <c r="CP37" i="1" l="1"/>
  <c r="CQ37" i="1"/>
  <c r="CT37" i="1"/>
  <c r="DB37" i="1" s="1"/>
  <c r="CV37" i="1"/>
  <c r="DD37" i="1" s="1"/>
  <c r="CX37" i="1"/>
  <c r="DF37" i="1" s="1"/>
  <c r="CZ37" i="1"/>
  <c r="DH37" i="1" s="1"/>
  <c r="DK37" i="1"/>
  <c r="DJ37" i="1" l="1"/>
  <c r="DL37" i="1" s="1"/>
  <c r="CP36" i="1" l="1"/>
  <c r="CQ36" i="1"/>
  <c r="CT36" i="1"/>
  <c r="DB36" i="1" s="1"/>
  <c r="CV36" i="1"/>
  <c r="DD36" i="1" s="1"/>
  <c r="CX36" i="1"/>
  <c r="DF36" i="1" s="1"/>
  <c r="CZ36" i="1"/>
  <c r="DH36" i="1" s="1"/>
  <c r="DK36" i="1"/>
  <c r="DJ36" i="1" l="1"/>
  <c r="DL36" i="1" s="1"/>
  <c r="AW33" i="16" l="1"/>
  <c r="CP35" i="1"/>
  <c r="CQ35" i="1"/>
  <c r="CT35" i="1"/>
  <c r="DB35" i="1" s="1"/>
  <c r="CV35" i="1"/>
  <c r="DD35" i="1" s="1"/>
  <c r="CX35" i="1"/>
  <c r="DF35" i="1" s="1"/>
  <c r="CZ35" i="1"/>
  <c r="DH35" i="1" s="1"/>
  <c r="DK35" i="1"/>
  <c r="DJ35" i="1" l="1"/>
  <c r="DL35" i="1" s="1"/>
  <c r="CP34" i="1" l="1"/>
  <c r="CQ34" i="1"/>
  <c r="CT34" i="1"/>
  <c r="DB34" i="1" s="1"/>
  <c r="CV34" i="1"/>
  <c r="DD34" i="1" s="1"/>
  <c r="CX34" i="1"/>
  <c r="DF34" i="1" s="1"/>
  <c r="CZ34" i="1"/>
  <c r="DH34" i="1" s="1"/>
  <c r="DK34" i="1"/>
  <c r="DJ34" i="1" l="1"/>
  <c r="DL34" i="1" s="1"/>
  <c r="CP33" i="1" l="1"/>
  <c r="CQ33" i="1"/>
  <c r="CT33" i="1"/>
  <c r="DB33" i="1" s="1"/>
  <c r="CV33" i="1"/>
  <c r="DD33" i="1" s="1"/>
  <c r="CX33" i="1"/>
  <c r="DF33" i="1" s="1"/>
  <c r="CZ33" i="1"/>
  <c r="DH33" i="1" s="1"/>
  <c r="DK33" i="1"/>
  <c r="DJ33" i="1" l="1"/>
  <c r="DL33" i="1" s="1"/>
  <c r="CP32" i="1" l="1"/>
  <c r="CQ32" i="1"/>
  <c r="CT32" i="1"/>
  <c r="DB32" i="1" s="1"/>
  <c r="CV32" i="1"/>
  <c r="DD32" i="1" s="1"/>
  <c r="CX32" i="1"/>
  <c r="DF32" i="1" s="1"/>
  <c r="CZ32" i="1"/>
  <c r="DH32" i="1" s="1"/>
  <c r="DK32" i="1"/>
  <c r="DJ32" i="1" l="1"/>
  <c r="DL32" i="1" s="1"/>
  <c r="AW29" i="16" l="1"/>
  <c r="CP31" i="1"/>
  <c r="CQ31" i="1"/>
  <c r="CT31" i="1"/>
  <c r="DB31" i="1" s="1"/>
  <c r="CV31" i="1"/>
  <c r="DD31" i="1" s="1"/>
  <c r="CX31" i="1"/>
  <c r="DF31" i="1" s="1"/>
  <c r="CZ31" i="1"/>
  <c r="DH31" i="1" s="1"/>
  <c r="DK31" i="1"/>
  <c r="DJ31" i="1" l="1"/>
  <c r="DL31" i="1" s="1"/>
  <c r="CP30" i="1" l="1"/>
  <c r="CQ30" i="1"/>
  <c r="CT30" i="1"/>
  <c r="DB30" i="1" s="1"/>
  <c r="CV30" i="1"/>
  <c r="DD30" i="1" s="1"/>
  <c r="CX30" i="1"/>
  <c r="DF30" i="1" s="1"/>
  <c r="CZ30" i="1"/>
  <c r="DH30" i="1" s="1"/>
  <c r="DK30" i="1"/>
  <c r="DJ30" i="1" l="1"/>
  <c r="DL30" i="1" s="1"/>
  <c r="CP29" i="1" l="1"/>
  <c r="CQ29" i="1"/>
  <c r="CT29" i="1"/>
  <c r="DB29" i="1" s="1"/>
  <c r="CV29" i="1"/>
  <c r="DD29" i="1" s="1"/>
  <c r="CX29" i="1"/>
  <c r="DF29" i="1" s="1"/>
  <c r="CZ29" i="1"/>
  <c r="DH29" i="1" s="1"/>
  <c r="DK29" i="1"/>
  <c r="DJ29" i="1" l="1"/>
  <c r="DL29" i="1" s="1"/>
  <c r="CP28" i="1" l="1"/>
  <c r="CQ28" i="1"/>
  <c r="CT28" i="1"/>
  <c r="DB28" i="1" s="1"/>
  <c r="CV28" i="1"/>
  <c r="DD28" i="1" s="1"/>
  <c r="CX28" i="1"/>
  <c r="DF28" i="1" s="1"/>
  <c r="CZ28" i="1"/>
  <c r="DH28" i="1" s="1"/>
  <c r="DK28" i="1"/>
  <c r="CP27" i="1"/>
  <c r="CQ27" i="1"/>
  <c r="CT27" i="1"/>
  <c r="DB27" i="1" s="1"/>
  <c r="CV27" i="1"/>
  <c r="DD27" i="1" s="1"/>
  <c r="CX27" i="1"/>
  <c r="DF27" i="1" s="1"/>
  <c r="CZ27" i="1"/>
  <c r="DH27" i="1" s="1"/>
  <c r="DK27" i="1"/>
  <c r="DJ28" i="1" l="1"/>
  <c r="DL28" i="1" s="1"/>
  <c r="DJ27" i="1"/>
  <c r="DL27" i="1" s="1"/>
  <c r="CP26" i="1"/>
  <c r="CQ26" i="1"/>
  <c r="CT26" i="1"/>
  <c r="DB26" i="1" s="1"/>
  <c r="CV26" i="1"/>
  <c r="DD26" i="1" s="1"/>
  <c r="CX26" i="1"/>
  <c r="DF26" i="1" s="1"/>
  <c r="CZ26" i="1"/>
  <c r="DH26" i="1" s="1"/>
  <c r="DK26" i="1"/>
  <c r="DJ26" i="1" l="1"/>
  <c r="DL26" i="1" s="1"/>
  <c r="CP25" i="1"/>
  <c r="CQ25" i="1"/>
  <c r="CT25" i="1"/>
  <c r="DB25" i="1" s="1"/>
  <c r="CV25" i="1"/>
  <c r="DD25" i="1" s="1"/>
  <c r="CX25" i="1"/>
  <c r="DF25" i="1" s="1"/>
  <c r="CZ25" i="1"/>
  <c r="DH25" i="1" s="1"/>
  <c r="DK25" i="1"/>
  <c r="DJ25" i="1" l="1"/>
  <c r="DL25" i="1" s="1"/>
  <c r="CP24" i="1" l="1"/>
  <c r="CQ24" i="1"/>
  <c r="CT24" i="1"/>
  <c r="DB24" i="1" s="1"/>
  <c r="CV24" i="1"/>
  <c r="DD24" i="1" s="1"/>
  <c r="CX24" i="1"/>
  <c r="DF24" i="1" s="1"/>
  <c r="CZ24" i="1"/>
  <c r="DH24" i="1" s="1"/>
  <c r="DK24" i="1"/>
  <c r="DJ24" i="1" l="1"/>
  <c r="DL24" i="1" s="1"/>
  <c r="CP23" i="1" l="1"/>
  <c r="CQ23" i="1"/>
  <c r="CT23" i="1"/>
  <c r="DB23" i="1" s="1"/>
  <c r="CV23" i="1"/>
  <c r="DD23" i="1" s="1"/>
  <c r="CX23" i="1"/>
  <c r="DF23" i="1" s="1"/>
  <c r="CZ23" i="1"/>
  <c r="DH23" i="1" s="1"/>
  <c r="DK23" i="1"/>
  <c r="DJ23" i="1" l="1"/>
  <c r="DL23" i="1" s="1"/>
  <c r="CP22" i="1" l="1"/>
  <c r="CQ22" i="1"/>
  <c r="CT22" i="1"/>
  <c r="DB22" i="1" s="1"/>
  <c r="CV22" i="1"/>
  <c r="DD22" i="1" s="1"/>
  <c r="CX22" i="1"/>
  <c r="DF22" i="1" s="1"/>
  <c r="CZ22" i="1"/>
  <c r="DH22" i="1" s="1"/>
  <c r="DK22" i="1"/>
  <c r="DJ22" i="1" l="1"/>
  <c r="DL22" i="1" s="1"/>
  <c r="CP21" i="1"/>
  <c r="CQ21" i="1"/>
  <c r="CT21" i="1"/>
  <c r="DB21" i="1" s="1"/>
  <c r="CV21" i="1"/>
  <c r="DD21" i="1" s="1"/>
  <c r="CX21" i="1"/>
  <c r="DF21" i="1" s="1"/>
  <c r="CZ21" i="1"/>
  <c r="DH21" i="1" s="1"/>
  <c r="DK21" i="1"/>
  <c r="DJ21" i="1" l="1"/>
  <c r="DL21" i="1" s="1"/>
  <c r="CP20" i="1" l="1"/>
  <c r="CQ20" i="1"/>
  <c r="CT20" i="1"/>
  <c r="DB20" i="1" s="1"/>
  <c r="CV20" i="1"/>
  <c r="DD20" i="1" s="1"/>
  <c r="CX20" i="1"/>
  <c r="DF20" i="1" s="1"/>
  <c r="CZ20" i="1"/>
  <c r="DH20" i="1" s="1"/>
  <c r="DK20" i="1"/>
  <c r="DJ20" i="1" l="1"/>
  <c r="DL20" i="1" s="1"/>
  <c r="CP19" i="1"/>
  <c r="CQ19" i="1"/>
  <c r="CT19" i="1"/>
  <c r="DB19" i="1" s="1"/>
  <c r="CV19" i="1"/>
  <c r="DD19" i="1" s="1"/>
  <c r="CX19" i="1"/>
  <c r="DF19" i="1" s="1"/>
  <c r="CZ19" i="1"/>
  <c r="DH19" i="1" s="1"/>
  <c r="DK19" i="1"/>
  <c r="DJ19" i="1" l="1"/>
  <c r="DL19" i="1" s="1"/>
  <c r="CP18" i="1"/>
  <c r="CQ18" i="1"/>
  <c r="CT18" i="1"/>
  <c r="DB18" i="1" s="1"/>
  <c r="CV18" i="1"/>
  <c r="DD18" i="1" s="1"/>
  <c r="CX18" i="1"/>
  <c r="DF18" i="1" s="1"/>
  <c r="CZ18" i="1"/>
  <c r="DH18" i="1" s="1"/>
  <c r="DK18" i="1"/>
  <c r="DJ18" i="1" l="1"/>
  <c r="DL18" i="1" s="1"/>
  <c r="CP17" i="1"/>
  <c r="CQ17" i="1"/>
  <c r="CT17" i="1"/>
  <c r="DB17" i="1" s="1"/>
  <c r="CV17" i="1"/>
  <c r="DD17" i="1" s="1"/>
  <c r="CX17" i="1"/>
  <c r="DF17" i="1" s="1"/>
  <c r="CZ17" i="1"/>
  <c r="DH17" i="1" s="1"/>
  <c r="DK17" i="1"/>
  <c r="DJ17" i="1" l="1"/>
  <c r="DL17" i="1" s="1"/>
  <c r="CP16" i="1"/>
  <c r="CQ16" i="1"/>
  <c r="CT16" i="1"/>
  <c r="DB16" i="1" s="1"/>
  <c r="CV16" i="1"/>
  <c r="DD16" i="1" s="1"/>
  <c r="CX16" i="1"/>
  <c r="DF16" i="1" s="1"/>
  <c r="CZ16" i="1"/>
  <c r="DH16" i="1" s="1"/>
  <c r="DK16" i="1"/>
  <c r="DJ16" i="1" l="1"/>
  <c r="DL16" i="1" s="1"/>
  <c r="AW13" i="16" l="1"/>
  <c r="CP15" i="1"/>
  <c r="CQ15" i="1"/>
  <c r="CT15" i="1"/>
  <c r="DB15" i="1" s="1"/>
  <c r="CV15" i="1"/>
  <c r="DD15" i="1" s="1"/>
  <c r="CX15" i="1"/>
  <c r="DF15" i="1" s="1"/>
  <c r="CZ15" i="1"/>
  <c r="DH15" i="1" s="1"/>
  <c r="DK15" i="1"/>
  <c r="AW3" i="16"/>
  <c r="AW4" i="16"/>
  <c r="AW5" i="16"/>
  <c r="AW6" i="16"/>
  <c r="AW7" i="16"/>
  <c r="AW8" i="16"/>
  <c r="AW9" i="16"/>
  <c r="AW12" i="16"/>
  <c r="AW14" i="16"/>
  <c r="AW15" i="16"/>
  <c r="AW16" i="16"/>
  <c r="AW17" i="16"/>
  <c r="AW18" i="16"/>
  <c r="AW19" i="16"/>
  <c r="AW20" i="16"/>
  <c r="AW21" i="16"/>
  <c r="AW22" i="16"/>
  <c r="AW23" i="16"/>
  <c r="AW24" i="16"/>
  <c r="AW25" i="16"/>
  <c r="AW26" i="16"/>
  <c r="AW27" i="16"/>
  <c r="AW28" i="16"/>
  <c r="AW30" i="16"/>
  <c r="AW31" i="16"/>
  <c r="AW32" i="16"/>
  <c r="AW34" i="16"/>
  <c r="AW35" i="16"/>
  <c r="AW36" i="16"/>
  <c r="AW37" i="16"/>
  <c r="AW38" i="16"/>
  <c r="AW39" i="16"/>
  <c r="AW40" i="16"/>
  <c r="AW41" i="16"/>
  <c r="AW42" i="16"/>
  <c r="AW43" i="16"/>
  <c r="AW44" i="16"/>
  <c r="AW45" i="16"/>
  <c r="AW46" i="16"/>
  <c r="AW47" i="16"/>
  <c r="AW48" i="16"/>
  <c r="AW49" i="16"/>
  <c r="AW50" i="16"/>
  <c r="AW51" i="16"/>
  <c r="AW54" i="16"/>
  <c r="AW55" i="16"/>
  <c r="AW56" i="16"/>
  <c r="AW57" i="16"/>
  <c r="AW58" i="16"/>
  <c r="AW60" i="16"/>
  <c r="AW61" i="16"/>
  <c r="AW62" i="16"/>
  <c r="AW63" i="16"/>
  <c r="AW64" i="16"/>
  <c r="AW68" i="16"/>
  <c r="AW69" i="16"/>
  <c r="AW70" i="16"/>
  <c r="AW71" i="16"/>
  <c r="AW72" i="16"/>
  <c r="AW73" i="16"/>
  <c r="AW74" i="16"/>
  <c r="AW75" i="16"/>
  <c r="AW76" i="16"/>
  <c r="AW77" i="16"/>
  <c r="AW78" i="16"/>
  <c r="AW79" i="16"/>
  <c r="AW80" i="16"/>
  <c r="AW81" i="16"/>
  <c r="AW82" i="16"/>
  <c r="AW83" i="16"/>
  <c r="AW84" i="16"/>
  <c r="AW85" i="16"/>
  <c r="AW88" i="16"/>
  <c r="AW89" i="16"/>
  <c r="AW90" i="16"/>
  <c r="AW91" i="16"/>
  <c r="AW92" i="16"/>
  <c r="AW93" i="16"/>
  <c r="AW94" i="16"/>
  <c r="AW95" i="16"/>
  <c r="AW96" i="16"/>
  <c r="AW97" i="16"/>
  <c r="AW98" i="16"/>
  <c r="AW99" i="16"/>
  <c r="AW100" i="16"/>
  <c r="AW101" i="16"/>
  <c r="AW102" i="16"/>
  <c r="AW103" i="16"/>
  <c r="AW104" i="16"/>
  <c r="AW105" i="16"/>
  <c r="AW106" i="16"/>
  <c r="AW107" i="16"/>
  <c r="AW108" i="16"/>
  <c r="AW109" i="16"/>
  <c r="AW110" i="16"/>
  <c r="AW111" i="16"/>
  <c r="AW112" i="16"/>
  <c r="AW113" i="16"/>
  <c r="AW114" i="16"/>
  <c r="AW115" i="16"/>
  <c r="AW116" i="16"/>
  <c r="AW117" i="16"/>
  <c r="AW118" i="16"/>
  <c r="AW119" i="16"/>
  <c r="AW120" i="16"/>
  <c r="AW121" i="16"/>
  <c r="AW122" i="16"/>
  <c r="AW123" i="16"/>
  <c r="AW124" i="16"/>
  <c r="AW125" i="16"/>
  <c r="AW126" i="16"/>
  <c r="AW127" i="16"/>
  <c r="AW128" i="16"/>
  <c r="AW129" i="16"/>
  <c r="AW130" i="16"/>
  <c r="AW131" i="16"/>
  <c r="AW132" i="16"/>
  <c r="AW133" i="16"/>
  <c r="AW134" i="16"/>
  <c r="AW135" i="16"/>
  <c r="AW136" i="16"/>
  <c r="AW137" i="16"/>
  <c r="AW138" i="16"/>
  <c r="AW139" i="16"/>
  <c r="AW140" i="16"/>
  <c r="AW141" i="16"/>
  <c r="AW142" i="16"/>
  <c r="AW143" i="16"/>
  <c r="AW144" i="16"/>
  <c r="AW145" i="16"/>
  <c r="AW146" i="16"/>
  <c r="AW147" i="16"/>
  <c r="AW148" i="16"/>
  <c r="AW149" i="16"/>
  <c r="AW150" i="16"/>
  <c r="AW151" i="16"/>
  <c r="AW152" i="16"/>
  <c r="AW153" i="16"/>
  <c r="AW154" i="16"/>
  <c r="AW155" i="16"/>
  <c r="AW156" i="16"/>
  <c r="AW157" i="16"/>
  <c r="AW158" i="16"/>
  <c r="AW159" i="16"/>
  <c r="AW160" i="16"/>
  <c r="AW161" i="16"/>
  <c r="AW162" i="16"/>
  <c r="AW163" i="16"/>
  <c r="AW164" i="16"/>
  <c r="AW165" i="16"/>
  <c r="AW166" i="16"/>
  <c r="AW167" i="16"/>
  <c r="AW168" i="16"/>
  <c r="AW169" i="16"/>
  <c r="AW170" i="16"/>
  <c r="AW171" i="16"/>
  <c r="AW172" i="16"/>
  <c r="AW173" i="16"/>
  <c r="AW174" i="16"/>
  <c r="AW175" i="16"/>
  <c r="AW176" i="16"/>
  <c r="AW177" i="16"/>
  <c r="AW178" i="16"/>
  <c r="AW179" i="16"/>
  <c r="AW180" i="16"/>
  <c r="AW181" i="16"/>
  <c r="AW182" i="16"/>
  <c r="AW183" i="16"/>
  <c r="AW184" i="16"/>
  <c r="AW185" i="16"/>
  <c r="AW186" i="16"/>
  <c r="AW187" i="16"/>
  <c r="AW188" i="16"/>
  <c r="AW189" i="16"/>
  <c r="AW190" i="16"/>
  <c r="AW191" i="16"/>
  <c r="AW192" i="16"/>
  <c r="AW193" i="16"/>
  <c r="AW194" i="16"/>
  <c r="AW195" i="16"/>
  <c r="AW196" i="16"/>
  <c r="AW197" i="16"/>
  <c r="AW198" i="16"/>
  <c r="AW199" i="16"/>
  <c r="AW200" i="16"/>
  <c r="AW201" i="16"/>
  <c r="AW202" i="16"/>
  <c r="AW203" i="16"/>
  <c r="AW204" i="16"/>
  <c r="AW205" i="16"/>
  <c r="AW206" i="16"/>
  <c r="AW207" i="16"/>
  <c r="AW208" i="16"/>
  <c r="AW209" i="16"/>
  <c r="AW210" i="16"/>
  <c r="AW211" i="16"/>
  <c r="AW212" i="16"/>
  <c r="AW213" i="16"/>
  <c r="AW214" i="16"/>
  <c r="AW215" i="16"/>
  <c r="AW216" i="16"/>
  <c r="AW217" i="16"/>
  <c r="AW218" i="16"/>
  <c r="AW219" i="16"/>
  <c r="AW220" i="16"/>
  <c r="AW221" i="16"/>
  <c r="AW222" i="16"/>
  <c r="AW223" i="16"/>
  <c r="AW224" i="16"/>
  <c r="AW225" i="16"/>
  <c r="AW226" i="16"/>
  <c r="AW227" i="16"/>
  <c r="AW228" i="16"/>
  <c r="AW229" i="16"/>
  <c r="AW230" i="16"/>
  <c r="AW231" i="16"/>
  <c r="AW232" i="16"/>
  <c r="AW233" i="16"/>
  <c r="AW234" i="16"/>
  <c r="AW235" i="16"/>
  <c r="AW236" i="16"/>
  <c r="AW237" i="16"/>
  <c r="AW238" i="16"/>
  <c r="AW239" i="16"/>
  <c r="AW240" i="16"/>
  <c r="AW241" i="16"/>
  <c r="AW242" i="16"/>
  <c r="AW243" i="16"/>
  <c r="AW244" i="16"/>
  <c r="AW245" i="16"/>
  <c r="AW246" i="16"/>
  <c r="AW247" i="16"/>
  <c r="AW248" i="16"/>
  <c r="AW249" i="16"/>
  <c r="AW250" i="16"/>
  <c r="AW251" i="16"/>
  <c r="AW252" i="16"/>
  <c r="AW253" i="16"/>
  <c r="AW254" i="16"/>
  <c r="AW255" i="16"/>
  <c r="AW256" i="16"/>
  <c r="AW257" i="16"/>
  <c r="AW258" i="16"/>
  <c r="AW259" i="16"/>
  <c r="AW260" i="16"/>
  <c r="AW261" i="16"/>
  <c r="AW262" i="16"/>
  <c r="AW263" i="16"/>
  <c r="AW264" i="16"/>
  <c r="AW265" i="16"/>
  <c r="AW266" i="16"/>
  <c r="AW267" i="16"/>
  <c r="AW268" i="16"/>
  <c r="AW269" i="16"/>
  <c r="AW270" i="16"/>
  <c r="AW271" i="16"/>
  <c r="AW272" i="16"/>
  <c r="AW273" i="16"/>
  <c r="AW274" i="16"/>
  <c r="AW275" i="16"/>
  <c r="AW276" i="16"/>
  <c r="AW277" i="16"/>
  <c r="AW278" i="16"/>
  <c r="AW279" i="16"/>
  <c r="AW280" i="16"/>
  <c r="AW281" i="16"/>
  <c r="AW282" i="16"/>
  <c r="AW283" i="16"/>
  <c r="AW284" i="16"/>
  <c r="AW285" i="16"/>
  <c r="AW286" i="16"/>
  <c r="AW287" i="16"/>
  <c r="AW288" i="16"/>
  <c r="AW289" i="16"/>
  <c r="AW290" i="16"/>
  <c r="AW291" i="16"/>
  <c r="AW292" i="16"/>
  <c r="AW293" i="16"/>
  <c r="AW294" i="16"/>
  <c r="AW295" i="16"/>
  <c r="AW296" i="16"/>
  <c r="AW297" i="16"/>
  <c r="AW298" i="16"/>
  <c r="AW299" i="16"/>
  <c r="AW300" i="16"/>
  <c r="AW301" i="16"/>
  <c r="AW302" i="16"/>
  <c r="AW303" i="16"/>
  <c r="AW304" i="16"/>
  <c r="AW305" i="16"/>
  <c r="AW306" i="16"/>
  <c r="AW307" i="16"/>
  <c r="AW308" i="16"/>
  <c r="AW309" i="16"/>
  <c r="AW310" i="16"/>
  <c r="AW311" i="16"/>
  <c r="AW312" i="16"/>
  <c r="AW313" i="16"/>
  <c r="AW314" i="16"/>
  <c r="AW315" i="16"/>
  <c r="AW316" i="16"/>
  <c r="AW317" i="16"/>
  <c r="AW318" i="16"/>
  <c r="AW319" i="16"/>
  <c r="AW320" i="16"/>
  <c r="AW321" i="16"/>
  <c r="AW322" i="16"/>
  <c r="AW323" i="16"/>
  <c r="AW324" i="16"/>
  <c r="AW325" i="16"/>
  <c r="AW326" i="16"/>
  <c r="AW327" i="16"/>
  <c r="AW328" i="16"/>
  <c r="AW329" i="16"/>
  <c r="AW330" i="16"/>
  <c r="AW331" i="16"/>
  <c r="AW332" i="16"/>
  <c r="AW333" i="16"/>
  <c r="AW334" i="16"/>
  <c r="AW335" i="16"/>
  <c r="AW336" i="16"/>
  <c r="AW337" i="16"/>
  <c r="AW338" i="16"/>
  <c r="AW339" i="16"/>
  <c r="AW340" i="16"/>
  <c r="AW341" i="16"/>
  <c r="AW342" i="16"/>
  <c r="AW343" i="16"/>
  <c r="AW344" i="16"/>
  <c r="AW345" i="16"/>
  <c r="AW346" i="16"/>
  <c r="AW347" i="16"/>
  <c r="AW348" i="16"/>
  <c r="AW349" i="16"/>
  <c r="AW350" i="16"/>
  <c r="AW351" i="16"/>
  <c r="AW352" i="16"/>
  <c r="AW353" i="16"/>
  <c r="AW354" i="16"/>
  <c r="AW355" i="16"/>
  <c r="AW356" i="16"/>
  <c r="AW357" i="16"/>
  <c r="AW358" i="16"/>
  <c r="AW359" i="16"/>
  <c r="AW360" i="16"/>
  <c r="AW361" i="16"/>
  <c r="AW362" i="16"/>
  <c r="AW363" i="16"/>
  <c r="AW364" i="16"/>
  <c r="AW365" i="16"/>
  <c r="AW366" i="16"/>
  <c r="AW367" i="16"/>
  <c r="AW368" i="16"/>
  <c r="AW369" i="16"/>
  <c r="AW370" i="16"/>
  <c r="CP14" i="1"/>
  <c r="CQ14" i="1"/>
  <c r="CT14" i="1"/>
  <c r="DB14" i="1" s="1"/>
  <c r="CV14" i="1"/>
  <c r="DD14" i="1" s="1"/>
  <c r="CX14" i="1"/>
  <c r="DF14" i="1" s="1"/>
  <c r="CZ14" i="1"/>
  <c r="DH14" i="1" s="1"/>
  <c r="DK14" i="1"/>
  <c r="DJ15" i="1" l="1"/>
  <c r="DL15" i="1" s="1"/>
  <c r="DJ14" i="1"/>
  <c r="DL14" i="1" s="1"/>
  <c r="CP13" i="1"/>
  <c r="CQ13" i="1"/>
  <c r="CT13" i="1"/>
  <c r="DB13" i="1" s="1"/>
  <c r="CV13" i="1"/>
  <c r="DD13" i="1" s="1"/>
  <c r="CX13" i="1"/>
  <c r="DF13" i="1" s="1"/>
  <c r="CZ13" i="1"/>
  <c r="DH13" i="1" s="1"/>
  <c r="DK13" i="1"/>
  <c r="DJ13" i="1" l="1"/>
  <c r="DL13" i="1" s="1"/>
  <c r="AV10" i="16"/>
  <c r="AV11" i="16" s="1"/>
  <c r="AU10" i="16"/>
  <c r="AU11" i="16" s="1"/>
  <c r="AT10" i="16"/>
  <c r="AT11" i="16" s="1"/>
  <c r="AS10" i="16"/>
  <c r="AS11" i="16" s="1"/>
  <c r="AR10" i="16"/>
  <c r="AR11" i="16" s="1"/>
  <c r="AQ10" i="16"/>
  <c r="AQ11" i="16" s="1"/>
  <c r="AP10" i="16"/>
  <c r="AP11" i="16" s="1"/>
  <c r="AO10" i="16"/>
  <c r="AO11" i="16" s="1"/>
  <c r="AN10" i="16"/>
  <c r="AN11" i="16" s="1"/>
  <c r="AM10" i="16"/>
  <c r="AM11" i="16" s="1"/>
  <c r="AL10" i="16"/>
  <c r="AL11" i="16" s="1"/>
  <c r="AK10" i="16"/>
  <c r="AK11" i="16" s="1"/>
  <c r="AJ10" i="16"/>
  <c r="AJ11" i="16" s="1"/>
  <c r="AI10" i="16"/>
  <c r="AI11" i="16" s="1"/>
  <c r="AH10" i="16"/>
  <c r="AH11" i="16" s="1"/>
  <c r="AG10" i="16"/>
  <c r="AG11" i="16" s="1"/>
  <c r="AF10" i="16"/>
  <c r="AF11" i="16" s="1"/>
  <c r="AE10" i="16"/>
  <c r="AE11" i="16" s="1"/>
  <c r="AD10" i="16"/>
  <c r="AD11" i="16" s="1"/>
  <c r="AC10" i="16"/>
  <c r="AC11" i="16" s="1"/>
  <c r="AB10" i="16"/>
  <c r="AB11" i="16" s="1"/>
  <c r="AA10" i="16"/>
  <c r="AA11" i="16" s="1"/>
  <c r="Z10" i="16"/>
  <c r="Z11" i="16" s="1"/>
  <c r="Y10" i="16"/>
  <c r="Y11" i="16" s="1"/>
  <c r="X10" i="16"/>
  <c r="X11" i="16" s="1"/>
  <c r="W10" i="16"/>
  <c r="W11" i="16" s="1"/>
  <c r="V10" i="16"/>
  <c r="V11" i="16" s="1"/>
  <c r="U10" i="16"/>
  <c r="U11" i="16" s="1"/>
  <c r="T10" i="16"/>
  <c r="T11" i="16" s="1"/>
  <c r="S10" i="16"/>
  <c r="S11" i="16" s="1"/>
  <c r="R10" i="16"/>
  <c r="R11" i="16" s="1"/>
  <c r="Q10" i="16"/>
  <c r="Q11" i="16" s="1"/>
  <c r="P10" i="16"/>
  <c r="P11" i="16" s="1"/>
  <c r="O10" i="16"/>
  <c r="O11" i="16" s="1"/>
  <c r="N10" i="16"/>
  <c r="N11" i="16" s="1"/>
  <c r="M10" i="16"/>
  <c r="M11" i="16" s="1"/>
  <c r="L10" i="16"/>
  <c r="L11" i="16" s="1"/>
  <c r="K10" i="16"/>
  <c r="K11" i="16" s="1"/>
  <c r="J10" i="16"/>
  <c r="J11" i="16" s="1"/>
  <c r="I10" i="16"/>
  <c r="I11" i="16" s="1"/>
  <c r="H10" i="16"/>
  <c r="H11" i="16" s="1"/>
  <c r="G10" i="16"/>
  <c r="G11" i="16" s="1"/>
  <c r="F10" i="16"/>
  <c r="F11" i="16" s="1"/>
  <c r="E10" i="16"/>
  <c r="CQ12" i="1"/>
  <c r="CP12" i="1"/>
  <c r="CT12" i="1"/>
  <c r="DB12" i="1" s="1"/>
  <c r="CV12" i="1"/>
  <c r="DD12" i="1" s="1"/>
  <c r="CX12" i="1"/>
  <c r="DF12" i="1" s="1"/>
  <c r="CZ12" i="1"/>
  <c r="DH12" i="1" s="1"/>
  <c r="DK12" i="1"/>
  <c r="E11" i="16" l="1"/>
  <c r="AW11" i="16" s="1"/>
  <c r="AW10" i="16"/>
  <c r="DJ12" i="1"/>
  <c r="DL12" i="1" s="1"/>
  <c r="C27" i="11" l="1"/>
  <c r="C26" i="11"/>
  <c r="C25" i="11"/>
  <c r="C31" i="11"/>
  <c r="C23" i="11"/>
  <c r="C24" i="11"/>
  <c r="C22" i="11"/>
  <c r="C21" i="11"/>
  <c r="C20" i="11"/>
  <c r="C1" i="10"/>
  <c r="I4" i="10" l="1"/>
  <c r="K4" i="10"/>
  <c r="M4" i="10"/>
  <c r="C36" i="11"/>
  <c r="C35" i="11"/>
  <c r="C33" i="11"/>
  <c r="C32" i="11"/>
  <c r="B1" i="16"/>
  <c r="C1" i="16" s="1"/>
  <c r="D1" i="16" s="1"/>
  <c r="E1" i="16" s="1"/>
  <c r="F1" i="16" s="1"/>
  <c r="G1" i="16" s="1"/>
  <c r="H1" i="16" s="1"/>
  <c r="I1" i="16" s="1"/>
  <c r="J1" i="16" s="1"/>
  <c r="K1" i="16" s="1"/>
  <c r="L1" i="16" s="1"/>
  <c r="M1" i="16" s="1"/>
  <c r="N1" i="16" s="1"/>
  <c r="O1" i="16" s="1"/>
  <c r="P1" i="16" s="1"/>
  <c r="Q1" i="16" s="1"/>
  <c r="R1" i="16" s="1"/>
  <c r="S1" i="16" s="1"/>
  <c r="T1" i="16" s="1"/>
  <c r="U1" i="16" s="1"/>
  <c r="V1" i="16" s="1"/>
  <c r="W1" i="16" s="1"/>
  <c r="X1" i="16" s="1"/>
  <c r="Y1" i="16" s="1"/>
  <c r="Z1" i="16" s="1"/>
  <c r="AA1" i="16" s="1"/>
  <c r="AB1" i="16" s="1"/>
  <c r="AC1" i="16" s="1"/>
  <c r="AD1" i="16" s="1"/>
  <c r="AE1" i="16" s="1"/>
  <c r="AF1" i="16" s="1"/>
  <c r="AG1" i="16" s="1"/>
  <c r="AH1" i="16" s="1"/>
  <c r="AI1" i="16" s="1"/>
  <c r="AJ1" i="16" s="1"/>
  <c r="AK1" i="16" s="1"/>
  <c r="AL1" i="16" s="1"/>
  <c r="AM1" i="16" s="1"/>
  <c r="AN1" i="16" s="1"/>
  <c r="AO1" i="16" s="1"/>
  <c r="AP1" i="16" s="1"/>
  <c r="AQ1" i="16" s="1"/>
  <c r="AR1" i="16" s="1"/>
  <c r="AS1" i="16" s="1"/>
  <c r="AT1" i="16" s="1"/>
  <c r="AU1" i="16" s="1"/>
  <c r="AV1" i="16" s="1"/>
  <c r="AW1" i="16" s="1"/>
  <c r="AA39" i="15" l="1"/>
  <c r="AA40" i="15"/>
  <c r="AA41" i="15"/>
  <c r="AA42" i="15"/>
  <c r="AA43" i="15"/>
  <c r="AA44" i="15"/>
  <c r="AA45" i="15"/>
  <c r="AA46" i="15"/>
  <c r="AA47" i="15"/>
  <c r="AA48" i="15"/>
  <c r="AA49" i="15"/>
  <c r="G49" i="15"/>
  <c r="T49" i="15" s="1"/>
  <c r="E49" i="15"/>
  <c r="AA27" i="15"/>
  <c r="E40" i="15"/>
  <c r="E41" i="15"/>
  <c r="E42" i="15"/>
  <c r="E43" i="15"/>
  <c r="E44" i="15"/>
  <c r="E45" i="15"/>
  <c r="E46" i="15"/>
  <c r="E47" i="15"/>
  <c r="E48" i="15"/>
  <c r="G40" i="15"/>
  <c r="T40" i="15" s="1"/>
  <c r="G41" i="15"/>
  <c r="T41" i="15" s="1"/>
  <c r="G42" i="15"/>
  <c r="T42" i="15" s="1"/>
  <c r="G43" i="15"/>
  <c r="T43" i="15" s="1"/>
  <c r="G44" i="15"/>
  <c r="T44" i="15" s="1"/>
  <c r="G45" i="15"/>
  <c r="T45" i="15" s="1"/>
  <c r="G46" i="15"/>
  <c r="T46" i="15" s="1"/>
  <c r="G47" i="15"/>
  <c r="T47" i="15" s="1"/>
  <c r="G48" i="15"/>
  <c r="T48" i="15" s="1"/>
  <c r="B15" i="15"/>
  <c r="B27" i="15" s="1"/>
  <c r="B39" i="15" s="1"/>
  <c r="B16" i="15"/>
  <c r="B28" i="15" s="1"/>
  <c r="B40" i="15" s="1"/>
  <c r="B17" i="15"/>
  <c r="B29" i="15" s="1"/>
  <c r="B41" i="15" s="1"/>
  <c r="B18" i="15"/>
  <c r="B30" i="15" s="1"/>
  <c r="B42" i="15" s="1"/>
  <c r="B19" i="15"/>
  <c r="B31" i="15" s="1"/>
  <c r="B43" i="15" s="1"/>
  <c r="B20" i="15"/>
  <c r="B32" i="15" s="1"/>
  <c r="B44" i="15" s="1"/>
  <c r="B21" i="15"/>
  <c r="B33" i="15" s="1"/>
  <c r="B45" i="15" s="1"/>
  <c r="B22" i="15"/>
  <c r="B34" i="15" s="1"/>
  <c r="B46" i="15" s="1"/>
  <c r="B23" i="15"/>
  <c r="B35" i="15" s="1"/>
  <c r="B47" i="15" s="1"/>
  <c r="B24" i="15"/>
  <c r="B36" i="15" s="1"/>
  <c r="B48" i="15" s="1"/>
  <c r="B25" i="15"/>
  <c r="B37" i="15" s="1"/>
  <c r="B49" i="15" s="1"/>
  <c r="B14" i="15"/>
  <c r="B26" i="15" s="1"/>
  <c r="B38" i="15" s="1"/>
  <c r="AC39" i="15"/>
  <c r="G39" i="15"/>
  <c r="T39" i="15" s="1"/>
  <c r="E39" i="15"/>
  <c r="AC38" i="15"/>
  <c r="AA38" i="15"/>
  <c r="C13" i="11"/>
  <c r="G38" i="15"/>
  <c r="T38" i="15" s="1"/>
  <c r="E38" i="15"/>
  <c r="AC37" i="15"/>
  <c r="AC49" i="15" s="1"/>
  <c r="AA37" i="15"/>
  <c r="G37" i="15"/>
  <c r="T37" i="15" s="1"/>
  <c r="E37" i="15"/>
  <c r="AC36" i="15"/>
  <c r="AC48" i="15" s="1"/>
  <c r="AA36" i="15"/>
  <c r="G36" i="15"/>
  <c r="T36" i="15" s="1"/>
  <c r="E36" i="15"/>
  <c r="AC35" i="15"/>
  <c r="AC47" i="15" s="1"/>
  <c r="AA35" i="15"/>
  <c r="G35" i="15"/>
  <c r="T35" i="15" s="1"/>
  <c r="E35" i="15"/>
  <c r="AC34" i="15"/>
  <c r="AC46" i="15" s="1"/>
  <c r="AA34" i="15"/>
  <c r="G34" i="15"/>
  <c r="T34" i="15" s="1"/>
  <c r="E34" i="15"/>
  <c r="AC33" i="15"/>
  <c r="AC45" i="15" s="1"/>
  <c r="AA33" i="15"/>
  <c r="G33" i="15"/>
  <c r="E33" i="15"/>
  <c r="AC32" i="15"/>
  <c r="AC44" i="15" s="1"/>
  <c r="AA32" i="15"/>
  <c r="G32" i="15"/>
  <c r="T32" i="15" s="1"/>
  <c r="E32" i="15"/>
  <c r="AC31" i="15"/>
  <c r="AC43" i="15" s="1"/>
  <c r="AA31" i="15"/>
  <c r="G31" i="15"/>
  <c r="T31" i="15" s="1"/>
  <c r="E31" i="15"/>
  <c r="AC30" i="15"/>
  <c r="AC42" i="15" s="1"/>
  <c r="AA30" i="15"/>
  <c r="G30" i="15"/>
  <c r="T30" i="15" s="1"/>
  <c r="E30" i="15"/>
  <c r="AC29" i="15"/>
  <c r="AC41" i="15" s="1"/>
  <c r="AA29" i="15"/>
  <c r="G29" i="15"/>
  <c r="E29" i="15"/>
  <c r="AC28" i="15"/>
  <c r="AA28" i="15"/>
  <c r="G28" i="15"/>
  <c r="T28" i="15" s="1"/>
  <c r="E28" i="15"/>
  <c r="G27" i="15"/>
  <c r="T27" i="15" s="1"/>
  <c r="E27" i="15"/>
  <c r="AD26" i="15"/>
  <c r="AA26" i="15"/>
  <c r="G26" i="15"/>
  <c r="T26" i="15" s="1"/>
  <c r="E26" i="15"/>
  <c r="AD25" i="15"/>
  <c r="AA25" i="15"/>
  <c r="G25" i="15"/>
  <c r="T25" i="15" s="1"/>
  <c r="E25" i="15"/>
  <c r="AD24" i="15"/>
  <c r="AA24" i="15"/>
  <c r="G24" i="15"/>
  <c r="T24" i="15" s="1"/>
  <c r="E24" i="15"/>
  <c r="AD23" i="15"/>
  <c r="AA23" i="15"/>
  <c r="G23" i="15"/>
  <c r="T23" i="15" s="1"/>
  <c r="E23" i="15"/>
  <c r="C23" i="15"/>
  <c r="C34" i="15" s="1"/>
  <c r="C45" i="15" s="1"/>
  <c r="AD22" i="15"/>
  <c r="AA22" i="15"/>
  <c r="G22" i="15"/>
  <c r="T22" i="15" s="1"/>
  <c r="E22" i="15"/>
  <c r="C22" i="15"/>
  <c r="C33" i="15" s="1"/>
  <c r="C44" i="15" s="1"/>
  <c r="AD21" i="15"/>
  <c r="AA21" i="15"/>
  <c r="G21" i="15"/>
  <c r="T21" i="15" s="1"/>
  <c r="E21" i="15"/>
  <c r="C21" i="15"/>
  <c r="C32" i="15" s="1"/>
  <c r="C43" i="15" s="1"/>
  <c r="AD20" i="15"/>
  <c r="AA20" i="15"/>
  <c r="G20" i="15"/>
  <c r="T20" i="15" s="1"/>
  <c r="E20" i="15"/>
  <c r="C20" i="15"/>
  <c r="C31" i="15" s="1"/>
  <c r="C42" i="15" s="1"/>
  <c r="AD19" i="15"/>
  <c r="AA19" i="15"/>
  <c r="G19" i="15"/>
  <c r="T19" i="15" s="1"/>
  <c r="E19" i="15"/>
  <c r="C19" i="15"/>
  <c r="C30" i="15" s="1"/>
  <c r="C41" i="15" s="1"/>
  <c r="AD18" i="15"/>
  <c r="AA18" i="15"/>
  <c r="G18" i="15"/>
  <c r="T18" i="15" s="1"/>
  <c r="E18" i="15"/>
  <c r="C18" i="15"/>
  <c r="C29" i="15" s="1"/>
  <c r="C40" i="15" s="1"/>
  <c r="AD17" i="15"/>
  <c r="AA17" i="15"/>
  <c r="G17" i="15"/>
  <c r="T17" i="15" s="1"/>
  <c r="E17" i="15"/>
  <c r="C17" i="15"/>
  <c r="C28" i="15" s="1"/>
  <c r="C39" i="15" s="1"/>
  <c r="AD16" i="15"/>
  <c r="AA16" i="15"/>
  <c r="G16" i="15"/>
  <c r="T16" i="15" s="1"/>
  <c r="E16" i="15"/>
  <c r="C16" i="15"/>
  <c r="C27" i="15" s="1"/>
  <c r="C38" i="15" s="1"/>
  <c r="C49" i="15" s="1"/>
  <c r="AD15" i="15"/>
  <c r="AA15" i="15"/>
  <c r="G15" i="15"/>
  <c r="T15" i="15" s="1"/>
  <c r="E15" i="15"/>
  <c r="C15" i="15"/>
  <c r="C26" i="15" s="1"/>
  <c r="C37" i="15" s="1"/>
  <c r="C48" i="15" s="1"/>
  <c r="AD14" i="15"/>
  <c r="AA14" i="15"/>
  <c r="G14" i="15"/>
  <c r="T14" i="15" s="1"/>
  <c r="E14" i="15"/>
  <c r="C14" i="15"/>
  <c r="C25" i="15" s="1"/>
  <c r="C36" i="15" s="1"/>
  <c r="C47" i="15" s="1"/>
  <c r="AD13" i="15"/>
  <c r="AA13" i="15"/>
  <c r="G13" i="15"/>
  <c r="T13" i="15" s="1"/>
  <c r="E13" i="15"/>
  <c r="C13" i="15"/>
  <c r="C24" i="15" s="1"/>
  <c r="C35" i="15" s="1"/>
  <c r="C46" i="15" s="1"/>
  <c r="AD12" i="15"/>
  <c r="AA12" i="15"/>
  <c r="G12" i="15"/>
  <c r="T12" i="15" s="1"/>
  <c r="E12" i="15"/>
  <c r="AD11" i="15"/>
  <c r="AA11" i="15"/>
  <c r="G11" i="15"/>
  <c r="T11" i="15" s="1"/>
  <c r="E11" i="15"/>
  <c r="AD10" i="15"/>
  <c r="AA10" i="15"/>
  <c r="G10" i="15"/>
  <c r="T10" i="15" s="1"/>
  <c r="E10" i="15"/>
  <c r="AD9" i="15"/>
  <c r="AA9" i="15"/>
  <c r="G9" i="15"/>
  <c r="T9" i="15" s="1"/>
  <c r="E9" i="15"/>
  <c r="AD8" i="15"/>
  <c r="AA8" i="15"/>
  <c r="G8" i="15"/>
  <c r="T8" i="15" s="1"/>
  <c r="E8" i="15"/>
  <c r="AD7" i="15"/>
  <c r="AA7" i="15"/>
  <c r="G7" i="15"/>
  <c r="T7" i="15" s="1"/>
  <c r="E7" i="15"/>
  <c r="AD6" i="15"/>
  <c r="AA6" i="15"/>
  <c r="G6" i="15"/>
  <c r="T6" i="15" s="1"/>
  <c r="E6" i="15"/>
  <c r="AD5" i="15"/>
  <c r="AA5" i="15"/>
  <c r="G5" i="15"/>
  <c r="T5" i="15" s="1"/>
  <c r="E5" i="15"/>
  <c r="AD4" i="15"/>
  <c r="AA4" i="15"/>
  <c r="G4" i="15"/>
  <c r="E4" i="15"/>
  <c r="AD3" i="15"/>
  <c r="AA3" i="15"/>
  <c r="G3" i="15"/>
  <c r="T3" i="15" s="1"/>
  <c r="E3" i="15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D2" i="15"/>
  <c r="AA2" i="15"/>
  <c r="G2" i="15"/>
  <c r="T2" i="15" s="1"/>
  <c r="E2" i="15"/>
  <c r="AC40" i="15" l="1"/>
  <c r="AD39" i="15" s="1"/>
  <c r="W10" i="15"/>
  <c r="T33" i="15"/>
  <c r="W33" i="15" s="1"/>
  <c r="W9" i="15"/>
  <c r="W26" i="15"/>
  <c r="C17" i="11"/>
  <c r="C18" i="11"/>
  <c r="W41" i="15"/>
  <c r="W40" i="15"/>
  <c r="W18" i="15"/>
  <c r="W22" i="15"/>
  <c r="T29" i="15"/>
  <c r="W29" i="15" s="1"/>
  <c r="T4" i="15"/>
  <c r="W4" i="15" s="1"/>
  <c r="W14" i="15"/>
  <c r="W48" i="15"/>
  <c r="W32" i="15"/>
  <c r="W34" i="15"/>
  <c r="W19" i="15"/>
  <c r="W23" i="15"/>
  <c r="W39" i="15"/>
  <c r="W49" i="15"/>
  <c r="W3" i="15"/>
  <c r="W47" i="15"/>
  <c r="W46" i="15"/>
  <c r="W42" i="15"/>
  <c r="AD37" i="15"/>
  <c r="W45" i="15"/>
  <c r="W43" i="15"/>
  <c r="AD30" i="15"/>
  <c r="W44" i="15"/>
  <c r="AD32" i="15"/>
  <c r="W15" i="15"/>
  <c r="W27" i="15"/>
  <c r="W11" i="15"/>
  <c r="W30" i="15"/>
  <c r="W37" i="15"/>
  <c r="W5" i="15"/>
  <c r="AD33" i="15"/>
  <c r="AD28" i="15"/>
  <c r="W35" i="15"/>
  <c r="AD38" i="15"/>
  <c r="W28" i="15"/>
  <c r="AD31" i="15"/>
  <c r="W7" i="15"/>
  <c r="AD35" i="15"/>
  <c r="W6" i="15"/>
  <c r="W12" i="15"/>
  <c r="W16" i="15"/>
  <c r="W20" i="15"/>
  <c r="W24" i="15"/>
  <c r="W13" i="15"/>
  <c r="W17" i="15"/>
  <c r="W21" i="15"/>
  <c r="W25" i="15"/>
  <c r="AD29" i="15"/>
  <c r="W38" i="15"/>
  <c r="W2" i="15"/>
  <c r="W8" i="15"/>
  <c r="W31" i="15"/>
  <c r="AD34" i="15"/>
  <c r="AD36" i="15"/>
  <c r="W36" i="15"/>
  <c r="C28" i="11" l="1"/>
  <c r="AD45" i="15"/>
  <c r="AD41" i="15"/>
  <c r="AD43" i="15"/>
  <c r="AD49" i="15"/>
  <c r="AD44" i="15"/>
  <c r="AD40" i="15"/>
  <c r="C4" i="10" s="1"/>
  <c r="AD46" i="15"/>
  <c r="AD27" i="15"/>
  <c r="AD42" i="15"/>
  <c r="AD47" i="15"/>
  <c r="AD48" i="15"/>
  <c r="E2" i="14" l="1"/>
  <c r="A3" i="14"/>
  <c r="D2" i="14"/>
  <c r="AR2" i="14" s="1"/>
  <c r="C2" i="14"/>
  <c r="B2" i="14"/>
  <c r="AD2" i="14" l="1"/>
  <c r="AC2" i="14"/>
  <c r="D3" i="16"/>
  <c r="B3" i="14"/>
  <c r="A4" i="14"/>
  <c r="E3" i="14"/>
  <c r="D3" i="14"/>
  <c r="AR3" i="14" s="1"/>
  <c r="C3" i="14"/>
  <c r="AQ2" i="14"/>
  <c r="AG2" i="14"/>
  <c r="AP2" i="14"/>
  <c r="AH2" i="14"/>
  <c r="AF2" i="14"/>
  <c r="AD3" i="14" l="1"/>
  <c r="AC3" i="14"/>
  <c r="D4" i="16"/>
  <c r="C4" i="14"/>
  <c r="B4" i="14"/>
  <c r="A5" i="14"/>
  <c r="E4" i="14"/>
  <c r="D4" i="14"/>
  <c r="AR4" i="14" s="1"/>
  <c r="AQ3" i="14"/>
  <c r="AH3" i="14"/>
  <c r="AP3" i="14"/>
  <c r="AG3" i="14"/>
  <c r="AF3" i="14"/>
  <c r="AD4" i="14" l="1"/>
  <c r="AC4" i="14"/>
  <c r="D5" i="16"/>
  <c r="D5" i="14"/>
  <c r="AR5" i="14" s="1"/>
  <c r="C5" i="14"/>
  <c r="B5" i="14"/>
  <c r="A6" i="14"/>
  <c r="E5" i="14"/>
  <c r="AG4" i="14"/>
  <c r="AQ4" i="14"/>
  <c r="AF4" i="14"/>
  <c r="AP4" i="14"/>
  <c r="AH4" i="14"/>
  <c r="AD5" i="14" l="1"/>
  <c r="AC5" i="14"/>
  <c r="D6" i="16"/>
  <c r="E6" i="14"/>
  <c r="D6" i="14"/>
  <c r="AR6" i="14" s="1"/>
  <c r="C6" i="14"/>
  <c r="B6" i="14"/>
  <c r="A7" i="14"/>
  <c r="AQ5" i="14"/>
  <c r="AF5" i="14"/>
  <c r="AG5" i="14"/>
  <c r="AP5" i="14"/>
  <c r="AH5" i="14"/>
  <c r="AD6" i="14" l="1"/>
  <c r="AC6" i="14"/>
  <c r="D7" i="16"/>
  <c r="B7" i="14"/>
  <c r="E7" i="14"/>
  <c r="D7" i="14"/>
  <c r="AR7" i="14" s="1"/>
  <c r="C7" i="14"/>
  <c r="A8" i="14"/>
  <c r="AG6" i="14"/>
  <c r="AQ6" i="14"/>
  <c r="AH6" i="14"/>
  <c r="AP6" i="14"/>
  <c r="AF6" i="14"/>
  <c r="AD7" i="14" l="1"/>
  <c r="AC7" i="14"/>
  <c r="D8" i="16"/>
  <c r="E8" i="14"/>
  <c r="D8" i="14"/>
  <c r="AR8" i="14" s="1"/>
  <c r="C8" i="14"/>
  <c r="A9" i="14"/>
  <c r="B8" i="14"/>
  <c r="AP7" i="14"/>
  <c r="AF7" i="14"/>
  <c r="AG7" i="14"/>
  <c r="AQ7" i="14"/>
  <c r="AH7" i="14"/>
  <c r="AD8" i="14" l="1"/>
  <c r="AC8" i="14"/>
  <c r="D9" i="16"/>
  <c r="A10" i="14"/>
  <c r="C9" i="14"/>
  <c r="B9" i="14"/>
  <c r="D9" i="14"/>
  <c r="AR9" i="14" s="1"/>
  <c r="E9" i="14"/>
  <c r="AQ8" i="14"/>
  <c r="AP8" i="14"/>
  <c r="AF8" i="14"/>
  <c r="AH8" i="14"/>
  <c r="AG8" i="14"/>
  <c r="AD9" i="14" l="1"/>
  <c r="AC9" i="14"/>
  <c r="D10" i="16"/>
  <c r="E10" i="14"/>
  <c r="A11" i="14"/>
  <c r="D10" i="14"/>
  <c r="AR10" i="14" s="1"/>
  <c r="B10" i="14"/>
  <c r="C10" i="14"/>
  <c r="AQ9" i="14"/>
  <c r="AG9" i="14"/>
  <c r="AP9" i="14"/>
  <c r="AH9" i="14"/>
  <c r="AF9" i="14"/>
  <c r="AD10" i="14" l="1"/>
  <c r="AC10" i="14"/>
  <c r="D11" i="16"/>
  <c r="B11" i="14"/>
  <c r="A12" i="14"/>
  <c r="C11" i="14"/>
  <c r="E11" i="14"/>
  <c r="D11" i="14"/>
  <c r="AR11" i="14" s="1"/>
  <c r="AQ10" i="14"/>
  <c r="AP10" i="14"/>
  <c r="AG10" i="14"/>
  <c r="AH10" i="14"/>
  <c r="AF10" i="14"/>
  <c r="AD11" i="14" l="1"/>
  <c r="AC11" i="14"/>
  <c r="D12" i="16"/>
  <c r="E12" i="14"/>
  <c r="A13" i="14"/>
  <c r="D12" i="14"/>
  <c r="AR12" i="14" s="1"/>
  <c r="C12" i="14"/>
  <c r="B12" i="14"/>
  <c r="AQ11" i="14"/>
  <c r="AF11" i="14"/>
  <c r="AG11" i="14"/>
  <c r="AP11" i="14"/>
  <c r="AH11" i="14"/>
  <c r="AD12" i="14" l="1"/>
  <c r="AC12" i="14"/>
  <c r="D13" i="16"/>
  <c r="D13" i="14"/>
  <c r="AR13" i="14" s="1"/>
  <c r="B13" i="14"/>
  <c r="A14" i="14"/>
  <c r="E13" i="14"/>
  <c r="C13" i="14"/>
  <c r="AP12" i="14"/>
  <c r="AF12" i="14"/>
  <c r="AH12" i="14"/>
  <c r="AG12" i="14"/>
  <c r="AQ12" i="14"/>
  <c r="AD13" i="14" l="1"/>
  <c r="AC13" i="14"/>
  <c r="D14" i="16"/>
  <c r="E14" i="14"/>
  <c r="C14" i="14"/>
  <c r="D14" i="14"/>
  <c r="AR14" i="14" s="1"/>
  <c r="B14" i="14"/>
  <c r="A15" i="14"/>
  <c r="AP13" i="14"/>
  <c r="AH13" i="14"/>
  <c r="AQ13" i="14"/>
  <c r="AF13" i="14"/>
  <c r="AG13" i="14"/>
  <c r="AD14" i="14" l="1"/>
  <c r="AC14" i="14"/>
  <c r="D15" i="16"/>
  <c r="B15" i="14"/>
  <c r="C15" i="14"/>
  <c r="E15" i="14"/>
  <c r="D15" i="14"/>
  <c r="AR15" i="14" s="1"/>
  <c r="A16" i="14"/>
  <c r="AH14" i="14"/>
  <c r="AF14" i="14"/>
  <c r="AQ14" i="14"/>
  <c r="AP14" i="14"/>
  <c r="AG14" i="14"/>
  <c r="AD15" i="14" l="1"/>
  <c r="AC15" i="14"/>
  <c r="D16" i="16"/>
  <c r="A17" i="14"/>
  <c r="B16" i="14"/>
  <c r="E16" i="14"/>
  <c r="D16" i="14"/>
  <c r="AR16" i="14" s="1"/>
  <c r="C16" i="14"/>
  <c r="AP15" i="14"/>
  <c r="AF15" i="14"/>
  <c r="AH15" i="14"/>
  <c r="AQ15" i="14"/>
  <c r="AG15" i="14"/>
  <c r="AD16" i="14" l="1"/>
  <c r="AC16" i="14"/>
  <c r="D17" i="16"/>
  <c r="A18" i="14"/>
  <c r="E17" i="14"/>
  <c r="D17" i="14"/>
  <c r="AR17" i="14" s="1"/>
  <c r="C17" i="14"/>
  <c r="B17" i="14"/>
  <c r="AP16" i="14"/>
  <c r="AF16" i="14"/>
  <c r="AG16" i="14"/>
  <c r="AQ16" i="14"/>
  <c r="AH16" i="14"/>
  <c r="AD17" i="14" l="1"/>
  <c r="AC17" i="14"/>
  <c r="D18" i="16"/>
  <c r="E18" i="14"/>
  <c r="C18" i="14"/>
  <c r="B18" i="14"/>
  <c r="D18" i="14"/>
  <c r="AR18" i="14" s="1"/>
  <c r="A19" i="14"/>
  <c r="AP17" i="14"/>
  <c r="AF17" i="14"/>
  <c r="AQ17" i="14"/>
  <c r="AG17" i="14"/>
  <c r="AH17" i="14"/>
  <c r="AD18" i="14" l="1"/>
  <c r="AC18" i="14"/>
  <c r="D19" i="16"/>
  <c r="B19" i="14"/>
  <c r="E19" i="14"/>
  <c r="D19" i="14"/>
  <c r="AR19" i="14" s="1"/>
  <c r="A20" i="14"/>
  <c r="C19" i="14"/>
  <c r="AQ18" i="14"/>
  <c r="AG18" i="14"/>
  <c r="AP18" i="14"/>
  <c r="AF18" i="14"/>
  <c r="AH18" i="14"/>
  <c r="AD19" i="14" l="1"/>
  <c r="AC19" i="14"/>
  <c r="D20" i="16"/>
  <c r="A21" i="14"/>
  <c r="E20" i="14"/>
  <c r="D20" i="14"/>
  <c r="AR20" i="14" s="1"/>
  <c r="C20" i="14"/>
  <c r="B20" i="14"/>
  <c r="AQ19" i="14"/>
  <c r="AH19" i="14"/>
  <c r="AG19" i="14"/>
  <c r="AP19" i="14"/>
  <c r="AF19" i="14"/>
  <c r="AD20" i="14" l="1"/>
  <c r="AC20" i="14"/>
  <c r="D21" i="16"/>
  <c r="A22" i="14"/>
  <c r="D21" i="14"/>
  <c r="AR21" i="14" s="1"/>
  <c r="C21" i="14"/>
  <c r="B21" i="14"/>
  <c r="E21" i="14"/>
  <c r="AQ20" i="14"/>
  <c r="AG20" i="14"/>
  <c r="AP20" i="14"/>
  <c r="AF20" i="14"/>
  <c r="AH20" i="14"/>
  <c r="AD21" i="14" l="1"/>
  <c r="AC21" i="14"/>
  <c r="D22" i="16"/>
  <c r="E22" i="14"/>
  <c r="B22" i="14"/>
  <c r="A23" i="14"/>
  <c r="D22" i="14"/>
  <c r="AR22" i="14" s="1"/>
  <c r="C22" i="14"/>
  <c r="AQ21" i="14"/>
  <c r="AF21" i="14"/>
  <c r="AG21" i="14"/>
  <c r="AH21" i="14"/>
  <c r="AP21" i="14"/>
  <c r="A24" i="14" l="1"/>
  <c r="B24" i="14" s="1"/>
  <c r="AD22" i="14"/>
  <c r="AC22" i="14"/>
  <c r="D23" i="16"/>
  <c r="B23" i="14"/>
  <c r="D23" i="14"/>
  <c r="AR23" i="14" s="1"/>
  <c r="C23" i="14"/>
  <c r="E23" i="14"/>
  <c r="AH22" i="14"/>
  <c r="AF22" i="14"/>
  <c r="AP22" i="14"/>
  <c r="AQ22" i="14"/>
  <c r="AG22" i="14"/>
  <c r="E24" i="14" l="1"/>
  <c r="D24" i="14"/>
  <c r="AR24" i="14" s="1"/>
  <c r="C24" i="14"/>
  <c r="AD23" i="14"/>
  <c r="AC23" i="14"/>
  <c r="D24" i="16"/>
  <c r="A25" i="14"/>
  <c r="AP23" i="14"/>
  <c r="AH23" i="14"/>
  <c r="AQ23" i="14"/>
  <c r="AF23" i="14"/>
  <c r="AG23" i="14"/>
  <c r="AD24" i="14" l="1"/>
  <c r="AP24" i="14"/>
  <c r="AF24" i="14"/>
  <c r="AQ24" i="14"/>
  <c r="AC24" i="14"/>
  <c r="AG24" i="14"/>
  <c r="AH24" i="14"/>
  <c r="D25" i="16"/>
  <c r="E25" i="14"/>
  <c r="D25" i="14"/>
  <c r="AR25" i="14" s="1"/>
  <c r="C25" i="14"/>
  <c r="B25" i="14"/>
  <c r="A26" i="14"/>
  <c r="AD25" i="14" l="1"/>
  <c r="AC25" i="14"/>
  <c r="D26" i="16"/>
  <c r="E26" i="14"/>
  <c r="D26" i="14"/>
  <c r="AR26" i="14" s="1"/>
  <c r="C26" i="14"/>
  <c r="B26" i="14"/>
  <c r="A27" i="14"/>
  <c r="AP25" i="14"/>
  <c r="AH25" i="14"/>
  <c r="AQ25" i="14"/>
  <c r="AG25" i="14"/>
  <c r="AF25" i="14"/>
  <c r="AD26" i="14" l="1"/>
  <c r="AC26" i="14"/>
  <c r="D27" i="16"/>
  <c r="B27" i="14"/>
  <c r="A28" i="14"/>
  <c r="E27" i="14"/>
  <c r="D27" i="14"/>
  <c r="AR27" i="14" s="1"/>
  <c r="C27" i="14"/>
  <c r="AP26" i="14"/>
  <c r="AQ26" i="14"/>
  <c r="AH26" i="14"/>
  <c r="AG26" i="14"/>
  <c r="AF26" i="14"/>
  <c r="AD27" i="14" l="1"/>
  <c r="AC27" i="14"/>
  <c r="D28" i="16"/>
  <c r="E28" i="14"/>
  <c r="A29" i="14"/>
  <c r="D28" i="14"/>
  <c r="AR28" i="14" s="1"/>
  <c r="C28" i="14"/>
  <c r="B28" i="14"/>
  <c r="AQ27" i="14"/>
  <c r="AP27" i="14"/>
  <c r="AG27" i="14"/>
  <c r="AH27" i="14"/>
  <c r="AF27" i="14"/>
  <c r="AD28" i="14" l="1"/>
  <c r="AC28" i="14"/>
  <c r="D29" i="16"/>
  <c r="D29" i="14"/>
  <c r="AR29" i="14" s="1"/>
  <c r="A30" i="14"/>
  <c r="B29" i="14"/>
  <c r="C29" i="14"/>
  <c r="E29" i="14"/>
  <c r="AQ28" i="14"/>
  <c r="AP28" i="14"/>
  <c r="AH28" i="14"/>
  <c r="AG28" i="14"/>
  <c r="AF28" i="14"/>
  <c r="AD29" i="14" l="1"/>
  <c r="AC29" i="14"/>
  <c r="D30" i="16"/>
  <c r="E30" i="14"/>
  <c r="C30" i="14"/>
  <c r="A31" i="14"/>
  <c r="D30" i="14"/>
  <c r="AR30" i="14" s="1"/>
  <c r="B30" i="14"/>
  <c r="AG29" i="14"/>
  <c r="AF29" i="14"/>
  <c r="AH29" i="14"/>
  <c r="AQ29" i="14"/>
  <c r="AP29" i="14"/>
  <c r="AD30" i="14" l="1"/>
  <c r="AC30" i="14"/>
  <c r="D31" i="16"/>
  <c r="B31" i="14"/>
  <c r="C31" i="14"/>
  <c r="A32" i="14"/>
  <c r="E31" i="14"/>
  <c r="D31" i="14"/>
  <c r="AR31" i="14" s="1"/>
  <c r="AH30" i="14"/>
  <c r="AP30" i="14"/>
  <c r="AG30" i="14"/>
  <c r="AF30" i="14"/>
  <c r="AQ30" i="14"/>
  <c r="AD31" i="14" l="1"/>
  <c r="AC31" i="14"/>
  <c r="D32" i="16"/>
  <c r="A33" i="14"/>
  <c r="B32" i="14"/>
  <c r="D32" i="14"/>
  <c r="AR32" i="14" s="1"/>
  <c r="C32" i="14"/>
  <c r="E32" i="14"/>
  <c r="AP31" i="14"/>
  <c r="AH31" i="14"/>
  <c r="AF31" i="14"/>
  <c r="AG31" i="14"/>
  <c r="AQ31" i="14"/>
  <c r="AD32" i="14" l="1"/>
  <c r="AC32" i="14"/>
  <c r="D33" i="16"/>
  <c r="E33" i="14"/>
  <c r="D33" i="14"/>
  <c r="AR33" i="14" s="1"/>
  <c r="C33" i="14"/>
  <c r="A34" i="14"/>
  <c r="B33" i="14"/>
  <c r="AG32" i="14"/>
  <c r="AH32" i="14"/>
  <c r="AQ32" i="14"/>
  <c r="AP32" i="14"/>
  <c r="AF32" i="14"/>
  <c r="AD33" i="14" l="1"/>
  <c r="AC33" i="14"/>
  <c r="D34" i="16"/>
  <c r="E34" i="14"/>
  <c r="D34" i="14"/>
  <c r="AR34" i="14" s="1"/>
  <c r="A35" i="14"/>
  <c r="C34" i="14"/>
  <c r="B34" i="14"/>
  <c r="AF33" i="14"/>
  <c r="AQ33" i="14"/>
  <c r="AH33" i="14"/>
  <c r="AG33" i="14"/>
  <c r="AP33" i="14"/>
  <c r="AD34" i="14" l="1"/>
  <c r="AC34" i="14"/>
  <c r="D35" i="16"/>
  <c r="B35" i="14"/>
  <c r="E35" i="14"/>
  <c r="D35" i="14"/>
  <c r="AR35" i="14" s="1"/>
  <c r="A36" i="14"/>
  <c r="C35" i="14"/>
  <c r="AG34" i="14"/>
  <c r="AP34" i="14"/>
  <c r="AQ34" i="14"/>
  <c r="AH34" i="14"/>
  <c r="AF34" i="14"/>
  <c r="AD35" i="14" l="1"/>
  <c r="AC35" i="14"/>
  <c r="D36" i="16"/>
  <c r="A37" i="14"/>
  <c r="C36" i="14"/>
  <c r="B36" i="14"/>
  <c r="E36" i="14"/>
  <c r="D36" i="14"/>
  <c r="AR36" i="14" s="1"/>
  <c r="AG35" i="14"/>
  <c r="AH35" i="14"/>
  <c r="AP35" i="14"/>
  <c r="AQ35" i="14"/>
  <c r="AF35" i="14"/>
  <c r="AD36" i="14" l="1"/>
  <c r="AC36" i="14"/>
  <c r="D37" i="16"/>
  <c r="D37" i="14"/>
  <c r="AR37" i="14" s="1"/>
  <c r="C37" i="14"/>
  <c r="B37" i="14"/>
  <c r="A38" i="14"/>
  <c r="E37" i="14"/>
  <c r="AF36" i="14"/>
  <c r="AH36" i="14"/>
  <c r="AQ36" i="14"/>
  <c r="AP36" i="14"/>
  <c r="AG36" i="14"/>
  <c r="AD37" i="14" l="1"/>
  <c r="AC37" i="14"/>
  <c r="D38" i="16"/>
  <c r="E38" i="14"/>
  <c r="A39" i="14"/>
  <c r="B38" i="14"/>
  <c r="C38" i="14"/>
  <c r="D38" i="14"/>
  <c r="AR38" i="14" s="1"/>
  <c r="AH37" i="14"/>
  <c r="AF37" i="14"/>
  <c r="AQ37" i="14"/>
  <c r="AG37" i="14"/>
  <c r="AP37" i="14"/>
  <c r="AD38" i="14" l="1"/>
  <c r="AC38" i="14"/>
  <c r="D39" i="16"/>
  <c r="E39" i="14"/>
  <c r="D39" i="14"/>
  <c r="AR39" i="14" s="1"/>
  <c r="C39" i="14"/>
  <c r="B39" i="14"/>
  <c r="A40" i="14"/>
  <c r="AP38" i="14"/>
  <c r="AQ38" i="14"/>
  <c r="AH38" i="14"/>
  <c r="AG38" i="14"/>
  <c r="AF38" i="14"/>
  <c r="AD39" i="14" l="1"/>
  <c r="AC39" i="14"/>
  <c r="D40" i="16"/>
  <c r="B40" i="14"/>
  <c r="D40" i="14"/>
  <c r="AR40" i="14" s="1"/>
  <c r="A41" i="14"/>
  <c r="E40" i="14"/>
  <c r="C40" i="14"/>
  <c r="AQ39" i="14"/>
  <c r="AG39" i="14"/>
  <c r="AF39" i="14"/>
  <c r="AP39" i="14"/>
  <c r="AH39" i="14"/>
  <c r="AD40" i="14" l="1"/>
  <c r="AC40" i="14"/>
  <c r="D41" i="16"/>
  <c r="C41" i="14"/>
  <c r="A42" i="14"/>
  <c r="D41" i="14"/>
  <c r="AR41" i="14" s="1"/>
  <c r="B41" i="14"/>
  <c r="E41" i="14"/>
  <c r="AQ40" i="14"/>
  <c r="AF40" i="14"/>
  <c r="AH40" i="14"/>
  <c r="AG40" i="14"/>
  <c r="AP40" i="14"/>
  <c r="AD41" i="14" l="1"/>
  <c r="AC41" i="14"/>
  <c r="D42" i="16"/>
  <c r="A43" i="14"/>
  <c r="B42" i="14"/>
  <c r="C42" i="14"/>
  <c r="E42" i="14"/>
  <c r="D42" i="14"/>
  <c r="AR42" i="14" s="1"/>
  <c r="AG41" i="14"/>
  <c r="AQ41" i="14"/>
  <c r="AF41" i="14"/>
  <c r="AP41" i="14"/>
  <c r="AH41" i="14"/>
  <c r="AD42" i="14" l="1"/>
  <c r="AC42" i="14"/>
  <c r="D43" i="16"/>
  <c r="E43" i="14"/>
  <c r="D43" i="14"/>
  <c r="AR43" i="14" s="1"/>
  <c r="C43" i="14"/>
  <c r="B43" i="14"/>
  <c r="A44" i="14"/>
  <c r="AP42" i="14"/>
  <c r="AH42" i="14"/>
  <c r="AQ42" i="14"/>
  <c r="AG42" i="14"/>
  <c r="AF42" i="14"/>
  <c r="AD43" i="14" l="1"/>
  <c r="AC43" i="14"/>
  <c r="D44" i="16"/>
  <c r="B44" i="14"/>
  <c r="E44" i="14"/>
  <c r="D44" i="14"/>
  <c r="AR44" i="14" s="1"/>
  <c r="A45" i="14"/>
  <c r="C44" i="14"/>
  <c r="AQ43" i="14"/>
  <c r="AG43" i="14"/>
  <c r="AP43" i="14"/>
  <c r="AF43" i="14"/>
  <c r="AH43" i="14"/>
  <c r="AD44" i="14" l="1"/>
  <c r="AC44" i="14"/>
  <c r="D45" i="16"/>
  <c r="B45" i="14"/>
  <c r="E45" i="14"/>
  <c r="D45" i="14"/>
  <c r="AR45" i="14" s="1"/>
  <c r="C45" i="14"/>
  <c r="A46" i="14"/>
  <c r="AF44" i="14"/>
  <c r="AH44" i="14"/>
  <c r="AG44" i="14"/>
  <c r="AQ44" i="14"/>
  <c r="AP44" i="14"/>
  <c r="AD45" i="14" l="1"/>
  <c r="AC45" i="14"/>
  <c r="D46" i="16"/>
  <c r="D46" i="14"/>
  <c r="AR46" i="14" s="1"/>
  <c r="C46" i="14"/>
  <c r="B46" i="14"/>
  <c r="A47" i="14"/>
  <c r="E46" i="14"/>
  <c r="AF45" i="14"/>
  <c r="AP45" i="14"/>
  <c r="AQ45" i="14"/>
  <c r="AH45" i="14"/>
  <c r="AG45" i="14"/>
  <c r="AD46" i="14" l="1"/>
  <c r="AC46" i="14"/>
  <c r="D47" i="16"/>
  <c r="E47" i="14"/>
  <c r="A48" i="14"/>
  <c r="C47" i="14"/>
  <c r="B47" i="14"/>
  <c r="D47" i="14"/>
  <c r="AR47" i="14" s="1"/>
  <c r="AH46" i="14"/>
  <c r="AP46" i="14"/>
  <c r="AG46" i="14"/>
  <c r="AQ46" i="14"/>
  <c r="AF46" i="14"/>
  <c r="AD47" i="14" l="1"/>
  <c r="AC47" i="14"/>
  <c r="D48" i="16"/>
  <c r="B48" i="14"/>
  <c r="C48" i="14"/>
  <c r="E48" i="14"/>
  <c r="D48" i="14"/>
  <c r="AR48" i="14" s="1"/>
  <c r="A49" i="14"/>
  <c r="AH47" i="14"/>
  <c r="AQ47" i="14"/>
  <c r="AF47" i="14"/>
  <c r="AG47" i="14"/>
  <c r="AP47" i="14"/>
  <c r="AD48" i="14" l="1"/>
  <c r="AC48" i="14"/>
  <c r="D49" i="16"/>
  <c r="A50" i="14"/>
  <c r="E49" i="14"/>
  <c r="D49" i="14"/>
  <c r="AR49" i="14" s="1"/>
  <c r="C49" i="14"/>
  <c r="B49" i="14"/>
  <c r="AF48" i="14"/>
  <c r="AQ48" i="14"/>
  <c r="AH48" i="14"/>
  <c r="AP48" i="14"/>
  <c r="AG48" i="14"/>
  <c r="AD49" i="14" l="1"/>
  <c r="AC49" i="14"/>
  <c r="D50" i="16"/>
  <c r="A51" i="14"/>
  <c r="D50" i="14"/>
  <c r="AR50" i="14" s="1"/>
  <c r="C50" i="14"/>
  <c r="B50" i="14"/>
  <c r="E50" i="14"/>
  <c r="AQ49" i="14"/>
  <c r="AF49" i="14"/>
  <c r="AG49" i="14"/>
  <c r="AP49" i="14"/>
  <c r="AH49" i="14"/>
  <c r="AD50" i="14" l="1"/>
  <c r="AC50" i="14"/>
  <c r="D51" i="16"/>
  <c r="E51" i="14"/>
  <c r="B51" i="14"/>
  <c r="A52" i="14"/>
  <c r="D51" i="14"/>
  <c r="AR51" i="14" s="1"/>
  <c r="C51" i="14"/>
  <c r="AP50" i="14"/>
  <c r="AH50" i="14"/>
  <c r="AG50" i="14"/>
  <c r="AF50" i="14"/>
  <c r="AQ50" i="14"/>
  <c r="AD51" i="14" l="1"/>
  <c r="AC51" i="14"/>
  <c r="D52" i="16"/>
  <c r="B52" i="14"/>
  <c r="D52" i="14"/>
  <c r="AR52" i="14" s="1"/>
  <c r="C52" i="14"/>
  <c r="E52" i="14"/>
  <c r="A53" i="14"/>
  <c r="AH51" i="14"/>
  <c r="AF51" i="14"/>
  <c r="AQ51" i="14"/>
  <c r="AP51" i="14"/>
  <c r="AG51" i="14"/>
  <c r="AD52" i="14" l="1"/>
  <c r="AC52" i="14"/>
  <c r="D53" i="16"/>
  <c r="E53" i="14"/>
  <c r="D53" i="14"/>
  <c r="AR53" i="14" s="1"/>
  <c r="C53" i="14"/>
  <c r="B53" i="14"/>
  <c r="A54" i="14"/>
  <c r="AG52" i="14"/>
  <c r="AH52" i="14"/>
  <c r="AQ52" i="14"/>
  <c r="AF52" i="14"/>
  <c r="AP52" i="14"/>
  <c r="AD53" i="14" l="1"/>
  <c r="AC53" i="14"/>
  <c r="D54" i="16"/>
  <c r="E54" i="14"/>
  <c r="D54" i="14"/>
  <c r="AR54" i="14" s="1"/>
  <c r="A55" i="14"/>
  <c r="C54" i="14"/>
  <c r="B54" i="14"/>
  <c r="AG53" i="14"/>
  <c r="AP53" i="14"/>
  <c r="AH53" i="14"/>
  <c r="AF53" i="14"/>
  <c r="AQ53" i="14"/>
  <c r="AD54" i="14" l="1"/>
  <c r="AC54" i="14"/>
  <c r="D55" i="16"/>
  <c r="E55" i="14"/>
  <c r="D55" i="14"/>
  <c r="AR55" i="14" s="1"/>
  <c r="A56" i="14"/>
  <c r="C55" i="14"/>
  <c r="B55" i="14"/>
  <c r="AQ54" i="14"/>
  <c r="AF54" i="14"/>
  <c r="AH54" i="14"/>
  <c r="AG54" i="14"/>
  <c r="AP54" i="14"/>
  <c r="AD55" i="14" l="1"/>
  <c r="AC55" i="14"/>
  <c r="D56" i="16"/>
  <c r="B56" i="14"/>
  <c r="E56" i="14"/>
  <c r="D56" i="14"/>
  <c r="AR56" i="14" s="1"/>
  <c r="C56" i="14"/>
  <c r="A57" i="14"/>
  <c r="AF55" i="14"/>
  <c r="AP55" i="14"/>
  <c r="AQ55" i="14"/>
  <c r="AH55" i="14"/>
  <c r="AG55" i="14"/>
  <c r="AD56" i="14" l="1"/>
  <c r="AC56" i="14"/>
  <c r="D57" i="16"/>
  <c r="E57" i="14"/>
  <c r="D57" i="14"/>
  <c r="AR57" i="14" s="1"/>
  <c r="C57" i="14"/>
  <c r="A58" i="14"/>
  <c r="B57" i="14"/>
  <c r="AH56" i="14"/>
  <c r="AF56" i="14"/>
  <c r="AP56" i="14"/>
  <c r="AQ56" i="14"/>
  <c r="AG56" i="14"/>
  <c r="AD57" i="14" l="1"/>
  <c r="AC57" i="14"/>
  <c r="D58" i="16"/>
  <c r="D58" i="14"/>
  <c r="AR58" i="14" s="1"/>
  <c r="C58" i="14"/>
  <c r="A59" i="14"/>
  <c r="B58" i="14"/>
  <c r="E58" i="14"/>
  <c r="AQ57" i="14"/>
  <c r="AH57" i="14"/>
  <c r="AP57" i="14"/>
  <c r="AF57" i="14"/>
  <c r="AG57" i="14"/>
  <c r="AD58" i="14" l="1"/>
  <c r="AC58" i="14"/>
  <c r="D59" i="16"/>
  <c r="E59" i="14"/>
  <c r="C59" i="14"/>
  <c r="A60" i="14"/>
  <c r="B59" i="14"/>
  <c r="D59" i="14"/>
  <c r="AR59" i="14" s="1"/>
  <c r="AH58" i="14"/>
  <c r="AQ58" i="14"/>
  <c r="AG58" i="14"/>
  <c r="AF58" i="14"/>
  <c r="AP58" i="14"/>
  <c r="AD59" i="14" l="1"/>
  <c r="AC59" i="14"/>
  <c r="D60" i="16"/>
  <c r="B60" i="14"/>
  <c r="C60" i="14"/>
  <c r="A61" i="14"/>
  <c r="E60" i="14"/>
  <c r="D60" i="14"/>
  <c r="AR60" i="14" s="1"/>
  <c r="AH59" i="14"/>
  <c r="AG59" i="14"/>
  <c r="AF59" i="14"/>
  <c r="AQ59" i="14"/>
  <c r="AP59" i="14"/>
  <c r="AD60" i="14" l="1"/>
  <c r="AC60" i="14"/>
  <c r="D61" i="16"/>
  <c r="A62" i="14"/>
  <c r="B61" i="14"/>
  <c r="E61" i="14"/>
  <c r="D61" i="14"/>
  <c r="AR61" i="14" s="1"/>
  <c r="C61" i="14"/>
  <c r="AG60" i="14"/>
  <c r="AH60" i="14"/>
  <c r="AQ60" i="14"/>
  <c r="AF60" i="14"/>
  <c r="AP60" i="14"/>
  <c r="AD61" i="14" l="1"/>
  <c r="AC61" i="14"/>
  <c r="D62" i="16"/>
  <c r="D62" i="14"/>
  <c r="AR62" i="14" s="1"/>
  <c r="C62" i="14"/>
  <c r="B62" i="14"/>
  <c r="A63" i="14"/>
  <c r="E62" i="14"/>
  <c r="AP61" i="14"/>
  <c r="AH61" i="14"/>
  <c r="AF61" i="14"/>
  <c r="AG61" i="14"/>
  <c r="AQ61" i="14"/>
  <c r="AD62" i="14" l="1"/>
  <c r="AC62" i="14"/>
  <c r="D63" i="16"/>
  <c r="E63" i="14"/>
  <c r="D63" i="14"/>
  <c r="AR63" i="14" s="1"/>
  <c r="A64" i="14"/>
  <c r="B63" i="14"/>
  <c r="C63" i="14"/>
  <c r="AH62" i="14"/>
  <c r="AQ62" i="14"/>
  <c r="AF62" i="14"/>
  <c r="AP62" i="14"/>
  <c r="AG62" i="14"/>
  <c r="AD63" i="14" l="1"/>
  <c r="AC63" i="14"/>
  <c r="D64" i="16"/>
  <c r="B64" i="14"/>
  <c r="A65" i="14"/>
  <c r="E64" i="14"/>
  <c r="D64" i="14"/>
  <c r="AR64" i="14" s="1"/>
  <c r="C64" i="14"/>
  <c r="AP63" i="14"/>
  <c r="AF63" i="14"/>
  <c r="AH63" i="14"/>
  <c r="AG63" i="14"/>
  <c r="AQ63" i="14"/>
  <c r="AD64" i="14" l="1"/>
  <c r="AC64" i="14"/>
  <c r="D65" i="16"/>
  <c r="E65" i="14"/>
  <c r="D65" i="14"/>
  <c r="AR65" i="14" s="1"/>
  <c r="C65" i="14"/>
  <c r="A66" i="14"/>
  <c r="B65" i="14"/>
  <c r="AH64" i="14"/>
  <c r="AG64" i="14"/>
  <c r="AF64" i="14"/>
  <c r="AQ64" i="14"/>
  <c r="AP64" i="14"/>
  <c r="AD65" i="14" l="1"/>
  <c r="AC65" i="14"/>
  <c r="D66" i="16"/>
  <c r="A67" i="14"/>
  <c r="E66" i="14"/>
  <c r="D66" i="14"/>
  <c r="AR66" i="14" s="1"/>
  <c r="C66" i="14"/>
  <c r="B66" i="14"/>
  <c r="AP65" i="14"/>
  <c r="AF65" i="14"/>
  <c r="AH65" i="14"/>
  <c r="AG65" i="14"/>
  <c r="AQ65" i="14"/>
  <c r="AD66" i="14" l="1"/>
  <c r="AC66" i="14"/>
  <c r="D67" i="16"/>
  <c r="E67" i="14"/>
  <c r="C67" i="14"/>
  <c r="B67" i="14"/>
  <c r="A68" i="14"/>
  <c r="D67" i="14"/>
  <c r="AR67" i="14" s="1"/>
  <c r="AP66" i="14"/>
  <c r="AH66" i="14"/>
  <c r="AQ66" i="14"/>
  <c r="AG66" i="14"/>
  <c r="AF66" i="14"/>
  <c r="AD67" i="14" l="1"/>
  <c r="AC67" i="14"/>
  <c r="D68" i="16"/>
  <c r="B68" i="14"/>
  <c r="A69" i="14"/>
  <c r="C68" i="14"/>
  <c r="E68" i="14"/>
  <c r="D68" i="14"/>
  <c r="AR68" i="14" s="1"/>
  <c r="AH67" i="14"/>
  <c r="AG67" i="14"/>
  <c r="AQ67" i="14"/>
  <c r="AP67" i="14"/>
  <c r="AF67" i="14"/>
  <c r="AD68" i="14" l="1"/>
  <c r="AC68" i="14"/>
  <c r="D69" i="16"/>
  <c r="B69" i="14"/>
  <c r="A70" i="14"/>
  <c r="E69" i="14"/>
  <c r="C69" i="14"/>
  <c r="D69" i="14"/>
  <c r="AR69" i="14" s="1"/>
  <c r="AQ68" i="14"/>
  <c r="AH68" i="14"/>
  <c r="AG68" i="14"/>
  <c r="AF68" i="14"/>
  <c r="AP68" i="14"/>
  <c r="AD69" i="14" l="1"/>
  <c r="AC69" i="14"/>
  <c r="D70" i="16"/>
  <c r="E70" i="14"/>
  <c r="A71" i="14"/>
  <c r="C70" i="14"/>
  <c r="D70" i="14"/>
  <c r="AR70" i="14" s="1"/>
  <c r="B70" i="14"/>
  <c r="AG69" i="14"/>
  <c r="AF69" i="14"/>
  <c r="AH69" i="14"/>
  <c r="AQ69" i="14"/>
  <c r="AP69" i="14"/>
  <c r="AD70" i="14" l="1"/>
  <c r="AC70" i="14"/>
  <c r="D71" i="16"/>
  <c r="E71" i="14"/>
  <c r="D71" i="14"/>
  <c r="AR71" i="14" s="1"/>
  <c r="C71" i="14"/>
  <c r="B71" i="14"/>
  <c r="A72" i="14"/>
  <c r="AG70" i="14"/>
  <c r="AF70" i="14"/>
  <c r="AH70" i="14"/>
  <c r="AQ70" i="14"/>
  <c r="AP70" i="14"/>
  <c r="AD71" i="14" l="1"/>
  <c r="AC71" i="14"/>
  <c r="D72" i="16"/>
  <c r="B72" i="14"/>
  <c r="E72" i="14"/>
  <c r="D72" i="14"/>
  <c r="AR72" i="14" s="1"/>
  <c r="A73" i="14"/>
  <c r="C72" i="14"/>
  <c r="AP71" i="14"/>
  <c r="AG71" i="14"/>
  <c r="AQ71" i="14"/>
  <c r="AF71" i="14"/>
  <c r="AH71" i="14"/>
  <c r="AD72" i="14" l="1"/>
  <c r="AC72" i="14"/>
  <c r="D73" i="16"/>
  <c r="E73" i="14"/>
  <c r="D73" i="14"/>
  <c r="AR73" i="14" s="1"/>
  <c r="C73" i="14"/>
  <c r="A74" i="14"/>
  <c r="B73" i="14"/>
  <c r="AH72" i="14"/>
  <c r="AF72" i="14"/>
  <c r="AG72" i="14"/>
  <c r="AP72" i="14"/>
  <c r="AQ72" i="14"/>
  <c r="AD73" i="14" l="1"/>
  <c r="AC73" i="14"/>
  <c r="D74" i="16"/>
  <c r="D74" i="14"/>
  <c r="AR74" i="14" s="1"/>
  <c r="C74" i="14"/>
  <c r="A75" i="14"/>
  <c r="B74" i="14"/>
  <c r="E74" i="14"/>
  <c r="AH73" i="14"/>
  <c r="AF73" i="14"/>
  <c r="AG73" i="14"/>
  <c r="AQ73" i="14"/>
  <c r="AP73" i="14"/>
  <c r="AD74" i="14" l="1"/>
  <c r="AC74" i="14"/>
  <c r="D75" i="16"/>
  <c r="E75" i="14"/>
  <c r="C75" i="14"/>
  <c r="A76" i="14"/>
  <c r="B75" i="14"/>
  <c r="D75" i="14"/>
  <c r="AR75" i="14" s="1"/>
  <c r="AQ74" i="14"/>
  <c r="AH74" i="14"/>
  <c r="AF74" i="14"/>
  <c r="AG74" i="14"/>
  <c r="AP74" i="14"/>
  <c r="AD75" i="14" l="1"/>
  <c r="AC75" i="14"/>
  <c r="D76" i="16"/>
  <c r="B76" i="14"/>
  <c r="C76" i="14"/>
  <c r="A77" i="14"/>
  <c r="E76" i="14"/>
  <c r="D76" i="14"/>
  <c r="AR76" i="14" s="1"/>
  <c r="AG75" i="14"/>
  <c r="AH75" i="14"/>
  <c r="AF75" i="14"/>
  <c r="AP75" i="14"/>
  <c r="AQ75" i="14"/>
  <c r="AD76" i="14" l="1"/>
  <c r="AC76" i="14"/>
  <c r="D77" i="16"/>
  <c r="A78" i="14"/>
  <c r="B77" i="14"/>
  <c r="E77" i="14"/>
  <c r="D77" i="14"/>
  <c r="AR77" i="14" s="1"/>
  <c r="C77" i="14"/>
  <c r="AQ76" i="14"/>
  <c r="AG76" i="14"/>
  <c r="AP76" i="14"/>
  <c r="AF76" i="14"/>
  <c r="AH76" i="14"/>
  <c r="AD77" i="14" l="1"/>
  <c r="AC77" i="14"/>
  <c r="D78" i="16"/>
  <c r="D78" i="14"/>
  <c r="AR78" i="14" s="1"/>
  <c r="C78" i="14"/>
  <c r="B78" i="14"/>
  <c r="A79" i="14"/>
  <c r="E78" i="14"/>
  <c r="AG77" i="14"/>
  <c r="AF77" i="14"/>
  <c r="AQ77" i="14"/>
  <c r="AP77" i="14"/>
  <c r="AH77" i="14"/>
  <c r="AD78" i="14" l="1"/>
  <c r="AC78" i="14"/>
  <c r="D79" i="16"/>
  <c r="E79" i="14"/>
  <c r="A80" i="14"/>
  <c r="D79" i="14"/>
  <c r="AR79" i="14" s="1"/>
  <c r="C79" i="14"/>
  <c r="B79" i="14"/>
  <c r="AH78" i="14"/>
  <c r="AF78" i="14"/>
  <c r="AG78" i="14"/>
  <c r="AP78" i="14"/>
  <c r="AQ78" i="14"/>
  <c r="AD79" i="14" l="1"/>
  <c r="AC79" i="14"/>
  <c r="D80" i="16"/>
  <c r="B80" i="14"/>
  <c r="C80" i="14"/>
  <c r="A81" i="14"/>
  <c r="E80" i="14"/>
  <c r="D80" i="14"/>
  <c r="AR80" i="14" s="1"/>
  <c r="AG79" i="14"/>
  <c r="AP79" i="14"/>
  <c r="AQ79" i="14"/>
  <c r="AH79" i="14"/>
  <c r="AF79" i="14"/>
  <c r="AD80" i="14" l="1"/>
  <c r="AC80" i="14"/>
  <c r="D81" i="16"/>
  <c r="A82" i="14"/>
  <c r="B81" i="14"/>
  <c r="E81" i="14"/>
  <c r="D81" i="14"/>
  <c r="AR81" i="14" s="1"/>
  <c r="C81" i="14"/>
  <c r="AH80" i="14"/>
  <c r="AP80" i="14"/>
  <c r="AF80" i="14"/>
  <c r="AQ80" i="14"/>
  <c r="AG80" i="14"/>
  <c r="AD81" i="14" l="1"/>
  <c r="AC81" i="14"/>
  <c r="D82" i="16"/>
  <c r="D82" i="14"/>
  <c r="AR82" i="14" s="1"/>
  <c r="C82" i="14"/>
  <c r="A83" i="14"/>
  <c r="B82" i="14"/>
  <c r="E82" i="14"/>
  <c r="AF81" i="14"/>
  <c r="AH81" i="14"/>
  <c r="AQ81" i="14"/>
  <c r="AP81" i="14"/>
  <c r="AG81" i="14"/>
  <c r="AD82" i="14" l="1"/>
  <c r="AC82" i="14"/>
  <c r="D83" i="16"/>
  <c r="E83" i="14"/>
  <c r="D83" i="14"/>
  <c r="AR83" i="14" s="1"/>
  <c r="C83" i="14"/>
  <c r="B83" i="14"/>
  <c r="A84" i="14"/>
  <c r="AP82" i="14"/>
  <c r="AQ82" i="14"/>
  <c r="AH82" i="14"/>
  <c r="AF82" i="14"/>
  <c r="AG82" i="14"/>
  <c r="AD83" i="14" l="1"/>
  <c r="AC83" i="14"/>
  <c r="D84" i="16"/>
  <c r="B84" i="14"/>
  <c r="E84" i="14"/>
  <c r="D84" i="14"/>
  <c r="AR84" i="14" s="1"/>
  <c r="A85" i="14"/>
  <c r="C84" i="14"/>
  <c r="AP83" i="14"/>
  <c r="AG83" i="14"/>
  <c r="AF83" i="14"/>
  <c r="AH83" i="14"/>
  <c r="AQ83" i="14"/>
  <c r="AD84" i="14" l="1"/>
  <c r="AC84" i="14"/>
  <c r="D85" i="16"/>
  <c r="E85" i="14"/>
  <c r="D85" i="14"/>
  <c r="AR85" i="14" s="1"/>
  <c r="C85" i="14"/>
  <c r="B85" i="14"/>
  <c r="A86" i="14"/>
  <c r="AG84" i="14"/>
  <c r="AP84" i="14"/>
  <c r="AH84" i="14"/>
  <c r="AF84" i="14"/>
  <c r="AQ84" i="14"/>
  <c r="AD85" i="14" l="1"/>
  <c r="AC85" i="14"/>
  <c r="D86" i="16"/>
  <c r="E86" i="14"/>
  <c r="A87" i="14"/>
  <c r="D86" i="14"/>
  <c r="AR86" i="14" s="1"/>
  <c r="C86" i="14"/>
  <c r="B86" i="14"/>
  <c r="AH85" i="14"/>
  <c r="AF85" i="14"/>
  <c r="AQ85" i="14"/>
  <c r="AP85" i="14"/>
  <c r="AG85" i="14"/>
  <c r="AD86" i="14" l="1"/>
  <c r="AC86" i="14"/>
  <c r="D87" i="16"/>
  <c r="E87" i="14"/>
  <c r="D87" i="14"/>
  <c r="AR87" i="14" s="1"/>
  <c r="C87" i="14"/>
  <c r="B87" i="14"/>
  <c r="A88" i="14"/>
  <c r="AQ86" i="14"/>
  <c r="AF86" i="14"/>
  <c r="AG86" i="14"/>
  <c r="AH86" i="14"/>
  <c r="AP86" i="14"/>
  <c r="AD87" i="14" l="1"/>
  <c r="AC87" i="14"/>
  <c r="D88" i="16"/>
  <c r="B88" i="14"/>
  <c r="E88" i="14"/>
  <c r="D88" i="14"/>
  <c r="AR88" i="14" s="1"/>
  <c r="A89" i="14"/>
  <c r="C88" i="14"/>
  <c r="AG87" i="14"/>
  <c r="AH87" i="14"/>
  <c r="AQ87" i="14"/>
  <c r="AF87" i="14"/>
  <c r="AP87" i="14"/>
  <c r="AD88" i="14" l="1"/>
  <c r="AC88" i="14"/>
  <c r="D89" i="16"/>
  <c r="E89" i="14"/>
  <c r="D89" i="14"/>
  <c r="AR89" i="14" s="1"/>
  <c r="C89" i="14"/>
  <c r="B89" i="14"/>
  <c r="A90" i="14"/>
  <c r="AH88" i="14"/>
  <c r="AF88" i="14"/>
  <c r="AG88" i="14"/>
  <c r="AP88" i="14"/>
  <c r="AQ88" i="14"/>
  <c r="AD89" i="14" l="1"/>
  <c r="AC89" i="14"/>
  <c r="D90" i="16"/>
  <c r="D90" i="14"/>
  <c r="AR90" i="14" s="1"/>
  <c r="C90" i="14"/>
  <c r="B90" i="14"/>
  <c r="A91" i="14"/>
  <c r="E90" i="14"/>
  <c r="AF89" i="14"/>
  <c r="AP89" i="14"/>
  <c r="AH89" i="14"/>
  <c r="AG89" i="14"/>
  <c r="AQ89" i="14"/>
  <c r="AD90" i="14" l="1"/>
  <c r="AC90" i="14"/>
  <c r="D91" i="16"/>
  <c r="D91" i="14"/>
  <c r="AR91" i="14" s="1"/>
  <c r="C91" i="14"/>
  <c r="B91" i="14"/>
  <c r="E91" i="14"/>
  <c r="A92" i="14"/>
  <c r="AF90" i="14"/>
  <c r="AQ90" i="14"/>
  <c r="AH90" i="14"/>
  <c r="AP90" i="14"/>
  <c r="AG90" i="14"/>
  <c r="AD91" i="14" l="1"/>
  <c r="AC91" i="14"/>
  <c r="D92" i="16"/>
  <c r="E92" i="14"/>
  <c r="D92" i="14"/>
  <c r="AR92" i="14" s="1"/>
  <c r="C92" i="14"/>
  <c r="A93" i="14"/>
  <c r="B92" i="14"/>
  <c r="AG91" i="14"/>
  <c r="AH91" i="14"/>
  <c r="AQ91" i="14"/>
  <c r="AP91" i="14"/>
  <c r="AF91" i="14"/>
  <c r="AD92" i="14" l="1"/>
  <c r="AC92" i="14"/>
  <c r="D93" i="16"/>
  <c r="D93" i="14"/>
  <c r="AR93" i="14" s="1"/>
  <c r="E93" i="14"/>
  <c r="C93" i="14"/>
  <c r="B93" i="14"/>
  <c r="A94" i="14"/>
  <c r="AF92" i="14"/>
  <c r="AP92" i="14"/>
  <c r="AQ92" i="14"/>
  <c r="AH92" i="14"/>
  <c r="AG92" i="14"/>
  <c r="AD93" i="14" l="1"/>
  <c r="AC93" i="14"/>
  <c r="D94" i="16"/>
  <c r="C94" i="14"/>
  <c r="D94" i="14"/>
  <c r="AR94" i="14" s="1"/>
  <c r="E94" i="14"/>
  <c r="A95" i="14"/>
  <c r="B94" i="14"/>
  <c r="AQ93" i="14"/>
  <c r="AH93" i="14"/>
  <c r="AG93" i="14"/>
  <c r="AF93" i="14"/>
  <c r="AP93" i="14"/>
  <c r="AD94" i="14" l="1"/>
  <c r="AC94" i="14"/>
  <c r="D95" i="16"/>
  <c r="C95" i="14"/>
  <c r="A96" i="14"/>
  <c r="E95" i="14"/>
  <c r="D95" i="14"/>
  <c r="AR95" i="14" s="1"/>
  <c r="B95" i="14"/>
  <c r="AH94" i="14"/>
  <c r="AQ94" i="14"/>
  <c r="AP94" i="14"/>
  <c r="AG94" i="14"/>
  <c r="AF94" i="14"/>
  <c r="AD95" i="14" l="1"/>
  <c r="AC95" i="14"/>
  <c r="D96" i="16"/>
  <c r="A97" i="14"/>
  <c r="B96" i="14"/>
  <c r="E96" i="14"/>
  <c r="D96" i="14"/>
  <c r="AR96" i="14" s="1"/>
  <c r="C96" i="14"/>
  <c r="AP95" i="14"/>
  <c r="AG95" i="14"/>
  <c r="AF95" i="14"/>
  <c r="AH95" i="14"/>
  <c r="AQ95" i="14"/>
  <c r="AD96" i="14" l="1"/>
  <c r="AC96" i="14"/>
  <c r="D97" i="16"/>
  <c r="A98" i="14"/>
  <c r="C97" i="14"/>
  <c r="B97" i="14"/>
  <c r="E97" i="14"/>
  <c r="D97" i="14"/>
  <c r="AR97" i="14" s="1"/>
  <c r="AH96" i="14"/>
  <c r="AQ96" i="14"/>
  <c r="AP96" i="14"/>
  <c r="AG96" i="14"/>
  <c r="AF96" i="14"/>
  <c r="AD97" i="14" l="1"/>
  <c r="AC97" i="14"/>
  <c r="D98" i="16"/>
  <c r="C98" i="14"/>
  <c r="A99" i="14"/>
  <c r="E98" i="14"/>
  <c r="D98" i="14"/>
  <c r="AR98" i="14" s="1"/>
  <c r="B98" i="14"/>
  <c r="AF97" i="14"/>
  <c r="AH97" i="14"/>
  <c r="AG97" i="14"/>
  <c r="AP97" i="14"/>
  <c r="AQ97" i="14"/>
  <c r="AD98" i="14" l="1"/>
  <c r="AC98" i="14"/>
  <c r="D99" i="16"/>
  <c r="C99" i="14"/>
  <c r="B99" i="14"/>
  <c r="A100" i="14"/>
  <c r="E99" i="14"/>
  <c r="D99" i="14"/>
  <c r="AR99" i="14" s="1"/>
  <c r="AF98" i="14"/>
  <c r="AQ98" i="14"/>
  <c r="AH98" i="14"/>
  <c r="AP98" i="14"/>
  <c r="AG98" i="14"/>
  <c r="AD99" i="14" l="1"/>
  <c r="AC99" i="14"/>
  <c r="D100" i="16"/>
  <c r="A101" i="14"/>
  <c r="D100" i="14"/>
  <c r="AR100" i="14" s="1"/>
  <c r="E100" i="14"/>
  <c r="C100" i="14"/>
  <c r="B100" i="14"/>
  <c r="AH99" i="14"/>
  <c r="AP99" i="14"/>
  <c r="AQ99" i="14"/>
  <c r="AG99" i="14"/>
  <c r="AF99" i="14"/>
  <c r="AD100" i="14" l="1"/>
  <c r="AC100" i="14"/>
  <c r="D101" i="16"/>
  <c r="B101" i="14"/>
  <c r="C101" i="14"/>
  <c r="A102" i="14"/>
  <c r="E101" i="14"/>
  <c r="D101" i="14"/>
  <c r="AR101" i="14" s="1"/>
  <c r="AP100" i="14"/>
  <c r="AG100" i="14"/>
  <c r="AF100" i="14"/>
  <c r="AH100" i="14"/>
  <c r="AQ100" i="14"/>
  <c r="AD101" i="14" l="1"/>
  <c r="AC101" i="14"/>
  <c r="D102" i="16"/>
  <c r="C102" i="14"/>
  <c r="A103" i="14"/>
  <c r="B102" i="14"/>
  <c r="D102" i="14"/>
  <c r="AR102" i="14" s="1"/>
  <c r="E102" i="14"/>
  <c r="AH101" i="14"/>
  <c r="AG101" i="14"/>
  <c r="AF101" i="14"/>
  <c r="AQ101" i="14"/>
  <c r="AP101" i="14"/>
  <c r="AD102" i="14" l="1"/>
  <c r="AC102" i="14"/>
  <c r="D103" i="16"/>
  <c r="D103" i="14"/>
  <c r="AR103" i="14" s="1"/>
  <c r="B103" i="14"/>
  <c r="A104" i="14"/>
  <c r="E103" i="14"/>
  <c r="C103" i="14"/>
  <c r="AP102" i="14"/>
  <c r="AQ102" i="14"/>
  <c r="AF102" i="14"/>
  <c r="AG102" i="14"/>
  <c r="AH102" i="14"/>
  <c r="AD103" i="14" l="1"/>
  <c r="AC103" i="14"/>
  <c r="D104" i="16"/>
  <c r="A105" i="14"/>
  <c r="D104" i="14"/>
  <c r="AR104" i="14" s="1"/>
  <c r="E104" i="14"/>
  <c r="C104" i="14"/>
  <c r="B104" i="14"/>
  <c r="AG103" i="14"/>
  <c r="AF103" i="14"/>
  <c r="AP103" i="14"/>
  <c r="AQ103" i="14"/>
  <c r="AH103" i="14"/>
  <c r="AD104" i="14" l="1"/>
  <c r="AC104" i="14"/>
  <c r="D105" i="16"/>
  <c r="C105" i="14"/>
  <c r="B105" i="14"/>
  <c r="A106" i="14"/>
  <c r="E105" i="14"/>
  <c r="D105" i="14"/>
  <c r="AR105" i="14" s="1"/>
  <c r="AH104" i="14"/>
  <c r="AQ104" i="14"/>
  <c r="AP104" i="14"/>
  <c r="AG104" i="14"/>
  <c r="AF104" i="14"/>
  <c r="AD105" i="14" l="1"/>
  <c r="AC105" i="14"/>
  <c r="D106" i="16"/>
  <c r="A107" i="14"/>
  <c r="C106" i="14"/>
  <c r="B106" i="14"/>
  <c r="E106" i="14"/>
  <c r="D106" i="14"/>
  <c r="AR106" i="14" s="1"/>
  <c r="AG105" i="14"/>
  <c r="AP105" i="14"/>
  <c r="AH105" i="14"/>
  <c r="AF105" i="14"/>
  <c r="AQ105" i="14"/>
  <c r="AD106" i="14" l="1"/>
  <c r="AC106" i="14"/>
  <c r="D107" i="16"/>
  <c r="E107" i="14"/>
  <c r="C107" i="14"/>
  <c r="B107" i="14"/>
  <c r="D107" i="14"/>
  <c r="AR107" i="14" s="1"/>
  <c r="A108" i="14"/>
  <c r="AQ106" i="14"/>
  <c r="AF106" i="14"/>
  <c r="AG106" i="14"/>
  <c r="AP106" i="14"/>
  <c r="AH106" i="14"/>
  <c r="AD107" i="14" l="1"/>
  <c r="AC107" i="14"/>
  <c r="D108" i="16"/>
  <c r="A109" i="14"/>
  <c r="D108" i="14"/>
  <c r="AR108" i="14" s="1"/>
  <c r="E108" i="14"/>
  <c r="C108" i="14"/>
  <c r="B108" i="14"/>
  <c r="AH107" i="14"/>
  <c r="AG107" i="14"/>
  <c r="AQ107" i="14"/>
  <c r="AP107" i="14"/>
  <c r="AF107" i="14"/>
  <c r="AD108" i="14" l="1"/>
  <c r="AC108" i="14"/>
  <c r="D109" i="16"/>
  <c r="D109" i="14"/>
  <c r="AR109" i="14" s="1"/>
  <c r="A110" i="14"/>
  <c r="E109" i="14"/>
  <c r="C109" i="14"/>
  <c r="B109" i="14"/>
  <c r="AG108" i="14"/>
  <c r="AP108" i="14"/>
  <c r="AH108" i="14"/>
  <c r="AQ108" i="14"/>
  <c r="AF108" i="14"/>
  <c r="AD109" i="14" l="1"/>
  <c r="AC109" i="14"/>
  <c r="D110" i="16"/>
  <c r="C110" i="14"/>
  <c r="A111" i="14"/>
  <c r="E110" i="14"/>
  <c r="D110" i="14"/>
  <c r="AR110" i="14" s="1"/>
  <c r="B110" i="14"/>
  <c r="AF109" i="14"/>
  <c r="AG109" i="14"/>
  <c r="AP109" i="14"/>
  <c r="AQ109" i="14"/>
  <c r="AH109" i="14"/>
  <c r="AD110" i="14" l="1"/>
  <c r="AC110" i="14"/>
  <c r="D111" i="16"/>
  <c r="A112" i="14"/>
  <c r="B111" i="14"/>
  <c r="C111" i="14"/>
  <c r="E111" i="14"/>
  <c r="D111" i="14"/>
  <c r="AR111" i="14" s="1"/>
  <c r="AP110" i="14"/>
  <c r="AG110" i="14"/>
  <c r="AH110" i="14"/>
  <c r="AQ110" i="14"/>
  <c r="AF110" i="14"/>
  <c r="AD111" i="14" l="1"/>
  <c r="AC111" i="14"/>
  <c r="D112" i="16"/>
  <c r="A113" i="14"/>
  <c r="D112" i="14"/>
  <c r="AR112" i="14" s="1"/>
  <c r="E112" i="14"/>
  <c r="C112" i="14"/>
  <c r="B112" i="14"/>
  <c r="AQ111" i="14"/>
  <c r="AG111" i="14"/>
  <c r="AF111" i="14"/>
  <c r="AP111" i="14"/>
  <c r="AH111" i="14"/>
  <c r="AD112" i="14" l="1"/>
  <c r="AC112" i="14"/>
  <c r="D113" i="16"/>
  <c r="A114" i="14"/>
  <c r="E113" i="14"/>
  <c r="D113" i="14"/>
  <c r="AR113" i="14" s="1"/>
  <c r="C113" i="14"/>
  <c r="B113" i="14"/>
  <c r="AQ112" i="14"/>
  <c r="AF112" i="14"/>
  <c r="AH112" i="14"/>
  <c r="AP112" i="14"/>
  <c r="AG112" i="14"/>
  <c r="AD113" i="14" l="1"/>
  <c r="AC113" i="14"/>
  <c r="D114" i="16"/>
  <c r="B114" i="14"/>
  <c r="E114" i="14"/>
  <c r="D114" i="14"/>
  <c r="AR114" i="14" s="1"/>
  <c r="C114" i="14"/>
  <c r="A115" i="14"/>
  <c r="AP113" i="14"/>
  <c r="AQ113" i="14"/>
  <c r="AG113" i="14"/>
  <c r="AF113" i="14"/>
  <c r="AH113" i="14"/>
  <c r="AD114" i="14" l="1"/>
  <c r="AC114" i="14"/>
  <c r="D115" i="16"/>
  <c r="E115" i="14"/>
  <c r="D115" i="14"/>
  <c r="AR115" i="14" s="1"/>
  <c r="C115" i="14"/>
  <c r="B115" i="14"/>
  <c r="A116" i="14"/>
  <c r="AQ114" i="14"/>
  <c r="AH114" i="14"/>
  <c r="AG114" i="14"/>
  <c r="AF114" i="14"/>
  <c r="AP114" i="14"/>
  <c r="AD115" i="14" l="1"/>
  <c r="AC115" i="14"/>
  <c r="D116" i="16"/>
  <c r="A117" i="14"/>
  <c r="D116" i="14"/>
  <c r="AR116" i="14" s="1"/>
  <c r="E116" i="14"/>
  <c r="C116" i="14"/>
  <c r="B116" i="14"/>
  <c r="AQ115" i="14"/>
  <c r="AG115" i="14"/>
  <c r="AF115" i="14"/>
  <c r="AP115" i="14"/>
  <c r="AH115" i="14"/>
  <c r="AD116" i="14" l="1"/>
  <c r="AC116" i="14"/>
  <c r="D117" i="16"/>
  <c r="A118" i="14"/>
  <c r="E117" i="14"/>
  <c r="D117" i="14"/>
  <c r="AR117" i="14" s="1"/>
  <c r="C117" i="14"/>
  <c r="B117" i="14"/>
  <c r="AH116" i="14"/>
  <c r="AP116" i="14"/>
  <c r="AF116" i="14"/>
  <c r="AG116" i="14"/>
  <c r="AQ116" i="14"/>
  <c r="AD117" i="14" l="1"/>
  <c r="AC117" i="14"/>
  <c r="D118" i="16"/>
  <c r="A119" i="14"/>
  <c r="C118" i="14"/>
  <c r="B118" i="14"/>
  <c r="D118" i="14"/>
  <c r="AR118" i="14" s="1"/>
  <c r="E118" i="14"/>
  <c r="AQ117" i="14"/>
  <c r="AH117" i="14"/>
  <c r="AP117" i="14"/>
  <c r="AF117" i="14"/>
  <c r="AG117" i="14"/>
  <c r="AD118" i="14" l="1"/>
  <c r="AC118" i="14"/>
  <c r="D119" i="16"/>
  <c r="E119" i="14"/>
  <c r="D119" i="14"/>
  <c r="AR119" i="14" s="1"/>
  <c r="C119" i="14"/>
  <c r="B119" i="14"/>
  <c r="A120" i="14"/>
  <c r="AP118" i="14"/>
  <c r="AG118" i="14"/>
  <c r="AQ118" i="14"/>
  <c r="AH118" i="14"/>
  <c r="AF118" i="14"/>
  <c r="AD119" i="14" l="1"/>
  <c r="AC119" i="14"/>
  <c r="D120" i="16"/>
  <c r="A121" i="14"/>
  <c r="D120" i="14"/>
  <c r="AR120" i="14" s="1"/>
  <c r="B120" i="14"/>
  <c r="E120" i="14"/>
  <c r="C120" i="14"/>
  <c r="AG119" i="14"/>
  <c r="AF119" i="14"/>
  <c r="AH119" i="14"/>
  <c r="AP119" i="14"/>
  <c r="AQ119" i="14"/>
  <c r="AD120" i="14" l="1"/>
  <c r="AC120" i="14"/>
  <c r="D121" i="16"/>
  <c r="D121" i="14"/>
  <c r="AR121" i="14" s="1"/>
  <c r="A122" i="14"/>
  <c r="C121" i="14"/>
  <c r="B121" i="14"/>
  <c r="E121" i="14"/>
  <c r="AG120" i="14"/>
  <c r="AF120" i="14"/>
  <c r="AH120" i="14"/>
  <c r="AP120" i="14"/>
  <c r="AQ120" i="14"/>
  <c r="AD121" i="14" l="1"/>
  <c r="AC121" i="14"/>
  <c r="D122" i="16"/>
  <c r="E122" i="14"/>
  <c r="C122" i="14"/>
  <c r="B122" i="14"/>
  <c r="A123" i="14"/>
  <c r="D122" i="14"/>
  <c r="AR122" i="14" s="1"/>
  <c r="AF121" i="14"/>
  <c r="AP121" i="14"/>
  <c r="AG121" i="14"/>
  <c r="AH121" i="14"/>
  <c r="AQ121" i="14"/>
  <c r="AD122" i="14" l="1"/>
  <c r="AC122" i="14"/>
  <c r="D123" i="16"/>
  <c r="E123" i="14"/>
  <c r="D123" i="14"/>
  <c r="AR123" i="14" s="1"/>
  <c r="A124" i="14"/>
  <c r="C123" i="14"/>
  <c r="B123" i="14"/>
  <c r="AP122" i="14"/>
  <c r="AH122" i="14"/>
  <c r="AF122" i="14"/>
  <c r="AG122" i="14"/>
  <c r="AQ122" i="14"/>
  <c r="AD123" i="14" l="1"/>
  <c r="AC123" i="14"/>
  <c r="D124" i="16"/>
  <c r="A125" i="14"/>
  <c r="D124" i="14"/>
  <c r="AR124" i="14" s="1"/>
  <c r="E124" i="14"/>
  <c r="C124" i="14"/>
  <c r="B124" i="14"/>
  <c r="AG123" i="14"/>
  <c r="AP123" i="14"/>
  <c r="AH123" i="14"/>
  <c r="AQ123" i="14"/>
  <c r="AF123" i="14"/>
  <c r="AD124" i="14" l="1"/>
  <c r="AC124" i="14"/>
  <c r="D125" i="16"/>
  <c r="D125" i="14"/>
  <c r="AR125" i="14" s="1"/>
  <c r="A126" i="14"/>
  <c r="E125" i="14"/>
  <c r="C125" i="14"/>
  <c r="B125" i="14"/>
  <c r="AG124" i="14"/>
  <c r="AH124" i="14"/>
  <c r="AQ124" i="14"/>
  <c r="AF124" i="14"/>
  <c r="AP124" i="14"/>
  <c r="AD125" i="14" l="1"/>
  <c r="AC125" i="14"/>
  <c r="D126" i="16"/>
  <c r="C126" i="14"/>
  <c r="E126" i="14"/>
  <c r="D126" i="14"/>
  <c r="AR126" i="14" s="1"/>
  <c r="B126" i="14"/>
  <c r="A127" i="14"/>
  <c r="AH125" i="14"/>
  <c r="AG125" i="14"/>
  <c r="AQ125" i="14"/>
  <c r="AP125" i="14"/>
  <c r="AF125" i="14"/>
  <c r="AD126" i="14" l="1"/>
  <c r="AC126" i="14"/>
  <c r="D127" i="16"/>
  <c r="A128" i="14"/>
  <c r="B127" i="14"/>
  <c r="E127" i="14"/>
  <c r="D127" i="14"/>
  <c r="AR127" i="14" s="1"/>
  <c r="C127" i="14"/>
  <c r="AQ126" i="14"/>
  <c r="AF126" i="14"/>
  <c r="AG126" i="14"/>
  <c r="AH126" i="14"/>
  <c r="AP126" i="14"/>
  <c r="AD127" i="14" l="1"/>
  <c r="AC127" i="14"/>
  <c r="D128" i="16"/>
  <c r="A129" i="14"/>
  <c r="D128" i="14"/>
  <c r="AR128" i="14" s="1"/>
  <c r="B128" i="14"/>
  <c r="E128" i="14"/>
  <c r="C128" i="14"/>
  <c r="AG127" i="14"/>
  <c r="AF127" i="14"/>
  <c r="AQ127" i="14"/>
  <c r="AH127" i="14"/>
  <c r="AP127" i="14"/>
  <c r="AD128" i="14" l="1"/>
  <c r="AC128" i="14"/>
  <c r="D129" i="16"/>
  <c r="C129" i="14"/>
  <c r="B129" i="14"/>
  <c r="A130" i="14"/>
  <c r="E129" i="14"/>
  <c r="D129" i="14"/>
  <c r="AR129" i="14" s="1"/>
  <c r="AQ128" i="14"/>
  <c r="AG128" i="14"/>
  <c r="AF128" i="14"/>
  <c r="AH128" i="14"/>
  <c r="AP128" i="14"/>
  <c r="AD129" i="14" l="1"/>
  <c r="AC129" i="14"/>
  <c r="D130" i="16"/>
  <c r="D130" i="14"/>
  <c r="AR130" i="14" s="1"/>
  <c r="E130" i="14"/>
  <c r="C130" i="14"/>
  <c r="A131" i="14"/>
  <c r="B130" i="14"/>
  <c r="AH129" i="14"/>
  <c r="AQ129" i="14"/>
  <c r="AG129" i="14"/>
  <c r="AP129" i="14"/>
  <c r="AF129" i="14"/>
  <c r="AD130" i="14" l="1"/>
  <c r="AC130" i="14"/>
  <c r="D131" i="16"/>
  <c r="E131" i="14"/>
  <c r="B131" i="14"/>
  <c r="A132" i="14"/>
  <c r="C131" i="14"/>
  <c r="D131" i="14"/>
  <c r="AR131" i="14" s="1"/>
  <c r="AG130" i="14"/>
  <c r="AQ130" i="14"/>
  <c r="AP130" i="14"/>
  <c r="AH130" i="14"/>
  <c r="AF130" i="14"/>
  <c r="AD131" i="14" l="1"/>
  <c r="AC131" i="14"/>
  <c r="D132" i="16"/>
  <c r="A133" i="14"/>
  <c r="D132" i="14"/>
  <c r="AR132" i="14" s="1"/>
  <c r="E132" i="14"/>
  <c r="C132" i="14"/>
  <c r="B132" i="14"/>
  <c r="AF131" i="14"/>
  <c r="AP131" i="14"/>
  <c r="AQ131" i="14"/>
  <c r="AH131" i="14"/>
  <c r="AG131" i="14"/>
  <c r="AD132" i="14" l="1"/>
  <c r="AC132" i="14"/>
  <c r="D133" i="16"/>
  <c r="C133" i="14"/>
  <c r="B133" i="14"/>
  <c r="A134" i="14"/>
  <c r="E133" i="14"/>
  <c r="D133" i="14"/>
  <c r="AR133" i="14" s="1"/>
  <c r="AF132" i="14"/>
  <c r="AP132" i="14"/>
  <c r="AG132" i="14"/>
  <c r="AQ132" i="14"/>
  <c r="AH132" i="14"/>
  <c r="AD133" i="14" l="1"/>
  <c r="AC133" i="14"/>
  <c r="D134" i="16"/>
  <c r="E134" i="14"/>
  <c r="D134" i="14"/>
  <c r="AR134" i="14" s="1"/>
  <c r="C134" i="14"/>
  <c r="B134" i="14"/>
  <c r="A135" i="14"/>
  <c r="AH133" i="14"/>
  <c r="AG133" i="14"/>
  <c r="AQ133" i="14"/>
  <c r="AP133" i="14"/>
  <c r="AF133" i="14"/>
  <c r="AD134" i="14" l="1"/>
  <c r="AC134" i="14"/>
  <c r="D135" i="16"/>
  <c r="A136" i="14"/>
  <c r="E135" i="14"/>
  <c r="B135" i="14"/>
  <c r="D135" i="14"/>
  <c r="AR135" i="14" s="1"/>
  <c r="C135" i="14"/>
  <c r="AG134" i="14"/>
  <c r="AF134" i="14"/>
  <c r="AP134" i="14"/>
  <c r="AQ134" i="14"/>
  <c r="AH134" i="14"/>
  <c r="AD135" i="14" l="1"/>
  <c r="AC135" i="14"/>
  <c r="D136" i="16"/>
  <c r="A137" i="14"/>
  <c r="D136" i="14"/>
  <c r="AR136" i="14" s="1"/>
  <c r="C136" i="14"/>
  <c r="B136" i="14"/>
  <c r="E136" i="14"/>
  <c r="AG135" i="14"/>
  <c r="AP135" i="14"/>
  <c r="AH135" i="14"/>
  <c r="AF135" i="14"/>
  <c r="AQ135" i="14"/>
  <c r="AD136" i="14" l="1"/>
  <c r="AC136" i="14"/>
  <c r="D137" i="16"/>
  <c r="D137" i="14"/>
  <c r="AR137" i="14" s="1"/>
  <c r="C137" i="14"/>
  <c r="B137" i="14"/>
  <c r="E137" i="14"/>
  <c r="A138" i="14"/>
  <c r="AQ136" i="14"/>
  <c r="AG136" i="14"/>
  <c r="AF136" i="14"/>
  <c r="AH136" i="14"/>
  <c r="AP136" i="14"/>
  <c r="AD137" i="14" l="1"/>
  <c r="AC137" i="14"/>
  <c r="D138" i="16"/>
  <c r="B138" i="14"/>
  <c r="E138" i="14"/>
  <c r="A139" i="14"/>
  <c r="D138" i="14"/>
  <c r="AR138" i="14" s="1"/>
  <c r="C138" i="14"/>
  <c r="AP137" i="14"/>
  <c r="AF137" i="14"/>
  <c r="AH137" i="14"/>
  <c r="AQ137" i="14"/>
  <c r="AG137" i="14"/>
  <c r="AD138" i="14" l="1"/>
  <c r="AC138" i="14"/>
  <c r="D139" i="16"/>
  <c r="E139" i="14"/>
  <c r="D139" i="14"/>
  <c r="AR139" i="14" s="1"/>
  <c r="C139" i="14"/>
  <c r="A140" i="14"/>
  <c r="B139" i="14"/>
  <c r="AF138" i="14"/>
  <c r="AG138" i="14"/>
  <c r="AQ138" i="14"/>
  <c r="AH138" i="14"/>
  <c r="AP138" i="14"/>
  <c r="AD139" i="14" l="1"/>
  <c r="AC139" i="14"/>
  <c r="D140" i="16"/>
  <c r="A141" i="14"/>
  <c r="D140" i="14"/>
  <c r="AR140" i="14" s="1"/>
  <c r="E140" i="14"/>
  <c r="C140" i="14"/>
  <c r="B140" i="14"/>
  <c r="AF139" i="14"/>
  <c r="AQ139" i="14"/>
  <c r="AP139" i="14"/>
  <c r="AG139" i="14"/>
  <c r="AH139" i="14"/>
  <c r="AD140" i="14" l="1"/>
  <c r="AC140" i="14"/>
  <c r="D141" i="16"/>
  <c r="D141" i="14"/>
  <c r="AR141" i="14" s="1"/>
  <c r="C141" i="14"/>
  <c r="A142" i="14"/>
  <c r="B141" i="14"/>
  <c r="E141" i="14"/>
  <c r="AH140" i="14"/>
  <c r="AF140" i="14"/>
  <c r="AG140" i="14"/>
  <c r="AQ140" i="14"/>
  <c r="AP140" i="14"/>
  <c r="AD141" i="14" l="1"/>
  <c r="AC141" i="14"/>
  <c r="D142" i="16"/>
  <c r="C142" i="14"/>
  <c r="A143" i="14"/>
  <c r="B142" i="14"/>
  <c r="E142" i="14"/>
  <c r="D142" i="14"/>
  <c r="AR142" i="14" s="1"/>
  <c r="AQ141" i="14"/>
  <c r="AF141" i="14"/>
  <c r="AG141" i="14"/>
  <c r="AP141" i="14"/>
  <c r="AH141" i="14"/>
  <c r="AD142" i="14" l="1"/>
  <c r="AC142" i="14"/>
  <c r="D143" i="16"/>
  <c r="A144" i="14"/>
  <c r="B143" i="14"/>
  <c r="E143" i="14"/>
  <c r="D143" i="14"/>
  <c r="AR143" i="14" s="1"/>
  <c r="C143" i="14"/>
  <c r="AG142" i="14"/>
  <c r="AP142" i="14"/>
  <c r="AQ142" i="14"/>
  <c r="AH142" i="14"/>
  <c r="AF142" i="14"/>
  <c r="AD143" i="14" l="1"/>
  <c r="AC143" i="14"/>
  <c r="D144" i="16"/>
  <c r="A145" i="14"/>
  <c r="D144" i="14"/>
  <c r="AR144" i="14" s="1"/>
  <c r="E144" i="14"/>
  <c r="C144" i="14"/>
  <c r="B144" i="14"/>
  <c r="AH143" i="14"/>
  <c r="AP143" i="14"/>
  <c r="AQ143" i="14"/>
  <c r="AG143" i="14"/>
  <c r="AF143" i="14"/>
  <c r="AD144" i="14" l="1"/>
  <c r="AC144" i="14"/>
  <c r="D145" i="16"/>
  <c r="C145" i="14"/>
  <c r="B145" i="14"/>
  <c r="E145" i="14"/>
  <c r="A146" i="14"/>
  <c r="D145" i="14"/>
  <c r="AR145" i="14" s="1"/>
  <c r="AF144" i="14"/>
  <c r="AG144" i="14"/>
  <c r="AH144" i="14"/>
  <c r="AQ144" i="14"/>
  <c r="AP144" i="14"/>
  <c r="AD145" i="14" l="1"/>
  <c r="AC145" i="14"/>
  <c r="D146" i="16"/>
  <c r="D146" i="14"/>
  <c r="AR146" i="14" s="1"/>
  <c r="A147" i="14"/>
  <c r="C146" i="14"/>
  <c r="B146" i="14"/>
  <c r="E146" i="14"/>
  <c r="AH145" i="14"/>
  <c r="AF145" i="14"/>
  <c r="AQ145" i="14"/>
  <c r="AG145" i="14"/>
  <c r="AP145" i="14"/>
  <c r="AD146" i="14" l="1"/>
  <c r="AC146" i="14"/>
  <c r="D147" i="16"/>
  <c r="D147" i="14"/>
  <c r="AR147" i="14" s="1"/>
  <c r="C147" i="14"/>
  <c r="B147" i="14"/>
  <c r="A148" i="14"/>
  <c r="E147" i="14"/>
  <c r="AF146" i="14"/>
  <c r="AH146" i="14"/>
  <c r="AQ146" i="14"/>
  <c r="AP146" i="14"/>
  <c r="AG146" i="14"/>
  <c r="AD147" i="14" l="1"/>
  <c r="AC147" i="14"/>
  <c r="D148" i="16"/>
  <c r="A149" i="14"/>
  <c r="D148" i="14"/>
  <c r="AR148" i="14" s="1"/>
  <c r="B148" i="14"/>
  <c r="E148" i="14"/>
  <c r="C148" i="14"/>
  <c r="AP147" i="14"/>
  <c r="AG147" i="14"/>
  <c r="AF147" i="14"/>
  <c r="AQ147" i="14"/>
  <c r="AH147" i="14"/>
  <c r="AD148" i="14" l="1"/>
  <c r="AC148" i="14"/>
  <c r="D149" i="16"/>
  <c r="A150" i="14"/>
  <c r="E149" i="14"/>
  <c r="D149" i="14"/>
  <c r="AR149" i="14" s="1"/>
  <c r="B149" i="14"/>
  <c r="C149" i="14"/>
  <c r="AQ148" i="14"/>
  <c r="AG148" i="14"/>
  <c r="AP148" i="14"/>
  <c r="AH148" i="14"/>
  <c r="AF148" i="14"/>
  <c r="AD149" i="14" l="1"/>
  <c r="AC149" i="14"/>
  <c r="D150" i="16"/>
  <c r="D150" i="14"/>
  <c r="AR150" i="14" s="1"/>
  <c r="C150" i="14"/>
  <c r="B150" i="14"/>
  <c r="A151" i="14"/>
  <c r="E150" i="14"/>
  <c r="AG149" i="14"/>
  <c r="AP149" i="14"/>
  <c r="AQ149" i="14"/>
  <c r="AH149" i="14"/>
  <c r="AF149" i="14"/>
  <c r="AD150" i="14" l="1"/>
  <c r="AC150" i="14"/>
  <c r="D151" i="16"/>
  <c r="A152" i="14"/>
  <c r="E151" i="14"/>
  <c r="D151" i="14"/>
  <c r="AR151" i="14" s="1"/>
  <c r="C151" i="14"/>
  <c r="B151" i="14"/>
  <c r="AQ150" i="14"/>
  <c r="AG150" i="14"/>
  <c r="AH150" i="14"/>
  <c r="AF150" i="14"/>
  <c r="AP150" i="14"/>
  <c r="AD151" i="14" l="1"/>
  <c r="AC151" i="14"/>
  <c r="D152" i="16"/>
  <c r="A153" i="14"/>
  <c r="D152" i="14"/>
  <c r="AR152" i="14" s="1"/>
  <c r="B152" i="14"/>
  <c r="C152" i="14"/>
  <c r="E152" i="14"/>
  <c r="AG151" i="14"/>
  <c r="AH151" i="14"/>
  <c r="AP151" i="14"/>
  <c r="AQ151" i="14"/>
  <c r="AF151" i="14"/>
  <c r="AD152" i="14" l="1"/>
  <c r="AC152" i="14"/>
  <c r="D153" i="16"/>
  <c r="E153" i="14"/>
  <c r="C153" i="14"/>
  <c r="B153" i="14"/>
  <c r="A154" i="14"/>
  <c r="D153" i="14"/>
  <c r="AR153" i="14" s="1"/>
  <c r="AF152" i="14"/>
  <c r="AG152" i="14"/>
  <c r="AP152" i="14"/>
  <c r="AH152" i="14"/>
  <c r="AQ152" i="14"/>
  <c r="AD153" i="14" l="1"/>
  <c r="AC153" i="14"/>
  <c r="D154" i="16"/>
  <c r="E154" i="14"/>
  <c r="D154" i="14"/>
  <c r="AR154" i="14" s="1"/>
  <c r="C154" i="14"/>
  <c r="B154" i="14"/>
  <c r="A155" i="14"/>
  <c r="AG153" i="14"/>
  <c r="AF153" i="14"/>
  <c r="AP153" i="14"/>
  <c r="AQ153" i="14"/>
  <c r="AH153" i="14"/>
  <c r="AD154" i="14" l="1"/>
  <c r="AC154" i="14"/>
  <c r="D155" i="16"/>
  <c r="E155" i="14"/>
  <c r="C155" i="14"/>
  <c r="B155" i="14"/>
  <c r="D155" i="14"/>
  <c r="AR155" i="14" s="1"/>
  <c r="A156" i="14"/>
  <c r="AF154" i="14"/>
  <c r="AQ154" i="14"/>
  <c r="AH154" i="14"/>
  <c r="AP154" i="14"/>
  <c r="AG154" i="14"/>
  <c r="AD155" i="14" l="1"/>
  <c r="AC155" i="14"/>
  <c r="D156" i="16"/>
  <c r="A157" i="14"/>
  <c r="D156" i="14"/>
  <c r="AR156" i="14" s="1"/>
  <c r="C156" i="14"/>
  <c r="E156" i="14"/>
  <c r="B156" i="14"/>
  <c r="AH155" i="14"/>
  <c r="AQ155" i="14"/>
  <c r="AP155" i="14"/>
  <c r="AF155" i="14"/>
  <c r="AG155" i="14"/>
  <c r="AD156" i="14" l="1"/>
  <c r="AC156" i="14"/>
  <c r="D157" i="16"/>
  <c r="A158" i="14"/>
  <c r="E157" i="14"/>
  <c r="D157" i="14"/>
  <c r="AR157" i="14" s="1"/>
  <c r="C157" i="14"/>
  <c r="B157" i="14"/>
  <c r="AQ156" i="14"/>
  <c r="AG156" i="14"/>
  <c r="AP156" i="14"/>
  <c r="AF156" i="14"/>
  <c r="AH156" i="14"/>
  <c r="AD157" i="14" l="1"/>
  <c r="AC157" i="14"/>
  <c r="D158" i="16"/>
  <c r="A159" i="14"/>
  <c r="D158" i="14"/>
  <c r="AR158" i="14" s="1"/>
  <c r="C158" i="14"/>
  <c r="B158" i="14"/>
  <c r="E158" i="14"/>
  <c r="AH157" i="14"/>
  <c r="AG157" i="14"/>
  <c r="AF157" i="14"/>
  <c r="AQ157" i="14"/>
  <c r="AP157" i="14"/>
  <c r="AD158" i="14" l="1"/>
  <c r="AC158" i="14"/>
  <c r="D159" i="16"/>
  <c r="A160" i="14"/>
  <c r="E159" i="14"/>
  <c r="D159" i="14"/>
  <c r="AR159" i="14" s="1"/>
  <c r="C159" i="14"/>
  <c r="B159" i="14"/>
  <c r="AP158" i="14"/>
  <c r="AH158" i="14"/>
  <c r="AQ158" i="14"/>
  <c r="AG158" i="14"/>
  <c r="AF158" i="14"/>
  <c r="AD159" i="14" l="1"/>
  <c r="AC159" i="14"/>
  <c r="D160" i="16"/>
  <c r="A161" i="14"/>
  <c r="D160" i="14"/>
  <c r="AR160" i="14" s="1"/>
  <c r="C160" i="14"/>
  <c r="B160" i="14"/>
  <c r="E160" i="14"/>
  <c r="AQ159" i="14"/>
  <c r="AG159" i="14"/>
  <c r="AH159" i="14"/>
  <c r="AP159" i="14"/>
  <c r="AF159" i="14"/>
  <c r="AD160" i="14" l="1"/>
  <c r="AC160" i="14"/>
  <c r="D161" i="16"/>
  <c r="E161" i="14"/>
  <c r="D161" i="14"/>
  <c r="AR161" i="14" s="1"/>
  <c r="C161" i="14"/>
  <c r="B161" i="14"/>
  <c r="A162" i="14"/>
  <c r="AH160" i="14"/>
  <c r="AQ160" i="14"/>
  <c r="AP160" i="14"/>
  <c r="AG160" i="14"/>
  <c r="AF160" i="14"/>
  <c r="AD161" i="14" l="1"/>
  <c r="AC161" i="14"/>
  <c r="D162" i="16"/>
  <c r="E162" i="14"/>
  <c r="D162" i="14"/>
  <c r="AR162" i="14" s="1"/>
  <c r="C162" i="14"/>
  <c r="B162" i="14"/>
  <c r="A163" i="14"/>
  <c r="AG161" i="14"/>
  <c r="AH161" i="14"/>
  <c r="AP161" i="14"/>
  <c r="AQ161" i="14"/>
  <c r="AF161" i="14"/>
  <c r="AD162" i="14" l="1"/>
  <c r="AC162" i="14"/>
  <c r="D163" i="16"/>
  <c r="E163" i="14"/>
  <c r="B163" i="14"/>
  <c r="D163" i="14"/>
  <c r="AR163" i="14" s="1"/>
  <c r="A164" i="14"/>
  <c r="C163" i="14"/>
  <c r="AP162" i="14"/>
  <c r="AH162" i="14"/>
  <c r="AG162" i="14"/>
  <c r="AQ162" i="14"/>
  <c r="AF162" i="14"/>
  <c r="AD163" i="14" l="1"/>
  <c r="AC163" i="14"/>
  <c r="D164" i="16"/>
  <c r="A165" i="14"/>
  <c r="D164" i="14"/>
  <c r="AR164" i="14" s="1"/>
  <c r="C164" i="14"/>
  <c r="E164" i="14"/>
  <c r="B164" i="14"/>
  <c r="AF163" i="14"/>
  <c r="AP163" i="14"/>
  <c r="AH163" i="14"/>
  <c r="AG163" i="14"/>
  <c r="AQ163" i="14"/>
  <c r="AD164" i="14" l="1"/>
  <c r="AC164" i="14"/>
  <c r="D165" i="16"/>
  <c r="A166" i="14"/>
  <c r="C165" i="14"/>
  <c r="B165" i="14"/>
  <c r="E165" i="14"/>
  <c r="D165" i="14"/>
  <c r="AR165" i="14" s="1"/>
  <c r="AQ164" i="14"/>
  <c r="AH164" i="14"/>
  <c r="AG164" i="14"/>
  <c r="AF164" i="14"/>
  <c r="AP164" i="14"/>
  <c r="AD165" i="14" l="1"/>
  <c r="AC165" i="14"/>
  <c r="D166" i="16"/>
  <c r="A167" i="14"/>
  <c r="C166" i="14"/>
  <c r="B166" i="14"/>
  <c r="E166" i="14"/>
  <c r="D166" i="14"/>
  <c r="AR166" i="14" s="1"/>
  <c r="AG165" i="14"/>
  <c r="AH165" i="14"/>
  <c r="AF165" i="14"/>
  <c r="AP165" i="14"/>
  <c r="AQ165" i="14"/>
  <c r="AD166" i="14" l="1"/>
  <c r="AC166" i="14"/>
  <c r="D167" i="16"/>
  <c r="B167" i="14"/>
  <c r="C167" i="14"/>
  <c r="D167" i="14"/>
  <c r="AR167" i="14" s="1"/>
  <c r="A168" i="14"/>
  <c r="E167" i="14"/>
  <c r="AG166" i="14"/>
  <c r="AF166" i="14"/>
  <c r="AQ166" i="14"/>
  <c r="AH166" i="14"/>
  <c r="AP166" i="14"/>
  <c r="AD167" i="14" l="1"/>
  <c r="AC167" i="14"/>
  <c r="D168" i="16"/>
  <c r="E168" i="14"/>
  <c r="D168" i="14"/>
  <c r="AR168" i="14" s="1"/>
  <c r="A169" i="14"/>
  <c r="C168" i="14"/>
  <c r="B168" i="14"/>
  <c r="AQ167" i="14"/>
  <c r="AP167" i="14"/>
  <c r="AG167" i="14"/>
  <c r="AH167" i="14"/>
  <c r="AF167" i="14"/>
  <c r="AD168" i="14" l="1"/>
  <c r="AC168" i="14"/>
  <c r="D169" i="16"/>
  <c r="D169" i="14"/>
  <c r="AR169" i="14" s="1"/>
  <c r="A170" i="14"/>
  <c r="C169" i="14"/>
  <c r="B169" i="14"/>
  <c r="E169" i="14"/>
  <c r="AH168" i="14"/>
  <c r="AF168" i="14"/>
  <c r="AQ168" i="14"/>
  <c r="AG168" i="14"/>
  <c r="AP168" i="14"/>
  <c r="AD169" i="14" l="1"/>
  <c r="AC169" i="14"/>
  <c r="D170" i="16"/>
  <c r="E170" i="14"/>
  <c r="A171" i="14"/>
  <c r="B170" i="14"/>
  <c r="D170" i="14"/>
  <c r="AR170" i="14" s="1"/>
  <c r="C170" i="14"/>
  <c r="AF169" i="14"/>
  <c r="AH169" i="14"/>
  <c r="AG169" i="14"/>
  <c r="AQ169" i="14"/>
  <c r="AP169" i="14"/>
  <c r="AD170" i="14" l="1"/>
  <c r="AC170" i="14"/>
  <c r="D171" i="16"/>
  <c r="B171" i="14"/>
  <c r="E171" i="14"/>
  <c r="D171" i="14"/>
  <c r="AR171" i="14" s="1"/>
  <c r="A172" i="14"/>
  <c r="C171" i="14"/>
  <c r="AQ170" i="14"/>
  <c r="AG170" i="14"/>
  <c r="AP170" i="14"/>
  <c r="AF170" i="14"/>
  <c r="AH170" i="14"/>
  <c r="AD171" i="14" l="1"/>
  <c r="AC171" i="14"/>
  <c r="D172" i="16"/>
  <c r="E172" i="14"/>
  <c r="D172" i="14"/>
  <c r="AR172" i="14" s="1"/>
  <c r="C172" i="14"/>
  <c r="B172" i="14"/>
  <c r="A173" i="14"/>
  <c r="AQ171" i="14"/>
  <c r="AP171" i="14"/>
  <c r="AF171" i="14"/>
  <c r="AG171" i="14"/>
  <c r="AH171" i="14"/>
  <c r="AD172" i="14" l="1"/>
  <c r="AC172" i="14"/>
  <c r="D173" i="16"/>
  <c r="D173" i="14"/>
  <c r="AR173" i="14" s="1"/>
  <c r="C173" i="14"/>
  <c r="B173" i="14"/>
  <c r="A174" i="14"/>
  <c r="E173" i="14"/>
  <c r="AF172" i="14"/>
  <c r="AP172" i="14"/>
  <c r="AG172" i="14"/>
  <c r="AH172" i="14"/>
  <c r="AQ172" i="14"/>
  <c r="AD173" i="14" l="1"/>
  <c r="AC173" i="14"/>
  <c r="D174" i="16"/>
  <c r="E174" i="14"/>
  <c r="A175" i="14"/>
  <c r="D174" i="14"/>
  <c r="AR174" i="14" s="1"/>
  <c r="C174" i="14"/>
  <c r="B174" i="14"/>
  <c r="AQ173" i="14"/>
  <c r="AH173" i="14"/>
  <c r="AF173" i="14"/>
  <c r="AP173" i="14"/>
  <c r="AG173" i="14"/>
  <c r="AD174" i="14" l="1"/>
  <c r="AC174" i="14"/>
  <c r="D175" i="16"/>
  <c r="B175" i="14"/>
  <c r="D175" i="14"/>
  <c r="AR175" i="14" s="1"/>
  <c r="C175" i="14"/>
  <c r="A176" i="14"/>
  <c r="E175" i="14"/>
  <c r="AH174" i="14"/>
  <c r="AG174" i="14"/>
  <c r="AP174" i="14"/>
  <c r="AQ174" i="14"/>
  <c r="AF174" i="14"/>
  <c r="AD175" i="14" l="1"/>
  <c r="AC175" i="14"/>
  <c r="D176" i="16"/>
  <c r="C176" i="14"/>
  <c r="B176" i="14"/>
  <c r="E176" i="14"/>
  <c r="D176" i="14"/>
  <c r="AR176" i="14" s="1"/>
  <c r="A177" i="14"/>
  <c r="AP175" i="14"/>
  <c r="AH175" i="14"/>
  <c r="AF175" i="14"/>
  <c r="AG175" i="14"/>
  <c r="AQ175" i="14"/>
  <c r="AD176" i="14" l="1"/>
  <c r="AC176" i="14"/>
  <c r="D177" i="16"/>
  <c r="D177" i="14"/>
  <c r="AR177" i="14" s="1"/>
  <c r="C177" i="14"/>
  <c r="E177" i="14"/>
  <c r="B177" i="14"/>
  <c r="A178" i="14"/>
  <c r="AG176" i="14"/>
  <c r="AH176" i="14"/>
  <c r="AQ176" i="14"/>
  <c r="AP176" i="14"/>
  <c r="AF176" i="14"/>
  <c r="AD177" i="14" l="1"/>
  <c r="AC177" i="14"/>
  <c r="D178" i="16"/>
  <c r="E178" i="14"/>
  <c r="A179" i="14"/>
  <c r="D178" i="14"/>
  <c r="AR178" i="14" s="1"/>
  <c r="C178" i="14"/>
  <c r="B178" i="14"/>
  <c r="AP177" i="14"/>
  <c r="AH177" i="14"/>
  <c r="AQ177" i="14"/>
  <c r="AG177" i="14"/>
  <c r="AF177" i="14"/>
  <c r="AD178" i="14" l="1"/>
  <c r="AC178" i="14"/>
  <c r="D179" i="16"/>
  <c r="B179" i="14"/>
  <c r="D179" i="14"/>
  <c r="AR179" i="14" s="1"/>
  <c r="E179" i="14"/>
  <c r="C179" i="14"/>
  <c r="A180" i="14"/>
  <c r="AF178" i="14"/>
  <c r="AG178" i="14"/>
  <c r="AP178" i="14"/>
  <c r="AH178" i="14"/>
  <c r="AQ178" i="14"/>
  <c r="AD179" i="14" l="1"/>
  <c r="AC179" i="14"/>
  <c r="D180" i="16"/>
  <c r="E180" i="14"/>
  <c r="D180" i="14"/>
  <c r="AR180" i="14" s="1"/>
  <c r="C180" i="14"/>
  <c r="B180" i="14"/>
  <c r="A181" i="14"/>
  <c r="AG179" i="14"/>
  <c r="AH179" i="14"/>
  <c r="AQ179" i="14"/>
  <c r="AP179" i="14"/>
  <c r="AF179" i="14"/>
  <c r="AD180" i="14" l="1"/>
  <c r="AC180" i="14"/>
  <c r="D181" i="16"/>
  <c r="A182" i="14"/>
  <c r="D181" i="14"/>
  <c r="AR181" i="14" s="1"/>
  <c r="C181" i="14"/>
  <c r="B181" i="14"/>
  <c r="E181" i="14"/>
  <c r="AG180" i="14"/>
  <c r="AP180" i="14"/>
  <c r="AQ180" i="14"/>
  <c r="AF180" i="14"/>
  <c r="AH180" i="14"/>
  <c r="AD181" i="14" l="1"/>
  <c r="AC181" i="14"/>
  <c r="D182" i="16"/>
  <c r="E182" i="14"/>
  <c r="A183" i="14"/>
  <c r="D182" i="14"/>
  <c r="AR182" i="14" s="1"/>
  <c r="C182" i="14"/>
  <c r="B182" i="14"/>
  <c r="AG181" i="14"/>
  <c r="AP181" i="14"/>
  <c r="AH181" i="14"/>
  <c r="AF181" i="14"/>
  <c r="AQ181" i="14"/>
  <c r="AD182" i="14" l="1"/>
  <c r="AC182" i="14"/>
  <c r="D183" i="16"/>
  <c r="B183" i="14"/>
  <c r="A184" i="14"/>
  <c r="C183" i="14"/>
  <c r="E183" i="14"/>
  <c r="D183" i="14"/>
  <c r="AR183" i="14" s="1"/>
  <c r="AP182" i="14"/>
  <c r="AF182" i="14"/>
  <c r="AG182" i="14"/>
  <c r="AH182" i="14"/>
  <c r="AQ182" i="14"/>
  <c r="AD183" i="14" l="1"/>
  <c r="AC183" i="14"/>
  <c r="D184" i="16"/>
  <c r="C184" i="14"/>
  <c r="B184" i="14"/>
  <c r="A185" i="14"/>
  <c r="E184" i="14"/>
  <c r="D184" i="14"/>
  <c r="AR184" i="14" s="1"/>
  <c r="AG183" i="14"/>
  <c r="AF183" i="14"/>
  <c r="AH183" i="14"/>
  <c r="AP183" i="14"/>
  <c r="AQ183" i="14"/>
  <c r="AD184" i="14" l="1"/>
  <c r="AC184" i="14"/>
  <c r="D185" i="16"/>
  <c r="D185" i="14"/>
  <c r="AR185" i="14" s="1"/>
  <c r="C185" i="14"/>
  <c r="E185" i="14"/>
  <c r="B185" i="14"/>
  <c r="A186" i="14"/>
  <c r="AG184" i="14"/>
  <c r="AH184" i="14"/>
  <c r="AQ184" i="14"/>
  <c r="AP184" i="14"/>
  <c r="AF184" i="14"/>
  <c r="AD185" i="14" l="1"/>
  <c r="AC185" i="14"/>
  <c r="D186" i="16"/>
  <c r="E186" i="14"/>
  <c r="A187" i="14"/>
  <c r="D186" i="14"/>
  <c r="AR186" i="14" s="1"/>
  <c r="C186" i="14"/>
  <c r="B186" i="14"/>
  <c r="AP185" i="14"/>
  <c r="AH185" i="14"/>
  <c r="AQ185" i="14"/>
  <c r="AG185" i="14"/>
  <c r="AF185" i="14"/>
  <c r="AD186" i="14" l="1"/>
  <c r="AC186" i="14"/>
  <c r="D187" i="16"/>
  <c r="B187" i="14"/>
  <c r="E187" i="14"/>
  <c r="D187" i="14"/>
  <c r="AR187" i="14" s="1"/>
  <c r="A188" i="14"/>
  <c r="C187" i="14"/>
  <c r="AF186" i="14"/>
  <c r="AH186" i="14"/>
  <c r="AP186" i="14"/>
  <c r="AG186" i="14"/>
  <c r="AQ186" i="14"/>
  <c r="AD187" i="14" l="1"/>
  <c r="AC187" i="14"/>
  <c r="D188" i="16"/>
  <c r="A189" i="14"/>
  <c r="D188" i="14"/>
  <c r="AR188" i="14" s="1"/>
  <c r="C188" i="14"/>
  <c r="B188" i="14"/>
  <c r="E188" i="14"/>
  <c r="AH187" i="14"/>
  <c r="AG187" i="14"/>
  <c r="AP187" i="14"/>
  <c r="AQ187" i="14"/>
  <c r="AF187" i="14"/>
  <c r="AD188" i="14" l="1"/>
  <c r="AC188" i="14"/>
  <c r="D189" i="16"/>
  <c r="D189" i="14"/>
  <c r="AR189" i="14" s="1"/>
  <c r="C189" i="14"/>
  <c r="B189" i="14"/>
  <c r="A190" i="14"/>
  <c r="E189" i="14"/>
  <c r="AG188" i="14"/>
  <c r="AP188" i="14"/>
  <c r="AQ188" i="14"/>
  <c r="AF188" i="14"/>
  <c r="AH188" i="14"/>
  <c r="AD189" i="14" l="1"/>
  <c r="AC189" i="14"/>
  <c r="D190" i="16"/>
  <c r="E190" i="14"/>
  <c r="A191" i="14"/>
  <c r="D190" i="14"/>
  <c r="AR190" i="14" s="1"/>
  <c r="C190" i="14"/>
  <c r="B190" i="14"/>
  <c r="AG189" i="14"/>
  <c r="AQ189" i="14"/>
  <c r="AF189" i="14"/>
  <c r="AH189" i="14"/>
  <c r="AP189" i="14"/>
  <c r="AD190" i="14" l="1"/>
  <c r="AC190" i="14"/>
  <c r="D191" i="16"/>
  <c r="B191" i="14"/>
  <c r="D191" i="14"/>
  <c r="AR191" i="14" s="1"/>
  <c r="C191" i="14"/>
  <c r="E191" i="14"/>
  <c r="A192" i="14"/>
  <c r="AQ190" i="14"/>
  <c r="AG190" i="14"/>
  <c r="AF190" i="14"/>
  <c r="AH190" i="14"/>
  <c r="AP190" i="14"/>
  <c r="AD191" i="14" l="1"/>
  <c r="AC191" i="14"/>
  <c r="D192" i="16"/>
  <c r="C192" i="14"/>
  <c r="B192" i="14"/>
  <c r="E192" i="14"/>
  <c r="D192" i="14"/>
  <c r="AR192" i="14" s="1"/>
  <c r="A193" i="14"/>
  <c r="AP191" i="14"/>
  <c r="AG191" i="14"/>
  <c r="AQ191" i="14"/>
  <c r="AH191" i="14"/>
  <c r="AF191" i="14"/>
  <c r="AD192" i="14" l="1"/>
  <c r="AC192" i="14"/>
  <c r="D193" i="16"/>
  <c r="D193" i="14"/>
  <c r="AR193" i="14" s="1"/>
  <c r="C193" i="14"/>
  <c r="A194" i="14"/>
  <c r="E193" i="14"/>
  <c r="B193" i="14"/>
  <c r="AF192" i="14"/>
  <c r="AG192" i="14"/>
  <c r="AQ192" i="14"/>
  <c r="AH192" i="14"/>
  <c r="AP192" i="14"/>
  <c r="AD193" i="14" l="1"/>
  <c r="AC193" i="14"/>
  <c r="D194" i="16"/>
  <c r="E194" i="14"/>
  <c r="A195" i="14"/>
  <c r="D194" i="14"/>
  <c r="AR194" i="14" s="1"/>
  <c r="C194" i="14"/>
  <c r="B194" i="14"/>
  <c r="AH193" i="14"/>
  <c r="AG193" i="14"/>
  <c r="AF193" i="14"/>
  <c r="AP193" i="14"/>
  <c r="AQ193" i="14"/>
  <c r="AD194" i="14" l="1"/>
  <c r="AC194" i="14"/>
  <c r="D195" i="16"/>
  <c r="B195" i="14"/>
  <c r="A196" i="14"/>
  <c r="D195" i="14"/>
  <c r="AR195" i="14" s="1"/>
  <c r="C195" i="14"/>
  <c r="E195" i="14"/>
  <c r="AF194" i="14"/>
  <c r="AH194" i="14"/>
  <c r="AQ194" i="14"/>
  <c r="AP194" i="14"/>
  <c r="AG194" i="14"/>
  <c r="AD195" i="14" l="1"/>
  <c r="AC195" i="14"/>
  <c r="D196" i="16"/>
  <c r="E196" i="14"/>
  <c r="D196" i="14"/>
  <c r="AR196" i="14" s="1"/>
  <c r="C196" i="14"/>
  <c r="A197" i="14"/>
  <c r="B196" i="14"/>
  <c r="AH195" i="14"/>
  <c r="AG195" i="14"/>
  <c r="AQ195" i="14"/>
  <c r="AF195" i="14"/>
  <c r="AP195" i="14"/>
  <c r="AD196" i="14" l="1"/>
  <c r="AC196" i="14"/>
  <c r="D197" i="16"/>
  <c r="A198" i="14"/>
  <c r="B197" i="14"/>
  <c r="E197" i="14"/>
  <c r="D197" i="14"/>
  <c r="AR197" i="14" s="1"/>
  <c r="C197" i="14"/>
  <c r="AQ196" i="14"/>
  <c r="AH196" i="14"/>
  <c r="AP196" i="14"/>
  <c r="AG196" i="14"/>
  <c r="AF196" i="14"/>
  <c r="AD197" i="14" l="1"/>
  <c r="AC197" i="14"/>
  <c r="D198" i="16"/>
  <c r="E198" i="14"/>
  <c r="A199" i="14"/>
  <c r="D198" i="14"/>
  <c r="AR198" i="14" s="1"/>
  <c r="C198" i="14"/>
  <c r="B198" i="14"/>
  <c r="AP197" i="14"/>
  <c r="AG197" i="14"/>
  <c r="AQ197" i="14"/>
  <c r="AH197" i="14"/>
  <c r="AF197" i="14"/>
  <c r="AD198" i="14" l="1"/>
  <c r="AC198" i="14"/>
  <c r="D199" i="16"/>
  <c r="B199" i="14"/>
  <c r="A200" i="14"/>
  <c r="D199" i="14"/>
  <c r="AR199" i="14" s="1"/>
  <c r="C199" i="14"/>
  <c r="E199" i="14"/>
  <c r="AG198" i="14"/>
  <c r="AF198" i="14"/>
  <c r="AP198" i="14"/>
  <c r="AQ198" i="14"/>
  <c r="AH198" i="14"/>
  <c r="AD199" i="14" l="1"/>
  <c r="AC199" i="14"/>
  <c r="D200" i="16"/>
  <c r="C200" i="14"/>
  <c r="B200" i="14"/>
  <c r="E200" i="14"/>
  <c r="D200" i="14"/>
  <c r="AR200" i="14" s="1"/>
  <c r="A201" i="14"/>
  <c r="AP199" i="14"/>
  <c r="AG199" i="14"/>
  <c r="AQ199" i="14"/>
  <c r="AH199" i="14"/>
  <c r="AF199" i="14"/>
  <c r="AD200" i="14" l="1"/>
  <c r="AC200" i="14"/>
  <c r="D201" i="16"/>
  <c r="D201" i="14"/>
  <c r="AR201" i="14" s="1"/>
  <c r="C201" i="14"/>
  <c r="E201" i="14"/>
  <c r="A202" i="14"/>
  <c r="B201" i="14"/>
  <c r="AQ200" i="14"/>
  <c r="AP200" i="14"/>
  <c r="AH200" i="14"/>
  <c r="AG200" i="14"/>
  <c r="AF200" i="14"/>
  <c r="AD201" i="14" l="1"/>
  <c r="AC201" i="14"/>
  <c r="D202" i="16"/>
  <c r="E202" i="14"/>
  <c r="A203" i="14"/>
  <c r="D202" i="14"/>
  <c r="AR202" i="14" s="1"/>
  <c r="C202" i="14"/>
  <c r="B202" i="14"/>
  <c r="AQ201" i="14"/>
  <c r="AF201" i="14"/>
  <c r="AP201" i="14"/>
  <c r="AH201" i="14"/>
  <c r="AG201" i="14"/>
  <c r="AD202" i="14" l="1"/>
  <c r="AC202" i="14"/>
  <c r="D203" i="16"/>
  <c r="B203" i="14"/>
  <c r="E203" i="14"/>
  <c r="D203" i="14"/>
  <c r="AR203" i="14" s="1"/>
  <c r="A204" i="14"/>
  <c r="C203" i="14"/>
  <c r="AF202" i="14"/>
  <c r="AG202" i="14"/>
  <c r="AQ202" i="14"/>
  <c r="AH202" i="14"/>
  <c r="AP202" i="14"/>
  <c r="AD203" i="14" l="1"/>
  <c r="AC203" i="14"/>
  <c r="D204" i="16"/>
  <c r="B204" i="14"/>
  <c r="A205" i="14"/>
  <c r="E204" i="14"/>
  <c r="D204" i="14"/>
  <c r="AR204" i="14" s="1"/>
  <c r="C204" i="14"/>
  <c r="AH203" i="14"/>
  <c r="AP203" i="14"/>
  <c r="AQ203" i="14"/>
  <c r="AF203" i="14"/>
  <c r="AG203" i="14"/>
  <c r="AD204" i="14" l="1"/>
  <c r="AC204" i="14"/>
  <c r="D205" i="16"/>
  <c r="D205" i="14"/>
  <c r="AR205" i="14" s="1"/>
  <c r="C205" i="14"/>
  <c r="B205" i="14"/>
  <c r="E205" i="14"/>
  <c r="A206" i="14"/>
  <c r="AG204" i="14"/>
  <c r="AP204" i="14"/>
  <c r="AH204" i="14"/>
  <c r="AF204" i="14"/>
  <c r="AQ204" i="14"/>
  <c r="AD205" i="14" l="1"/>
  <c r="AC205" i="14"/>
  <c r="D206" i="16"/>
  <c r="E206" i="14"/>
  <c r="A207" i="14"/>
  <c r="D206" i="14"/>
  <c r="AR206" i="14" s="1"/>
  <c r="C206" i="14"/>
  <c r="B206" i="14"/>
  <c r="AG205" i="14"/>
  <c r="AQ205" i="14"/>
  <c r="AF205" i="14"/>
  <c r="AH205" i="14"/>
  <c r="AP205" i="14"/>
  <c r="AD206" i="14" l="1"/>
  <c r="AC206" i="14"/>
  <c r="D207" i="16"/>
  <c r="B207" i="14"/>
  <c r="D207" i="14"/>
  <c r="AR207" i="14" s="1"/>
  <c r="C207" i="14"/>
  <c r="A208" i="14"/>
  <c r="E207" i="14"/>
  <c r="AP206" i="14"/>
  <c r="AG206" i="14"/>
  <c r="AQ206" i="14"/>
  <c r="AH206" i="14"/>
  <c r="AF206" i="14"/>
  <c r="AD207" i="14" l="1"/>
  <c r="AC207" i="14"/>
  <c r="D208" i="16"/>
  <c r="C208" i="14"/>
  <c r="B208" i="14"/>
  <c r="A209" i="14"/>
  <c r="D208" i="14"/>
  <c r="AR208" i="14" s="1"/>
  <c r="E208" i="14"/>
  <c r="AQ207" i="14"/>
  <c r="AH207" i="14"/>
  <c r="AF207" i="14"/>
  <c r="AG207" i="14"/>
  <c r="AP207" i="14"/>
  <c r="AD208" i="14" l="1"/>
  <c r="AC208" i="14"/>
  <c r="D209" i="16"/>
  <c r="D209" i="14"/>
  <c r="AR209" i="14" s="1"/>
  <c r="C209" i="14"/>
  <c r="E209" i="14"/>
  <c r="B209" i="14"/>
  <c r="A210" i="14"/>
  <c r="AQ208" i="14"/>
  <c r="AP208" i="14"/>
  <c r="AG208" i="14"/>
  <c r="AF208" i="14"/>
  <c r="AH208" i="14"/>
  <c r="AD209" i="14" l="1"/>
  <c r="AC209" i="14"/>
  <c r="D210" i="16"/>
  <c r="E210" i="14"/>
  <c r="A211" i="14"/>
  <c r="D210" i="14"/>
  <c r="AR210" i="14" s="1"/>
  <c r="C210" i="14"/>
  <c r="B210" i="14"/>
  <c r="AQ209" i="14"/>
  <c r="AF209" i="14"/>
  <c r="AP209" i="14"/>
  <c r="AH209" i="14"/>
  <c r="AG209" i="14"/>
  <c r="AD210" i="14" l="1"/>
  <c r="AC210" i="14"/>
  <c r="D211" i="16"/>
  <c r="B211" i="14"/>
  <c r="A212" i="14"/>
  <c r="E211" i="14"/>
  <c r="D211" i="14"/>
  <c r="AR211" i="14" s="1"/>
  <c r="C211" i="14"/>
  <c r="AQ210" i="14"/>
  <c r="AF210" i="14"/>
  <c r="AH210" i="14"/>
  <c r="AG210" i="14"/>
  <c r="AP210" i="14"/>
  <c r="AD211" i="14" l="1"/>
  <c r="AC211" i="14"/>
  <c r="D212" i="16"/>
  <c r="E212" i="14"/>
  <c r="D212" i="14"/>
  <c r="AR212" i="14" s="1"/>
  <c r="C212" i="14"/>
  <c r="B212" i="14"/>
  <c r="A213" i="14"/>
  <c r="AG211" i="14"/>
  <c r="AH211" i="14"/>
  <c r="AQ211" i="14"/>
  <c r="AP211" i="14"/>
  <c r="AF211" i="14"/>
  <c r="AD212" i="14" l="1"/>
  <c r="AC212" i="14"/>
  <c r="D213" i="16"/>
  <c r="E213" i="14"/>
  <c r="A214" i="14"/>
  <c r="D213" i="14"/>
  <c r="AR213" i="14" s="1"/>
  <c r="C213" i="14"/>
  <c r="B213" i="14"/>
  <c r="AQ212" i="14"/>
  <c r="AG212" i="14"/>
  <c r="AP212" i="14"/>
  <c r="AF212" i="14"/>
  <c r="AH212" i="14"/>
  <c r="AD213" i="14" l="1"/>
  <c r="AC213" i="14"/>
  <c r="D214" i="16"/>
  <c r="C214" i="14"/>
  <c r="B214" i="14"/>
  <c r="E214" i="14"/>
  <c r="A215" i="14"/>
  <c r="D214" i="14"/>
  <c r="AR214" i="14" s="1"/>
  <c r="AQ213" i="14"/>
  <c r="AF213" i="14"/>
  <c r="AG213" i="14"/>
  <c r="AH213" i="14"/>
  <c r="AP213" i="14"/>
  <c r="AD214" i="14" l="1"/>
  <c r="AC214" i="14"/>
  <c r="D215" i="16"/>
  <c r="E215" i="14"/>
  <c r="A216" i="14"/>
  <c r="D215" i="14"/>
  <c r="AR215" i="14" s="1"/>
  <c r="C215" i="14"/>
  <c r="B215" i="14"/>
  <c r="AG214" i="14"/>
  <c r="AF214" i="14"/>
  <c r="AQ214" i="14"/>
  <c r="AH214" i="14"/>
  <c r="AP214" i="14"/>
  <c r="AD215" i="14" l="1"/>
  <c r="AC215" i="14"/>
  <c r="D216" i="16"/>
  <c r="C216" i="14"/>
  <c r="B216" i="14"/>
  <c r="E216" i="14"/>
  <c r="A217" i="14"/>
  <c r="D216" i="14"/>
  <c r="AR216" i="14" s="1"/>
  <c r="AP215" i="14"/>
  <c r="AG215" i="14"/>
  <c r="AQ215" i="14"/>
  <c r="AH215" i="14"/>
  <c r="AF215" i="14"/>
  <c r="AD216" i="14" l="1"/>
  <c r="AC216" i="14"/>
  <c r="D217" i="16"/>
  <c r="E217" i="14"/>
  <c r="D217" i="14"/>
  <c r="AR217" i="14" s="1"/>
  <c r="C217" i="14"/>
  <c r="B217" i="14"/>
  <c r="A218" i="14"/>
  <c r="AQ216" i="14"/>
  <c r="AF216" i="14"/>
  <c r="AG216" i="14"/>
  <c r="AP216" i="14"/>
  <c r="AH216" i="14"/>
  <c r="AD217" i="14" l="1"/>
  <c r="AC217" i="14"/>
  <c r="D218" i="16"/>
  <c r="A219" i="14"/>
  <c r="D218" i="14"/>
  <c r="AR218" i="14" s="1"/>
  <c r="C218" i="14"/>
  <c r="B218" i="14"/>
  <c r="E218" i="14"/>
  <c r="AQ217" i="14"/>
  <c r="AG217" i="14"/>
  <c r="AF217" i="14"/>
  <c r="AP217" i="14"/>
  <c r="AH217" i="14"/>
  <c r="AD218" i="14" l="1"/>
  <c r="AC218" i="14"/>
  <c r="D219" i="16"/>
  <c r="E219" i="14"/>
  <c r="A220" i="14"/>
  <c r="D219" i="14"/>
  <c r="AR219" i="14" s="1"/>
  <c r="C219" i="14"/>
  <c r="B219" i="14"/>
  <c r="AP218" i="14"/>
  <c r="AQ218" i="14"/>
  <c r="AG218" i="14"/>
  <c r="AH218" i="14"/>
  <c r="AF218" i="14"/>
  <c r="AD219" i="14" l="1"/>
  <c r="AC219" i="14"/>
  <c r="D220" i="16"/>
  <c r="C220" i="14"/>
  <c r="B220" i="14"/>
  <c r="E220" i="14"/>
  <c r="A221" i="14"/>
  <c r="D220" i="14"/>
  <c r="AR220" i="14" s="1"/>
  <c r="AG219" i="14"/>
  <c r="AH219" i="14"/>
  <c r="AQ219" i="14"/>
  <c r="AP219" i="14"/>
  <c r="AF219" i="14"/>
  <c r="AD220" i="14" l="1"/>
  <c r="AC220" i="14"/>
  <c r="D221" i="16"/>
  <c r="E221" i="14"/>
  <c r="A222" i="14"/>
  <c r="D221" i="14"/>
  <c r="AR221" i="14" s="1"/>
  <c r="C221" i="14"/>
  <c r="B221" i="14"/>
  <c r="AG220" i="14"/>
  <c r="AH220" i="14"/>
  <c r="AQ220" i="14"/>
  <c r="AP220" i="14"/>
  <c r="AF220" i="14"/>
  <c r="AD221" i="14" l="1"/>
  <c r="AC221" i="14"/>
  <c r="D222" i="16"/>
  <c r="C222" i="14"/>
  <c r="B222" i="14"/>
  <c r="E222" i="14"/>
  <c r="D222" i="14"/>
  <c r="AR222" i="14" s="1"/>
  <c r="A223" i="14"/>
  <c r="AP221" i="14"/>
  <c r="AF221" i="14"/>
  <c r="AH221" i="14"/>
  <c r="AQ221" i="14"/>
  <c r="AG221" i="14"/>
  <c r="AD222" i="14" l="1"/>
  <c r="AC222" i="14"/>
  <c r="D223" i="16"/>
  <c r="E223" i="14"/>
  <c r="D223" i="14"/>
  <c r="AR223" i="14" s="1"/>
  <c r="A224" i="14"/>
  <c r="B223" i="14"/>
  <c r="C223" i="14"/>
  <c r="AQ222" i="14"/>
  <c r="AG222" i="14"/>
  <c r="AF222" i="14"/>
  <c r="AH222" i="14"/>
  <c r="AP222" i="14"/>
  <c r="AD223" i="14" l="1"/>
  <c r="AC223" i="14"/>
  <c r="D224" i="16"/>
  <c r="D224" i="14"/>
  <c r="AR224" i="14" s="1"/>
  <c r="C224" i="14"/>
  <c r="B224" i="14"/>
  <c r="E224" i="14"/>
  <c r="A225" i="14"/>
  <c r="AG223" i="14"/>
  <c r="AH223" i="14"/>
  <c r="AP223" i="14"/>
  <c r="AF223" i="14"/>
  <c r="AQ223" i="14"/>
  <c r="AD224" i="14" l="1"/>
  <c r="AC224" i="14"/>
  <c r="D225" i="16"/>
  <c r="E225" i="14"/>
  <c r="C225" i="14"/>
  <c r="D225" i="14"/>
  <c r="AR225" i="14" s="1"/>
  <c r="A226" i="14"/>
  <c r="B225" i="14"/>
  <c r="AH224" i="14"/>
  <c r="AG224" i="14"/>
  <c r="AF224" i="14"/>
  <c r="AP224" i="14"/>
  <c r="AQ224" i="14"/>
  <c r="AD225" i="14" l="1"/>
  <c r="AC225" i="14"/>
  <c r="D226" i="16"/>
  <c r="B226" i="14"/>
  <c r="D226" i="14"/>
  <c r="AR226" i="14" s="1"/>
  <c r="C226" i="14"/>
  <c r="E226" i="14"/>
  <c r="A227" i="14"/>
  <c r="AG225" i="14"/>
  <c r="AH225" i="14"/>
  <c r="AF225" i="14"/>
  <c r="AP225" i="14"/>
  <c r="AQ225" i="14"/>
  <c r="AD226" i="14" l="1"/>
  <c r="AC226" i="14"/>
  <c r="D227" i="16"/>
  <c r="A228" i="14"/>
  <c r="E227" i="14"/>
  <c r="D227" i="14"/>
  <c r="AR227" i="14" s="1"/>
  <c r="C227" i="14"/>
  <c r="B227" i="14"/>
  <c r="AG226" i="14"/>
  <c r="AQ226" i="14"/>
  <c r="AH226" i="14"/>
  <c r="AF226" i="14"/>
  <c r="AP226" i="14"/>
  <c r="AD227" i="14" l="1"/>
  <c r="AC227" i="14"/>
  <c r="D228" i="16"/>
  <c r="D228" i="14"/>
  <c r="AR228" i="14" s="1"/>
  <c r="C228" i="14"/>
  <c r="E228" i="14"/>
  <c r="B228" i="14"/>
  <c r="A229" i="14"/>
  <c r="AH227" i="14"/>
  <c r="AQ227" i="14"/>
  <c r="AF227" i="14"/>
  <c r="AG227" i="14"/>
  <c r="AP227" i="14"/>
  <c r="AD228" i="14" l="1"/>
  <c r="AC228" i="14"/>
  <c r="D229" i="16"/>
  <c r="E229" i="14"/>
  <c r="C229" i="14"/>
  <c r="A230" i="14"/>
  <c r="D229" i="14"/>
  <c r="AR229" i="14" s="1"/>
  <c r="B229" i="14"/>
  <c r="AG228" i="14"/>
  <c r="AH228" i="14"/>
  <c r="AQ228" i="14"/>
  <c r="AP228" i="14"/>
  <c r="AF228" i="14"/>
  <c r="AD229" i="14" l="1"/>
  <c r="AC229" i="14"/>
  <c r="D230" i="16"/>
  <c r="B230" i="14"/>
  <c r="A231" i="14"/>
  <c r="D230" i="14"/>
  <c r="AR230" i="14" s="1"/>
  <c r="C230" i="14"/>
  <c r="E230" i="14"/>
  <c r="AH229" i="14"/>
  <c r="AF229" i="14"/>
  <c r="AG229" i="14"/>
  <c r="AQ229" i="14"/>
  <c r="AP229" i="14"/>
  <c r="AD230" i="14" l="1"/>
  <c r="AC230" i="14"/>
  <c r="D231" i="16"/>
  <c r="C231" i="14"/>
  <c r="B231" i="14"/>
  <c r="E231" i="14"/>
  <c r="A232" i="14"/>
  <c r="D231" i="14"/>
  <c r="AR231" i="14" s="1"/>
  <c r="AP230" i="14"/>
  <c r="AG230" i="14"/>
  <c r="AQ230" i="14"/>
  <c r="AF230" i="14"/>
  <c r="AH230" i="14"/>
  <c r="AD231" i="14" l="1"/>
  <c r="AC231" i="14"/>
  <c r="D232" i="16"/>
  <c r="A233" i="14"/>
  <c r="D232" i="14"/>
  <c r="AR232" i="14" s="1"/>
  <c r="E232" i="14"/>
  <c r="C232" i="14"/>
  <c r="B232" i="14"/>
  <c r="AQ231" i="14"/>
  <c r="AH231" i="14"/>
  <c r="AG231" i="14"/>
  <c r="AF231" i="14"/>
  <c r="AP231" i="14"/>
  <c r="AD232" i="14" l="1"/>
  <c r="AC232" i="14"/>
  <c r="D233" i="16"/>
  <c r="E233" i="14"/>
  <c r="A234" i="14"/>
  <c r="D233" i="14"/>
  <c r="AR233" i="14" s="1"/>
  <c r="B233" i="14"/>
  <c r="C233" i="14"/>
  <c r="AH232" i="14"/>
  <c r="AQ232" i="14"/>
  <c r="AG232" i="14"/>
  <c r="AF232" i="14"/>
  <c r="AP232" i="14"/>
  <c r="AD233" i="14" l="1"/>
  <c r="AC233" i="14"/>
  <c r="D234" i="16"/>
  <c r="E234" i="14"/>
  <c r="A235" i="14"/>
  <c r="B234" i="14"/>
  <c r="D234" i="14"/>
  <c r="AR234" i="14" s="1"/>
  <c r="C234" i="14"/>
  <c r="AP233" i="14"/>
  <c r="AF233" i="14"/>
  <c r="AQ233" i="14"/>
  <c r="AG233" i="14"/>
  <c r="AH233" i="14"/>
  <c r="AD234" i="14" l="1"/>
  <c r="AC234" i="14"/>
  <c r="D235" i="16"/>
  <c r="D235" i="14"/>
  <c r="AR235" i="14" s="1"/>
  <c r="B235" i="14"/>
  <c r="E235" i="14"/>
  <c r="C235" i="14"/>
  <c r="A236" i="14"/>
  <c r="AQ234" i="14"/>
  <c r="AH234" i="14"/>
  <c r="AF234" i="14"/>
  <c r="AG234" i="14"/>
  <c r="AP234" i="14"/>
  <c r="AD235" i="14" l="1"/>
  <c r="AC235" i="14"/>
  <c r="D236" i="16"/>
  <c r="A237" i="14"/>
  <c r="D236" i="14"/>
  <c r="AR236" i="14" s="1"/>
  <c r="C236" i="14"/>
  <c r="E236" i="14"/>
  <c r="B236" i="14"/>
  <c r="AG235" i="14"/>
  <c r="AH235" i="14"/>
  <c r="AQ235" i="14"/>
  <c r="AP235" i="14"/>
  <c r="AF235" i="14"/>
  <c r="AD236" i="14" l="1"/>
  <c r="AC236" i="14"/>
  <c r="D237" i="16"/>
  <c r="C237" i="14"/>
  <c r="B237" i="14"/>
  <c r="A238" i="14"/>
  <c r="E237" i="14"/>
  <c r="D237" i="14"/>
  <c r="AR237" i="14" s="1"/>
  <c r="AG236" i="14"/>
  <c r="AH236" i="14"/>
  <c r="AQ236" i="14"/>
  <c r="AF236" i="14"/>
  <c r="AP236" i="14"/>
  <c r="AD237" i="14" l="1"/>
  <c r="AC237" i="14"/>
  <c r="D238" i="16"/>
  <c r="A239" i="14"/>
  <c r="D238" i="14"/>
  <c r="AR238" i="14" s="1"/>
  <c r="C238" i="14"/>
  <c r="B238" i="14"/>
  <c r="E238" i="14"/>
  <c r="AP237" i="14"/>
  <c r="AF237" i="14"/>
  <c r="AG237" i="14"/>
  <c r="AQ237" i="14"/>
  <c r="AH237" i="14"/>
  <c r="AD238" i="14" l="1"/>
  <c r="AC238" i="14"/>
  <c r="D239" i="16"/>
  <c r="E239" i="14"/>
  <c r="D239" i="14"/>
  <c r="AR239" i="14" s="1"/>
  <c r="C239" i="14"/>
  <c r="A240" i="14"/>
  <c r="B239" i="14"/>
  <c r="AG238" i="14"/>
  <c r="AP238" i="14"/>
  <c r="AQ238" i="14"/>
  <c r="AH238" i="14"/>
  <c r="AF238" i="14"/>
  <c r="AD239" i="14" l="1"/>
  <c r="AC239" i="14"/>
  <c r="D240" i="16"/>
  <c r="A241" i="14"/>
  <c r="D240" i="14"/>
  <c r="AR240" i="14" s="1"/>
  <c r="C240" i="14"/>
  <c r="B240" i="14"/>
  <c r="E240" i="14"/>
  <c r="AG239" i="14"/>
  <c r="AP239" i="14"/>
  <c r="AF239" i="14"/>
  <c r="AH239" i="14"/>
  <c r="AQ239" i="14"/>
  <c r="AD240" i="14" l="1"/>
  <c r="AC240" i="14"/>
  <c r="D241" i="16"/>
  <c r="C241" i="14"/>
  <c r="B241" i="14"/>
  <c r="A242" i="14"/>
  <c r="E241" i="14"/>
  <c r="D241" i="14"/>
  <c r="AR241" i="14" s="1"/>
  <c r="AF240" i="14"/>
  <c r="AP240" i="14"/>
  <c r="AG240" i="14"/>
  <c r="AH240" i="14"/>
  <c r="AQ240" i="14"/>
  <c r="AD241" i="14" l="1"/>
  <c r="AC241" i="14"/>
  <c r="D242" i="16"/>
  <c r="D242" i="14"/>
  <c r="AR242" i="14" s="1"/>
  <c r="C242" i="14"/>
  <c r="B242" i="14"/>
  <c r="A243" i="14"/>
  <c r="E242" i="14"/>
  <c r="AF241" i="14"/>
  <c r="AQ241" i="14"/>
  <c r="AP241" i="14"/>
  <c r="AG241" i="14"/>
  <c r="AH241" i="14"/>
  <c r="AD242" i="14" l="1"/>
  <c r="AC242" i="14"/>
  <c r="D243" i="16"/>
  <c r="A244" i="14"/>
  <c r="E243" i="14"/>
  <c r="D243" i="14"/>
  <c r="AR243" i="14" s="1"/>
  <c r="C243" i="14"/>
  <c r="B243" i="14"/>
  <c r="AH242" i="14"/>
  <c r="AQ242" i="14"/>
  <c r="AG242" i="14"/>
  <c r="AF242" i="14"/>
  <c r="AP242" i="14"/>
  <c r="AD243" i="14" l="1"/>
  <c r="AC243" i="14"/>
  <c r="D244" i="16"/>
  <c r="A245" i="14"/>
  <c r="B244" i="14"/>
  <c r="E244" i="14"/>
  <c r="D244" i="14"/>
  <c r="AR244" i="14" s="1"/>
  <c r="C244" i="14"/>
  <c r="AH243" i="14"/>
  <c r="AQ243" i="14"/>
  <c r="AP243" i="14"/>
  <c r="AG243" i="14"/>
  <c r="AF243" i="14"/>
  <c r="AD244" i="14" l="1"/>
  <c r="AC244" i="14"/>
  <c r="D245" i="16"/>
  <c r="C245" i="14"/>
  <c r="E245" i="14"/>
  <c r="D245" i="14"/>
  <c r="AR245" i="14" s="1"/>
  <c r="B245" i="14"/>
  <c r="A246" i="14"/>
  <c r="AP244" i="14"/>
  <c r="AG244" i="14"/>
  <c r="AH244" i="14"/>
  <c r="AQ244" i="14"/>
  <c r="AF244" i="14"/>
  <c r="AD245" i="14" l="1"/>
  <c r="AC245" i="14"/>
  <c r="D246" i="16"/>
  <c r="C246" i="14"/>
  <c r="D246" i="14"/>
  <c r="AR246" i="14" s="1"/>
  <c r="B246" i="14"/>
  <c r="A247" i="14"/>
  <c r="E246" i="14"/>
  <c r="AP245" i="14"/>
  <c r="AH245" i="14"/>
  <c r="AF245" i="14"/>
  <c r="AG245" i="14"/>
  <c r="AQ245" i="14"/>
  <c r="AD246" i="14" l="1"/>
  <c r="AC246" i="14"/>
  <c r="D247" i="16"/>
  <c r="E247" i="14"/>
  <c r="D247" i="14"/>
  <c r="AR247" i="14" s="1"/>
  <c r="C247" i="14"/>
  <c r="B247" i="14"/>
  <c r="A248" i="14"/>
  <c r="AG246" i="14"/>
  <c r="AH246" i="14"/>
  <c r="AF246" i="14"/>
  <c r="AQ246" i="14"/>
  <c r="AP246" i="14"/>
  <c r="AD247" i="14" l="1"/>
  <c r="AC247" i="14"/>
  <c r="D248" i="16"/>
  <c r="E248" i="14"/>
  <c r="A249" i="14"/>
  <c r="B248" i="14"/>
  <c r="D248" i="14"/>
  <c r="AR248" i="14" s="1"/>
  <c r="C248" i="14"/>
  <c r="AQ247" i="14"/>
  <c r="AF247" i="14"/>
  <c r="AH247" i="14"/>
  <c r="AP247" i="14"/>
  <c r="AG247" i="14"/>
  <c r="AD248" i="14" l="1"/>
  <c r="AC248" i="14"/>
  <c r="D249" i="16"/>
  <c r="A250" i="14"/>
  <c r="D249" i="14"/>
  <c r="AR249" i="14" s="1"/>
  <c r="C249" i="14"/>
  <c r="E249" i="14"/>
  <c r="B249" i="14"/>
  <c r="AQ248" i="14"/>
  <c r="AG248" i="14"/>
  <c r="AP248" i="14"/>
  <c r="AH248" i="14"/>
  <c r="AF248" i="14"/>
  <c r="AD249" i="14" l="1"/>
  <c r="AC249" i="14"/>
  <c r="D250" i="16"/>
  <c r="C250" i="14"/>
  <c r="D250" i="14"/>
  <c r="AR250" i="14" s="1"/>
  <c r="B250" i="14"/>
  <c r="A251" i="14"/>
  <c r="E250" i="14"/>
  <c r="AQ249" i="14"/>
  <c r="AG249" i="14"/>
  <c r="AH249" i="14"/>
  <c r="AP249" i="14"/>
  <c r="AF249" i="14"/>
  <c r="AD250" i="14" l="1"/>
  <c r="AC250" i="14"/>
  <c r="D251" i="16"/>
  <c r="D251" i="14"/>
  <c r="AR251" i="14" s="1"/>
  <c r="C251" i="14"/>
  <c r="B251" i="14"/>
  <c r="A252" i="14"/>
  <c r="E251" i="14"/>
  <c r="AG250" i="14"/>
  <c r="AQ250" i="14"/>
  <c r="AH250" i="14"/>
  <c r="AF250" i="14"/>
  <c r="AP250" i="14"/>
  <c r="AD251" i="14" l="1"/>
  <c r="AC251" i="14"/>
  <c r="D252" i="16"/>
  <c r="E252" i="14"/>
  <c r="A253" i="14"/>
  <c r="D252" i="14"/>
  <c r="AR252" i="14" s="1"/>
  <c r="C252" i="14"/>
  <c r="B252" i="14"/>
  <c r="AP251" i="14"/>
  <c r="AG251" i="14"/>
  <c r="AQ251" i="14"/>
  <c r="AF251" i="14"/>
  <c r="AH251" i="14"/>
  <c r="AD252" i="14" l="1"/>
  <c r="AC252" i="14"/>
  <c r="D253" i="16"/>
  <c r="A254" i="14"/>
  <c r="D253" i="14"/>
  <c r="AR253" i="14" s="1"/>
  <c r="C253" i="14"/>
  <c r="E253" i="14"/>
  <c r="B253" i="14"/>
  <c r="AP252" i="14"/>
  <c r="AG252" i="14"/>
  <c r="AF252" i="14"/>
  <c r="AH252" i="14"/>
  <c r="AQ252" i="14"/>
  <c r="AD253" i="14" l="1"/>
  <c r="AC253" i="14"/>
  <c r="D254" i="16"/>
  <c r="C254" i="14"/>
  <c r="D254" i="14"/>
  <c r="AR254" i="14" s="1"/>
  <c r="B254" i="14"/>
  <c r="A255" i="14"/>
  <c r="E254" i="14"/>
  <c r="AP253" i="14"/>
  <c r="AH253" i="14"/>
  <c r="AF253" i="14"/>
  <c r="AG253" i="14"/>
  <c r="AQ253" i="14"/>
  <c r="AD254" i="14" l="1"/>
  <c r="AC254" i="14"/>
  <c r="D255" i="16"/>
  <c r="E255" i="14"/>
  <c r="B255" i="14"/>
  <c r="A256" i="14"/>
  <c r="D255" i="14"/>
  <c r="AR255" i="14" s="1"/>
  <c r="C255" i="14"/>
  <c r="AP254" i="14"/>
  <c r="AQ254" i="14"/>
  <c r="AF254" i="14"/>
  <c r="AG254" i="14"/>
  <c r="AH254" i="14"/>
  <c r="AD255" i="14" l="1"/>
  <c r="AC255" i="14"/>
  <c r="D256" i="16"/>
  <c r="A257" i="14"/>
  <c r="E256" i="14"/>
  <c r="D256" i="14"/>
  <c r="AR256" i="14" s="1"/>
  <c r="C256" i="14"/>
  <c r="B256" i="14"/>
  <c r="AQ255" i="14"/>
  <c r="AF255" i="14"/>
  <c r="AG255" i="14"/>
  <c r="AP255" i="14"/>
  <c r="AH255" i="14"/>
  <c r="AD256" i="14" l="1"/>
  <c r="AC256" i="14"/>
  <c r="D257" i="16"/>
  <c r="A258" i="14"/>
  <c r="D257" i="14"/>
  <c r="AR257" i="14" s="1"/>
  <c r="C257" i="14"/>
  <c r="E257" i="14"/>
  <c r="B257" i="14"/>
  <c r="AH256" i="14"/>
  <c r="AG256" i="14"/>
  <c r="AP256" i="14"/>
  <c r="AQ256" i="14"/>
  <c r="AF256" i="14"/>
  <c r="AD257" i="14" l="1"/>
  <c r="AC257" i="14"/>
  <c r="D258" i="16"/>
  <c r="C258" i="14"/>
  <c r="E258" i="14"/>
  <c r="D258" i="14"/>
  <c r="AR258" i="14" s="1"/>
  <c r="B258" i="14"/>
  <c r="A259" i="14"/>
  <c r="AQ257" i="14"/>
  <c r="AG257" i="14"/>
  <c r="AF257" i="14"/>
  <c r="AH257" i="14"/>
  <c r="AP257" i="14"/>
  <c r="AD258" i="14" l="1"/>
  <c r="AC258" i="14"/>
  <c r="D259" i="16"/>
  <c r="A260" i="14"/>
  <c r="B259" i="14"/>
  <c r="E259" i="14"/>
  <c r="D259" i="14"/>
  <c r="AR259" i="14" s="1"/>
  <c r="C259" i="14"/>
  <c r="AP258" i="14"/>
  <c r="AH258" i="14"/>
  <c r="AG258" i="14"/>
  <c r="AF258" i="14"/>
  <c r="AQ258" i="14"/>
  <c r="AD259" i="14" l="1"/>
  <c r="AC259" i="14"/>
  <c r="D260" i="16"/>
  <c r="A261" i="14"/>
  <c r="E260" i="14"/>
  <c r="D260" i="14"/>
  <c r="AR260" i="14" s="1"/>
  <c r="B260" i="14"/>
  <c r="C260" i="14"/>
  <c r="AP259" i="14"/>
  <c r="AG259" i="14"/>
  <c r="AH259" i="14"/>
  <c r="AQ259" i="14"/>
  <c r="AF259" i="14"/>
  <c r="AD260" i="14" l="1"/>
  <c r="AC260" i="14"/>
  <c r="D261" i="16"/>
  <c r="A262" i="14"/>
  <c r="D261" i="14"/>
  <c r="AR261" i="14" s="1"/>
  <c r="C261" i="14"/>
  <c r="E261" i="14"/>
  <c r="B261" i="14"/>
  <c r="AG260" i="14"/>
  <c r="AF260" i="14"/>
  <c r="AQ260" i="14"/>
  <c r="AH260" i="14"/>
  <c r="AP260" i="14"/>
  <c r="AD261" i="14" l="1"/>
  <c r="AC261" i="14"/>
  <c r="D262" i="16"/>
  <c r="C262" i="14"/>
  <c r="D262" i="14"/>
  <c r="AR262" i="14" s="1"/>
  <c r="B262" i="14"/>
  <c r="E262" i="14"/>
  <c r="A263" i="14"/>
  <c r="AG261" i="14"/>
  <c r="AF261" i="14"/>
  <c r="AH261" i="14"/>
  <c r="AP261" i="14"/>
  <c r="AQ261" i="14"/>
  <c r="AD262" i="14" l="1"/>
  <c r="AC262" i="14"/>
  <c r="D263" i="16"/>
  <c r="C263" i="14"/>
  <c r="E263" i="14"/>
  <c r="A264" i="14"/>
  <c r="D263" i="14"/>
  <c r="AR263" i="14" s="1"/>
  <c r="B263" i="14"/>
  <c r="AH262" i="14"/>
  <c r="AQ262" i="14"/>
  <c r="AF262" i="14"/>
  <c r="AG262" i="14"/>
  <c r="AP262" i="14"/>
  <c r="AD263" i="14" l="1"/>
  <c r="AC263" i="14"/>
  <c r="D264" i="16"/>
  <c r="E264" i="14"/>
  <c r="B264" i="14"/>
  <c r="A265" i="14"/>
  <c r="D264" i="14"/>
  <c r="AR264" i="14" s="1"/>
  <c r="C264" i="14"/>
  <c r="AH263" i="14"/>
  <c r="AG263" i="14"/>
  <c r="AF263" i="14"/>
  <c r="AQ263" i="14"/>
  <c r="AP263" i="14"/>
  <c r="AD264" i="14" l="1"/>
  <c r="AC264" i="14"/>
  <c r="D265" i="16"/>
  <c r="A266" i="14"/>
  <c r="D265" i="14"/>
  <c r="AR265" i="14" s="1"/>
  <c r="C265" i="14"/>
  <c r="E265" i="14"/>
  <c r="B265" i="14"/>
  <c r="AQ264" i="14"/>
  <c r="AH264" i="14"/>
  <c r="AG264" i="14"/>
  <c r="AF264" i="14"/>
  <c r="AP264" i="14"/>
  <c r="AD265" i="14" l="1"/>
  <c r="AC265" i="14"/>
  <c r="D266" i="16"/>
  <c r="C266" i="14"/>
  <c r="E266" i="14"/>
  <c r="D266" i="14"/>
  <c r="AR266" i="14" s="1"/>
  <c r="B266" i="14"/>
  <c r="A267" i="14"/>
  <c r="AP265" i="14"/>
  <c r="AH265" i="14"/>
  <c r="AQ265" i="14"/>
  <c r="AG265" i="14"/>
  <c r="AF265" i="14"/>
  <c r="AD266" i="14" l="1"/>
  <c r="AC266" i="14"/>
  <c r="D267" i="16"/>
  <c r="C267" i="14"/>
  <c r="E267" i="14"/>
  <c r="D267" i="14"/>
  <c r="AR267" i="14" s="1"/>
  <c r="A268" i="14"/>
  <c r="B267" i="14"/>
  <c r="AH266" i="14"/>
  <c r="AP266" i="14"/>
  <c r="AQ266" i="14"/>
  <c r="AF266" i="14"/>
  <c r="AG266" i="14"/>
  <c r="AD267" i="14" l="1"/>
  <c r="AC267" i="14"/>
  <c r="D268" i="16"/>
  <c r="A269" i="14"/>
  <c r="E268" i="14"/>
  <c r="D268" i="14"/>
  <c r="AR268" i="14" s="1"/>
  <c r="C268" i="14"/>
  <c r="B268" i="14"/>
  <c r="AQ267" i="14"/>
  <c r="AH267" i="14"/>
  <c r="AG267" i="14"/>
  <c r="AP267" i="14"/>
  <c r="AF267" i="14"/>
  <c r="AD268" i="14" l="1"/>
  <c r="AC268" i="14"/>
  <c r="D269" i="16"/>
  <c r="A270" i="14"/>
  <c r="D269" i="14"/>
  <c r="AR269" i="14" s="1"/>
  <c r="C269" i="14"/>
  <c r="E269" i="14"/>
  <c r="B269" i="14"/>
  <c r="AH268" i="14"/>
  <c r="AF268" i="14"/>
  <c r="AG268" i="14"/>
  <c r="AQ268" i="14"/>
  <c r="AP268" i="14"/>
  <c r="AD269" i="14" l="1"/>
  <c r="AC269" i="14"/>
  <c r="D270" i="16"/>
  <c r="C270" i="14"/>
  <c r="D270" i="14"/>
  <c r="AR270" i="14" s="1"/>
  <c r="B270" i="14"/>
  <c r="A271" i="14"/>
  <c r="E270" i="14"/>
  <c r="AH269" i="14"/>
  <c r="AP269" i="14"/>
  <c r="AG269" i="14"/>
  <c r="AQ269" i="14"/>
  <c r="AF269" i="14"/>
  <c r="AD270" i="14" l="1"/>
  <c r="AC270" i="14"/>
  <c r="D271" i="16"/>
  <c r="C271" i="14"/>
  <c r="E271" i="14"/>
  <c r="D271" i="14"/>
  <c r="AR271" i="14" s="1"/>
  <c r="A272" i="14"/>
  <c r="B271" i="14"/>
  <c r="AQ270" i="14"/>
  <c r="AF270" i="14"/>
  <c r="AP270" i="14"/>
  <c r="AH270" i="14"/>
  <c r="AG270" i="14"/>
  <c r="AD271" i="14" l="1"/>
  <c r="AC271" i="14"/>
  <c r="D272" i="16"/>
  <c r="E272" i="14"/>
  <c r="A273" i="14"/>
  <c r="C272" i="14"/>
  <c r="B272" i="14"/>
  <c r="D272" i="14"/>
  <c r="AR272" i="14" s="1"/>
  <c r="AG271" i="14"/>
  <c r="AP271" i="14"/>
  <c r="AF271" i="14"/>
  <c r="AQ271" i="14"/>
  <c r="AH271" i="14"/>
  <c r="AD272" i="14" l="1"/>
  <c r="AC272" i="14"/>
  <c r="D273" i="16"/>
  <c r="A274" i="14"/>
  <c r="D273" i="14"/>
  <c r="AR273" i="14" s="1"/>
  <c r="C273" i="14"/>
  <c r="E273" i="14"/>
  <c r="B273" i="14"/>
  <c r="AG272" i="14"/>
  <c r="AF272" i="14"/>
  <c r="AQ272" i="14"/>
  <c r="AH272" i="14"/>
  <c r="AP272" i="14"/>
  <c r="AD273" i="14" l="1"/>
  <c r="AC273" i="14"/>
  <c r="D274" i="16"/>
  <c r="C274" i="14"/>
  <c r="E274" i="14"/>
  <c r="D274" i="14"/>
  <c r="AR274" i="14" s="1"/>
  <c r="B274" i="14"/>
  <c r="A275" i="14"/>
  <c r="AP273" i="14"/>
  <c r="AH273" i="14"/>
  <c r="AQ273" i="14"/>
  <c r="AG273" i="14"/>
  <c r="AF273" i="14"/>
  <c r="AD274" i="14" l="1"/>
  <c r="AC274" i="14"/>
  <c r="D275" i="16"/>
  <c r="C275" i="14"/>
  <c r="E275" i="14"/>
  <c r="D275" i="14"/>
  <c r="AR275" i="14" s="1"/>
  <c r="A276" i="14"/>
  <c r="B275" i="14"/>
  <c r="AF274" i="14"/>
  <c r="AP274" i="14"/>
  <c r="AH274" i="14"/>
  <c r="AG274" i="14"/>
  <c r="AQ274" i="14"/>
  <c r="AD275" i="14" l="1"/>
  <c r="AC275" i="14"/>
  <c r="D276" i="16"/>
  <c r="A277" i="14"/>
  <c r="E276" i="14"/>
  <c r="D276" i="14"/>
  <c r="AR276" i="14" s="1"/>
  <c r="C276" i="14"/>
  <c r="B276" i="14"/>
  <c r="AH275" i="14"/>
  <c r="AG275" i="14"/>
  <c r="AP275" i="14"/>
  <c r="AF275" i="14"/>
  <c r="AQ275" i="14"/>
  <c r="AD276" i="14" l="1"/>
  <c r="AC276" i="14"/>
  <c r="D277" i="16"/>
  <c r="A278" i="14"/>
  <c r="D277" i="14"/>
  <c r="AR277" i="14" s="1"/>
  <c r="C277" i="14"/>
  <c r="E277" i="14"/>
  <c r="B277" i="14"/>
  <c r="AP276" i="14"/>
  <c r="AG276" i="14"/>
  <c r="AH276" i="14"/>
  <c r="AF276" i="14"/>
  <c r="AQ276" i="14"/>
  <c r="AD277" i="14" l="1"/>
  <c r="AC277" i="14"/>
  <c r="D278" i="16"/>
  <c r="C278" i="14"/>
  <c r="D278" i="14"/>
  <c r="AR278" i="14" s="1"/>
  <c r="B278" i="14"/>
  <c r="A279" i="14"/>
  <c r="E278" i="14"/>
  <c r="AP277" i="14"/>
  <c r="AH277" i="14"/>
  <c r="AG277" i="14"/>
  <c r="AQ277" i="14"/>
  <c r="AF277" i="14"/>
  <c r="AD278" i="14" l="1"/>
  <c r="AC278" i="14"/>
  <c r="A280" i="14"/>
  <c r="D279" i="16"/>
  <c r="C279" i="14"/>
  <c r="E279" i="14"/>
  <c r="D279" i="14"/>
  <c r="AR279" i="14" s="1"/>
  <c r="B279" i="14"/>
  <c r="AP278" i="14"/>
  <c r="AF278" i="14"/>
  <c r="AG278" i="14"/>
  <c r="AQ278" i="14"/>
  <c r="AH278" i="14"/>
  <c r="D280" i="14" l="1"/>
  <c r="AR280" i="14" s="1"/>
  <c r="AD279" i="14"/>
  <c r="AC279" i="14"/>
  <c r="C280" i="14"/>
  <c r="B280" i="14"/>
  <c r="E280" i="14"/>
  <c r="A281" i="14"/>
  <c r="D280" i="16"/>
  <c r="AF279" i="14"/>
  <c r="AP279" i="14"/>
  <c r="AG279" i="14"/>
  <c r="AQ279" i="14"/>
  <c r="AH279" i="14"/>
  <c r="AQ280" i="14" l="1"/>
  <c r="AF280" i="14"/>
  <c r="AH280" i="14"/>
  <c r="AG280" i="14"/>
  <c r="AP280" i="14"/>
  <c r="AC280" i="14"/>
  <c r="AD280" i="14"/>
  <c r="A282" i="14"/>
  <c r="D282" i="16" s="1"/>
  <c r="B281" i="14"/>
  <c r="E281" i="14"/>
  <c r="D281" i="14"/>
  <c r="AR281" i="14" s="1"/>
  <c r="C281" i="14"/>
  <c r="D281" i="16"/>
  <c r="C282" i="14" l="1"/>
  <c r="E282" i="14"/>
  <c r="D282" i="14"/>
  <c r="AR282" i="14" s="1"/>
  <c r="B282" i="14"/>
  <c r="A283" i="14"/>
  <c r="C283" i="14" s="1"/>
  <c r="AD281" i="14"/>
  <c r="AC281" i="14"/>
  <c r="AH281" i="14"/>
  <c r="AQ281" i="14"/>
  <c r="AG281" i="14"/>
  <c r="AF281" i="14"/>
  <c r="AP281" i="14"/>
  <c r="D283" i="16"/>
  <c r="AH282" i="14" l="1"/>
  <c r="A284" i="14"/>
  <c r="C284" i="14" s="1"/>
  <c r="AG282" i="14"/>
  <c r="B283" i="14"/>
  <c r="D283" i="14"/>
  <c r="AR283" i="14" s="1"/>
  <c r="E283" i="14"/>
  <c r="AQ282" i="14"/>
  <c r="AD282" i="14"/>
  <c r="AC282" i="14"/>
  <c r="AP282" i="14"/>
  <c r="AF282" i="14"/>
  <c r="A285" i="14"/>
  <c r="D284" i="14" l="1"/>
  <c r="AR284" i="14" s="1"/>
  <c r="D284" i="16"/>
  <c r="E284" i="14"/>
  <c r="B284" i="14"/>
  <c r="AP283" i="14"/>
  <c r="AG283" i="14"/>
  <c r="AH283" i="14"/>
  <c r="AF283" i="14"/>
  <c r="AC283" i="14"/>
  <c r="AQ283" i="14"/>
  <c r="AD283" i="14"/>
  <c r="D285" i="16"/>
  <c r="C285" i="14"/>
  <c r="D285" i="14"/>
  <c r="AR285" i="14" s="1"/>
  <c r="A286" i="14"/>
  <c r="E285" i="14"/>
  <c r="B285" i="14"/>
  <c r="AH284" i="14" l="1"/>
  <c r="AD284" i="14"/>
  <c r="AF284" i="14"/>
  <c r="AG284" i="14"/>
  <c r="AC284" i="14"/>
  <c r="AP284" i="14"/>
  <c r="AQ284" i="14"/>
  <c r="AD285" i="14"/>
  <c r="AC285" i="14"/>
  <c r="D286" i="16"/>
  <c r="B286" i="14"/>
  <c r="C286" i="14"/>
  <c r="E286" i="14"/>
  <c r="A287" i="14"/>
  <c r="D286" i="14"/>
  <c r="AR286" i="14" s="1"/>
  <c r="AP285" i="14"/>
  <c r="AH285" i="14"/>
  <c r="AG285" i="14"/>
  <c r="AQ285" i="14"/>
  <c r="AF285" i="14"/>
  <c r="AD286" i="14" l="1"/>
  <c r="AC286" i="14"/>
  <c r="D287" i="16"/>
  <c r="B287" i="14"/>
  <c r="C287" i="14"/>
  <c r="E287" i="14"/>
  <c r="A288" i="14"/>
  <c r="D287" i="14"/>
  <c r="AR287" i="14" s="1"/>
  <c r="AQ286" i="14"/>
  <c r="AH286" i="14"/>
  <c r="AP286" i="14"/>
  <c r="AF286" i="14"/>
  <c r="AG286" i="14"/>
  <c r="AD287" i="14" l="1"/>
  <c r="AC287" i="14"/>
  <c r="D288" i="16"/>
  <c r="B288" i="14"/>
  <c r="E288" i="14"/>
  <c r="C288" i="14"/>
  <c r="A289" i="14"/>
  <c r="D288" i="14"/>
  <c r="AR288" i="14" s="1"/>
  <c r="AQ287" i="14"/>
  <c r="AF287" i="14"/>
  <c r="AG287" i="14"/>
  <c r="AP287" i="14"/>
  <c r="AH287" i="14"/>
  <c r="AD288" i="14" l="1"/>
  <c r="AC288" i="14"/>
  <c r="D289" i="16"/>
  <c r="B289" i="14"/>
  <c r="E289" i="14"/>
  <c r="C289" i="14"/>
  <c r="A290" i="14"/>
  <c r="D289" i="14"/>
  <c r="AR289" i="14" s="1"/>
  <c r="AH288" i="14"/>
  <c r="AP288" i="14"/>
  <c r="AG288" i="14"/>
  <c r="AF288" i="14"/>
  <c r="AQ288" i="14"/>
  <c r="AD289" i="14" l="1"/>
  <c r="AC289" i="14"/>
  <c r="D290" i="16"/>
  <c r="E290" i="14"/>
  <c r="B290" i="14"/>
  <c r="A291" i="14"/>
  <c r="C290" i="14"/>
  <c r="D290" i="14"/>
  <c r="AR290" i="14" s="1"/>
  <c r="AF289" i="14"/>
  <c r="AP289" i="14"/>
  <c r="AQ289" i="14"/>
  <c r="AH289" i="14"/>
  <c r="AG289" i="14"/>
  <c r="AD290" i="14" l="1"/>
  <c r="AC290" i="14"/>
  <c r="D291" i="16"/>
  <c r="A292" i="14"/>
  <c r="E291" i="14"/>
  <c r="B291" i="14"/>
  <c r="C291" i="14"/>
  <c r="D291" i="14"/>
  <c r="AR291" i="14" s="1"/>
  <c r="AP290" i="14"/>
  <c r="AG290" i="14"/>
  <c r="AF290" i="14"/>
  <c r="AQ290" i="14"/>
  <c r="AH290" i="14"/>
  <c r="AD291" i="14" l="1"/>
  <c r="AC291" i="14"/>
  <c r="D292" i="16"/>
  <c r="D292" i="14"/>
  <c r="AR292" i="14" s="1"/>
  <c r="A293" i="14"/>
  <c r="C292" i="14"/>
  <c r="B292" i="14"/>
  <c r="E292" i="14"/>
  <c r="AQ291" i="14"/>
  <c r="AP291" i="14"/>
  <c r="AF291" i="14"/>
  <c r="AG291" i="14"/>
  <c r="AH291" i="14"/>
  <c r="AD292" i="14" l="1"/>
  <c r="AC292" i="14"/>
  <c r="D293" i="16"/>
  <c r="D293" i="14"/>
  <c r="AR293" i="14" s="1"/>
  <c r="C293" i="14"/>
  <c r="A294" i="14"/>
  <c r="B293" i="14"/>
  <c r="E293" i="14"/>
  <c r="AG292" i="14"/>
  <c r="AF292" i="14"/>
  <c r="AP292" i="14"/>
  <c r="AH292" i="14"/>
  <c r="AQ292" i="14"/>
  <c r="AD293" i="14" l="1"/>
  <c r="AC293" i="14"/>
  <c r="D294" i="16"/>
  <c r="B294" i="14"/>
  <c r="E294" i="14"/>
  <c r="C294" i="14"/>
  <c r="D294" i="14"/>
  <c r="AR294" i="14" s="1"/>
  <c r="A295" i="14"/>
  <c r="AP293" i="14"/>
  <c r="AH293" i="14"/>
  <c r="AG293" i="14"/>
  <c r="AQ293" i="14"/>
  <c r="AF293" i="14"/>
  <c r="AD294" i="14" l="1"/>
  <c r="AC294" i="14"/>
  <c r="D295" i="16"/>
  <c r="A296" i="14"/>
  <c r="B295" i="14"/>
  <c r="E295" i="14"/>
  <c r="C295" i="14"/>
  <c r="D295" i="14"/>
  <c r="AR295" i="14" s="1"/>
  <c r="AG294" i="14"/>
  <c r="AF294" i="14"/>
  <c r="AH294" i="14"/>
  <c r="AP294" i="14"/>
  <c r="AQ294" i="14"/>
  <c r="AD295" i="14" l="1"/>
  <c r="AC295" i="14"/>
  <c r="D296" i="16"/>
  <c r="C296" i="14"/>
  <c r="A297" i="14"/>
  <c r="B296" i="14"/>
  <c r="D296" i="14"/>
  <c r="AR296" i="14" s="1"/>
  <c r="E296" i="14"/>
  <c r="AH295" i="14"/>
  <c r="AG295" i="14"/>
  <c r="AF295" i="14"/>
  <c r="AQ295" i="14"/>
  <c r="AP295" i="14"/>
  <c r="AD296" i="14" l="1"/>
  <c r="AC296" i="14"/>
  <c r="D297" i="16"/>
  <c r="C297" i="14"/>
  <c r="B297" i="14"/>
  <c r="D297" i="14"/>
  <c r="AR297" i="14" s="1"/>
  <c r="A298" i="14"/>
  <c r="E297" i="14"/>
  <c r="AQ296" i="14"/>
  <c r="AG296" i="14"/>
  <c r="AH296" i="14"/>
  <c r="AF296" i="14"/>
  <c r="AP296" i="14"/>
  <c r="AD297" i="14" l="1"/>
  <c r="AC297" i="14"/>
  <c r="D298" i="16"/>
  <c r="D298" i="14"/>
  <c r="AR298" i="14" s="1"/>
  <c r="E298" i="14"/>
  <c r="C298" i="14"/>
  <c r="B298" i="14"/>
  <c r="A299" i="14"/>
  <c r="AQ297" i="14"/>
  <c r="AH297" i="14"/>
  <c r="AP297" i="14"/>
  <c r="AF297" i="14"/>
  <c r="AG297" i="14"/>
  <c r="AD298" i="14" l="1"/>
  <c r="AC298" i="14"/>
  <c r="D299" i="16"/>
  <c r="D299" i="14"/>
  <c r="AR299" i="14" s="1"/>
  <c r="A300" i="14"/>
  <c r="E299" i="14"/>
  <c r="C299" i="14"/>
  <c r="B299" i="14"/>
  <c r="AH298" i="14"/>
  <c r="AQ298" i="14"/>
  <c r="AP298" i="14"/>
  <c r="AG298" i="14"/>
  <c r="AF298" i="14"/>
  <c r="AD299" i="14" l="1"/>
  <c r="AC299" i="14"/>
  <c r="D300" i="16"/>
  <c r="B300" i="14"/>
  <c r="E300" i="14"/>
  <c r="D300" i="14"/>
  <c r="AR300" i="14" s="1"/>
  <c r="A301" i="14"/>
  <c r="C300" i="14"/>
  <c r="AG299" i="14"/>
  <c r="AF299" i="14"/>
  <c r="AH299" i="14"/>
  <c r="AP299" i="14"/>
  <c r="AQ299" i="14"/>
  <c r="AD300" i="14" l="1"/>
  <c r="AC300" i="14"/>
  <c r="D301" i="16"/>
  <c r="B301" i="14"/>
  <c r="E301" i="14"/>
  <c r="D301" i="14"/>
  <c r="AR301" i="14" s="1"/>
  <c r="A302" i="14"/>
  <c r="C301" i="14"/>
  <c r="AQ300" i="14"/>
  <c r="AH300" i="14"/>
  <c r="AP300" i="14"/>
  <c r="AF300" i="14"/>
  <c r="AG300" i="14"/>
  <c r="AD301" i="14" l="1"/>
  <c r="AC301" i="14"/>
  <c r="D302" i="16"/>
  <c r="B302" i="14"/>
  <c r="D302" i="14"/>
  <c r="AR302" i="14" s="1"/>
  <c r="E302" i="14"/>
  <c r="A303" i="14"/>
  <c r="C302" i="14"/>
  <c r="AF301" i="14"/>
  <c r="AG301" i="14"/>
  <c r="AP301" i="14"/>
  <c r="AQ301" i="14"/>
  <c r="AH301" i="14"/>
  <c r="AD302" i="14" l="1"/>
  <c r="AC302" i="14"/>
  <c r="D303" i="16"/>
  <c r="A304" i="14"/>
  <c r="B303" i="14"/>
  <c r="E303" i="14"/>
  <c r="D303" i="14"/>
  <c r="AR303" i="14" s="1"/>
  <c r="C303" i="14"/>
  <c r="AG302" i="14"/>
  <c r="AQ302" i="14"/>
  <c r="AH302" i="14"/>
  <c r="AP302" i="14"/>
  <c r="AF302" i="14"/>
  <c r="AD303" i="14" l="1"/>
  <c r="AC303" i="14"/>
  <c r="D304" i="16"/>
  <c r="D304" i="14"/>
  <c r="AR304" i="14" s="1"/>
  <c r="A305" i="14"/>
  <c r="E304" i="14"/>
  <c r="C304" i="14"/>
  <c r="B304" i="14"/>
  <c r="AF303" i="14"/>
  <c r="AH303" i="14"/>
  <c r="AQ303" i="14"/>
  <c r="AG303" i="14"/>
  <c r="AP303" i="14"/>
  <c r="AD304" i="14" l="1"/>
  <c r="AC304" i="14"/>
  <c r="D305" i="16"/>
  <c r="D305" i="14"/>
  <c r="AR305" i="14" s="1"/>
  <c r="E305" i="14"/>
  <c r="C305" i="14"/>
  <c r="A306" i="14"/>
  <c r="B305" i="14"/>
  <c r="AG304" i="14"/>
  <c r="AP304" i="14"/>
  <c r="AH304" i="14"/>
  <c r="AF304" i="14"/>
  <c r="AQ304" i="14"/>
  <c r="AD305" i="14" l="1"/>
  <c r="AC305" i="14"/>
  <c r="D306" i="16"/>
  <c r="C306" i="14"/>
  <c r="A307" i="14"/>
  <c r="D306" i="14"/>
  <c r="AR306" i="14" s="1"/>
  <c r="E306" i="14"/>
  <c r="B306" i="14"/>
  <c r="AG305" i="14"/>
  <c r="AH305" i="14"/>
  <c r="AQ305" i="14"/>
  <c r="AP305" i="14"/>
  <c r="AF305" i="14"/>
  <c r="AD306" i="14" l="1"/>
  <c r="AC306" i="14"/>
  <c r="D307" i="16"/>
  <c r="C307" i="14"/>
  <c r="B307" i="14"/>
  <c r="D307" i="14"/>
  <c r="AR307" i="14" s="1"/>
  <c r="A308" i="14"/>
  <c r="E307" i="14"/>
  <c r="AF306" i="14"/>
  <c r="AG306" i="14"/>
  <c r="AH306" i="14"/>
  <c r="AQ306" i="14"/>
  <c r="AP306" i="14"/>
  <c r="AD307" i="14" l="1"/>
  <c r="AC307" i="14"/>
  <c r="D308" i="16"/>
  <c r="C308" i="14"/>
  <c r="E308" i="14"/>
  <c r="A309" i="14"/>
  <c r="B308" i="14"/>
  <c r="D308" i="14"/>
  <c r="AR308" i="14" s="1"/>
  <c r="AH307" i="14"/>
  <c r="AG307" i="14"/>
  <c r="AP307" i="14"/>
  <c r="AQ307" i="14"/>
  <c r="AF307" i="14"/>
  <c r="AD308" i="14" l="1"/>
  <c r="AC308" i="14"/>
  <c r="D309" i="16"/>
  <c r="C309" i="14"/>
  <c r="A310" i="14"/>
  <c r="E309" i="14"/>
  <c r="B309" i="14"/>
  <c r="D309" i="14"/>
  <c r="AR309" i="14" s="1"/>
  <c r="AQ308" i="14"/>
  <c r="AG308" i="14"/>
  <c r="AP308" i="14"/>
  <c r="AH308" i="14"/>
  <c r="AF308" i="14"/>
  <c r="AD309" i="14" l="1"/>
  <c r="AC309" i="14"/>
  <c r="D310" i="16"/>
  <c r="A311" i="14"/>
  <c r="B310" i="14"/>
  <c r="E310" i="14"/>
  <c r="C310" i="14"/>
  <c r="D310" i="14"/>
  <c r="AR310" i="14" s="1"/>
  <c r="AF309" i="14"/>
  <c r="AP309" i="14"/>
  <c r="AQ309" i="14"/>
  <c r="AH309" i="14"/>
  <c r="AG309" i="14"/>
  <c r="AD310" i="14" l="1"/>
  <c r="AC310" i="14"/>
  <c r="D311" i="16"/>
  <c r="B311" i="14"/>
  <c r="E311" i="14"/>
  <c r="C311" i="14"/>
  <c r="A312" i="14"/>
  <c r="D311" i="14"/>
  <c r="AR311" i="14" s="1"/>
  <c r="AF310" i="14"/>
  <c r="AP310" i="14"/>
  <c r="AG310" i="14"/>
  <c r="AH310" i="14"/>
  <c r="AQ310" i="14"/>
  <c r="AD311" i="14" l="1"/>
  <c r="AC311" i="14"/>
  <c r="D312" i="16"/>
  <c r="B312" i="14"/>
  <c r="E312" i="14"/>
  <c r="D312" i="14"/>
  <c r="AR312" i="14" s="1"/>
  <c r="A313" i="14"/>
  <c r="C312" i="14"/>
  <c r="AF311" i="14"/>
  <c r="AG311" i="14"/>
  <c r="AQ311" i="14"/>
  <c r="AP311" i="14"/>
  <c r="AH311" i="14"/>
  <c r="AD312" i="14" l="1"/>
  <c r="AC312" i="14"/>
  <c r="D313" i="16"/>
  <c r="B313" i="14"/>
  <c r="E313" i="14"/>
  <c r="D313" i="14"/>
  <c r="AR313" i="14" s="1"/>
  <c r="A314" i="14"/>
  <c r="C313" i="14"/>
  <c r="AH312" i="14"/>
  <c r="AQ312" i="14"/>
  <c r="AF312" i="14"/>
  <c r="AG312" i="14"/>
  <c r="AP312" i="14"/>
  <c r="AD313" i="14" l="1"/>
  <c r="AC313" i="14"/>
  <c r="D314" i="16"/>
  <c r="B314" i="14"/>
  <c r="A315" i="14"/>
  <c r="D314" i="14"/>
  <c r="AR314" i="14" s="1"/>
  <c r="E314" i="14"/>
  <c r="C314" i="14"/>
  <c r="AG313" i="14"/>
  <c r="AQ313" i="14"/>
  <c r="AF313" i="14"/>
  <c r="AP313" i="14"/>
  <c r="AH313" i="14"/>
  <c r="AD314" i="14" l="1"/>
  <c r="AC314" i="14"/>
  <c r="D315" i="16"/>
  <c r="A316" i="14"/>
  <c r="B315" i="14"/>
  <c r="D315" i="14"/>
  <c r="AR315" i="14" s="1"/>
  <c r="C315" i="14"/>
  <c r="E315" i="14"/>
  <c r="AP314" i="14"/>
  <c r="AH314" i="14"/>
  <c r="AQ314" i="14"/>
  <c r="AG314" i="14"/>
  <c r="AF314" i="14"/>
  <c r="AD315" i="14" l="1"/>
  <c r="AC315" i="14"/>
  <c r="D316" i="16"/>
  <c r="D316" i="14"/>
  <c r="AR316" i="14" s="1"/>
  <c r="A317" i="14"/>
  <c r="B316" i="14"/>
  <c r="C316" i="14"/>
  <c r="E316" i="14"/>
  <c r="AP315" i="14"/>
  <c r="AG315" i="14"/>
  <c r="AQ315" i="14"/>
  <c r="AF315" i="14"/>
  <c r="AH315" i="14"/>
  <c r="AD316" i="14" l="1"/>
  <c r="AC316" i="14"/>
  <c r="D317" i="16"/>
  <c r="D317" i="14"/>
  <c r="AR317" i="14" s="1"/>
  <c r="B317" i="14"/>
  <c r="A318" i="14"/>
  <c r="C317" i="14"/>
  <c r="E317" i="14"/>
  <c r="AF316" i="14"/>
  <c r="AH316" i="14"/>
  <c r="AP316" i="14"/>
  <c r="AG316" i="14"/>
  <c r="AQ316" i="14"/>
  <c r="AD317" i="14" l="1"/>
  <c r="AC317" i="14"/>
  <c r="D318" i="16"/>
  <c r="E318" i="14"/>
  <c r="D318" i="14"/>
  <c r="AR318" i="14" s="1"/>
  <c r="A319" i="14"/>
  <c r="B318" i="14"/>
  <c r="C318" i="14"/>
  <c r="AG317" i="14"/>
  <c r="AH317" i="14"/>
  <c r="AQ317" i="14"/>
  <c r="AP317" i="14"/>
  <c r="AF317" i="14"/>
  <c r="AD318" i="14" l="1"/>
  <c r="AC318" i="14"/>
  <c r="D319" i="16"/>
  <c r="E319" i="14"/>
  <c r="D319" i="14"/>
  <c r="AR319" i="14" s="1"/>
  <c r="B319" i="14"/>
  <c r="C319" i="14"/>
  <c r="A320" i="14"/>
  <c r="AG318" i="14"/>
  <c r="AF318" i="14"/>
  <c r="AH318" i="14"/>
  <c r="AP318" i="14"/>
  <c r="AQ318" i="14"/>
  <c r="AD319" i="14" l="1"/>
  <c r="AC319" i="14"/>
  <c r="D320" i="16"/>
  <c r="C320" i="14"/>
  <c r="D320" i="14"/>
  <c r="AR320" i="14" s="1"/>
  <c r="B320" i="14"/>
  <c r="E320" i="14"/>
  <c r="A321" i="14"/>
  <c r="AQ319" i="14"/>
  <c r="AP319" i="14"/>
  <c r="AF319" i="14"/>
  <c r="AH319" i="14"/>
  <c r="AG319" i="14"/>
  <c r="AD320" i="14" l="1"/>
  <c r="AC320" i="14"/>
  <c r="D321" i="16"/>
  <c r="C321" i="14"/>
  <c r="D321" i="14"/>
  <c r="AR321" i="14" s="1"/>
  <c r="B321" i="14"/>
  <c r="E321" i="14"/>
  <c r="A322" i="14"/>
  <c r="AG320" i="14"/>
  <c r="AQ320" i="14"/>
  <c r="AF320" i="14"/>
  <c r="AH320" i="14"/>
  <c r="AP320" i="14"/>
  <c r="AD321" i="14" l="1"/>
  <c r="AC321" i="14"/>
  <c r="D322" i="16"/>
  <c r="C322" i="14"/>
  <c r="D322" i="14"/>
  <c r="AR322" i="14" s="1"/>
  <c r="E322" i="14"/>
  <c r="B322" i="14"/>
  <c r="A323" i="14"/>
  <c r="AQ321" i="14"/>
  <c r="AF321" i="14"/>
  <c r="AH321" i="14"/>
  <c r="AP321" i="14"/>
  <c r="AG321" i="14"/>
  <c r="AD322" i="14" l="1"/>
  <c r="AC322" i="14"/>
  <c r="D323" i="16"/>
  <c r="A324" i="14"/>
  <c r="C323" i="14"/>
  <c r="D323" i="14"/>
  <c r="AR323" i="14" s="1"/>
  <c r="E323" i="14"/>
  <c r="B323" i="14"/>
  <c r="AG322" i="14"/>
  <c r="AF322" i="14"/>
  <c r="AQ322" i="14"/>
  <c r="AP322" i="14"/>
  <c r="AH322" i="14"/>
  <c r="AD323" i="14" l="1"/>
  <c r="AC323" i="14"/>
  <c r="D324" i="16"/>
  <c r="B324" i="14"/>
  <c r="E324" i="14"/>
  <c r="A325" i="14"/>
  <c r="C324" i="14"/>
  <c r="D324" i="14"/>
  <c r="AR324" i="14" s="1"/>
  <c r="AQ323" i="14"/>
  <c r="AG323" i="14"/>
  <c r="AP323" i="14"/>
  <c r="AF323" i="14"/>
  <c r="AH323" i="14"/>
  <c r="AD324" i="14" l="1"/>
  <c r="AC324" i="14"/>
  <c r="D325" i="16"/>
  <c r="B325" i="14"/>
  <c r="E325" i="14"/>
  <c r="C325" i="14"/>
  <c r="A326" i="14"/>
  <c r="D325" i="14"/>
  <c r="AR325" i="14" s="1"/>
  <c r="CP5" i="1"/>
  <c r="CP6" i="1"/>
  <c r="CP7" i="1"/>
  <c r="CP8" i="1"/>
  <c r="CP9" i="1"/>
  <c r="CP10" i="1"/>
  <c r="CP11" i="1"/>
  <c r="CQ5" i="1"/>
  <c r="CQ6" i="1"/>
  <c r="CQ7" i="1"/>
  <c r="CQ8" i="1"/>
  <c r="CQ9" i="1"/>
  <c r="CQ10" i="1"/>
  <c r="CQ11" i="1"/>
  <c r="CT5" i="1"/>
  <c r="DB5" i="1" s="1"/>
  <c r="CT6" i="1"/>
  <c r="DB6" i="1" s="1"/>
  <c r="CT7" i="1"/>
  <c r="DB7" i="1" s="1"/>
  <c r="CT8" i="1"/>
  <c r="DB8" i="1" s="1"/>
  <c r="CT9" i="1"/>
  <c r="DB9" i="1" s="1"/>
  <c r="CT10" i="1"/>
  <c r="DB10" i="1" s="1"/>
  <c r="CT11" i="1"/>
  <c r="DB11" i="1" s="1"/>
  <c r="CV5" i="1"/>
  <c r="DD5" i="1" s="1"/>
  <c r="CV6" i="1"/>
  <c r="DD6" i="1" s="1"/>
  <c r="CV7" i="1"/>
  <c r="DD7" i="1" s="1"/>
  <c r="CV8" i="1"/>
  <c r="DD8" i="1" s="1"/>
  <c r="CV9" i="1"/>
  <c r="DD9" i="1" s="1"/>
  <c r="CV10" i="1"/>
  <c r="DD10" i="1" s="1"/>
  <c r="CV11" i="1"/>
  <c r="DD11" i="1" s="1"/>
  <c r="CX5" i="1"/>
  <c r="DF5" i="1" s="1"/>
  <c r="CX6" i="1"/>
  <c r="DF6" i="1" s="1"/>
  <c r="CX7" i="1"/>
  <c r="DF7" i="1" s="1"/>
  <c r="CX8" i="1"/>
  <c r="DF8" i="1" s="1"/>
  <c r="CX9" i="1"/>
  <c r="DF9" i="1" s="1"/>
  <c r="CX10" i="1"/>
  <c r="DF10" i="1" s="1"/>
  <c r="CX11" i="1"/>
  <c r="DF11" i="1" s="1"/>
  <c r="CZ5" i="1"/>
  <c r="DH5" i="1" s="1"/>
  <c r="CZ6" i="1"/>
  <c r="DH6" i="1" s="1"/>
  <c r="CZ7" i="1"/>
  <c r="DH7" i="1" s="1"/>
  <c r="CZ8" i="1"/>
  <c r="DH8" i="1" s="1"/>
  <c r="CZ9" i="1"/>
  <c r="DH9" i="1" s="1"/>
  <c r="CZ10" i="1"/>
  <c r="DH10" i="1" s="1"/>
  <c r="CZ11" i="1"/>
  <c r="DH11" i="1" s="1"/>
  <c r="DK5" i="1"/>
  <c r="DK6" i="1"/>
  <c r="DK7" i="1"/>
  <c r="DK8" i="1"/>
  <c r="DK9" i="1"/>
  <c r="DK10" i="1"/>
  <c r="DK11" i="1"/>
  <c r="AP324" i="14"/>
  <c r="AH324" i="14"/>
  <c r="AG324" i="14"/>
  <c r="AQ324" i="14"/>
  <c r="AF324" i="14"/>
  <c r="AD325" i="14" l="1"/>
  <c r="AC325" i="14"/>
  <c r="D326" i="16"/>
  <c r="D326" i="14"/>
  <c r="AR326" i="14" s="1"/>
  <c r="A327" i="14"/>
  <c r="E326" i="14"/>
  <c r="C326" i="14"/>
  <c r="B326" i="14"/>
  <c r="DJ9" i="1"/>
  <c r="DJ6" i="1"/>
  <c r="DJ11" i="1"/>
  <c r="DJ7" i="1"/>
  <c r="DJ5" i="1"/>
  <c r="DJ8" i="1"/>
  <c r="DJ10" i="1"/>
  <c r="AH325" i="14"/>
  <c r="AG325" i="14"/>
  <c r="AF325" i="14"/>
  <c r="AP325" i="14"/>
  <c r="AQ325" i="14"/>
  <c r="AD326" i="14" l="1"/>
  <c r="AC326" i="14"/>
  <c r="DL9" i="1"/>
  <c r="DL11" i="1"/>
  <c r="DL10" i="1"/>
  <c r="D327" i="16"/>
  <c r="DL6" i="1"/>
  <c r="DL7" i="1"/>
  <c r="DL8" i="1"/>
  <c r="DL5" i="1"/>
  <c r="A328" i="14"/>
  <c r="D327" i="14"/>
  <c r="AR327" i="14" s="1"/>
  <c r="E327" i="14"/>
  <c r="B327" i="14"/>
  <c r="C327" i="14"/>
  <c r="AQ326" i="14"/>
  <c r="AP326" i="14"/>
  <c r="AG326" i="14"/>
  <c r="AF326" i="14"/>
  <c r="AH326" i="14"/>
  <c r="AD327" i="14" l="1"/>
  <c r="AC327" i="14"/>
  <c r="D328" i="16"/>
  <c r="D328" i="14"/>
  <c r="AR328" i="14" s="1"/>
  <c r="A329" i="14"/>
  <c r="B328" i="14"/>
  <c r="E328" i="14"/>
  <c r="C328" i="14"/>
  <c r="AP327" i="14"/>
  <c r="AQ327" i="14"/>
  <c r="AG327" i="14"/>
  <c r="AH327" i="14"/>
  <c r="AF327" i="14"/>
  <c r="AD328" i="14" l="1"/>
  <c r="AC328" i="14"/>
  <c r="D329" i="16"/>
  <c r="D329" i="14"/>
  <c r="AR329" i="14" s="1"/>
  <c r="B329" i="14"/>
  <c r="E329" i="14"/>
  <c r="C329" i="14"/>
  <c r="A330" i="14"/>
  <c r="AH328" i="14"/>
  <c r="AQ328" i="14"/>
  <c r="AF328" i="14"/>
  <c r="AG328" i="14"/>
  <c r="AP328" i="14"/>
  <c r="AD329" i="14" l="1"/>
  <c r="AC329" i="14"/>
  <c r="D330" i="16"/>
  <c r="B330" i="14"/>
  <c r="E330" i="14"/>
  <c r="D330" i="14"/>
  <c r="AR330" i="14" s="1"/>
  <c r="C330" i="14"/>
  <c r="A331" i="14"/>
  <c r="AP329" i="14"/>
  <c r="AG329" i="14"/>
  <c r="AF329" i="14"/>
  <c r="AH329" i="14"/>
  <c r="AQ329" i="14"/>
  <c r="AD330" i="14" l="1"/>
  <c r="AC330" i="14"/>
  <c r="D331" i="16"/>
  <c r="B331" i="14"/>
  <c r="E331" i="14"/>
  <c r="A332" i="14"/>
  <c r="C331" i="14"/>
  <c r="D331" i="14"/>
  <c r="AR331" i="14" s="1"/>
  <c r="AH330" i="14"/>
  <c r="AQ330" i="14"/>
  <c r="AF330" i="14"/>
  <c r="AP330" i="14"/>
  <c r="AG330" i="14"/>
  <c r="AD331" i="14" l="1"/>
  <c r="AC331" i="14"/>
  <c r="D332" i="16"/>
  <c r="C332" i="14"/>
  <c r="E332" i="14"/>
  <c r="B332" i="14"/>
  <c r="A333" i="14"/>
  <c r="D332" i="14"/>
  <c r="AR332" i="14" s="1"/>
  <c r="AH331" i="14"/>
  <c r="AQ331" i="14"/>
  <c r="AG331" i="14"/>
  <c r="AF331" i="14"/>
  <c r="AP331" i="14"/>
  <c r="AD332" i="14" l="1"/>
  <c r="AC332" i="14"/>
  <c r="D333" i="16"/>
  <c r="C333" i="14"/>
  <c r="E333" i="14"/>
  <c r="A334" i="14"/>
  <c r="D333" i="14"/>
  <c r="AR333" i="14" s="1"/>
  <c r="B333" i="14"/>
  <c r="AH332" i="14"/>
  <c r="AG332" i="14"/>
  <c r="AQ332" i="14"/>
  <c r="AP332" i="14"/>
  <c r="AF332" i="14"/>
  <c r="AD333" i="14" l="1"/>
  <c r="AC333" i="14"/>
  <c r="D334" i="16"/>
  <c r="D334" i="14"/>
  <c r="AR334" i="14" s="1"/>
  <c r="A335" i="14"/>
  <c r="E334" i="14"/>
  <c r="C334" i="14"/>
  <c r="B334" i="14"/>
  <c r="AF333" i="14"/>
  <c r="AG333" i="14"/>
  <c r="AH333" i="14"/>
  <c r="AQ333" i="14"/>
  <c r="AP333" i="14"/>
  <c r="AD334" i="14" l="1"/>
  <c r="AC334" i="14"/>
  <c r="D335" i="16"/>
  <c r="D335" i="14"/>
  <c r="AR335" i="14" s="1"/>
  <c r="A336" i="14"/>
  <c r="E335" i="14"/>
  <c r="C335" i="14"/>
  <c r="B335" i="14"/>
  <c r="AF334" i="14"/>
  <c r="AQ334" i="14"/>
  <c r="AP334" i="14"/>
  <c r="AG334" i="14"/>
  <c r="AH334" i="14"/>
  <c r="AD335" i="14" l="1"/>
  <c r="AC335" i="14"/>
  <c r="D336" i="16"/>
  <c r="B336" i="14"/>
  <c r="E336" i="14"/>
  <c r="C336" i="14"/>
  <c r="A337" i="14"/>
  <c r="D336" i="14"/>
  <c r="AR336" i="14" s="1"/>
  <c r="AF335" i="14"/>
  <c r="AH335" i="14"/>
  <c r="AP335" i="14"/>
  <c r="AQ335" i="14"/>
  <c r="AG335" i="14"/>
  <c r="AD336" i="14" l="1"/>
  <c r="AC336" i="14"/>
  <c r="D337" i="16"/>
  <c r="B337" i="14"/>
  <c r="E337" i="14"/>
  <c r="A338" i="14"/>
  <c r="C337" i="14"/>
  <c r="D337" i="14"/>
  <c r="AR337" i="14" s="1"/>
  <c r="AG336" i="14"/>
  <c r="AH336" i="14"/>
  <c r="AQ336" i="14"/>
  <c r="AF336" i="14"/>
  <c r="AP336" i="14"/>
  <c r="AD337" i="14" l="1"/>
  <c r="AC337" i="14"/>
  <c r="D338" i="16"/>
  <c r="A339" i="14"/>
  <c r="B338" i="14"/>
  <c r="D338" i="14"/>
  <c r="AR338" i="14" s="1"/>
  <c r="C338" i="14"/>
  <c r="E338" i="14"/>
  <c r="AP337" i="14"/>
  <c r="AH337" i="14"/>
  <c r="AF337" i="14"/>
  <c r="AQ337" i="14"/>
  <c r="AG337" i="14"/>
  <c r="AD338" i="14" l="1"/>
  <c r="AC338" i="14"/>
  <c r="D339" i="16"/>
  <c r="A340" i="14"/>
  <c r="B339" i="14"/>
  <c r="D339" i="14"/>
  <c r="AR339" i="14" s="1"/>
  <c r="C339" i="14"/>
  <c r="E339" i="14"/>
  <c r="AH338" i="14"/>
  <c r="AF338" i="14"/>
  <c r="AQ338" i="14"/>
  <c r="AP338" i="14"/>
  <c r="AG338" i="14"/>
  <c r="AD339" i="14" l="1"/>
  <c r="AC339" i="14"/>
  <c r="D340" i="16"/>
  <c r="D340" i="14"/>
  <c r="AR340" i="14" s="1"/>
  <c r="A341" i="14"/>
  <c r="C340" i="14"/>
  <c r="B340" i="14"/>
  <c r="E340" i="14"/>
  <c r="AP339" i="14"/>
  <c r="AQ339" i="14"/>
  <c r="AH339" i="14"/>
  <c r="AF339" i="14"/>
  <c r="AG339" i="14"/>
  <c r="AD340" i="14" l="1"/>
  <c r="AC340" i="14"/>
  <c r="D341" i="16"/>
  <c r="D341" i="14"/>
  <c r="AR341" i="14" s="1"/>
  <c r="C341" i="14"/>
  <c r="A342" i="14"/>
  <c r="B341" i="14"/>
  <c r="E341" i="14"/>
  <c r="AH340" i="14"/>
  <c r="AQ340" i="14"/>
  <c r="AG340" i="14"/>
  <c r="AF340" i="14"/>
  <c r="AP340" i="14"/>
  <c r="AD341" i="14" l="1"/>
  <c r="AC341" i="14"/>
  <c r="D342" i="16"/>
  <c r="D342" i="14"/>
  <c r="AR342" i="14" s="1"/>
  <c r="C342" i="14"/>
  <c r="B342" i="14"/>
  <c r="A343" i="14"/>
  <c r="E342" i="14"/>
  <c r="AG341" i="14"/>
  <c r="AF341" i="14"/>
  <c r="AQ341" i="14"/>
  <c r="AP341" i="14"/>
  <c r="AH341" i="14"/>
  <c r="AD342" i="14" l="1"/>
  <c r="AC342" i="14"/>
  <c r="D343" i="16"/>
  <c r="D343" i="14"/>
  <c r="AR343" i="14" s="1"/>
  <c r="C343" i="14"/>
  <c r="B343" i="14"/>
  <c r="A344" i="14"/>
  <c r="E343" i="14"/>
  <c r="AG342" i="14"/>
  <c r="AH342" i="14"/>
  <c r="AQ342" i="14"/>
  <c r="AP342" i="14"/>
  <c r="AF342" i="14"/>
  <c r="AD343" i="14" l="1"/>
  <c r="AC343" i="14"/>
  <c r="D344" i="16"/>
  <c r="C344" i="14"/>
  <c r="B344" i="14"/>
  <c r="E344" i="14"/>
  <c r="D344" i="14"/>
  <c r="AR344" i="14" s="1"/>
  <c r="A345" i="14"/>
  <c r="AF343" i="14"/>
  <c r="AP343" i="14"/>
  <c r="AH343" i="14"/>
  <c r="AQ343" i="14"/>
  <c r="AG343" i="14"/>
  <c r="AD344" i="14" l="1"/>
  <c r="AC344" i="14"/>
  <c r="D345" i="16"/>
  <c r="C345" i="14"/>
  <c r="B345" i="14"/>
  <c r="E345" i="14"/>
  <c r="A346" i="14"/>
  <c r="D345" i="14"/>
  <c r="AR345" i="14" s="1"/>
  <c r="AH344" i="14"/>
  <c r="AG344" i="14"/>
  <c r="AF344" i="14"/>
  <c r="AP344" i="14"/>
  <c r="AQ344" i="14"/>
  <c r="AD345" i="14" l="1"/>
  <c r="AC345" i="14"/>
  <c r="D346" i="16"/>
  <c r="E346" i="14"/>
  <c r="B346" i="14"/>
  <c r="A347" i="14"/>
  <c r="D346" i="14"/>
  <c r="AR346" i="14" s="1"/>
  <c r="C346" i="14"/>
  <c r="AG345" i="14"/>
  <c r="AP345" i="14"/>
  <c r="AQ345" i="14"/>
  <c r="AF345" i="14"/>
  <c r="AH345" i="14"/>
  <c r="AD346" i="14" l="1"/>
  <c r="AC346" i="14"/>
  <c r="D347" i="16"/>
  <c r="E347" i="14"/>
  <c r="B347" i="14"/>
  <c r="D347" i="14"/>
  <c r="AR347" i="14" s="1"/>
  <c r="C347" i="14"/>
  <c r="A348" i="14"/>
  <c r="AF346" i="14"/>
  <c r="AQ346" i="14"/>
  <c r="AP346" i="14"/>
  <c r="AG346" i="14"/>
  <c r="AH346" i="14"/>
  <c r="AD347" i="14" l="1"/>
  <c r="AC347" i="14"/>
  <c r="D348" i="16"/>
  <c r="B348" i="14"/>
  <c r="E348" i="14"/>
  <c r="C348" i="14"/>
  <c r="D348" i="14"/>
  <c r="AR348" i="14" s="1"/>
  <c r="A349" i="14"/>
  <c r="AF347" i="14"/>
  <c r="AP347" i="14"/>
  <c r="AG347" i="14"/>
  <c r="AQ347" i="14"/>
  <c r="AH347" i="14"/>
  <c r="AD348" i="14" l="1"/>
  <c r="AC348" i="14"/>
  <c r="D349" i="16"/>
  <c r="B349" i="14"/>
  <c r="E349" i="14"/>
  <c r="A350" i="14"/>
  <c r="C349" i="14"/>
  <c r="D349" i="14"/>
  <c r="AR349" i="14" s="1"/>
  <c r="AQ348" i="14"/>
  <c r="AP348" i="14"/>
  <c r="AF348" i="14"/>
  <c r="AG348" i="14"/>
  <c r="AH348" i="14"/>
  <c r="AD349" i="14" l="1"/>
  <c r="AC349" i="14"/>
  <c r="D350" i="16"/>
  <c r="C350" i="14"/>
  <c r="D350" i="14"/>
  <c r="AR350" i="14" s="1"/>
  <c r="A351" i="14"/>
  <c r="E350" i="14"/>
  <c r="B350" i="14"/>
  <c r="AP349" i="14"/>
  <c r="AG349" i="14"/>
  <c r="AQ349" i="14"/>
  <c r="AH349" i="14"/>
  <c r="AF349" i="14"/>
  <c r="AD350" i="14" l="1"/>
  <c r="AC350" i="14"/>
  <c r="D351" i="16"/>
  <c r="A352" i="14"/>
  <c r="C351" i="14"/>
  <c r="D351" i="14"/>
  <c r="AR351" i="14" s="1"/>
  <c r="E351" i="14"/>
  <c r="B351" i="14"/>
  <c r="AH350" i="14"/>
  <c r="AP350" i="14"/>
  <c r="AG350" i="14"/>
  <c r="AF350" i="14"/>
  <c r="AQ350" i="14"/>
  <c r="AD351" i="14" l="1"/>
  <c r="AC351" i="14"/>
  <c r="D352" i="16"/>
  <c r="D352" i="14"/>
  <c r="AR352" i="14" s="1"/>
  <c r="A353" i="14"/>
  <c r="E352" i="14"/>
  <c r="C352" i="14"/>
  <c r="B352" i="14"/>
  <c r="AP351" i="14"/>
  <c r="AG351" i="14"/>
  <c r="AH351" i="14"/>
  <c r="AF351" i="14"/>
  <c r="AQ351" i="14"/>
  <c r="AD352" i="14" l="1"/>
  <c r="AC352" i="14"/>
  <c r="D353" i="16"/>
  <c r="D353" i="14"/>
  <c r="AR353" i="14" s="1"/>
  <c r="A354" i="14"/>
  <c r="E353" i="14"/>
  <c r="B353" i="14"/>
  <c r="C353" i="14"/>
  <c r="AQ352" i="14"/>
  <c r="AP352" i="14"/>
  <c r="AF352" i="14"/>
  <c r="AG352" i="14"/>
  <c r="AH352" i="14"/>
  <c r="AD353" i="14" l="1"/>
  <c r="AC353" i="14"/>
  <c r="D354" i="16"/>
  <c r="A355" i="14"/>
  <c r="E354" i="14"/>
  <c r="D354" i="14"/>
  <c r="AR354" i="14" s="1"/>
  <c r="B354" i="14"/>
  <c r="C354" i="14"/>
  <c r="AP353" i="14"/>
  <c r="AQ353" i="14"/>
  <c r="AF353" i="14"/>
  <c r="AG353" i="14"/>
  <c r="AH353" i="14"/>
  <c r="AD354" i="14" l="1"/>
  <c r="AC354" i="14"/>
  <c r="D355" i="16"/>
  <c r="E355" i="14"/>
  <c r="D355" i="14"/>
  <c r="AR355" i="14" s="1"/>
  <c r="A356" i="14"/>
  <c r="B355" i="14"/>
  <c r="C355" i="14"/>
  <c r="AQ354" i="14"/>
  <c r="AP354" i="14"/>
  <c r="AH354" i="14"/>
  <c r="AG354" i="14"/>
  <c r="AF354" i="14"/>
  <c r="AD355" i="14" l="1"/>
  <c r="AC355" i="14"/>
  <c r="D356" i="16"/>
  <c r="C356" i="14"/>
  <c r="D356" i="14"/>
  <c r="AR356" i="14" s="1"/>
  <c r="B356" i="14"/>
  <c r="E356" i="14"/>
  <c r="A357" i="14"/>
  <c r="AQ355" i="14"/>
  <c r="AG355" i="14"/>
  <c r="AP355" i="14"/>
  <c r="AH355" i="14"/>
  <c r="AF355" i="14"/>
  <c r="AD356" i="14" l="1"/>
  <c r="AC356" i="14"/>
  <c r="D357" i="16"/>
  <c r="C357" i="14"/>
  <c r="D357" i="14"/>
  <c r="AR357" i="14" s="1"/>
  <c r="B357" i="14"/>
  <c r="E357" i="14"/>
  <c r="A358" i="14"/>
  <c r="AH356" i="14"/>
  <c r="AG356" i="14"/>
  <c r="AQ356" i="14"/>
  <c r="AP356" i="14"/>
  <c r="AF356" i="14"/>
  <c r="AD357" i="14" l="1"/>
  <c r="AC357" i="14"/>
  <c r="D358" i="16"/>
  <c r="B358" i="14"/>
  <c r="C358" i="14"/>
  <c r="D358" i="14"/>
  <c r="AR358" i="14" s="1"/>
  <c r="E358" i="14"/>
  <c r="A359" i="14"/>
  <c r="AF357" i="14"/>
  <c r="AP357" i="14"/>
  <c r="AQ357" i="14"/>
  <c r="AH357" i="14"/>
  <c r="AG357" i="14"/>
  <c r="AD358" i="14" l="1"/>
  <c r="AC358" i="14"/>
  <c r="D359" i="16"/>
  <c r="B359" i="14"/>
  <c r="C359" i="14"/>
  <c r="A360" i="14"/>
  <c r="E359" i="14"/>
  <c r="D359" i="14"/>
  <c r="AR359" i="14" s="1"/>
  <c r="AQ358" i="14"/>
  <c r="AP358" i="14"/>
  <c r="AG358" i="14"/>
  <c r="AF358" i="14"/>
  <c r="AH358" i="14"/>
  <c r="AD359" i="14" l="1"/>
  <c r="AC359" i="14"/>
  <c r="D360" i="16"/>
  <c r="B360" i="14"/>
  <c r="E360" i="14"/>
  <c r="D360" i="14"/>
  <c r="AR360" i="14" s="1"/>
  <c r="A361" i="14"/>
  <c r="C360" i="14"/>
  <c r="AH359" i="14"/>
  <c r="AQ359" i="14"/>
  <c r="AP359" i="14"/>
  <c r="AF359" i="14"/>
  <c r="AG359" i="14"/>
  <c r="AD360" i="14" l="1"/>
  <c r="AC360" i="14"/>
  <c r="D361" i="16"/>
  <c r="B361" i="14"/>
  <c r="E361" i="14"/>
  <c r="D361" i="14"/>
  <c r="AR361" i="14" s="1"/>
  <c r="A362" i="14"/>
  <c r="C361" i="14"/>
  <c r="AP360" i="14"/>
  <c r="AQ360" i="14"/>
  <c r="AG360" i="14"/>
  <c r="AH360" i="14"/>
  <c r="AF360" i="14"/>
  <c r="AD361" i="14" l="1"/>
  <c r="AC361" i="14"/>
  <c r="D362" i="16"/>
  <c r="E362" i="14"/>
  <c r="A363" i="14"/>
  <c r="B362" i="14"/>
  <c r="D362" i="14"/>
  <c r="AR362" i="14" s="1"/>
  <c r="C362" i="14"/>
  <c r="AG361" i="14"/>
  <c r="AP361" i="14"/>
  <c r="AF361" i="14"/>
  <c r="AH361" i="14"/>
  <c r="AQ361" i="14"/>
  <c r="AD362" i="14" l="1"/>
  <c r="AC362" i="14"/>
  <c r="D363" i="16"/>
  <c r="A364" i="14"/>
  <c r="E363" i="14"/>
  <c r="C363" i="14"/>
  <c r="B363" i="14"/>
  <c r="D363" i="14"/>
  <c r="AR363" i="14" s="1"/>
  <c r="AH362" i="14"/>
  <c r="AP362" i="14"/>
  <c r="AF362" i="14"/>
  <c r="AG362" i="14"/>
  <c r="AQ362" i="14"/>
  <c r="AD363" i="14" l="1"/>
  <c r="AC363" i="14"/>
  <c r="D364" i="16"/>
  <c r="D364" i="14"/>
  <c r="AR364" i="14" s="1"/>
  <c r="A365" i="14"/>
  <c r="C364" i="14"/>
  <c r="B364" i="14"/>
  <c r="E364" i="14"/>
  <c r="AH363" i="14"/>
  <c r="AQ363" i="14"/>
  <c r="AG363" i="14"/>
  <c r="AP363" i="14"/>
  <c r="AF363" i="14"/>
  <c r="AD364" i="14" l="1"/>
  <c r="AC364" i="14"/>
  <c r="D365" i="16"/>
  <c r="D365" i="14"/>
  <c r="AR365" i="14" s="1"/>
  <c r="C365" i="14"/>
  <c r="B365" i="14"/>
  <c r="E365" i="14"/>
  <c r="A366" i="14"/>
  <c r="AG364" i="14"/>
  <c r="AQ364" i="14"/>
  <c r="AF364" i="14"/>
  <c r="AP364" i="14"/>
  <c r="AH364" i="14"/>
  <c r="AD365" i="14" l="1"/>
  <c r="AC365" i="14"/>
  <c r="D366" i="16"/>
  <c r="A367" i="14"/>
  <c r="B366" i="14"/>
  <c r="C366" i="14"/>
  <c r="E366" i="14"/>
  <c r="D366" i="14"/>
  <c r="AR366" i="14" s="1"/>
  <c r="AQ365" i="14"/>
  <c r="AP365" i="14"/>
  <c r="AH365" i="14"/>
  <c r="AF365" i="14"/>
  <c r="AG365" i="14"/>
  <c r="AD366" i="14" l="1"/>
  <c r="AC366" i="14"/>
  <c r="D367" i="16"/>
  <c r="A368" i="14"/>
  <c r="B367" i="14"/>
  <c r="C367" i="14"/>
  <c r="E367" i="14"/>
  <c r="D367" i="14"/>
  <c r="AR367" i="14" s="1"/>
  <c r="AG366" i="14"/>
  <c r="AF366" i="14"/>
  <c r="AH366" i="14"/>
  <c r="AQ366" i="14"/>
  <c r="AP366" i="14"/>
  <c r="AD367" i="14" l="1"/>
  <c r="AC367" i="14"/>
  <c r="D368" i="16"/>
  <c r="C368" i="14"/>
  <c r="A369" i="14"/>
  <c r="D368" i="14"/>
  <c r="AR368" i="14" s="1"/>
  <c r="B368" i="14"/>
  <c r="E368" i="14"/>
  <c r="AG367" i="14"/>
  <c r="AQ367" i="14"/>
  <c r="AP367" i="14"/>
  <c r="AH367" i="14"/>
  <c r="AF367" i="14"/>
  <c r="AD368" i="14" l="1"/>
  <c r="AC368" i="14"/>
  <c r="D369" i="16"/>
  <c r="C369" i="14"/>
  <c r="D369" i="14"/>
  <c r="AR369" i="14" s="1"/>
  <c r="B369" i="14"/>
  <c r="E369" i="14"/>
  <c r="AP368" i="14"/>
  <c r="AG368" i="14"/>
  <c r="AQ368" i="14"/>
  <c r="AH368" i="14"/>
  <c r="AF368" i="14"/>
  <c r="C10" i="11"/>
  <c r="AD369" i="14" l="1"/>
  <c r="AC369" i="14"/>
  <c r="D370" i="16"/>
  <c r="AG369" i="14"/>
  <c r="AF369" i="14"/>
  <c r="AP369" i="14"/>
  <c r="AH369" i="14"/>
  <c r="C19" i="11" s="1"/>
  <c r="AQ369" i="14"/>
  <c r="C16" i="11"/>
  <c r="C34" i="11"/>
  <c r="AT8" i="12" l="1"/>
  <c r="AT10" i="12"/>
  <c r="AT11" i="12"/>
  <c r="AT12" i="12"/>
  <c r="B1" i="9"/>
  <c r="E43" i="12" l="1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31" i="12"/>
  <c r="E32" i="12" l="1"/>
  <c r="E77" i="12"/>
  <c r="E65" i="12"/>
  <c r="E53" i="12"/>
  <c r="E59" i="12"/>
  <c r="E47" i="12"/>
  <c r="E35" i="12"/>
  <c r="E69" i="12"/>
  <c r="E75" i="12"/>
  <c r="E63" i="12"/>
  <c r="E51" i="12"/>
  <c r="E45" i="12"/>
  <c r="E33" i="12"/>
  <c r="E79" i="12"/>
  <c r="E67" i="12"/>
  <c r="E61" i="12"/>
  <c r="E49" i="12"/>
  <c r="E37" i="12"/>
  <c r="E73" i="12"/>
  <c r="E57" i="12"/>
  <c r="E41" i="12"/>
  <c r="E71" i="12"/>
  <c r="E55" i="12"/>
  <c r="E39" i="12"/>
  <c r="E78" i="12"/>
  <c r="E74" i="12"/>
  <c r="E70" i="12"/>
  <c r="E66" i="12"/>
  <c r="E62" i="12"/>
  <c r="E58" i="12"/>
  <c r="E54" i="12"/>
  <c r="E50" i="12"/>
  <c r="E46" i="12"/>
  <c r="E42" i="12"/>
  <c r="E38" i="12"/>
  <c r="E34" i="12"/>
  <c r="E31" i="12"/>
  <c r="E80" i="12"/>
  <c r="E76" i="12"/>
  <c r="E72" i="12"/>
  <c r="E68" i="12"/>
  <c r="E64" i="12"/>
  <c r="E60" i="12"/>
  <c r="E56" i="12"/>
  <c r="E52" i="12"/>
  <c r="E48" i="12"/>
  <c r="E44" i="12"/>
  <c r="E40" i="12"/>
  <c r="E36" i="12"/>
  <c r="A4" i="9" l="1"/>
  <c r="K4" i="9" l="1"/>
  <c r="I4" i="9"/>
  <c r="O4" i="9"/>
  <c r="M4" i="9"/>
  <c r="C4" i="9"/>
  <c r="D50" i="4"/>
  <c r="D49" i="4"/>
  <c r="D48" i="4"/>
  <c r="D47" i="4"/>
  <c r="L2" i="4"/>
  <c r="E3" i="4" l="1"/>
  <c r="J331" i="18" s="1"/>
  <c r="E46" i="4"/>
  <c r="E45" i="4"/>
  <c r="E43" i="4"/>
  <c r="E44" i="4"/>
  <c r="J997" i="19"/>
  <c r="J1042" i="19"/>
  <c r="J296" i="18"/>
  <c r="J227" i="18"/>
  <c r="J295" i="18"/>
  <c r="J317" i="18"/>
  <c r="J1091" i="19" l="1"/>
  <c r="T1091" i="19" s="1"/>
  <c r="J1090" i="19"/>
  <c r="T1090" i="19" s="1"/>
  <c r="J326" i="18"/>
  <c r="J325" i="18"/>
  <c r="W325" i="18" s="1"/>
  <c r="W331" i="18"/>
  <c r="J327" i="18"/>
  <c r="W327" i="18" s="1"/>
  <c r="J329" i="18"/>
  <c r="W326" i="18"/>
  <c r="W329" i="18"/>
  <c r="W317" i="18"/>
  <c r="W295" i="18"/>
  <c r="W296" i="18"/>
  <c r="T1042" i="19"/>
  <c r="T997" i="19"/>
  <c r="W227" i="18"/>
  <c r="Y19" i="12"/>
  <c r="J984" i="19"/>
  <c r="J283" i="19"/>
  <c r="J1024" i="19"/>
  <c r="J304" i="19"/>
  <c r="J833" i="19"/>
  <c r="J881" i="19"/>
  <c r="J668" i="19"/>
  <c r="J914" i="19"/>
  <c r="J870" i="19"/>
  <c r="J271" i="19"/>
  <c r="J805" i="19"/>
  <c r="J273" i="19"/>
  <c r="J201" i="19"/>
  <c r="J1007" i="19"/>
  <c r="J678" i="19"/>
  <c r="J614" i="19"/>
  <c r="J714" i="19"/>
  <c r="J549" i="19"/>
  <c r="J495" i="19"/>
  <c r="J291" i="19"/>
  <c r="J424" i="19"/>
  <c r="J909" i="19"/>
  <c r="J924" i="19"/>
  <c r="J146" i="19"/>
  <c r="J682" i="19"/>
  <c r="J274" i="19"/>
  <c r="J129" i="19"/>
  <c r="J740" i="19"/>
  <c r="J419" i="19"/>
  <c r="J977" i="19"/>
  <c r="J928" i="19"/>
  <c r="J301" i="19"/>
  <c r="J669" i="19"/>
  <c r="J940" i="19"/>
  <c r="J621" i="19"/>
  <c r="J742" i="19"/>
  <c r="J726" i="19"/>
  <c r="J989" i="19"/>
  <c r="J612" i="19"/>
  <c r="J963" i="19"/>
  <c r="J741" i="19"/>
  <c r="J851" i="19"/>
  <c r="J399" i="19"/>
  <c r="J835" i="19"/>
  <c r="J295" i="19"/>
  <c r="J149" i="19"/>
  <c r="J727" i="19"/>
  <c r="J622" i="19"/>
  <c r="J175" i="19"/>
  <c r="J988" i="19"/>
  <c r="J925" i="19"/>
  <c r="J1013" i="19"/>
  <c r="J868" i="19"/>
  <c r="J895" i="19"/>
  <c r="J866" i="19"/>
  <c r="J172" i="19"/>
  <c r="J744" i="19"/>
  <c r="J862" i="19"/>
  <c r="J420" i="19"/>
  <c r="J187" i="19"/>
  <c r="J817" i="19"/>
  <c r="J1023" i="19"/>
  <c r="J915" i="19"/>
  <c r="J55" i="19"/>
  <c r="J422" i="19"/>
  <c r="J1087" i="19"/>
  <c r="J1030" i="19"/>
  <c r="J139" i="19"/>
  <c r="J938" i="19"/>
  <c r="J1040" i="19"/>
  <c r="J293" i="19"/>
  <c r="J608" i="19"/>
  <c r="J755" i="19"/>
  <c r="J658" i="19"/>
  <c r="J303" i="19"/>
  <c r="J951" i="19"/>
  <c r="J961" i="19"/>
  <c r="J302" i="19"/>
  <c r="J140" i="19"/>
  <c r="J712" i="19"/>
  <c r="J141" i="19"/>
  <c r="J953" i="19"/>
  <c r="J692" i="19"/>
  <c r="J275" i="19"/>
  <c r="J985" i="19"/>
  <c r="J686" i="19"/>
  <c r="J147" i="19"/>
  <c r="J481" i="19"/>
  <c r="J926" i="19"/>
  <c r="J202" i="19"/>
  <c r="J698" i="19"/>
  <c r="J1018" i="19"/>
  <c r="J602" i="19"/>
  <c r="J815" i="19"/>
  <c r="J942" i="19"/>
  <c r="J939" i="19"/>
  <c r="J613" i="19"/>
  <c r="J965" i="19"/>
  <c r="J916" i="19"/>
  <c r="J672" i="19"/>
  <c r="J664" i="19"/>
  <c r="J412" i="19"/>
  <c r="J716" i="19"/>
  <c r="J1006" i="19"/>
  <c r="J160" i="19"/>
  <c r="J284" i="19"/>
  <c r="J856" i="19"/>
  <c r="J852" i="19"/>
  <c r="J1008" i="19"/>
  <c r="J841" i="19"/>
  <c r="J790" i="19"/>
  <c r="J299" i="19"/>
  <c r="J296" i="19"/>
  <c r="J722" i="19"/>
  <c r="J894" i="19"/>
  <c r="J880" i="19"/>
  <c r="J884" i="19"/>
  <c r="J736" i="19"/>
  <c r="J477" i="19"/>
  <c r="J908" i="19"/>
  <c r="J923" i="19"/>
  <c r="J294" i="19"/>
  <c r="J819" i="19"/>
  <c r="J200" i="19"/>
  <c r="J670" i="19"/>
  <c r="J825" i="19"/>
  <c r="J986" i="19"/>
  <c r="J854" i="19"/>
  <c r="J52" i="19"/>
  <c r="J840" i="19"/>
  <c r="J934" i="19"/>
  <c r="J411" i="19"/>
  <c r="J962" i="19"/>
  <c r="J713" i="19"/>
  <c r="J1022" i="19"/>
  <c r="J811" i="19"/>
  <c r="J543" i="19"/>
  <c r="J684" i="19"/>
  <c r="J1036" i="19"/>
  <c r="J959" i="19"/>
  <c r="J423" i="19"/>
  <c r="J553" i="19"/>
  <c r="J42" i="19"/>
  <c r="J501" i="19"/>
  <c r="J948" i="19"/>
  <c r="J913" i="19"/>
  <c r="J174" i="19"/>
  <c r="J555" i="19"/>
  <c r="J876" i="19"/>
  <c r="J51" i="19"/>
  <c r="J483" i="19"/>
  <c r="J506" i="19"/>
  <c r="J194" i="19"/>
  <c r="J300" i="19"/>
  <c r="J991" i="19"/>
  <c r="J1005" i="19"/>
  <c r="J958" i="19"/>
  <c r="J702" i="19"/>
  <c r="J976" i="19"/>
  <c r="J400" i="19"/>
  <c r="J842" i="19"/>
  <c r="J421" i="19"/>
  <c r="J198" i="19"/>
  <c r="J898" i="19"/>
  <c r="J756" i="19"/>
  <c r="J135" i="19"/>
  <c r="J754" i="19"/>
  <c r="J145" i="19"/>
  <c r="J882" i="19"/>
  <c r="J971" i="19"/>
  <c r="J791" i="19"/>
  <c r="J292" i="19"/>
  <c r="J850" i="19"/>
  <c r="J853" i="19"/>
  <c r="J173" i="19"/>
  <c r="J161" i="19"/>
  <c r="J211" i="19"/>
  <c r="J212" i="19"/>
  <c r="J56" i="19"/>
  <c r="J1028" i="19"/>
  <c r="J904" i="19"/>
  <c r="J750" i="19"/>
  <c r="J975" i="19"/>
  <c r="J50" i="19"/>
  <c r="J554" i="19"/>
  <c r="J1009" i="19"/>
  <c r="J896" i="19"/>
  <c r="J482" i="19"/>
  <c r="J832" i="19"/>
  <c r="J952" i="19"/>
  <c r="J189" i="19"/>
  <c r="J730" i="19"/>
  <c r="J697" i="19"/>
  <c r="J987" i="19"/>
  <c r="J1027" i="19"/>
  <c r="J199" i="19"/>
  <c r="J960" i="19"/>
  <c r="J890" i="19"/>
  <c r="J1041" i="19"/>
  <c r="J696" i="19"/>
  <c r="J867" i="19"/>
  <c r="J683" i="19"/>
  <c r="J910" i="19"/>
  <c r="J1004" i="19"/>
  <c r="J471" i="19"/>
  <c r="J272" i="19"/>
  <c r="J186" i="19"/>
  <c r="J507" i="19"/>
  <c r="J816" i="19"/>
  <c r="J505" i="19"/>
  <c r="J834" i="19"/>
  <c r="J148" i="19"/>
  <c r="J849" i="19"/>
  <c r="J708" i="19"/>
  <c r="J836" i="19"/>
  <c r="J276" i="19"/>
  <c r="J728" i="19"/>
  <c r="J142" i="18"/>
  <c r="J213" i="18"/>
  <c r="J120" i="18"/>
  <c r="J161" i="18"/>
  <c r="J99" i="18"/>
  <c r="J41" i="18"/>
  <c r="J59" i="18"/>
  <c r="J10" i="18"/>
  <c r="J53" i="18"/>
  <c r="J122" i="18"/>
  <c r="J82" i="18"/>
  <c r="J4" i="18"/>
  <c r="J77" i="18"/>
  <c r="J70" i="18"/>
  <c r="J223" i="18"/>
  <c r="J23" i="18"/>
  <c r="J156" i="18"/>
  <c r="J315" i="18"/>
  <c r="J266" i="18"/>
  <c r="J9" i="18"/>
  <c r="J123" i="18"/>
  <c r="J46" i="18"/>
  <c r="J162" i="18"/>
  <c r="J229" i="18"/>
  <c r="J2" i="18"/>
  <c r="J15" i="18"/>
  <c r="J83" i="18"/>
  <c r="J45" i="18"/>
  <c r="J220" i="18"/>
  <c r="J56" i="18"/>
  <c r="J222" i="18"/>
  <c r="J224" i="18"/>
  <c r="J3" i="18"/>
  <c r="J235" i="18"/>
  <c r="J51" i="18"/>
  <c r="J38" i="18"/>
  <c r="J48" i="18"/>
  <c r="J221" i="18"/>
  <c r="T1087" i="19" l="1"/>
  <c r="T991" i="19"/>
  <c r="W315" i="18"/>
  <c r="T1027" i="19"/>
  <c r="T1030" i="19"/>
  <c r="T1018" i="19"/>
  <c r="T1024" i="19"/>
  <c r="T1013" i="19"/>
  <c r="T1040" i="19"/>
  <c r="T1028" i="19"/>
  <c r="T1041" i="19"/>
  <c r="T1022" i="19"/>
  <c r="T1023" i="19"/>
  <c r="T1036" i="19"/>
  <c r="W266" i="18"/>
  <c r="T1007" i="19"/>
  <c r="T1008" i="19"/>
  <c r="T1006" i="19"/>
  <c r="T1005" i="19"/>
  <c r="T1009" i="19"/>
  <c r="T1004" i="19"/>
  <c r="W235" i="18"/>
  <c r="T898" i="19"/>
  <c r="T129" i="19"/>
  <c r="T602" i="19"/>
  <c r="T42" i="19"/>
  <c r="T904" i="19"/>
  <c r="T174" i="19"/>
  <c r="T672" i="19"/>
  <c r="T805" i="19"/>
  <c r="T716" i="19"/>
  <c r="T884" i="19"/>
  <c r="T819" i="19"/>
  <c r="T730" i="19"/>
  <c r="T790" i="19"/>
  <c r="T201" i="19"/>
  <c r="T965" i="19"/>
  <c r="T477" i="19"/>
  <c r="T876" i="19"/>
  <c r="T862" i="19"/>
  <c r="T161" i="19"/>
  <c r="T186" i="19"/>
  <c r="T211" i="19"/>
  <c r="T212" i="19"/>
  <c r="T948" i="19"/>
  <c r="T881" i="19"/>
  <c r="T909" i="19"/>
  <c r="T613" i="19"/>
  <c r="T816" i="19"/>
  <c r="T713" i="19"/>
  <c r="T852" i="19"/>
  <c r="T835" i="19"/>
  <c r="T146" i="19"/>
  <c r="T834" i="19"/>
  <c r="T140" i="19"/>
  <c r="T987" i="19"/>
  <c r="T963" i="19"/>
  <c r="T925" i="19"/>
  <c r="T854" i="19"/>
  <c r="T896" i="19"/>
  <c r="T868" i="19"/>
  <c r="T555" i="19"/>
  <c r="T916" i="19"/>
  <c r="T303" i="19"/>
  <c r="T283" i="19"/>
  <c r="T742" i="19"/>
  <c r="T147" i="19"/>
  <c r="T989" i="19"/>
  <c r="T712" i="19"/>
  <c r="T840" i="19"/>
  <c r="T272" i="19"/>
  <c r="T420" i="19"/>
  <c r="T419" i="19"/>
  <c r="T481" i="19"/>
  <c r="T505" i="19"/>
  <c r="T726" i="19"/>
  <c r="T139" i="19"/>
  <c r="T736" i="19"/>
  <c r="T549" i="19"/>
  <c r="T811" i="19"/>
  <c r="T173" i="19"/>
  <c r="T135" i="19"/>
  <c r="T172" i="19"/>
  <c r="T56" i="19"/>
  <c r="T934" i="19"/>
  <c r="T621" i="19"/>
  <c r="T913" i="19"/>
  <c r="T421" i="19"/>
  <c r="T273" i="19"/>
  <c r="T923" i="19"/>
  <c r="T697" i="19"/>
  <c r="T755" i="19"/>
  <c r="T554" i="19"/>
  <c r="T482" i="19"/>
  <c r="T51" i="19"/>
  <c r="T976" i="19"/>
  <c r="T959" i="19"/>
  <c r="T728" i="19"/>
  <c r="T842" i="19"/>
  <c r="T853" i="19"/>
  <c r="T817" i="19"/>
  <c r="T507" i="19"/>
  <c r="T915" i="19"/>
  <c r="T141" i="19"/>
  <c r="T714" i="19"/>
  <c r="T614" i="19"/>
  <c r="T953" i="19"/>
  <c r="T960" i="19"/>
  <c r="T866" i="19"/>
  <c r="T880" i="19"/>
  <c r="T849" i="19"/>
  <c r="T292" i="19"/>
  <c r="T668" i="19"/>
  <c r="T300" i="19"/>
  <c r="T271" i="19"/>
  <c r="T50" i="19"/>
  <c r="T938" i="19"/>
  <c r="T984" i="19"/>
  <c r="T744" i="19"/>
  <c r="T543" i="19"/>
  <c r="T202" i="19"/>
  <c r="T148" i="19"/>
  <c r="T870" i="19"/>
  <c r="T495" i="19"/>
  <c r="T791" i="19"/>
  <c r="T702" i="19"/>
  <c r="T175" i="19"/>
  <c r="T149" i="19"/>
  <c r="T928" i="19"/>
  <c r="T890" i="19"/>
  <c r="T608" i="19"/>
  <c r="T708" i="19"/>
  <c r="T692" i="19"/>
  <c r="T750" i="19"/>
  <c r="T678" i="19"/>
  <c r="T194" i="19"/>
  <c r="T187" i="19"/>
  <c r="T971" i="19"/>
  <c r="T301" i="19"/>
  <c r="T669" i="19"/>
  <c r="T293" i="19"/>
  <c r="T895" i="19"/>
  <c r="T683" i="19"/>
  <c r="T867" i="19"/>
  <c r="T622" i="19"/>
  <c r="T506" i="19"/>
  <c r="T422" i="19"/>
  <c r="T952" i="19"/>
  <c r="T986" i="19"/>
  <c r="T962" i="19"/>
  <c r="T684" i="19"/>
  <c r="T304" i="19"/>
  <c r="T836" i="19"/>
  <c r="T284" i="19"/>
  <c r="T756" i="19"/>
  <c r="T483" i="19"/>
  <c r="T670" i="19"/>
  <c r="T698" i="19"/>
  <c r="T275" i="19"/>
  <c r="T940" i="19"/>
  <c r="T977" i="19"/>
  <c r="T832" i="19"/>
  <c r="T908" i="19"/>
  <c r="T740" i="19"/>
  <c r="T145" i="19"/>
  <c r="T553" i="19"/>
  <c r="T198" i="19"/>
  <c r="T299" i="19"/>
  <c r="T291" i="19"/>
  <c r="T951" i="19"/>
  <c r="T985" i="19"/>
  <c r="T856" i="19"/>
  <c r="T400" i="19"/>
  <c r="T399" i="19"/>
  <c r="T471" i="19"/>
  <c r="T686" i="19"/>
  <c r="T189" i="19"/>
  <c r="T658" i="19"/>
  <c r="T942" i="19"/>
  <c r="T501" i="19"/>
  <c r="T664" i="19"/>
  <c r="T412" i="19"/>
  <c r="T825" i="19"/>
  <c r="T411" i="19"/>
  <c r="T722" i="19"/>
  <c r="T55" i="19"/>
  <c r="T160" i="19"/>
  <c r="T924" i="19"/>
  <c r="T914" i="19"/>
  <c r="T741" i="19"/>
  <c r="T199" i="19"/>
  <c r="T841" i="19"/>
  <c r="T727" i="19"/>
  <c r="T851" i="19"/>
  <c r="T274" i="19"/>
  <c r="T294" i="19"/>
  <c r="T302" i="19"/>
  <c r="T939" i="19"/>
  <c r="T958" i="19"/>
  <c r="T424" i="19"/>
  <c r="T296" i="19"/>
  <c r="T882" i="19"/>
  <c r="T910" i="19"/>
  <c r="T926" i="19"/>
  <c r="T276" i="19"/>
  <c r="T423" i="19"/>
  <c r="T200" i="19"/>
  <c r="T295" i="19"/>
  <c r="T52" i="19"/>
  <c r="T961" i="19"/>
  <c r="T988" i="19"/>
  <c r="T696" i="19"/>
  <c r="T850" i="19"/>
  <c r="T612" i="19"/>
  <c r="T815" i="19"/>
  <c r="T833" i="19"/>
  <c r="T894" i="19"/>
  <c r="T682" i="19"/>
  <c r="T754" i="19"/>
  <c r="T975" i="19"/>
  <c r="W224" i="18"/>
  <c r="W229" i="18"/>
  <c r="W223" i="18"/>
  <c r="W162" i="18"/>
  <c r="W161" i="18"/>
  <c r="W221" i="18"/>
  <c r="W142" i="18"/>
  <c r="W123" i="18"/>
  <c r="W46" i="18"/>
  <c r="W99" i="18"/>
  <c r="W220" i="18"/>
  <c r="W3" i="18"/>
  <c r="W51" i="18"/>
  <c r="W213" i="18"/>
  <c r="W156" i="18"/>
  <c r="W122" i="18"/>
  <c r="W59" i="18"/>
  <c r="W83" i="18"/>
  <c r="W45" i="18"/>
  <c r="W15" i="18"/>
  <c r="W70" i="18"/>
  <c r="W82" i="18"/>
  <c r="W120" i="18"/>
  <c r="W10" i="18"/>
  <c r="W2" i="18"/>
  <c r="W77" i="18"/>
  <c r="W41" i="18"/>
  <c r="W38" i="18"/>
  <c r="W48" i="18"/>
  <c r="W23" i="18"/>
  <c r="W222" i="18"/>
  <c r="W4" i="18"/>
  <c r="W53" i="18"/>
  <c r="W9" i="18"/>
  <c r="W56" i="18"/>
  <c r="AA5" i="12"/>
  <c r="Y20" i="12"/>
  <c r="B19" i="12"/>
  <c r="B20" i="12"/>
  <c r="K19" i="12"/>
  <c r="K20" i="12"/>
  <c r="Z5" i="12"/>
  <c r="D5" i="12"/>
  <c r="AK5" i="12"/>
  <c r="R5" i="12"/>
  <c r="G20" i="12"/>
  <c r="G19" i="12"/>
  <c r="AO5" i="12"/>
  <c r="L5" i="12"/>
  <c r="AS5" i="12"/>
  <c r="E5" i="12"/>
  <c r="V20" i="12"/>
  <c r="V19" i="12"/>
  <c r="E19" i="12"/>
  <c r="E20" i="12"/>
  <c r="Y5" i="12"/>
  <c r="W19" i="12"/>
  <c r="W20" i="12"/>
  <c r="K5" i="12"/>
  <c r="AM5" i="12"/>
  <c r="Z19" i="12"/>
  <c r="Z20" i="12"/>
  <c r="D19" i="12"/>
  <c r="D20" i="12"/>
  <c r="AK19" i="12"/>
  <c r="AK20" i="12"/>
  <c r="R19" i="12"/>
  <c r="R20" i="12"/>
  <c r="G5" i="12"/>
  <c r="AO19" i="12"/>
  <c r="AO20" i="12"/>
  <c r="L19" i="12"/>
  <c r="L20" i="12"/>
  <c r="AS19" i="12"/>
  <c r="AS20" i="12"/>
  <c r="M5" i="12"/>
  <c r="C20" i="12"/>
  <c r="C19" i="12"/>
  <c r="Q5" i="12"/>
  <c r="V5" i="12"/>
  <c r="S19" i="12"/>
  <c r="S20" i="12"/>
  <c r="AF5" i="12"/>
  <c r="H5" i="12"/>
  <c r="AN5" i="12"/>
  <c r="I5" i="12"/>
  <c r="P5" i="12"/>
  <c r="AP5" i="12"/>
  <c r="AE19" i="12"/>
  <c r="AE20" i="12"/>
  <c r="X5" i="12"/>
  <c r="AC5" i="12"/>
  <c r="F19" i="12"/>
  <c r="F20" i="12"/>
  <c r="AA20" i="12"/>
  <c r="AA19" i="12"/>
  <c r="F5" i="12"/>
  <c r="O5" i="12"/>
  <c r="AM20" i="12"/>
  <c r="AM19" i="12"/>
  <c r="J5" i="12"/>
  <c r="AD19" i="12"/>
  <c r="AD20" i="12"/>
  <c r="S5" i="12"/>
  <c r="J19" i="12"/>
  <c r="J20" i="12"/>
  <c r="AF20" i="12"/>
  <c r="AF19" i="12"/>
  <c r="AD5" i="12"/>
  <c r="H19" i="12"/>
  <c r="H20" i="12"/>
  <c r="AN20" i="12"/>
  <c r="AN19" i="12"/>
  <c r="I20" i="12"/>
  <c r="I19" i="12"/>
  <c r="P19" i="12"/>
  <c r="P20" i="12"/>
  <c r="AP19" i="12"/>
  <c r="AP20" i="12"/>
  <c r="AE5" i="12"/>
  <c r="X20" i="12"/>
  <c r="X19" i="12"/>
  <c r="M19" i="12"/>
  <c r="M20" i="12"/>
  <c r="AC19" i="12"/>
  <c r="AC20" i="12"/>
  <c r="W5" i="12"/>
  <c r="AI5" i="12"/>
  <c r="AH5" i="12"/>
  <c r="AL20" i="12"/>
  <c r="AL19" i="12"/>
  <c r="U5" i="12"/>
  <c r="AG5" i="12"/>
  <c r="T5" i="12"/>
  <c r="AR5" i="12"/>
  <c r="AB5" i="12"/>
  <c r="AQ5" i="12"/>
  <c r="N20" i="12"/>
  <c r="N19" i="12"/>
  <c r="AJ5" i="12"/>
  <c r="Q20" i="12"/>
  <c r="Q19" i="12"/>
  <c r="O20" i="12"/>
  <c r="O19" i="12"/>
  <c r="C5" i="12"/>
  <c r="AI19" i="12"/>
  <c r="AI20" i="12"/>
  <c r="AH19" i="12"/>
  <c r="AH20" i="12"/>
  <c r="AL5" i="12"/>
  <c r="U19" i="12"/>
  <c r="U20" i="12"/>
  <c r="AG19" i="12"/>
  <c r="AG20" i="12"/>
  <c r="T19" i="12"/>
  <c r="T20" i="12"/>
  <c r="AR19" i="12"/>
  <c r="AR20" i="12"/>
  <c r="AB19" i="12"/>
  <c r="AB20" i="12"/>
  <c r="AQ19" i="12"/>
  <c r="AQ20" i="12"/>
  <c r="N5" i="12"/>
  <c r="AJ19" i="12"/>
  <c r="AJ20" i="12"/>
  <c r="O18" i="9"/>
  <c r="O4" i="10"/>
  <c r="AT5" i="12" l="1"/>
  <c r="AT20" i="12"/>
  <c r="AT19" i="12"/>
  <c r="B1" i="10"/>
  <c r="A11" i="9"/>
  <c r="AS7" i="12"/>
  <c r="AB7" i="12"/>
  <c r="S7" i="12"/>
  <c r="H7" i="12"/>
  <c r="D7" i="12"/>
  <c r="C7" i="12"/>
  <c r="AN7" i="12"/>
  <c r="AI7" i="12"/>
  <c r="AQ7" i="12"/>
  <c r="AP7" i="12"/>
  <c r="AE7" i="12"/>
  <c r="AC7" i="12"/>
  <c r="N7" i="12"/>
  <c r="J7" i="12"/>
  <c r="AD7" i="12"/>
  <c r="F7" i="12"/>
  <c r="E4" i="4"/>
  <c r="E5" i="4"/>
  <c r="E6" i="4"/>
  <c r="E7" i="4"/>
  <c r="E8" i="4"/>
  <c r="E9" i="4"/>
  <c r="E10" i="4"/>
  <c r="J324" i="18" s="1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J1037" i="19" s="1"/>
  <c r="E31" i="4"/>
  <c r="E32" i="4"/>
  <c r="E33" i="4"/>
  <c r="E34" i="4"/>
  <c r="E35" i="4"/>
  <c r="E36" i="4"/>
  <c r="E37" i="4"/>
  <c r="E38" i="4"/>
  <c r="E39" i="4"/>
  <c r="E40" i="4"/>
  <c r="E41" i="4"/>
  <c r="E42" i="4"/>
  <c r="E47" i="4"/>
  <c r="E48" i="4"/>
  <c r="E49" i="4"/>
  <c r="E50" i="4"/>
  <c r="J1086" i="19"/>
  <c r="J1064" i="19"/>
  <c r="J995" i="19"/>
  <c r="J1061" i="19"/>
  <c r="J1083" i="19"/>
  <c r="J996" i="19"/>
  <c r="J1060" i="19"/>
  <c r="J992" i="19"/>
  <c r="J294" i="18"/>
  <c r="J318" i="18"/>
  <c r="J314" i="18"/>
  <c r="J300" i="18"/>
  <c r="J302" i="18"/>
  <c r="J312" i="18"/>
  <c r="J316" i="18"/>
  <c r="J265" i="18"/>
  <c r="J313" i="18"/>
  <c r="J319" i="18"/>
  <c r="J301" i="18"/>
  <c r="J286" i="18"/>
  <c r="J251" i="18"/>
  <c r="J293" i="18"/>
  <c r="J299" i="18"/>
  <c r="J246" i="18"/>
  <c r="J277" i="18"/>
  <c r="J256" i="18"/>
  <c r="J287" i="18"/>
  <c r="J333" i="18" l="1"/>
  <c r="W333" i="18" s="1"/>
  <c r="J336" i="18"/>
  <c r="W336" i="18" s="1"/>
  <c r="J332" i="18"/>
  <c r="W332" i="18" s="1"/>
  <c r="J335" i="18"/>
  <c r="W335" i="18" s="1"/>
  <c r="J334" i="18"/>
  <c r="W334" i="18" s="1"/>
  <c r="J1088" i="19"/>
  <c r="T1088" i="19" s="1"/>
  <c r="J1089" i="19"/>
  <c r="T1089" i="19" s="1"/>
  <c r="J328" i="18"/>
  <c r="W328" i="18" s="1"/>
  <c r="J1093" i="19"/>
  <c r="T1093" i="19" s="1"/>
  <c r="J1092" i="19"/>
  <c r="T1092" i="19" s="1"/>
  <c r="J330" i="18"/>
  <c r="W330" i="18" s="1"/>
  <c r="T1083" i="19"/>
  <c r="T1086" i="19"/>
  <c r="W324" i="18"/>
  <c r="W314" i="18"/>
  <c r="W312" i="18"/>
  <c r="W313" i="18"/>
  <c r="W316" i="18"/>
  <c r="W319" i="18"/>
  <c r="W318" i="18"/>
  <c r="T1064" i="19"/>
  <c r="T1060" i="19"/>
  <c r="T1061" i="19"/>
  <c r="W294" i="18"/>
  <c r="W300" i="18"/>
  <c r="W299" i="18"/>
  <c r="W301" i="18"/>
  <c r="W293" i="18"/>
  <c r="W302" i="18"/>
  <c r="W286" i="18"/>
  <c r="W287" i="18"/>
  <c r="T1037" i="19"/>
  <c r="W265" i="18"/>
  <c r="W256" i="18"/>
  <c r="W251" i="18"/>
  <c r="T996" i="19"/>
  <c r="T995" i="19"/>
  <c r="T992" i="19"/>
  <c r="W246" i="18"/>
  <c r="J10" i="20"/>
  <c r="U10" i="20" s="1"/>
  <c r="J14" i="20"/>
  <c r="U14" i="20" s="1"/>
  <c r="J4" i="20"/>
  <c r="U4" i="20" s="1"/>
  <c r="J8" i="20"/>
  <c r="U8" i="20" s="1"/>
  <c r="J11" i="20"/>
  <c r="U11" i="20" s="1"/>
  <c r="J5" i="20"/>
  <c r="U5" i="20" s="1"/>
  <c r="J9" i="20"/>
  <c r="U9" i="20" s="1"/>
  <c r="J3" i="20"/>
  <c r="U3" i="20" s="1"/>
  <c r="J7" i="20"/>
  <c r="U7" i="20" s="1"/>
  <c r="J13" i="20"/>
  <c r="U13" i="20" s="1"/>
  <c r="J2" i="20"/>
  <c r="U2" i="20" s="1"/>
  <c r="J6" i="20"/>
  <c r="U6" i="20" s="1"/>
  <c r="J12" i="20"/>
  <c r="U12" i="20" s="1"/>
  <c r="B4" i="10"/>
  <c r="A18" i="9"/>
  <c r="C18" i="9" s="1"/>
  <c r="M11" i="9"/>
  <c r="K11" i="9"/>
  <c r="C11" i="9"/>
  <c r="O11" i="9"/>
  <c r="I11" i="9"/>
  <c r="M7" i="12"/>
  <c r="Q7" i="12"/>
  <c r="X7" i="12"/>
  <c r="AO7" i="12"/>
  <c r="V7" i="12"/>
  <c r="O7" i="12"/>
  <c r="R7" i="12"/>
  <c r="T7" i="12"/>
  <c r="AG7" i="12"/>
  <c r="AL7" i="12"/>
  <c r="AR7" i="12"/>
  <c r="L7" i="12"/>
  <c r="I7" i="12"/>
  <c r="AM7" i="12"/>
  <c r="AF7" i="12"/>
  <c r="Y7" i="12"/>
  <c r="AH7" i="12"/>
  <c r="AJ7" i="12"/>
  <c r="Z7" i="12"/>
  <c r="K7" i="12"/>
  <c r="W7" i="12"/>
  <c r="U7" i="12"/>
  <c r="G7" i="12"/>
  <c r="AK7" i="12"/>
  <c r="E7" i="12"/>
  <c r="P7" i="12"/>
  <c r="AA7" i="12"/>
  <c r="AQ16" i="12"/>
  <c r="AI16" i="12"/>
  <c r="S16" i="12"/>
  <c r="C16" i="12"/>
  <c r="AP16" i="12"/>
  <c r="J16" i="12"/>
  <c r="AN16" i="12"/>
  <c r="H16" i="12"/>
  <c r="AE16" i="12"/>
  <c r="AD16" i="12"/>
  <c r="N16" i="12"/>
  <c r="F16" i="12"/>
  <c r="AS16" i="12"/>
  <c r="AC16" i="12"/>
  <c r="AB16" i="12"/>
  <c r="D16" i="12"/>
  <c r="B4" i="9"/>
  <c r="A4" i="10"/>
  <c r="B8" i="9"/>
  <c r="B7" i="9" s="1"/>
  <c r="E11" i="9" s="1"/>
  <c r="J1084" i="19"/>
  <c r="J1082" i="19"/>
  <c r="J1072" i="19"/>
  <c r="J1078" i="19"/>
  <c r="J1046" i="19"/>
  <c r="J1057" i="19"/>
  <c r="J1062" i="19"/>
  <c r="J1056" i="19"/>
  <c r="J1053" i="19"/>
  <c r="J1067" i="19"/>
  <c r="J1052" i="19"/>
  <c r="J1055" i="19"/>
  <c r="J1076" i="19"/>
  <c r="J1063" i="19"/>
  <c r="J1079" i="19"/>
  <c r="J1070" i="19"/>
  <c r="J1069" i="19"/>
  <c r="J1049" i="19"/>
  <c r="J1048" i="19"/>
  <c r="J1044" i="19"/>
  <c r="J1071" i="19"/>
  <c r="J1065" i="19"/>
  <c r="J1051" i="19"/>
  <c r="J1058" i="19"/>
  <c r="J1077" i="19"/>
  <c r="J1066" i="19"/>
  <c r="J1059" i="19"/>
  <c r="J1073" i="19"/>
  <c r="J1081" i="19"/>
  <c r="J1043" i="19"/>
  <c r="J1045" i="19"/>
  <c r="J1074" i="19"/>
  <c r="J993" i="19"/>
  <c r="J1054" i="19"/>
  <c r="J1047" i="19"/>
  <c r="J1075" i="19"/>
  <c r="J1068" i="19"/>
  <c r="J1080" i="19"/>
  <c r="J1050" i="19"/>
  <c r="J1085" i="19"/>
  <c r="J322" i="18"/>
  <c r="J308" i="18"/>
  <c r="J278" i="18"/>
  <c r="J310" i="18"/>
  <c r="J284" i="18"/>
  <c r="J309" i="18"/>
  <c r="J298" i="18"/>
  <c r="J279" i="18"/>
  <c r="J323" i="18"/>
  <c r="J281" i="18"/>
  <c r="J321" i="18"/>
  <c r="J274" i="18"/>
  <c r="J306" i="18"/>
  <c r="J280" i="18"/>
  <c r="J285" i="18"/>
  <c r="J297" i="18"/>
  <c r="J320" i="18"/>
  <c r="J291" i="18"/>
  <c r="J304" i="18"/>
  <c r="J292" i="18"/>
  <c r="J288" i="18"/>
  <c r="J305" i="18"/>
  <c r="J275" i="18"/>
  <c r="J290" i="18"/>
  <c r="J283" i="18"/>
  <c r="J303" i="18"/>
  <c r="J276" i="18"/>
  <c r="J311" i="18"/>
  <c r="J289" i="18"/>
  <c r="J282" i="18"/>
  <c r="J307" i="18"/>
  <c r="T1085" i="19" l="1"/>
  <c r="T1084" i="19"/>
  <c r="W323" i="18"/>
  <c r="W322" i="18"/>
  <c r="T1079" i="19"/>
  <c r="T1062" i="19"/>
  <c r="T1080" i="19"/>
  <c r="T1081" i="19"/>
  <c r="T1082" i="19"/>
  <c r="W321" i="18"/>
  <c r="W320" i="18"/>
  <c r="W305" i="18"/>
  <c r="W311" i="18"/>
  <c r="W303" i="18"/>
  <c r="W307" i="18"/>
  <c r="W309" i="18"/>
  <c r="W310" i="18"/>
  <c r="W308" i="18"/>
  <c r="W306" i="18"/>
  <c r="W304" i="18"/>
  <c r="W283" i="18"/>
  <c r="W298" i="18"/>
  <c r="W297" i="18"/>
  <c r="T1069" i="19"/>
  <c r="T1078" i="19"/>
  <c r="T1076" i="19"/>
  <c r="T1068" i="19"/>
  <c r="T1075" i="19"/>
  <c r="T1073" i="19"/>
  <c r="T993" i="19"/>
  <c r="T1066" i="19"/>
  <c r="T1070" i="19"/>
  <c r="T1072" i="19"/>
  <c r="T1067" i="19"/>
  <c r="T1074" i="19"/>
  <c r="T1071" i="19"/>
  <c r="T1063" i="19"/>
  <c r="T1065" i="19"/>
  <c r="T1077" i="19"/>
  <c r="W290" i="18"/>
  <c r="W292" i="18"/>
  <c r="W291" i="18"/>
  <c r="W289" i="18"/>
  <c r="W288" i="18"/>
  <c r="T1058" i="19"/>
  <c r="T1056" i="19"/>
  <c r="T1057" i="19"/>
  <c r="T1059" i="19"/>
  <c r="W278" i="18"/>
  <c r="W285" i="18"/>
  <c r="W282" i="18"/>
  <c r="W279" i="18"/>
  <c r="W284" i="18"/>
  <c r="W280" i="18"/>
  <c r="W281" i="18"/>
  <c r="T1055" i="19"/>
  <c r="T1052" i="19"/>
  <c r="T1054" i="19"/>
  <c r="T1053" i="19"/>
  <c r="T1050" i="19"/>
  <c r="T1044" i="19"/>
  <c r="T1046" i="19"/>
  <c r="T1045" i="19"/>
  <c r="T1049" i="19"/>
  <c r="T1048" i="19"/>
  <c r="T1043" i="19"/>
  <c r="T1051" i="19"/>
  <c r="T1047" i="19"/>
  <c r="W276" i="18"/>
  <c r="W277" i="18"/>
  <c r="W275" i="18"/>
  <c r="W274" i="18"/>
  <c r="AT7" i="12"/>
  <c r="AG16" i="12"/>
  <c r="Q16" i="12"/>
  <c r="M16" i="12"/>
  <c r="AO16" i="12"/>
  <c r="AL16" i="12"/>
  <c r="X16" i="12"/>
  <c r="O16" i="12"/>
  <c r="V16" i="12"/>
  <c r="T16" i="12"/>
  <c r="R16" i="12"/>
  <c r="AR16" i="12"/>
  <c r="E16" i="12"/>
  <c r="I16" i="12"/>
  <c r="W16" i="12"/>
  <c r="Y16" i="12"/>
  <c r="L16" i="12"/>
  <c r="G16" i="12"/>
  <c r="AF16" i="12"/>
  <c r="Z16" i="12"/>
  <c r="AM16" i="12"/>
  <c r="AA16" i="12"/>
  <c r="AH16" i="12"/>
  <c r="U16" i="12"/>
  <c r="AK16" i="12"/>
  <c r="AJ16" i="12"/>
  <c r="P16" i="12"/>
  <c r="K16" i="12"/>
  <c r="B13" i="12"/>
  <c r="B16" i="12"/>
  <c r="B15" i="9"/>
  <c r="B14" i="9" s="1"/>
  <c r="E18" i="9" s="1"/>
  <c r="J18" i="9" l="1"/>
  <c r="AT16" i="12"/>
  <c r="B18" i="9"/>
  <c r="B11" i="9"/>
  <c r="AT13" i="12" l="1"/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C14" i="11" l="1"/>
  <c r="G18" i="9" l="1"/>
  <c r="G11" i="9"/>
  <c r="J48" i="19"/>
  <c r="J320" i="19"/>
  <c r="J1038" i="19"/>
  <c r="J6" i="19"/>
  <c r="J13" i="19"/>
  <c r="J128" i="19"/>
  <c r="J116" i="19"/>
  <c r="J267" i="19"/>
  <c r="J378" i="19"/>
  <c r="J737" i="19"/>
  <c r="J783" i="19"/>
  <c r="J517" i="19"/>
  <c r="J629" i="19"/>
  <c r="J414" i="19"/>
  <c r="J838" i="19"/>
  <c r="J630" i="19"/>
  <c r="J27" i="19"/>
  <c r="J594" i="19"/>
  <c r="J503" i="19"/>
  <c r="J751" i="19"/>
  <c r="J525" i="19"/>
  <c r="J373" i="19"/>
  <c r="J53" i="19"/>
  <c r="J465" i="19"/>
  <c r="J376" i="19"/>
  <c r="J560" i="19"/>
  <c r="J354" i="19"/>
  <c r="J886" i="19"/>
  <c r="J435" i="19"/>
  <c r="J446" i="19"/>
  <c r="J442" i="19"/>
  <c r="J453" i="19"/>
  <c r="J454" i="19"/>
  <c r="J600" i="19"/>
  <c r="J333" i="19"/>
  <c r="J90" i="19"/>
  <c r="J532" i="19"/>
  <c r="J105" i="19"/>
  <c r="J1029" i="19"/>
  <c r="J427" i="19"/>
  <c r="J455" i="19"/>
  <c r="J902" i="19"/>
  <c r="J947" i="19"/>
  <c r="J632" i="19"/>
  <c r="J903" i="19"/>
  <c r="J336" i="19"/>
  <c r="J843" i="19"/>
  <c r="J130" i="19"/>
  <c r="J981" i="19"/>
  <c r="J579" i="19"/>
  <c r="J685" i="19"/>
  <c r="J610" i="19"/>
  <c r="J157" i="19"/>
  <c r="J165" i="19"/>
  <c r="J30" i="19"/>
  <c r="J509" i="19"/>
  <c r="J1017" i="19"/>
  <c r="J324" i="19"/>
  <c r="J897" i="19"/>
  <c r="J724" i="19"/>
  <c r="J533" i="19"/>
  <c r="J967" i="19"/>
  <c r="J733" i="19"/>
  <c r="J224" i="19"/>
  <c r="J10" i="19"/>
  <c r="J999" i="19"/>
  <c r="J425" i="19"/>
  <c r="J221" i="19"/>
  <c r="J439" i="19"/>
  <c r="J528" i="19"/>
  <c r="J137" i="19"/>
  <c r="J282" i="19"/>
  <c r="J542" i="19"/>
  <c r="J126" i="19"/>
  <c r="J583" i="19"/>
  <c r="J458" i="19"/>
  <c r="J185" i="19"/>
  <c r="J16" i="19"/>
  <c r="J804" i="19"/>
  <c r="J449" i="19"/>
  <c r="J297" i="19"/>
  <c r="J463" i="19"/>
  <c r="J346" i="19"/>
  <c r="J142" i="19"/>
  <c r="J80" i="19"/>
  <c r="J228" i="19"/>
  <c r="J127" i="19"/>
  <c r="J803" i="19"/>
  <c r="J389" i="19"/>
  <c r="J1035" i="19"/>
  <c r="J760" i="19"/>
  <c r="J319" i="19"/>
  <c r="J480" i="19"/>
  <c r="J351" i="19"/>
  <c r="J259" i="19"/>
  <c r="J208" i="19"/>
  <c r="J570" i="19"/>
  <c r="J544" i="19"/>
  <c r="J865" i="19"/>
  <c r="J900" i="19"/>
  <c r="J440" i="19"/>
  <c r="J759" i="19"/>
  <c r="J743" i="19"/>
  <c r="J723" i="19"/>
  <c r="J762" i="19"/>
  <c r="J64" i="19"/>
  <c r="J690" i="19"/>
  <c r="J183" i="19"/>
  <c r="J450" i="19"/>
  <c r="J1002" i="19"/>
  <c r="J18" i="19"/>
  <c r="J559" i="19"/>
  <c r="J380" i="19"/>
  <c r="J415" i="19"/>
  <c r="J248" i="19"/>
  <c r="J460" i="19"/>
  <c r="J945" i="19"/>
  <c r="J596" i="19"/>
  <c r="J809" i="19"/>
  <c r="J917" i="19"/>
  <c r="J539" i="19"/>
  <c r="J604" i="19"/>
  <c r="J12" i="19"/>
  <c r="J899" i="19"/>
  <c r="J673" i="19"/>
  <c r="J562" i="19"/>
  <c r="J26" i="19"/>
  <c r="J715" i="19"/>
  <c r="J188" i="19"/>
  <c r="J428" i="19"/>
  <c r="J644" i="19"/>
  <c r="J918" i="19"/>
  <c r="J892" i="19"/>
  <c r="J313" i="19"/>
  <c r="J452" i="19"/>
  <c r="J364" i="19"/>
  <c r="J770" i="19"/>
  <c r="J568" i="19"/>
  <c r="J974" i="19"/>
  <c r="J1016" i="19"/>
  <c r="J941" i="19"/>
  <c r="J1015" i="19"/>
  <c r="J101" i="19"/>
  <c r="J717" i="19"/>
  <c r="J21" i="19"/>
  <c r="J379" i="19"/>
  <c r="J615" i="19"/>
  <c r="J3" i="19"/>
  <c r="J125" i="19"/>
  <c r="J258" i="19"/>
  <c r="J75" i="19"/>
  <c r="J634" i="19"/>
  <c r="J290" i="19"/>
  <c r="J87" i="19"/>
  <c r="J438" i="19"/>
  <c r="J203" i="19"/>
  <c r="J552" i="19"/>
  <c r="J1025" i="19"/>
  <c r="J653" i="19"/>
  <c r="J628" i="19"/>
  <c r="J467" i="19"/>
  <c r="J577" i="19"/>
  <c r="J933" i="19"/>
  <c r="J912" i="19"/>
  <c r="J429" i="19"/>
  <c r="J677" i="19"/>
  <c r="J209" i="19"/>
  <c r="J79" i="19"/>
  <c r="J800" i="19"/>
  <c r="J68" i="19"/>
  <c r="J289" i="19"/>
  <c r="J796" i="19"/>
  <c r="J486" i="19"/>
  <c r="J94" i="19"/>
  <c r="J633" i="19"/>
  <c r="J846" i="19"/>
  <c r="J257" i="19"/>
  <c r="J1001" i="19"/>
  <c r="J485" i="19"/>
  <c r="J233" i="19"/>
  <c r="J864" i="19"/>
  <c r="J243" i="19"/>
  <c r="J352" i="19"/>
  <c r="J366" i="19"/>
  <c r="J395" i="19"/>
  <c r="J625" i="19"/>
  <c r="J788" i="19"/>
  <c r="J764" i="19"/>
  <c r="J879" i="19"/>
  <c r="J358" i="19"/>
  <c r="J402" i="19"/>
  <c r="J227" i="19"/>
  <c r="J59" i="19"/>
  <c r="J660" i="19"/>
  <c r="J498" i="19"/>
  <c r="J15" i="19"/>
  <c r="J250" i="19"/>
  <c r="J858" i="19"/>
  <c r="J217" i="19"/>
  <c r="J78" i="19"/>
  <c r="J247" i="19"/>
  <c r="J111" i="19"/>
  <c r="J491" i="19"/>
  <c r="J994" i="19"/>
  <c r="J184" i="19"/>
  <c r="J526" i="19"/>
  <c r="J29" i="19"/>
  <c r="J1026" i="19"/>
  <c r="J8" i="19"/>
  <c r="J821" i="19"/>
  <c r="J781" i="19"/>
  <c r="J795" i="19"/>
  <c r="J595" i="19"/>
  <c r="J535" i="19"/>
  <c r="J964" i="19"/>
  <c r="J582" i="19"/>
  <c r="J342" i="19"/>
  <c r="J339" i="19"/>
  <c r="J106" i="19"/>
  <c r="J645" i="19"/>
  <c r="J765" i="19"/>
  <c r="J234" i="19"/>
  <c r="J179" i="19"/>
  <c r="J581" i="19"/>
  <c r="J236" i="19"/>
  <c r="J893" i="19"/>
  <c r="J210" i="19"/>
  <c r="J810" i="19"/>
  <c r="J222" i="19"/>
  <c r="J478" i="19"/>
  <c r="J661" i="19"/>
  <c r="J787" i="19"/>
  <c r="J176" i="19"/>
  <c r="J406" i="19"/>
  <c r="J85" i="19"/>
  <c r="J122" i="19"/>
  <c r="J83" i="19"/>
  <c r="J772" i="19"/>
  <c r="J123" i="19"/>
  <c r="J317" i="19"/>
  <c r="J627" i="19"/>
  <c r="J907" i="19"/>
  <c r="J431" i="19"/>
  <c r="J530" i="19"/>
  <c r="J308" i="19"/>
  <c r="J826" i="19"/>
  <c r="J572" i="19"/>
  <c r="J745" i="19"/>
  <c r="J589" i="19"/>
  <c r="J1032" i="19"/>
  <c r="J151" i="19"/>
  <c r="J558" i="19"/>
  <c r="J775" i="19"/>
  <c r="J350" i="19"/>
  <c r="J1014" i="19"/>
  <c r="J639" i="19"/>
  <c r="J117" i="19"/>
  <c r="J955" i="19"/>
  <c r="J456" i="19"/>
  <c r="J998" i="19"/>
  <c r="J679" i="19"/>
  <c r="J592" i="19"/>
  <c r="J356" i="19"/>
  <c r="J798" i="19"/>
  <c r="J711" i="19"/>
  <c r="J437" i="19"/>
  <c r="J110" i="19"/>
  <c r="J89" i="19"/>
  <c r="J9" i="19"/>
  <c r="J623" i="19"/>
  <c r="J114" i="19"/>
  <c r="J240" i="19"/>
  <c r="J397" i="19"/>
  <c r="J377" i="19"/>
  <c r="J877" i="19"/>
  <c r="J548" i="19"/>
  <c r="J103" i="19"/>
  <c r="J567" i="19"/>
  <c r="J687" i="19"/>
  <c r="J255" i="19"/>
  <c r="J747" i="19"/>
  <c r="J33" i="19"/>
  <c r="J371" i="19"/>
  <c r="J732" i="19"/>
  <c r="J348" i="19"/>
  <c r="J132" i="19"/>
  <c r="J264" i="19"/>
  <c r="J17" i="19"/>
  <c r="J115" i="19"/>
  <c r="J229" i="19"/>
  <c r="J398" i="19"/>
  <c r="J973" i="19"/>
  <c r="J637" i="19"/>
  <c r="J181" i="19"/>
  <c r="J278" i="19"/>
  <c r="J40" i="19"/>
  <c r="J77" i="19"/>
  <c r="J540" i="19"/>
  <c r="J197" i="19"/>
  <c r="J635" i="19"/>
  <c r="J889" i="19"/>
  <c r="J499" i="19"/>
  <c r="J98" i="19"/>
  <c r="J768" i="19"/>
  <c r="J490" i="19"/>
  <c r="J709" i="19"/>
  <c r="J769" i="19"/>
  <c r="J345" i="19"/>
  <c r="J45" i="19"/>
  <c r="J121" i="19"/>
  <c r="J239" i="19"/>
  <c r="J159" i="19"/>
  <c r="J353" i="19"/>
  <c r="J521" i="19"/>
  <c r="J369" i="19"/>
  <c r="J326" i="19"/>
  <c r="J335" i="19"/>
  <c r="J119" i="19"/>
  <c r="J396" i="19"/>
  <c r="J383" i="19"/>
  <c r="J66" i="19"/>
  <c r="J802" i="19"/>
  <c r="J930" i="19"/>
  <c r="J162" i="19"/>
  <c r="J648" i="19"/>
  <c r="J794" i="19"/>
  <c r="J563" i="19"/>
  <c r="J512" i="19"/>
  <c r="J519" i="19"/>
  <c r="J656" i="19"/>
  <c r="J569" i="19"/>
  <c r="J404" i="19"/>
  <c r="J193" i="19"/>
  <c r="J869" i="19"/>
  <c r="J860" i="19"/>
  <c r="J11" i="19"/>
  <c r="J337" i="19"/>
  <c r="J84" i="19"/>
  <c r="J109" i="19"/>
  <c r="J76" i="19"/>
  <c r="J223" i="19"/>
  <c r="J557" i="19"/>
  <c r="J306" i="19"/>
  <c r="J606" i="19"/>
  <c r="J1039" i="19"/>
  <c r="J780" i="19"/>
  <c r="J514" i="19"/>
  <c r="J681" i="19"/>
  <c r="J214" i="19"/>
  <c r="J22" i="19"/>
  <c r="J487" i="19"/>
  <c r="J966" i="19"/>
  <c r="J220" i="19"/>
  <c r="J848" i="19"/>
  <c r="J347" i="19"/>
  <c r="J457" i="19"/>
  <c r="J102" i="19"/>
  <c r="J409" i="19"/>
  <c r="J601" i="19"/>
  <c r="J321" i="19"/>
  <c r="J706" i="19"/>
  <c r="J7" i="19"/>
  <c r="J281" i="19"/>
  <c r="J546" i="19"/>
  <c r="J607" i="19"/>
  <c r="J225" i="19"/>
  <c r="J349" i="19"/>
  <c r="J246" i="19"/>
  <c r="J703" i="19"/>
  <c r="J71" i="19"/>
  <c r="J32" i="19"/>
  <c r="J287" i="19"/>
  <c r="J270" i="19"/>
  <c r="J757" i="19"/>
  <c r="J778" i="19"/>
  <c r="J556" i="19"/>
  <c r="J710" i="19"/>
  <c r="J469" i="19"/>
  <c r="J949" i="19"/>
  <c r="J432" i="19"/>
  <c r="J731" i="19"/>
  <c r="J171" i="19"/>
  <c r="J169" i="19"/>
  <c r="J820" i="19"/>
  <c r="J138" i="19"/>
  <c r="J919" i="19"/>
  <c r="J468" i="19"/>
  <c r="J529" i="19"/>
  <c r="J937" i="19"/>
  <c r="J1019" i="19"/>
  <c r="J502" i="19"/>
  <c r="J883" i="19"/>
  <c r="J593" i="19"/>
  <c r="J163" i="19"/>
  <c r="J417" i="19"/>
  <c r="J729" i="19"/>
  <c r="J619" i="19"/>
  <c r="J839" i="19"/>
  <c r="J943" i="19"/>
  <c r="J578" i="19"/>
  <c r="J218" i="19"/>
  <c r="J219" i="19"/>
  <c r="J391" i="19"/>
  <c r="J830" i="19"/>
  <c r="J636" i="19"/>
  <c r="J72" i="19"/>
  <c r="J1031" i="19"/>
  <c r="J253" i="19"/>
  <c r="J922" i="19"/>
  <c r="J901" i="19"/>
  <c r="J416" i="19"/>
  <c r="J166" i="19"/>
  <c r="J932" i="19"/>
  <c r="J691" i="19"/>
  <c r="J451" i="19"/>
  <c r="J541" i="19"/>
  <c r="J927" i="19"/>
  <c r="J375" i="19"/>
  <c r="J65" i="19"/>
  <c r="J859" i="19"/>
  <c r="J813" i="19"/>
  <c r="J28" i="19"/>
  <c r="J252" i="19"/>
  <c r="J479" i="19"/>
  <c r="J34" i="19"/>
  <c r="J70" i="19"/>
  <c r="J551" i="19"/>
  <c r="J566" i="19"/>
  <c r="J753" i="19"/>
  <c r="J655" i="19"/>
  <c r="J931" i="19"/>
  <c r="J118" i="19"/>
  <c r="J520" i="19"/>
  <c r="J384" i="19"/>
  <c r="J134" i="19"/>
  <c r="J574" i="19"/>
  <c r="J970" i="19"/>
  <c r="J522" i="19"/>
  <c r="J466" i="19"/>
  <c r="J312" i="19"/>
  <c r="J338" i="19"/>
  <c r="J929" i="19"/>
  <c r="J360" i="19"/>
  <c r="J251" i="19"/>
  <c r="J155" i="19"/>
  <c r="J982" i="19"/>
  <c r="J642" i="19"/>
  <c r="J133" i="19"/>
  <c r="J957" i="19"/>
  <c r="J322" i="19"/>
  <c r="J63" i="19"/>
  <c r="J136" i="19"/>
  <c r="J170" i="19"/>
  <c r="J316" i="19"/>
  <c r="J156" i="19"/>
  <c r="J69" i="19"/>
  <c r="J46" i="19"/>
  <c r="J61" i="19"/>
  <c r="J573" i="19"/>
  <c r="J885" i="19"/>
  <c r="J643" i="19"/>
  <c r="J430" i="19"/>
  <c r="J24" i="19"/>
  <c r="J654" i="19"/>
  <c r="J666" i="19"/>
  <c r="J936" i="19"/>
  <c r="J1034" i="19"/>
  <c r="J158" i="19"/>
  <c r="J972" i="19"/>
  <c r="J362" i="19"/>
  <c r="J536" i="19"/>
  <c r="J328" i="19"/>
  <c r="J588" i="19"/>
  <c r="J785" i="19"/>
  <c r="J671" i="19"/>
  <c r="J131" i="19"/>
  <c r="J99" i="19"/>
  <c r="J393" i="19"/>
  <c r="J773" i="19"/>
  <c r="J516" i="19"/>
  <c r="J269" i="19"/>
  <c r="J1010" i="19"/>
  <c r="J1003" i="19"/>
  <c r="J580" i="19"/>
  <c r="J518" i="19"/>
  <c r="J318" i="19"/>
  <c r="J62" i="19"/>
  <c r="J812" i="19"/>
  <c r="J875" i="19"/>
  <c r="J905" i="19"/>
  <c r="J674" i="19"/>
  <c r="J31" i="19"/>
  <c r="J120" i="19"/>
  <c r="J314" i="19"/>
  <c r="J476" i="19"/>
  <c r="J310" i="19"/>
  <c r="J749" i="19"/>
  <c r="J288" i="19"/>
  <c r="J667" i="19"/>
  <c r="J587" i="19"/>
  <c r="J445" i="19"/>
  <c r="J652" i="19"/>
  <c r="J969" i="19"/>
  <c r="J786" i="19"/>
  <c r="J758" i="19"/>
  <c r="J776" i="19"/>
  <c r="J230" i="19"/>
  <c r="J311" i="19"/>
  <c r="J693" i="19"/>
  <c r="J244" i="19"/>
  <c r="J298" i="19"/>
  <c r="J550" i="19"/>
  <c r="J617" i="19"/>
  <c r="J806" i="19"/>
  <c r="J305" i="19"/>
  <c r="J808" i="19"/>
  <c r="J631" i="19"/>
  <c r="J263" i="19"/>
  <c r="J285" i="19"/>
  <c r="J797" i="19"/>
  <c r="J657" i="19"/>
  <c r="J341" i="19"/>
  <c r="J793" i="19"/>
  <c r="J663" i="19"/>
  <c r="J508" i="19"/>
  <c r="J538" i="19"/>
  <c r="J718" i="19"/>
  <c r="J343" i="19"/>
  <c r="J286" i="19"/>
  <c r="J43" i="19"/>
  <c r="J719" i="19"/>
  <c r="J268" i="19"/>
  <c r="J152" i="19"/>
  <c r="J784" i="19"/>
  <c r="J441" i="19"/>
  <c r="J609" i="19"/>
  <c r="J591" i="19"/>
  <c r="J956" i="19"/>
  <c r="J407" i="19"/>
  <c r="J242" i="19"/>
  <c r="J990" i="19"/>
  <c r="J979" i="19"/>
  <c r="J113" i="19"/>
  <c r="J650" i="19"/>
  <c r="J571" i="19"/>
  <c r="J355" i="19"/>
  <c r="J260" i="19"/>
  <c r="J340" i="19"/>
  <c r="J262" i="19"/>
  <c r="J93" i="19"/>
  <c r="J873" i="19"/>
  <c r="J182" i="19"/>
  <c r="J238" i="19"/>
  <c r="J36" i="19"/>
  <c r="J405" i="19"/>
  <c r="J662" i="19"/>
  <c r="J695" i="19"/>
  <c r="J680" i="19"/>
  <c r="J944" i="19"/>
  <c r="J586" i="19"/>
  <c r="J888" i="19"/>
  <c r="J82" i="19"/>
  <c r="J19" i="19"/>
  <c r="J359" i="19"/>
  <c r="J327" i="19"/>
  <c r="J23" i="19"/>
  <c r="J561" i="19"/>
  <c r="J978" i="19"/>
  <c r="J739" i="19"/>
  <c r="J216" i="19"/>
  <c r="J837" i="19"/>
  <c r="J41" i="19"/>
  <c r="J954" i="19"/>
  <c r="J777" i="19"/>
  <c r="J534" i="19"/>
  <c r="J782" i="19"/>
  <c r="J57" i="19"/>
  <c r="J91" i="19"/>
  <c r="J178" i="19"/>
  <c r="J249" i="19"/>
  <c r="J823" i="19"/>
  <c r="J280" i="19"/>
  <c r="J1020" i="19"/>
  <c r="J382" i="19"/>
  <c r="J824" i="19"/>
  <c r="J675" i="19"/>
  <c r="J365" i="19"/>
  <c r="J831" i="19"/>
  <c r="J334" i="19"/>
  <c r="J5" i="19"/>
  <c r="J646" i="19"/>
  <c r="J387" i="19"/>
  <c r="J330" i="19"/>
  <c r="J205" i="19"/>
  <c r="J277" i="19"/>
  <c r="J408" i="19"/>
  <c r="J368" i="19"/>
  <c r="J792" i="19"/>
  <c r="J822" i="19"/>
  <c r="J891" i="19"/>
  <c r="J279" i="19"/>
  <c r="J261" i="19"/>
  <c r="J204" i="19"/>
  <c r="J35" i="19"/>
  <c r="J67" i="19"/>
  <c r="J752" i="19"/>
  <c r="J426" i="19"/>
  <c r="J108" i="19"/>
  <c r="J665" i="19"/>
  <c r="J265" i="19"/>
  <c r="J497" i="19"/>
  <c r="J689" i="19"/>
  <c r="J496" i="19"/>
  <c r="J323" i="19"/>
  <c r="J192" i="19"/>
  <c r="J309" i="19"/>
  <c r="J649" i="19"/>
  <c r="J618" i="19"/>
  <c r="J801" i="19"/>
  <c r="J694" i="19"/>
  <c r="J489" i="19"/>
  <c r="J847" i="19"/>
  <c r="J605" i="19"/>
  <c r="J81" i="19"/>
  <c r="J857" i="19"/>
  <c r="J620" i="19"/>
  <c r="J231" i="19"/>
  <c r="J1000" i="19"/>
  <c r="J475" i="19"/>
  <c r="J107" i="19"/>
  <c r="J1033" i="19"/>
  <c r="J935" i="19"/>
  <c r="J386" i="19"/>
  <c r="J564" i="19"/>
  <c r="J86" i="19"/>
  <c r="J363" i="19"/>
  <c r="J676" i="19"/>
  <c r="J385" i="19"/>
  <c r="J4" i="19"/>
  <c r="J388" i="19"/>
  <c r="J484" i="19"/>
  <c r="J906" i="19"/>
  <c r="J515" i="19"/>
  <c r="J746" i="19"/>
  <c r="J462" i="19"/>
  <c r="J641" i="19"/>
  <c r="J624" i="19"/>
  <c r="J332" i="19"/>
  <c r="J818" i="19"/>
  <c r="J97" i="19"/>
  <c r="J771" i="19"/>
  <c r="J474" i="19"/>
  <c r="J598" i="19"/>
  <c r="J25" i="19"/>
  <c r="J531" i="19"/>
  <c r="J721" i="19"/>
  <c r="J73" i="19"/>
  <c r="J168" i="19"/>
  <c r="J206" i="19"/>
  <c r="J701" i="19"/>
  <c r="J705" i="19"/>
  <c r="J828" i="19"/>
  <c r="J254" i="19"/>
  <c r="J950" i="19"/>
  <c r="J874" i="19"/>
  <c r="J410" i="19"/>
  <c r="J143" i="19"/>
  <c r="J524" i="19"/>
  <c r="J576" i="19"/>
  <c r="J734" i="19"/>
  <c r="J523" i="19"/>
  <c r="J659" i="19"/>
  <c r="J511" i="19"/>
  <c r="J597" i="19"/>
  <c r="J584" i="19"/>
  <c r="J494" i="19"/>
  <c r="J100" i="19"/>
  <c r="J575" i="19"/>
  <c r="J196" i="19"/>
  <c r="J700" i="19"/>
  <c r="J493" i="19"/>
  <c r="J392" i="19"/>
  <c r="J434" i="19"/>
  <c r="J500" i="19"/>
  <c r="J738" i="19"/>
  <c r="J331" i="19"/>
  <c r="J464" i="19"/>
  <c r="J513" i="19"/>
  <c r="J599" i="19"/>
  <c r="J638" i="19"/>
  <c r="J232" i="19"/>
  <c r="J180" i="19"/>
  <c r="J154" i="19"/>
  <c r="J44" i="19"/>
  <c r="J640" i="19"/>
  <c r="J807" i="19"/>
  <c r="J547" i="19"/>
  <c r="J861" i="19"/>
  <c r="J871" i="19"/>
  <c r="J401" i="19"/>
  <c r="J266" i="19"/>
  <c r="J96" i="19"/>
  <c r="J1011" i="19"/>
  <c r="J766" i="19"/>
  <c r="J470" i="19"/>
  <c r="J370" i="19"/>
  <c r="J472" i="19"/>
  <c r="J748" i="19"/>
  <c r="J459" i="19"/>
  <c r="J95" i="19"/>
  <c r="J38" i="19"/>
  <c r="J47" i="19"/>
  <c r="J20" i="19"/>
  <c r="J829" i="19"/>
  <c r="J626" i="19"/>
  <c r="J325" i="19"/>
  <c r="J688" i="19"/>
  <c r="J447" i="19"/>
  <c r="J433" i="19"/>
  <c r="J177" i="19"/>
  <c r="J461" i="19"/>
  <c r="J37" i="19"/>
  <c r="J241" i="19"/>
  <c r="J54" i="19"/>
  <c r="J504" i="19"/>
  <c r="J779" i="19"/>
  <c r="J444" i="19"/>
  <c r="J488" i="19"/>
  <c r="J699" i="19"/>
  <c r="J1021" i="19"/>
  <c r="J2" i="19"/>
  <c r="J226" i="19"/>
  <c r="J473" i="19"/>
  <c r="J651" i="19"/>
  <c r="J845" i="19"/>
  <c r="J545" i="19"/>
  <c r="J789" i="19"/>
  <c r="J527" i="19"/>
  <c r="J418" i="19"/>
  <c r="J510" i="19"/>
  <c r="J372" i="19"/>
  <c r="J436" i="19"/>
  <c r="J585" i="19"/>
  <c r="J112" i="19"/>
  <c r="J213" i="19"/>
  <c r="J374" i="19"/>
  <c r="J603" i="19"/>
  <c r="J190" i="19"/>
  <c r="J344" i="19"/>
  <c r="J565" i="19"/>
  <c r="J413" i="19"/>
  <c r="J611" i="19"/>
  <c r="J329" i="19"/>
  <c r="J367" i="19"/>
  <c r="J381" i="19"/>
  <c r="J164" i="19"/>
  <c r="J725" i="19"/>
  <c r="J245" i="19"/>
  <c r="J403" i="19"/>
  <c r="J863" i="19"/>
  <c r="J844" i="19"/>
  <c r="J39" i="19"/>
  <c r="J616" i="19"/>
  <c r="J237" i="19"/>
  <c r="J921" i="19"/>
  <c r="J195" i="19"/>
  <c r="J704" i="19"/>
  <c r="J49" i="19"/>
  <c r="J92" i="19"/>
  <c r="J887" i="19"/>
  <c r="J735" i="19"/>
  <c r="J946" i="19"/>
  <c r="J207" i="19"/>
  <c r="J647" i="19"/>
  <c r="J799" i="19"/>
  <c r="J492" i="19"/>
  <c r="J761" i="19"/>
  <c r="J448" i="19"/>
  <c r="J88" i="19"/>
  <c r="J855" i="19"/>
  <c r="J153" i="19"/>
  <c r="J167" i="19"/>
  <c r="J191" i="19"/>
  <c r="J307" i="19"/>
  <c r="J60" i="19"/>
  <c r="J215" i="19"/>
  <c r="J315" i="19"/>
  <c r="J235" i="19"/>
  <c r="J357" i="19"/>
  <c r="J983" i="19"/>
  <c r="J390" i="19"/>
  <c r="J767" i="19"/>
  <c r="J720" i="19"/>
  <c r="J361" i="19"/>
  <c r="J58" i="19"/>
  <c r="J150" i="19"/>
  <c r="J872" i="19"/>
  <c r="J443" i="19"/>
  <c r="J104" i="19"/>
  <c r="J920" i="19"/>
  <c r="J144" i="19"/>
  <c r="J590" i="19"/>
  <c r="J827" i="19"/>
  <c r="J763" i="19"/>
  <c r="J774" i="19"/>
  <c r="J537" i="19"/>
  <c r="J14" i="19"/>
  <c r="J394" i="19"/>
  <c r="J124" i="19"/>
  <c r="J878" i="19"/>
  <c r="J980" i="19"/>
  <c r="J1012" i="19"/>
  <c r="J74" i="19"/>
  <c r="J814" i="19"/>
  <c r="J256" i="19"/>
  <c r="J911" i="19"/>
  <c r="J968" i="19"/>
  <c r="J707" i="19"/>
  <c r="J44" i="18"/>
  <c r="J103" i="18"/>
  <c r="J214" i="18"/>
  <c r="J107" i="18"/>
  <c r="J128" i="18"/>
  <c r="J169" i="18"/>
  <c r="J21" i="18"/>
  <c r="J64" i="18"/>
  <c r="J226" i="18"/>
  <c r="J253" i="18"/>
  <c r="J153" i="18"/>
  <c r="J245" i="18"/>
  <c r="J43" i="18"/>
  <c r="J96" i="18"/>
  <c r="J254" i="18"/>
  <c r="J194" i="18"/>
  <c r="J124" i="18"/>
  <c r="J144" i="18"/>
  <c r="J247" i="18"/>
  <c r="J260" i="18"/>
  <c r="J5" i="18"/>
  <c r="J52" i="18"/>
  <c r="J136" i="18"/>
  <c r="J228" i="18"/>
  <c r="J186" i="18"/>
  <c r="J181" i="18"/>
  <c r="J267" i="18"/>
  <c r="J69" i="18"/>
  <c r="J151" i="18"/>
  <c r="J134" i="18"/>
  <c r="J252" i="18"/>
  <c r="J87" i="18"/>
  <c r="J170" i="18"/>
  <c r="J202" i="18"/>
  <c r="J35" i="18"/>
  <c r="J27" i="18"/>
  <c r="J264" i="18"/>
  <c r="J6" i="18"/>
  <c r="J49" i="18"/>
  <c r="J141" i="18"/>
  <c r="J159" i="18"/>
  <c r="J138" i="18"/>
  <c r="J139" i="18"/>
  <c r="J86" i="18"/>
  <c r="J197" i="18"/>
  <c r="J271" i="18"/>
  <c r="J31" i="18"/>
  <c r="J19" i="18"/>
  <c r="J155" i="18"/>
  <c r="J257" i="18"/>
  <c r="J218" i="18"/>
  <c r="J129" i="18"/>
  <c r="J111" i="18"/>
  <c r="J171" i="18"/>
  <c r="J106" i="18"/>
  <c r="J40" i="18"/>
  <c r="J108" i="18"/>
  <c r="J255" i="18"/>
  <c r="J89" i="18"/>
  <c r="J60" i="18"/>
  <c r="J50" i="18"/>
  <c r="J196" i="18"/>
  <c r="J16" i="18"/>
  <c r="J116" i="18"/>
  <c r="J115" i="18"/>
  <c r="J61" i="18"/>
  <c r="J78" i="18"/>
  <c r="J127" i="18"/>
  <c r="J272" i="18"/>
  <c r="J268" i="18"/>
  <c r="J231" i="18"/>
  <c r="J191" i="18"/>
  <c r="J201" i="18"/>
  <c r="J28" i="18"/>
  <c r="J232" i="18"/>
  <c r="J207" i="18"/>
  <c r="J102" i="18"/>
  <c r="J90" i="18"/>
  <c r="J199" i="18"/>
  <c r="J68" i="18"/>
  <c r="J137" i="18"/>
  <c r="J113" i="18"/>
  <c r="J219" i="18"/>
  <c r="J190" i="18"/>
  <c r="J149" i="18"/>
  <c r="J32" i="18"/>
  <c r="J24" i="18"/>
  <c r="J11" i="18"/>
  <c r="J210" i="18"/>
  <c r="J114" i="18"/>
  <c r="J36" i="18"/>
  <c r="J95" i="18"/>
  <c r="J91" i="18"/>
  <c r="J189" i="18"/>
  <c r="J160" i="18"/>
  <c r="J188" i="18"/>
  <c r="J119" i="18"/>
  <c r="J250" i="18"/>
  <c r="J233" i="18"/>
  <c r="J93" i="18"/>
  <c r="J58" i="18"/>
  <c r="J259" i="18"/>
  <c r="J185" i="18"/>
  <c r="J73" i="18"/>
  <c r="J7" i="18"/>
  <c r="J172" i="18"/>
  <c r="J67" i="18"/>
  <c r="J110" i="18"/>
  <c r="J225" i="18"/>
  <c r="J80" i="18"/>
  <c r="J42" i="18"/>
  <c r="J241" i="18"/>
  <c r="J133" i="18"/>
  <c r="J146" i="18"/>
  <c r="J34" i="18"/>
  <c r="J75" i="18"/>
  <c r="J263" i="18"/>
  <c r="J262" i="18"/>
  <c r="J55" i="18"/>
  <c r="J165" i="18"/>
  <c r="J177" i="18"/>
  <c r="J176" i="18"/>
  <c r="J203" i="18"/>
  <c r="J30" i="18"/>
  <c r="J234" i="18"/>
  <c r="J150" i="18"/>
  <c r="J118" i="18"/>
  <c r="J184" i="18"/>
  <c r="J244" i="18"/>
  <c r="J157" i="18"/>
  <c r="J182" i="18"/>
  <c r="J71" i="18"/>
  <c r="J18" i="18"/>
  <c r="J85" i="18"/>
  <c r="J243" i="18"/>
  <c r="J22" i="18"/>
  <c r="J240" i="18"/>
  <c r="J236" i="18"/>
  <c r="J104" i="18"/>
  <c r="J167" i="18"/>
  <c r="J126" i="18"/>
  <c r="J208" i="18"/>
  <c r="J270" i="18"/>
  <c r="J98" i="18"/>
  <c r="J130" i="18"/>
  <c r="J237" i="18"/>
  <c r="J273" i="18"/>
  <c r="J211" i="18"/>
  <c r="J121" i="18"/>
  <c r="J216" i="18"/>
  <c r="J158" i="18"/>
  <c r="J183" i="18"/>
  <c r="J112" i="18"/>
  <c r="J100" i="18"/>
  <c r="J192" i="18"/>
  <c r="J154" i="18"/>
  <c r="J152" i="18"/>
  <c r="J33" i="18"/>
  <c r="J195" i="18"/>
  <c r="J179" i="18"/>
  <c r="J198" i="18"/>
  <c r="J25" i="18"/>
  <c r="J65" i="18"/>
  <c r="J173" i="18"/>
  <c r="J178" i="18"/>
  <c r="J13" i="18"/>
  <c r="J205" i="18"/>
  <c r="J209" i="18"/>
  <c r="J54" i="18"/>
  <c r="J125" i="18"/>
  <c r="J258" i="18"/>
  <c r="J76" i="18"/>
  <c r="J217" i="18"/>
  <c r="J92" i="18"/>
  <c r="J200" i="18"/>
  <c r="J163" i="18"/>
  <c r="J204" i="18"/>
  <c r="J215" i="18"/>
  <c r="J84" i="18"/>
  <c r="J239" i="18"/>
  <c r="J261" i="18"/>
  <c r="J175" i="18"/>
  <c r="J79" i="18"/>
  <c r="J109" i="18"/>
  <c r="J14" i="18"/>
  <c r="J230" i="18"/>
  <c r="J105" i="18"/>
  <c r="J180" i="18"/>
  <c r="J269" i="18"/>
  <c r="J101" i="18"/>
  <c r="J29" i="18"/>
  <c r="J57" i="18"/>
  <c r="J94" i="18"/>
  <c r="J148" i="18"/>
  <c r="J20" i="18"/>
  <c r="J174" i="18"/>
  <c r="J168" i="18"/>
  <c r="J238" i="18"/>
  <c r="J143" i="18"/>
  <c r="J212" i="18"/>
  <c r="J147" i="18"/>
  <c r="J81" i="18"/>
  <c r="J12" i="18"/>
  <c r="J72" i="18"/>
  <c r="J164" i="18"/>
  <c r="J8" i="18"/>
  <c r="J131" i="18"/>
  <c r="J242" i="18"/>
  <c r="J37" i="18"/>
  <c r="J17" i="18"/>
  <c r="J97" i="18"/>
  <c r="J66" i="18"/>
  <c r="J248" i="18"/>
  <c r="J39" i="18"/>
  <c r="J132" i="18"/>
  <c r="J88" i="18"/>
  <c r="J145" i="18"/>
  <c r="J74" i="18"/>
  <c r="J47" i="18"/>
  <c r="J140" i="18"/>
  <c r="J193" i="18"/>
  <c r="J135" i="18"/>
  <c r="J249" i="18"/>
  <c r="J62" i="18"/>
  <c r="J187" i="18"/>
  <c r="J206" i="18"/>
  <c r="J117" i="18"/>
  <c r="J26" i="18"/>
  <c r="J166" i="18"/>
  <c r="J63" i="18"/>
  <c r="T601" i="19" l="1"/>
  <c r="T681" i="19"/>
  <c r="W254" i="18"/>
  <c r="T787" i="19"/>
  <c r="T1034" i="19"/>
  <c r="T947" i="19"/>
  <c r="T253" i="19"/>
  <c r="T314" i="19"/>
  <c r="T288" i="19"/>
  <c r="T1002" i="19"/>
  <c r="T257" i="19"/>
  <c r="T328" i="19"/>
  <c r="T45" i="19"/>
  <c r="T719" i="19"/>
  <c r="W209" i="18"/>
  <c r="W169" i="18"/>
  <c r="T345" i="19"/>
  <c r="T767" i="19"/>
  <c r="W149" i="18"/>
  <c r="W203" i="18"/>
  <c r="T68" i="19"/>
  <c r="T499" i="19"/>
  <c r="T398" i="19"/>
  <c r="T434" i="19"/>
  <c r="T281" i="19"/>
  <c r="T649" i="19"/>
  <c r="T580" i="19"/>
  <c r="T780" i="19"/>
  <c r="T707" i="19"/>
  <c r="T259" i="19"/>
  <c r="T911" i="19"/>
  <c r="T814" i="19"/>
  <c r="T340" i="19"/>
  <c r="T527" i="19"/>
  <c r="T222" i="19"/>
  <c r="T500" i="19"/>
  <c r="T256" i="19"/>
  <c r="T516" i="19"/>
  <c r="T972" i="19"/>
  <c r="T847" i="19"/>
  <c r="T234" i="19"/>
  <c r="T73" i="19"/>
  <c r="T667" i="19"/>
  <c r="T220" i="19"/>
  <c r="W253" i="18"/>
  <c r="T64" i="19"/>
  <c r="T105" i="19"/>
  <c r="T625" i="19"/>
  <c r="T633" i="19"/>
  <c r="T883" i="19"/>
  <c r="T123" i="19"/>
  <c r="T796" i="19"/>
  <c r="T523" i="19"/>
  <c r="T157" i="19"/>
  <c r="T380" i="19"/>
  <c r="W165" i="18"/>
  <c r="W194" i="18"/>
  <c r="W166" i="18"/>
  <c r="W267" i="18"/>
  <c r="W191" i="18"/>
  <c r="W84" i="18"/>
  <c r="W79" i="18"/>
  <c r="T704" i="19"/>
  <c r="T497" i="19"/>
  <c r="T429" i="19"/>
  <c r="T848" i="19"/>
  <c r="T331" i="19"/>
  <c r="T627" i="19"/>
  <c r="T981" i="19"/>
  <c r="T689" i="19"/>
  <c r="T361" i="19"/>
  <c r="T143" i="19"/>
  <c r="T476" i="19"/>
  <c r="T1035" i="19"/>
  <c r="T598" i="19"/>
  <c r="T721" i="19"/>
  <c r="T636" i="19"/>
  <c r="T85" i="19"/>
  <c r="T581" i="19"/>
  <c r="T115" i="19"/>
  <c r="T808" i="19"/>
  <c r="T77" i="19"/>
  <c r="T183" i="19"/>
  <c r="T153" i="19"/>
  <c r="T605" i="19"/>
  <c r="W198" i="18"/>
  <c r="W73" i="18"/>
  <c r="W243" i="18"/>
  <c r="T352" i="19"/>
  <c r="T576" i="19"/>
  <c r="T875" i="19"/>
  <c r="T559" i="19"/>
  <c r="T454" i="19"/>
  <c r="T475" i="19"/>
  <c r="T509" i="19"/>
  <c r="T448" i="19"/>
  <c r="T1001" i="19"/>
  <c r="T209" i="19"/>
  <c r="T441" i="19"/>
  <c r="T518" i="19"/>
  <c r="T671" i="19"/>
  <c r="T685" i="19"/>
  <c r="T40" i="19"/>
  <c r="T530" i="19"/>
  <c r="T214" i="19"/>
  <c r="T310" i="19"/>
  <c r="T900" i="19"/>
  <c r="T440" i="19"/>
  <c r="T426" i="19"/>
  <c r="T392" i="19"/>
  <c r="T317" i="19"/>
  <c r="T4" i="19"/>
  <c r="T797" i="19"/>
  <c r="T474" i="19"/>
  <c r="T25" i="19"/>
  <c r="T390" i="19"/>
  <c r="W245" i="18"/>
  <c r="W31" i="18"/>
  <c r="T907" i="19"/>
  <c r="T857" i="19"/>
  <c r="W104" i="18"/>
  <c r="T591" i="19"/>
  <c r="T321" i="19"/>
  <c r="T973" i="19"/>
  <c r="T49" i="19"/>
  <c r="T385" i="19"/>
  <c r="T632" i="19"/>
  <c r="T459" i="19"/>
  <c r="T152" i="19"/>
  <c r="T406" i="19"/>
  <c r="T445" i="19"/>
  <c r="T1033" i="19"/>
  <c r="T610" i="19"/>
  <c r="T700" i="19"/>
  <c r="T410" i="19"/>
  <c r="T478" i="19"/>
  <c r="T935" i="19"/>
  <c r="T785" i="19"/>
  <c r="T98" i="19"/>
  <c r="T362" i="19"/>
  <c r="T743" i="19"/>
  <c r="T210" i="19"/>
  <c r="T618" i="19"/>
  <c r="T606" i="19"/>
  <c r="T510" i="19"/>
  <c r="W39" i="18"/>
  <c r="W30" i="18"/>
  <c r="T237" i="19"/>
  <c r="T208" i="19"/>
  <c r="T1031" i="19"/>
  <c r="T355" i="19"/>
  <c r="T179" i="19"/>
  <c r="T363" i="19"/>
  <c r="T486" i="19"/>
  <c r="T7" i="19"/>
  <c r="T690" i="19"/>
  <c r="T269" i="19"/>
  <c r="W111" i="18"/>
  <c r="W260" i="18"/>
  <c r="W42" i="18"/>
  <c r="W118" i="18"/>
  <c r="W263" i="18"/>
  <c r="W64" i="18"/>
  <c r="W115" i="18"/>
  <c r="T546" i="19"/>
  <c r="T336" i="19"/>
  <c r="T784" i="19"/>
  <c r="T812" i="19"/>
  <c r="T264" i="19"/>
  <c r="T18" i="19"/>
  <c r="T607" i="19"/>
  <c r="T1029" i="19"/>
  <c r="T855" i="19"/>
  <c r="T1019" i="19"/>
  <c r="T677" i="19"/>
  <c r="T968" i="19"/>
  <c r="T263" i="19"/>
  <c r="T490" i="19"/>
  <c r="T579" i="19"/>
  <c r="T417" i="19"/>
  <c r="T236" i="19"/>
  <c r="T694" i="19"/>
  <c r="T372" i="19"/>
  <c r="T347" i="19"/>
  <c r="T666" i="19"/>
  <c r="T544" i="19"/>
  <c r="W210" i="18"/>
  <c r="W76" i="18"/>
  <c r="W155" i="18"/>
  <c r="W135" i="18"/>
  <c r="T260" i="19"/>
  <c r="T496" i="19"/>
  <c r="T749" i="19"/>
  <c r="T418" i="19"/>
  <c r="T39" i="19"/>
  <c r="T760" i="19"/>
  <c r="T165" i="19"/>
  <c r="T1003" i="19"/>
  <c r="T81" i="19"/>
  <c r="T122" i="19"/>
  <c r="T79" i="19"/>
  <c r="T431" i="19"/>
  <c r="T922" i="19"/>
  <c r="T540" i="19"/>
  <c r="T777" i="19"/>
  <c r="T455" i="19"/>
  <c r="T502" i="19"/>
  <c r="T738" i="19"/>
  <c r="T121" i="19"/>
  <c r="W106" i="18"/>
  <c r="T93" i="19"/>
  <c r="T450" i="19"/>
  <c r="T600" i="19"/>
  <c r="T720" i="19"/>
  <c r="T1017" i="19"/>
  <c r="T905" i="19"/>
  <c r="T485" i="19"/>
  <c r="T616" i="19"/>
  <c r="T102" i="19"/>
  <c r="T759" i="19"/>
  <c r="T131" i="19"/>
  <c r="W226" i="18"/>
  <c r="W164" i="18"/>
  <c r="T645" i="19"/>
  <c r="T192" i="19"/>
  <c r="T120" i="19"/>
  <c r="T22" i="19"/>
  <c r="T723" i="19"/>
  <c r="T480" i="19"/>
  <c r="T830" i="19"/>
  <c r="T108" i="19"/>
  <c r="T524" i="19"/>
  <c r="T772" i="19"/>
  <c r="T706" i="19"/>
  <c r="W121" i="18"/>
  <c r="W255" i="18"/>
  <c r="T531" i="19"/>
  <c r="W125" i="18"/>
  <c r="W206" i="18"/>
  <c r="T318" i="19"/>
  <c r="T635" i="19"/>
  <c r="T903" i="19"/>
  <c r="T395" i="19"/>
  <c r="T933" i="19"/>
  <c r="T366" i="19"/>
  <c r="T609" i="19"/>
  <c r="T637" i="19"/>
  <c r="T843" i="19"/>
  <c r="T90" i="19"/>
  <c r="T761" i="19"/>
  <c r="T587" i="19"/>
  <c r="T388" i="19"/>
  <c r="T864" i="19"/>
  <c r="T768" i="19"/>
  <c r="T969" i="19"/>
  <c r="T493" i="19"/>
  <c r="T393" i="19"/>
  <c r="T801" i="19"/>
  <c r="T661" i="19"/>
  <c r="T771" i="19"/>
  <c r="T966" i="19"/>
  <c r="T570" i="19"/>
  <c r="T536" i="19"/>
  <c r="W188" i="18"/>
  <c r="W13" i="18"/>
  <c r="T489" i="19"/>
  <c r="T265" i="19"/>
  <c r="T676" i="19"/>
  <c r="T1039" i="19"/>
  <c r="T213" i="19"/>
  <c r="T657" i="19"/>
  <c r="T1010" i="19"/>
  <c r="T262" i="19"/>
  <c r="T268" i="19"/>
  <c r="W179" i="18"/>
  <c r="W247" i="18"/>
  <c r="W65" i="18"/>
  <c r="W131" i="18"/>
  <c r="W158" i="18"/>
  <c r="W184" i="18"/>
  <c r="W34" i="18"/>
  <c r="W189" i="18"/>
  <c r="T167" i="19"/>
  <c r="T30" i="19"/>
  <c r="T94" i="19"/>
  <c r="T118" i="19"/>
  <c r="T278" i="19"/>
  <c r="T427" i="19"/>
  <c r="T769" i="19"/>
  <c r="T349" i="19"/>
  <c r="T112" i="19"/>
  <c r="T231" i="19"/>
  <c r="T17" i="19"/>
  <c r="T865" i="19"/>
  <c r="T415" i="19"/>
  <c r="T246" i="19"/>
  <c r="T593" i="19"/>
  <c r="T31" i="19"/>
  <c r="T176" i="19"/>
  <c r="T457" i="19"/>
  <c r="T285" i="19"/>
  <c r="T571" i="19"/>
  <c r="T588" i="19"/>
  <c r="T323" i="19"/>
  <c r="W128" i="18"/>
  <c r="W36" i="18"/>
  <c r="W211" i="18"/>
  <c r="W87" i="18"/>
  <c r="T893" i="19"/>
  <c r="T409" i="19"/>
  <c r="T514" i="19"/>
  <c r="T319" i="19"/>
  <c r="T936" i="19"/>
  <c r="T902" i="19"/>
  <c r="T58" i="19"/>
  <c r="T83" i="19"/>
  <c r="T436" i="19"/>
  <c r="T163" i="19"/>
  <c r="T846" i="19"/>
  <c r="T197" i="19"/>
  <c r="T225" i="19"/>
  <c r="T937" i="19"/>
  <c r="T62" i="19"/>
  <c r="T341" i="19"/>
  <c r="T800" i="19"/>
  <c r="T889" i="19"/>
  <c r="T229" i="19"/>
  <c r="T333" i="19"/>
  <c r="T620" i="19"/>
  <c r="T309" i="19"/>
  <c r="T734" i="19"/>
  <c r="T233" i="19"/>
  <c r="W49" i="18"/>
  <c r="W139" i="18"/>
  <c r="T873" i="19"/>
  <c r="T351" i="19"/>
  <c r="T921" i="19"/>
  <c r="T99" i="19"/>
  <c r="T72" i="19"/>
  <c r="T674" i="19"/>
  <c r="T810" i="19"/>
  <c r="T487" i="19"/>
  <c r="T631" i="19"/>
  <c r="T773" i="19"/>
  <c r="T158" i="19"/>
  <c r="W19" i="18"/>
  <c r="T665" i="19"/>
  <c r="T765" i="19"/>
  <c r="W110" i="18"/>
  <c r="W167" i="18"/>
  <c r="T150" i="19"/>
  <c r="T585" i="19"/>
  <c r="T195" i="19"/>
  <c r="T762" i="19"/>
  <c r="T532" i="19"/>
  <c r="T652" i="19"/>
  <c r="T107" i="19"/>
  <c r="T88" i="19"/>
  <c r="T190" i="19"/>
  <c r="T289" i="19"/>
  <c r="T181" i="19"/>
  <c r="T1000" i="19"/>
  <c r="T611" i="19"/>
  <c r="T709" i="19"/>
  <c r="T243" i="19"/>
  <c r="T912" i="19"/>
  <c r="T169" i="19"/>
  <c r="T127" i="19"/>
  <c r="T239" i="19"/>
  <c r="T788" i="19"/>
  <c r="T297" i="19"/>
  <c r="T804" i="19"/>
  <c r="T130" i="19"/>
  <c r="T389" i="19"/>
  <c r="W97" i="18"/>
  <c r="W205" i="18"/>
  <c r="T144" i="19"/>
  <c r="T662" i="19"/>
  <c r="T80" i="19"/>
  <c r="T827" i="19"/>
  <c r="T688" i="19"/>
  <c r="T626" i="19"/>
  <c r="T185" i="19"/>
  <c r="T433" i="19"/>
  <c r="T453" i="19"/>
  <c r="W27" i="18"/>
  <c r="W250" i="18"/>
  <c r="W177" i="18"/>
  <c r="W93" i="18"/>
  <c r="W212" i="18"/>
  <c r="W90" i="18"/>
  <c r="W218" i="18"/>
  <c r="W88" i="18"/>
  <c r="T446" i="19"/>
  <c r="T932" i="19"/>
  <c r="T168" i="19"/>
  <c r="T465" i="19"/>
  <c r="T373" i="19"/>
  <c r="T20" i="19"/>
  <c r="T346" i="19"/>
  <c r="T542" i="19"/>
  <c r="T137" i="19"/>
  <c r="T886" i="19"/>
  <c r="T583" i="19"/>
  <c r="T513" i="19"/>
  <c r="T416" i="19"/>
  <c r="T751" i="19"/>
  <c r="T166" i="19"/>
  <c r="T752" i="19"/>
  <c r="T35" i="19"/>
  <c r="T439" i="19"/>
  <c r="T38" i="19"/>
  <c r="T792" i="19"/>
  <c r="T408" i="19"/>
  <c r="T464" i="19"/>
  <c r="W269" i="18"/>
  <c r="W174" i="18"/>
  <c r="W24" i="18"/>
  <c r="T560" i="19"/>
  <c r="T630" i="19"/>
  <c r="T414" i="19"/>
  <c r="T261" i="19"/>
  <c r="T594" i="19"/>
  <c r="T10" i="19"/>
  <c r="T733" i="19"/>
  <c r="T205" i="19"/>
  <c r="T425" i="19"/>
  <c r="T748" i="19"/>
  <c r="T370" i="19"/>
  <c r="T517" i="19"/>
  <c r="T901" i="19"/>
  <c r="T401" i="19"/>
  <c r="T861" i="19"/>
  <c r="T533" i="19"/>
  <c r="T891" i="19"/>
  <c r="W207" i="18"/>
  <c r="W91" i="18"/>
  <c r="W78" i="18"/>
  <c r="W171" i="18"/>
  <c r="W248" i="18"/>
  <c r="W258" i="18"/>
  <c r="W94" i="18"/>
  <c r="W129" i="18"/>
  <c r="W192" i="18"/>
  <c r="W18" i="18"/>
  <c r="W233" i="18"/>
  <c r="W98" i="18"/>
  <c r="W11" i="18"/>
  <c r="W160" i="18"/>
  <c r="T5" i="19"/>
  <c r="T831" i="19"/>
  <c r="T766" i="19"/>
  <c r="T387" i="19"/>
  <c r="T267" i="19"/>
  <c r="T128" i="19"/>
  <c r="T807" i="19"/>
  <c r="T737" i="19"/>
  <c r="W214" i="18"/>
  <c r="W8" i="18"/>
  <c r="W5" i="18"/>
  <c r="W173" i="18"/>
  <c r="T306" i="19"/>
  <c r="T223" i="19"/>
  <c r="T675" i="19"/>
  <c r="T897" i="19"/>
  <c r="T860" i="19"/>
  <c r="T193" i="19"/>
  <c r="T6" i="19"/>
  <c r="T96" i="19"/>
  <c r="T428" i="19"/>
  <c r="T715" i="19"/>
  <c r="T109" i="19"/>
  <c r="T44" i="19"/>
  <c r="T280" i="19"/>
  <c r="T249" i="19"/>
  <c r="T569" i="19"/>
  <c r="T382" i="19"/>
  <c r="T132" i="19"/>
  <c r="T732" i="19"/>
  <c r="T562" i="19"/>
  <c r="T320" i="19"/>
  <c r="T567" i="19"/>
  <c r="T548" i="19"/>
  <c r="W144" i="18"/>
  <c r="W37" i="18"/>
  <c r="W20" i="18"/>
  <c r="T91" i="19"/>
  <c r="T337" i="19"/>
  <c r="T563" i="19"/>
  <c r="T648" i="19"/>
  <c r="W12" i="18"/>
  <c r="W113" i="18"/>
  <c r="W60" i="18"/>
  <c r="T33" i="19"/>
  <c r="T519" i="19"/>
  <c r="T604" i="19"/>
  <c r="T917" i="19"/>
  <c r="T377" i="19"/>
  <c r="T899" i="19"/>
  <c r="T654" i="19"/>
  <c r="T430" i="19"/>
  <c r="T930" i="19"/>
  <c r="T782" i="19"/>
  <c r="T69" i="19"/>
  <c r="T316" i="19"/>
  <c r="T596" i="19"/>
  <c r="T255" i="19"/>
  <c r="T623" i="19"/>
  <c r="T89" i="19"/>
  <c r="T885" i="19"/>
  <c r="T240" i="19"/>
  <c r="T396" i="19"/>
  <c r="T335" i="19"/>
  <c r="T136" i="19"/>
  <c r="T66" i="19"/>
  <c r="T954" i="19"/>
  <c r="T837" i="19"/>
  <c r="T437" i="19"/>
  <c r="T460" i="19"/>
  <c r="T327" i="19"/>
  <c r="T19" i="19"/>
  <c r="T369" i="19"/>
  <c r="T61" i="19"/>
  <c r="T133" i="19"/>
  <c r="T982" i="19"/>
  <c r="T739" i="19"/>
  <c r="T322" i="19"/>
  <c r="T592" i="19"/>
  <c r="T998" i="19"/>
  <c r="T888" i="19"/>
  <c r="T798" i="19"/>
  <c r="T106" i="19"/>
  <c r="T342" i="19"/>
  <c r="T251" i="19"/>
  <c r="T353" i="19"/>
  <c r="T781" i="19"/>
  <c r="T8" i="19"/>
  <c r="T955" i="19"/>
  <c r="T561" i="19"/>
  <c r="T180" i="19"/>
  <c r="T691" i="19"/>
  <c r="W95" i="18"/>
  <c r="W29" i="18"/>
  <c r="W238" i="18"/>
  <c r="W163" i="18"/>
  <c r="T964" i="19"/>
  <c r="T944" i="19"/>
  <c r="T312" i="19"/>
  <c r="T522" i="19"/>
  <c r="T29" i="19"/>
  <c r="T929" i="19"/>
  <c r="T577" i="19"/>
  <c r="T628" i="19"/>
  <c r="T432" i="19"/>
  <c r="T639" i="19"/>
  <c r="T87" i="19"/>
  <c r="T634" i="19"/>
  <c r="T574" i="19"/>
  <c r="T595" i="19"/>
  <c r="T491" i="19"/>
  <c r="T247" i="19"/>
  <c r="T1025" i="19"/>
  <c r="T184" i="19"/>
  <c r="T556" i="19"/>
  <c r="W81" i="18"/>
  <c r="W68" i="18"/>
  <c r="W231" i="18"/>
  <c r="W215" i="18"/>
  <c r="W186" i="18"/>
  <c r="W185" i="18"/>
  <c r="W105" i="18"/>
  <c r="W80" i="18"/>
  <c r="W180" i="18"/>
  <c r="W47" i="18"/>
  <c r="W190" i="18"/>
  <c r="W17" i="18"/>
  <c r="W176" i="18"/>
  <c r="W201" i="18"/>
  <c r="T757" i="19"/>
  <c r="T258" i="19"/>
  <c r="T469" i="19"/>
  <c r="T844" i="19"/>
  <c r="T97" i="19"/>
  <c r="T217" i="19"/>
  <c r="T384" i="19"/>
  <c r="T818" i="19"/>
  <c r="T245" i="19"/>
  <c r="T287" i="19"/>
  <c r="T203" i="19"/>
  <c r="T379" i="19"/>
  <c r="T717" i="19"/>
  <c r="T806" i="19"/>
  <c r="T3" i="19"/>
  <c r="T498" i="19"/>
  <c r="T59" i="19"/>
  <c r="T332" i="19"/>
  <c r="T250" i="19"/>
  <c r="T931" i="19"/>
  <c r="T753" i="19"/>
  <c r="T1015" i="19"/>
  <c r="T71" i="19"/>
  <c r="T252" i="19"/>
  <c r="T813" i="19"/>
  <c r="T402" i="19"/>
  <c r="T617" i="19"/>
  <c r="T244" i="19"/>
  <c r="T980" i="19"/>
  <c r="T551" i="19"/>
  <c r="T725" i="19"/>
  <c r="T568" i="19"/>
  <c r="T364" i="19"/>
  <c r="T65" i="19"/>
  <c r="T1016" i="19"/>
  <c r="T391" i="19"/>
  <c r="T196" i="19"/>
  <c r="T693" i="19"/>
  <c r="T879" i="19"/>
  <c r="T218" i="19"/>
  <c r="T100" i="19"/>
  <c r="T313" i="19"/>
  <c r="T34" i="19"/>
  <c r="T695" i="19"/>
  <c r="T374" i="19"/>
  <c r="T219" i="19"/>
  <c r="T927" i="19"/>
  <c r="T878" i="19"/>
  <c r="T230" i="19"/>
  <c r="T578" i="19"/>
  <c r="W55" i="18"/>
  <c r="W150" i="18"/>
  <c r="W240" i="18"/>
  <c r="W96" i="18"/>
  <c r="W175" i="18"/>
  <c r="W89" i="18"/>
  <c r="W143" i="18"/>
  <c r="W102" i="18"/>
  <c r="W272" i="18"/>
  <c r="W178" i="18"/>
  <c r="W271" i="18"/>
  <c r="W28" i="18"/>
  <c r="W193" i="18"/>
  <c r="W25" i="18"/>
  <c r="T311" i="19"/>
  <c r="T492" i="19"/>
  <c r="T43" i="19"/>
  <c r="T786" i="19"/>
  <c r="T918" i="19"/>
  <c r="T647" i="19"/>
  <c r="T343" i="19"/>
  <c r="T329" i="19"/>
  <c r="T575" i="19"/>
  <c r="T943" i="19"/>
  <c r="T584" i="19"/>
  <c r="T799" i="19"/>
  <c r="T494" i="19"/>
  <c r="T558" i="19"/>
  <c r="T1032" i="19"/>
  <c r="T207" i="19"/>
  <c r="T350" i="19"/>
  <c r="T86" i="19"/>
  <c r="T564" i="19"/>
  <c r="T839" i="19"/>
  <c r="T776" i="19"/>
  <c r="T226" i="19"/>
  <c r="T1021" i="19"/>
  <c r="T745" i="19"/>
  <c r="T286" i="19"/>
  <c r="T946" i="19"/>
  <c r="T538" i="19"/>
  <c r="T845" i="19"/>
  <c r="T718" i="19"/>
  <c r="T619" i="19"/>
  <c r="T511" i="19"/>
  <c r="T488" i="19"/>
  <c r="T597" i="19"/>
  <c r="T413" i="19"/>
  <c r="T906" i="19"/>
  <c r="T735" i="19"/>
  <c r="T826" i="19"/>
  <c r="T537" i="19"/>
  <c r="T774" i="19"/>
  <c r="T729" i="19"/>
  <c r="T386" i="19"/>
  <c r="T54" i="19"/>
  <c r="T37" i="19"/>
  <c r="T565" i="19"/>
  <c r="T779" i="19"/>
  <c r="T887" i="19"/>
  <c r="T663" i="19"/>
  <c r="T484" i="19"/>
  <c r="T508" i="19"/>
  <c r="T803" i="19"/>
  <c r="W74" i="18"/>
  <c r="W187" i="18"/>
  <c r="W157" i="18"/>
  <c r="W196" i="18"/>
  <c r="W137" i="18"/>
  <c r="W241" i="18"/>
  <c r="W116" i="18"/>
  <c r="W146" i="18"/>
  <c r="W108" i="18"/>
  <c r="W216" i="18"/>
  <c r="W239" i="18"/>
  <c r="W63" i="18"/>
  <c r="W204" i="18"/>
  <c r="W273" i="18"/>
  <c r="T228" i="19"/>
  <c r="T177" i="19"/>
  <c r="T659" i="19"/>
  <c r="T449" i="19"/>
  <c r="T16" i="19"/>
  <c r="T92" i="19"/>
  <c r="W92" i="18"/>
  <c r="W261" i="18"/>
  <c r="W252" i="18"/>
  <c r="W109" i="18"/>
  <c r="T14" i="19"/>
  <c r="T451" i="19"/>
  <c r="T638" i="19"/>
  <c r="T142" i="19"/>
  <c r="T590" i="19"/>
  <c r="T325" i="19"/>
  <c r="T829" i="19"/>
  <c r="T458" i="19"/>
  <c r="T447" i="19"/>
  <c r="T442" i="19"/>
  <c r="T435" i="19"/>
  <c r="T599" i="19"/>
  <c r="T793" i="19"/>
  <c r="T53" i="19"/>
  <c r="T525" i="19"/>
  <c r="T47" i="19"/>
  <c r="T463" i="19"/>
  <c r="T282" i="19"/>
  <c r="T528" i="19"/>
  <c r="T354" i="19"/>
  <c r="T126" i="19"/>
  <c r="W132" i="18"/>
  <c r="W61" i="18"/>
  <c r="W21" i="18"/>
  <c r="W7" i="18"/>
  <c r="T238" i="19"/>
  <c r="T443" i="19"/>
  <c r="T503" i="19"/>
  <c r="W138" i="18"/>
  <c r="W140" i="18"/>
  <c r="W57" i="18"/>
  <c r="W268" i="18"/>
  <c r="T104" i="19"/>
  <c r="T67" i="19"/>
  <c r="T204" i="19"/>
  <c r="T221" i="19"/>
  <c r="T95" i="19"/>
  <c r="T368" i="19"/>
  <c r="T277" i="19"/>
  <c r="T182" i="19"/>
  <c r="T376" i="19"/>
  <c r="T838" i="19"/>
  <c r="T629" i="19"/>
  <c r="T279" i="19"/>
  <c r="T27" i="19"/>
  <c r="T224" i="19"/>
  <c r="T967" i="19"/>
  <c r="T330" i="19"/>
  <c r="T999" i="19"/>
  <c r="T472" i="19"/>
  <c r="T470" i="19"/>
  <c r="T783" i="19"/>
  <c r="T872" i="19"/>
  <c r="T871" i="19"/>
  <c r="T547" i="19"/>
  <c r="T724" i="19"/>
  <c r="T822" i="19"/>
  <c r="T334" i="19"/>
  <c r="T365" i="19"/>
  <c r="T1011" i="19"/>
  <c r="T646" i="19"/>
  <c r="T116" i="19"/>
  <c r="T13" i="19"/>
  <c r="T640" i="19"/>
  <c r="T378" i="19"/>
  <c r="T557" i="19"/>
  <c r="T76" i="19"/>
  <c r="T824" i="19"/>
  <c r="T324" i="19"/>
  <c r="T869" i="19"/>
  <c r="T404" i="19"/>
  <c r="T1038" i="19"/>
  <c r="T266" i="19"/>
  <c r="T188" i="19"/>
  <c r="T26" i="19"/>
  <c r="T84" i="19"/>
  <c r="T154" i="19"/>
  <c r="T823" i="19"/>
  <c r="T178" i="19"/>
  <c r="T656" i="19"/>
  <c r="W195" i="18"/>
  <c r="W145" i="18"/>
  <c r="W54" i="18"/>
  <c r="W72" i="18"/>
  <c r="T1020" i="19"/>
  <c r="T348" i="19"/>
  <c r="T371" i="19"/>
  <c r="T673" i="19"/>
  <c r="T48" i="19"/>
  <c r="T103" i="19"/>
  <c r="T877" i="19"/>
  <c r="T57" i="19"/>
  <c r="T11" i="19"/>
  <c r="T794" i="19"/>
  <c r="T162" i="19"/>
  <c r="T747" i="19"/>
  <c r="T512" i="19"/>
  <c r="T539" i="19"/>
  <c r="T809" i="19"/>
  <c r="T397" i="19"/>
  <c r="T12" i="19"/>
  <c r="T24" i="19"/>
  <c r="T643" i="19"/>
  <c r="W217" i="18"/>
  <c r="W117" i="18"/>
  <c r="W170" i="18"/>
  <c r="W259" i="18"/>
  <c r="W67" i="18"/>
  <c r="W257" i="18"/>
  <c r="W270" i="18"/>
  <c r="W14" i="18"/>
  <c r="W249" i="18"/>
  <c r="W133" i="18"/>
  <c r="W151" i="18"/>
  <c r="W75" i="18"/>
  <c r="W71" i="18"/>
  <c r="W232" i="18"/>
  <c r="T802" i="19"/>
  <c r="T534" i="19"/>
  <c r="T156" i="19"/>
  <c r="T170" i="19"/>
  <c r="T945" i="19"/>
  <c r="T687" i="19"/>
  <c r="T9" i="19"/>
  <c r="T110" i="19"/>
  <c r="T573" i="19"/>
  <c r="T114" i="19"/>
  <c r="T119" i="19"/>
  <c r="T326" i="19"/>
  <c r="T63" i="19"/>
  <c r="T383" i="19"/>
  <c r="T41" i="19"/>
  <c r="T216" i="19"/>
  <c r="T711" i="19"/>
  <c r="T248" i="19"/>
  <c r="T359" i="19"/>
  <c r="T82" i="19"/>
  <c r="T521" i="19"/>
  <c r="T46" i="19"/>
  <c r="T642" i="19"/>
  <c r="T155" i="19"/>
  <c r="T978" i="19"/>
  <c r="T957" i="19"/>
  <c r="T679" i="19"/>
  <c r="T456" i="19"/>
  <c r="T586" i="19"/>
  <c r="T356" i="19"/>
  <c r="T339" i="19"/>
  <c r="T582" i="19"/>
  <c r="T360" i="19"/>
  <c r="T159" i="19"/>
  <c r="T821" i="19"/>
  <c r="T1026" i="19"/>
  <c r="T117" i="19"/>
  <c r="T23" i="19"/>
  <c r="T920" i="19"/>
  <c r="T731" i="19"/>
  <c r="T535" i="19"/>
  <c r="T680" i="19"/>
  <c r="T466" i="19"/>
  <c r="T970" i="19"/>
  <c r="T526" i="19"/>
  <c r="T338" i="19"/>
  <c r="T467" i="19"/>
  <c r="T653" i="19"/>
  <c r="T949" i="19"/>
  <c r="W100" i="18"/>
  <c r="W33" i="18"/>
  <c r="W58" i="18"/>
  <c r="W154" i="18"/>
  <c r="W141" i="18"/>
  <c r="W16" i="18"/>
  <c r="W35" i="18"/>
  <c r="W242" i="18"/>
  <c r="W225" i="18"/>
  <c r="W119" i="18"/>
  <c r="W183" i="18"/>
  <c r="W159" i="18"/>
  <c r="W114" i="18"/>
  <c r="W134" i="18"/>
  <c r="W103" i="18"/>
  <c r="T1014" i="19"/>
  <c r="T290" i="19"/>
  <c r="T75" i="19"/>
  <c r="T134" i="19"/>
  <c r="T795" i="19"/>
  <c r="T111" i="19"/>
  <c r="T78" i="19"/>
  <c r="T552" i="19"/>
  <c r="T994" i="19"/>
  <c r="T778" i="19"/>
  <c r="T270" i="19"/>
  <c r="T125" i="19"/>
  <c r="T710" i="19"/>
  <c r="T305" i="19"/>
  <c r="T863" i="19"/>
  <c r="T858" i="19"/>
  <c r="T520" i="19"/>
  <c r="T550" i="19"/>
  <c r="T1012" i="19"/>
  <c r="T32" i="19"/>
  <c r="T438" i="19"/>
  <c r="T21" i="19"/>
  <c r="T101" i="19"/>
  <c r="T74" i="19"/>
  <c r="T615" i="19"/>
  <c r="T660" i="19"/>
  <c r="T227" i="19"/>
  <c r="T298" i="19"/>
  <c r="T15" i="19"/>
  <c r="T655" i="19"/>
  <c r="T566" i="19"/>
  <c r="T941" i="19"/>
  <c r="T703" i="19"/>
  <c r="T28" i="19"/>
  <c r="T859" i="19"/>
  <c r="T358" i="19"/>
  <c r="T403" i="19"/>
  <c r="T164" i="19"/>
  <c r="T641" i="19"/>
  <c r="T70" i="19"/>
  <c r="T624" i="19"/>
  <c r="T770" i="19"/>
  <c r="T452" i="19"/>
  <c r="T375" i="19"/>
  <c r="T974" i="19"/>
  <c r="T983" i="19"/>
  <c r="T650" i="19"/>
  <c r="T381" i="19"/>
  <c r="T764" i="19"/>
  <c r="W62" i="18"/>
  <c r="W26" i="18"/>
  <c r="W69" i="18"/>
  <c r="W200" i="18"/>
  <c r="W32" i="18"/>
  <c r="W86" i="18"/>
  <c r="W172" i="18"/>
  <c r="W147" i="18"/>
  <c r="W66" i="18"/>
  <c r="W228" i="18"/>
  <c r="W168" i="18"/>
  <c r="W22" i="18"/>
  <c r="W124" i="18"/>
  <c r="W126" i="18"/>
  <c r="W182" i="18"/>
  <c r="T235" i="19"/>
  <c r="T979" i="19"/>
  <c r="T892" i="19"/>
  <c r="T479" i="19"/>
  <c r="T232" i="19"/>
  <c r="T405" i="19"/>
  <c r="T357" i="19"/>
  <c r="T541" i="19"/>
  <c r="T367" i="19"/>
  <c r="W85" i="18"/>
  <c r="W264" i="18"/>
  <c r="W152" i="18"/>
  <c r="W52" i="18"/>
  <c r="W43" i="18"/>
  <c r="W101" i="18"/>
  <c r="W130" i="18"/>
  <c r="W197" i="18"/>
  <c r="W148" i="18"/>
  <c r="W112" i="18"/>
  <c r="W234" i="18"/>
  <c r="W244" i="18"/>
  <c r="W237" i="18"/>
  <c r="W230" i="18"/>
  <c r="W153" i="18"/>
  <c r="T746" i="19"/>
  <c r="T315" i="19"/>
  <c r="T462" i="19"/>
  <c r="T874" i="19"/>
  <c r="T529" i="19"/>
  <c r="T36" i="19"/>
  <c r="T644" i="19"/>
  <c r="T254" i="19"/>
  <c r="T919" i="19"/>
  <c r="T124" i="19"/>
  <c r="T113" i="19"/>
  <c r="T215" i="19"/>
  <c r="T242" i="19"/>
  <c r="T950" i="19"/>
  <c r="T990" i="19"/>
  <c r="T151" i="19"/>
  <c r="T589" i="19"/>
  <c r="T828" i="19"/>
  <c r="T775" i="19"/>
  <c r="T789" i="19"/>
  <c r="T545" i="19"/>
  <c r="T60" i="19"/>
  <c r="T515" i="19"/>
  <c r="T2" i="19"/>
  <c r="T699" i="19"/>
  <c r="T572" i="19"/>
  <c r="T468" i="19"/>
  <c r="T705" i="19"/>
  <c r="T820" i="19"/>
  <c r="T651" i="19"/>
  <c r="T138" i="19"/>
  <c r="T307" i="19"/>
  <c r="T956" i="19"/>
  <c r="T444" i="19"/>
  <c r="T407" i="19"/>
  <c r="T394" i="19"/>
  <c r="T758" i="19"/>
  <c r="T701" i="19"/>
  <c r="T308" i="19"/>
  <c r="T603" i="19"/>
  <c r="T763" i="19"/>
  <c r="T191" i="19"/>
  <c r="T473" i="19"/>
  <c r="T241" i="19"/>
  <c r="T461" i="19"/>
  <c r="T344" i="19"/>
  <c r="T504" i="19"/>
  <c r="T206" i="19"/>
  <c r="T171" i="19"/>
  <c r="W199" i="18"/>
  <c r="W219" i="18"/>
  <c r="W236" i="18"/>
  <c r="W202" i="18"/>
  <c r="W208" i="18"/>
  <c r="W262" i="18"/>
  <c r="W50" i="18"/>
  <c r="W127" i="18"/>
  <c r="W6" i="18"/>
  <c r="W107" i="18"/>
  <c r="W136" i="18"/>
  <c r="W44" i="18"/>
  <c r="W181" i="18"/>
  <c r="W40" i="18"/>
  <c r="C15" i="11"/>
  <c r="A6" i="1" l="1"/>
  <c r="C5" i="1"/>
  <c r="E5" i="1"/>
  <c r="D5" i="1"/>
  <c r="B5" i="1"/>
  <c r="A7" i="1" l="1"/>
  <c r="C6" i="1"/>
  <c r="E6" i="1"/>
  <c r="D6" i="1"/>
  <c r="B6" i="1"/>
  <c r="A8" i="1" l="1"/>
  <c r="C7" i="1"/>
  <c r="E7" i="1"/>
  <c r="D7" i="1"/>
  <c r="B7" i="1"/>
  <c r="A9" i="1" l="1"/>
  <c r="C8" i="1"/>
  <c r="E8" i="1"/>
  <c r="D8" i="1"/>
  <c r="B8" i="1"/>
  <c r="A10" i="1" l="1"/>
  <c r="E9" i="1"/>
  <c r="C9" i="1"/>
  <c r="B9" i="1"/>
  <c r="D9" i="1"/>
  <c r="A11" i="1" l="1"/>
  <c r="E10" i="1"/>
  <c r="C10" i="1"/>
  <c r="B10" i="1"/>
  <c r="D10" i="1"/>
  <c r="A12" i="1" l="1"/>
  <c r="E11" i="1"/>
  <c r="D11" i="1"/>
  <c r="C11" i="1"/>
  <c r="B11" i="1"/>
  <c r="A13" i="1" l="1"/>
  <c r="E13" i="1" s="1"/>
  <c r="B12" i="1"/>
  <c r="E12" i="1"/>
  <c r="C12" i="1"/>
  <c r="D12" i="1"/>
  <c r="B13" i="1" l="1"/>
  <c r="D13" i="1"/>
  <c r="C13" i="1"/>
  <c r="A14" i="1"/>
  <c r="A15" i="1" l="1"/>
  <c r="B14" i="1"/>
  <c r="C14" i="1"/>
  <c r="D14" i="1"/>
  <c r="E14" i="1"/>
  <c r="D15" i="1" l="1"/>
  <c r="A16" i="1"/>
  <c r="C15" i="1"/>
  <c r="E15" i="1"/>
  <c r="B15" i="1"/>
  <c r="A17" i="1" l="1"/>
  <c r="D16" i="1"/>
  <c r="E16" i="1"/>
  <c r="C16" i="1"/>
  <c r="B16" i="1"/>
  <c r="A18" i="1" l="1"/>
  <c r="E17" i="1"/>
  <c r="D17" i="1"/>
  <c r="B17" i="1"/>
  <c r="C17" i="1"/>
  <c r="A19" i="1" l="1"/>
  <c r="B18" i="1"/>
  <c r="C18" i="1"/>
  <c r="D18" i="1"/>
  <c r="E18" i="1"/>
  <c r="A20" i="1" l="1"/>
  <c r="E19" i="1"/>
  <c r="D19" i="1"/>
  <c r="C19" i="1"/>
  <c r="B19" i="1"/>
  <c r="X13" i="14"/>
  <c r="M4" i="14"/>
  <c r="AB4" i="14"/>
  <c r="AB13" i="14"/>
  <c r="AN8" i="14"/>
  <c r="AI5" i="14"/>
  <c r="Y8" i="14"/>
  <c r="AI2" i="14"/>
  <c r="AB17" i="14"/>
  <c r="M13" i="14"/>
  <c r="AI6" i="14"/>
  <c r="AB10" i="14"/>
  <c r="X5" i="14"/>
  <c r="AI14" i="14"/>
  <c r="AN10" i="14"/>
  <c r="Z6" i="14"/>
  <c r="AN11" i="14"/>
  <c r="AN14" i="14"/>
  <c r="Y11" i="14"/>
  <c r="Z2" i="14"/>
  <c r="Y16" i="14"/>
  <c r="Y17" i="14"/>
  <c r="AI17" i="14"/>
  <c r="AN13" i="14"/>
  <c r="X17" i="14"/>
  <c r="Y9" i="14"/>
  <c r="Z12" i="14"/>
  <c r="Y15" i="14"/>
  <c r="X12" i="14"/>
  <c r="AI13" i="14"/>
  <c r="Z5" i="14"/>
  <c r="AN5" i="14"/>
  <c r="N14" i="14"/>
  <c r="X11" i="14"/>
  <c r="AI12" i="14"/>
  <c r="AB6" i="14"/>
  <c r="X6" i="14"/>
  <c r="N6" i="14"/>
  <c r="Z14" i="14"/>
  <c r="Y6" i="14"/>
  <c r="AB11" i="14"/>
  <c r="N4" i="14"/>
  <c r="AB8" i="14"/>
  <c r="Z11" i="14"/>
  <c r="X14" i="14"/>
  <c r="AN12" i="14"/>
  <c r="M7" i="14"/>
  <c r="M5" i="14"/>
  <c r="M14" i="14"/>
  <c r="M12" i="14"/>
  <c r="Y7" i="14"/>
  <c r="Y3" i="14"/>
  <c r="AB3" i="14"/>
  <c r="AN6" i="14"/>
  <c r="AI3" i="14"/>
  <c r="M11" i="14"/>
  <c r="Y14" i="14"/>
  <c r="M6" i="14"/>
  <c r="AI10" i="14"/>
  <c r="AN7" i="14"/>
  <c r="AN4" i="14"/>
  <c r="Z10" i="14"/>
  <c r="M3" i="14"/>
  <c r="N16" i="14"/>
  <c r="Z7" i="14"/>
  <c r="N2" i="14"/>
  <c r="X2" i="14"/>
  <c r="AN3" i="14"/>
  <c r="AI11" i="14"/>
  <c r="AB12" i="14"/>
  <c r="M8" i="14"/>
  <c r="Z16" i="14"/>
  <c r="X7" i="14"/>
  <c r="N11" i="14"/>
  <c r="X3" i="14"/>
  <c r="M16" i="14"/>
  <c r="X16" i="14"/>
  <c r="AI15" i="14"/>
  <c r="AN2" i="14"/>
  <c r="M9" i="14"/>
  <c r="AI9" i="14"/>
  <c r="AI16" i="14"/>
  <c r="Z15" i="14"/>
  <c r="AI8" i="14"/>
  <c r="N15" i="14"/>
  <c r="X9" i="14"/>
  <c r="Z17" i="14"/>
  <c r="N13" i="14"/>
  <c r="N8" i="14"/>
  <c r="Y5" i="14"/>
  <c r="N5" i="14"/>
  <c r="N3" i="14"/>
  <c r="X10" i="14"/>
  <c r="Z3" i="14"/>
  <c r="Y2" i="14"/>
  <c r="Y12" i="14"/>
  <c r="AI4" i="14"/>
  <c r="AN17" i="14"/>
  <c r="AN16" i="14"/>
  <c r="AB16" i="14"/>
  <c r="Y13" i="14"/>
  <c r="X8" i="14"/>
  <c r="Z4" i="14"/>
  <c r="AN15" i="14"/>
  <c r="M10" i="14"/>
  <c r="AN9" i="14"/>
  <c r="Y4" i="14"/>
  <c r="Z9" i="14"/>
  <c r="AI7" i="14"/>
  <c r="X15" i="14"/>
  <c r="N17" i="14"/>
  <c r="N9" i="14"/>
  <c r="M17" i="14"/>
  <c r="N7" i="14"/>
  <c r="X4" i="14"/>
  <c r="AB5" i="14"/>
  <c r="AB7" i="14"/>
  <c r="Y10" i="14"/>
  <c r="AB14" i="14"/>
  <c r="M15" i="14"/>
  <c r="N12" i="14"/>
  <c r="AB9" i="14"/>
  <c r="N10" i="14"/>
  <c r="M2" i="14"/>
  <c r="AB15" i="14"/>
  <c r="AB2" i="14"/>
  <c r="Z13" i="14"/>
  <c r="Z8" i="14"/>
  <c r="A21" i="1" l="1"/>
  <c r="B20" i="1"/>
  <c r="D20" i="1"/>
  <c r="E20" i="1"/>
  <c r="C20" i="1"/>
  <c r="AA15" i="14"/>
  <c r="W16" i="14"/>
  <c r="AA9" i="14"/>
  <c r="W9" i="14"/>
  <c r="AA11" i="14"/>
  <c r="W10" i="14"/>
  <c r="AA14" i="14"/>
  <c r="W3" i="14"/>
  <c r="AA12" i="14"/>
  <c r="AA13" i="14"/>
  <c r="AA6" i="14"/>
  <c r="AA16" i="14"/>
  <c r="AA7" i="14"/>
  <c r="AA4" i="14"/>
  <c r="AA10" i="14"/>
  <c r="W12" i="14"/>
  <c r="W13" i="14"/>
  <c r="W15" i="14"/>
  <c r="AA17" i="14"/>
  <c r="W17" i="14"/>
  <c r="W11" i="14"/>
  <c r="W14" i="14"/>
  <c r="AA3" i="14"/>
  <c r="W4" i="14"/>
  <c r="W2" i="14"/>
  <c r="AA8" i="14"/>
  <c r="AA2" i="14"/>
  <c r="W6" i="14"/>
  <c r="AA5" i="14"/>
  <c r="W5" i="14"/>
  <c r="W7" i="14"/>
  <c r="W8" i="14"/>
  <c r="AO7" i="14"/>
  <c r="AO2" i="14"/>
  <c r="AO15" i="14"/>
  <c r="AO11" i="14"/>
  <c r="AO5" i="14"/>
  <c r="AO10" i="14"/>
  <c r="AO3" i="14"/>
  <c r="AO8" i="14"/>
  <c r="AO13" i="14"/>
  <c r="AO16" i="14"/>
  <c r="AO17" i="14"/>
  <c r="AO14" i="14"/>
  <c r="AO9" i="14"/>
  <c r="AO12" i="14"/>
  <c r="AO6" i="14"/>
  <c r="AO4" i="14"/>
  <c r="R8" i="14" l="1"/>
  <c r="Q8" i="14"/>
  <c r="P8" i="14"/>
  <c r="R4" i="14"/>
  <c r="Q4" i="14"/>
  <c r="P4" i="14"/>
  <c r="Q2" i="14"/>
  <c r="P2" i="14"/>
  <c r="R2" i="14"/>
  <c r="R3" i="14"/>
  <c r="Q3" i="14"/>
  <c r="P3" i="14"/>
  <c r="R17" i="14"/>
  <c r="P17" i="14"/>
  <c r="Q17" i="14"/>
  <c r="Q10" i="14"/>
  <c r="R10" i="14"/>
  <c r="P10" i="14"/>
  <c r="R6" i="14"/>
  <c r="Q6" i="14"/>
  <c r="P6" i="14"/>
  <c r="Q14" i="14"/>
  <c r="R14" i="14"/>
  <c r="P14" i="14"/>
  <c r="R9" i="14"/>
  <c r="Q9" i="14"/>
  <c r="P9" i="14"/>
  <c r="R13" i="14"/>
  <c r="P13" i="14"/>
  <c r="Q13" i="14"/>
  <c r="R5" i="14"/>
  <c r="Q5" i="14"/>
  <c r="P5" i="14"/>
  <c r="R7" i="14"/>
  <c r="Q7" i="14"/>
  <c r="P7" i="14"/>
  <c r="R12" i="14"/>
  <c r="Q12" i="14"/>
  <c r="P12" i="14"/>
  <c r="R11" i="14"/>
  <c r="Q11" i="14"/>
  <c r="P11" i="14"/>
  <c r="R15" i="14"/>
  <c r="Q15" i="14"/>
  <c r="P15" i="14"/>
  <c r="R16" i="14"/>
  <c r="Q16" i="14"/>
  <c r="P16" i="14"/>
  <c r="A22" i="1"/>
  <c r="C21" i="1"/>
  <c r="B21" i="1"/>
  <c r="E21" i="1"/>
  <c r="D21" i="1"/>
  <c r="N19" i="14"/>
  <c r="M19" i="14"/>
  <c r="Z19" i="14"/>
  <c r="X18" i="14"/>
  <c r="N18" i="14"/>
  <c r="M18" i="14"/>
  <c r="AN19" i="14"/>
  <c r="AI19" i="14"/>
  <c r="X19" i="14"/>
  <c r="AB19" i="14"/>
  <c r="AN18" i="14"/>
  <c r="Y18" i="14"/>
  <c r="AB18" i="14"/>
  <c r="AI18" i="14"/>
  <c r="Y19" i="14"/>
  <c r="Z18" i="14"/>
  <c r="O4" i="14" l="1"/>
  <c r="AA18" i="14"/>
  <c r="AA19" i="14"/>
  <c r="W18" i="14"/>
  <c r="W19" i="14"/>
  <c r="D22" i="1"/>
  <c r="C22" i="1"/>
  <c r="E22" i="1"/>
  <c r="A23" i="1"/>
  <c r="B22" i="1"/>
  <c r="O12" i="14"/>
  <c r="O2" i="14"/>
  <c r="O8" i="14"/>
  <c r="O14" i="14"/>
  <c r="O7" i="14"/>
  <c r="O3" i="14"/>
  <c r="O17" i="14"/>
  <c r="O10" i="14"/>
  <c r="O15" i="14"/>
  <c r="O13" i="14"/>
  <c r="O9" i="14"/>
  <c r="O5" i="14"/>
  <c r="O16" i="14"/>
  <c r="O6" i="14"/>
  <c r="O11" i="14"/>
  <c r="AO19" i="14"/>
  <c r="AO18" i="14"/>
  <c r="R19" i="14" l="1"/>
  <c r="Q19" i="14"/>
  <c r="P19" i="14"/>
  <c r="Q18" i="14"/>
  <c r="R18" i="14"/>
  <c r="P18" i="14"/>
  <c r="A24" i="1"/>
  <c r="N21" i="14" s="1"/>
  <c r="E23" i="1"/>
  <c r="D23" i="1"/>
  <c r="C23" i="1"/>
  <c r="B23" i="1"/>
  <c r="AI20" i="14"/>
  <c r="Y20" i="14"/>
  <c r="X20" i="14"/>
  <c r="M20" i="14"/>
  <c r="AB20" i="14"/>
  <c r="N20" i="14"/>
  <c r="Z20" i="14"/>
  <c r="AN20" i="14"/>
  <c r="O18" i="14" l="1"/>
  <c r="O19" i="14"/>
  <c r="W20" i="14"/>
  <c r="AA20" i="14"/>
  <c r="A25" i="1"/>
  <c r="D24" i="1"/>
  <c r="C24" i="1"/>
  <c r="E24" i="1"/>
  <c r="B24" i="1"/>
  <c r="AN21" i="14"/>
  <c r="Y21" i="14"/>
  <c r="X21" i="14"/>
  <c r="AI21" i="14"/>
  <c r="AO20" i="14"/>
  <c r="Z21" i="14"/>
  <c r="AB21" i="14"/>
  <c r="M21" i="14"/>
  <c r="R20" i="14" l="1"/>
  <c r="Q20" i="14"/>
  <c r="P20" i="14"/>
  <c r="W21" i="14"/>
  <c r="AA21" i="14"/>
  <c r="A26" i="1"/>
  <c r="D25" i="1"/>
  <c r="C25" i="1"/>
  <c r="B25" i="1"/>
  <c r="E25" i="1"/>
  <c r="N22" i="14"/>
  <c r="AI22" i="14"/>
  <c r="Y22" i="14"/>
  <c r="AN22" i="14"/>
  <c r="AO21" i="14"/>
  <c r="AI23" i="14"/>
  <c r="X22" i="14"/>
  <c r="AB22" i="14"/>
  <c r="M22" i="14"/>
  <c r="Z22" i="14"/>
  <c r="R21" i="14" l="1"/>
  <c r="Q21" i="14"/>
  <c r="P21" i="14"/>
  <c r="W22" i="14"/>
  <c r="O20" i="14"/>
  <c r="AA22" i="14"/>
  <c r="A27" i="1"/>
  <c r="E26" i="1"/>
  <c r="D26" i="1"/>
  <c r="C26" i="1"/>
  <c r="B26" i="1"/>
  <c r="AB23" i="14"/>
  <c r="N23" i="14"/>
  <c r="AN23" i="14"/>
  <c r="X23" i="14"/>
  <c r="Y23" i="14"/>
  <c r="Z23" i="14"/>
  <c r="AO22" i="14"/>
  <c r="M23" i="14"/>
  <c r="O21" i="14" l="1"/>
  <c r="R22" i="14"/>
  <c r="Q22" i="14"/>
  <c r="P22" i="14"/>
  <c r="W23" i="14"/>
  <c r="AA23" i="14"/>
  <c r="A28" i="1"/>
  <c r="B27" i="1"/>
  <c r="C27" i="1"/>
  <c r="E27" i="1"/>
  <c r="D27" i="1"/>
  <c r="AN24" i="14"/>
  <c r="N24" i="14"/>
  <c r="AO23" i="14"/>
  <c r="M24" i="14"/>
  <c r="AI24" i="14"/>
  <c r="AB24" i="14"/>
  <c r="X24" i="14"/>
  <c r="Z24" i="14"/>
  <c r="Z25" i="14"/>
  <c r="Y24" i="14"/>
  <c r="R23" i="14" l="1"/>
  <c r="Q23" i="14"/>
  <c r="P23" i="14"/>
  <c r="AA24" i="14"/>
  <c r="O22" i="14"/>
  <c r="W24" i="14"/>
  <c r="A29" i="1"/>
  <c r="E28" i="1"/>
  <c r="B28" i="1"/>
  <c r="C28" i="1"/>
  <c r="D28" i="1"/>
  <c r="AB25" i="14"/>
  <c r="X25" i="14"/>
  <c r="M25" i="14"/>
  <c r="N25" i="14"/>
  <c r="AN25" i="14"/>
  <c r="AI25" i="14"/>
  <c r="Y25" i="14"/>
  <c r="AO24" i="14"/>
  <c r="AA25" i="14" l="1"/>
  <c r="R25" i="14" s="1"/>
  <c r="W25" i="14"/>
  <c r="R24" i="14"/>
  <c r="Q24" i="14"/>
  <c r="P24" i="14"/>
  <c r="Q25" i="14"/>
  <c r="O23" i="14"/>
  <c r="A30" i="1"/>
  <c r="AN27" i="14" s="1"/>
  <c r="B29" i="1"/>
  <c r="C29" i="1"/>
  <c r="D29" i="1"/>
  <c r="E29" i="1"/>
  <c r="AN26" i="14"/>
  <c r="N26" i="14"/>
  <c r="N27" i="14"/>
  <c r="AB26" i="14"/>
  <c r="AI26" i="14"/>
  <c r="M26" i="14"/>
  <c r="AO25" i="14"/>
  <c r="X26" i="14"/>
  <c r="Z26" i="14"/>
  <c r="Y26" i="14"/>
  <c r="Z27" i="14" l="1"/>
  <c r="P25" i="14"/>
  <c r="O25" i="14" s="1"/>
  <c r="O24" i="14"/>
  <c r="W26" i="14"/>
  <c r="AA26" i="14"/>
  <c r="A31" i="1"/>
  <c r="E30" i="1"/>
  <c r="B30" i="1"/>
  <c r="C30" i="1"/>
  <c r="D30" i="1"/>
  <c r="AI27" i="14"/>
  <c r="AB27" i="14"/>
  <c r="X27" i="14"/>
  <c r="M27" i="14"/>
  <c r="Y27" i="14"/>
  <c r="AO26" i="14"/>
  <c r="Q26" i="14" l="1"/>
  <c r="R26" i="14"/>
  <c r="P26" i="14"/>
  <c r="AA27" i="14"/>
  <c r="W27" i="14"/>
  <c r="A32" i="1"/>
  <c r="B31" i="1"/>
  <c r="C31" i="1"/>
  <c r="D31" i="1"/>
  <c r="E31" i="1"/>
  <c r="AO27" i="14"/>
  <c r="R27" i="14" l="1"/>
  <c r="Q27" i="14"/>
  <c r="P27" i="14"/>
  <c r="O26" i="14"/>
  <c r="A33" i="1"/>
  <c r="B32" i="1"/>
  <c r="C32" i="1"/>
  <c r="D32" i="1"/>
  <c r="E32" i="1"/>
  <c r="O27" i="14" l="1"/>
  <c r="A34" i="1"/>
  <c r="E33" i="1"/>
  <c r="B33" i="1"/>
  <c r="C33" i="1"/>
  <c r="D33" i="1"/>
  <c r="A35" i="1" l="1"/>
  <c r="B34" i="1"/>
  <c r="C34" i="1"/>
  <c r="D34" i="1"/>
  <c r="E34" i="1"/>
  <c r="A36" i="1" l="1"/>
  <c r="E35" i="1"/>
  <c r="B35" i="1"/>
  <c r="C35" i="1"/>
  <c r="D35" i="1"/>
  <c r="A37" i="1" l="1"/>
  <c r="E36" i="1"/>
  <c r="B36" i="1"/>
  <c r="C36" i="1"/>
  <c r="D36" i="1"/>
  <c r="A38" i="1" l="1"/>
  <c r="B37" i="1"/>
  <c r="C37" i="1"/>
  <c r="D37" i="1"/>
  <c r="E37" i="1"/>
  <c r="A39" i="1" l="1"/>
  <c r="B38" i="1"/>
  <c r="D38" i="1"/>
  <c r="E38" i="1"/>
  <c r="C38" i="1"/>
  <c r="A40" i="1" l="1"/>
  <c r="E39" i="1"/>
  <c r="B39" i="1"/>
  <c r="C39" i="1"/>
  <c r="D39" i="1"/>
  <c r="A41" i="1" l="1"/>
  <c r="E40" i="1"/>
  <c r="B40" i="1"/>
  <c r="C40" i="1"/>
  <c r="D40" i="1"/>
  <c r="A42" i="1" l="1"/>
  <c r="B41" i="1"/>
  <c r="D41" i="1"/>
  <c r="E41" i="1"/>
  <c r="C41" i="1"/>
  <c r="A43" i="1" l="1"/>
  <c r="A44" i="1" s="1"/>
  <c r="E42" i="1"/>
  <c r="B42" i="1"/>
  <c r="C42" i="1"/>
  <c r="D42" i="1"/>
  <c r="A45" i="1" l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E44" i="1"/>
  <c r="B44" i="1"/>
  <c r="D44" i="1"/>
  <c r="C44" i="1"/>
  <c r="B43" i="1"/>
  <c r="C43" i="1"/>
  <c r="D43" i="1"/>
  <c r="E43" i="1"/>
  <c r="Q7" i="15"/>
  <c r="Q25" i="15"/>
  <c r="A56" i="1" l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E55" i="1"/>
  <c r="C55" i="1"/>
  <c r="B55" i="1"/>
  <c r="D55" i="1"/>
  <c r="B54" i="1"/>
  <c r="C54" i="1"/>
  <c r="D54" i="1"/>
  <c r="E54" i="1"/>
  <c r="D53" i="1"/>
  <c r="E53" i="1"/>
  <c r="B53" i="1"/>
  <c r="C53" i="1"/>
  <c r="B52" i="1"/>
  <c r="C52" i="1"/>
  <c r="D52" i="1"/>
  <c r="E52" i="1"/>
  <c r="B51" i="1"/>
  <c r="C51" i="1"/>
  <c r="D51" i="1"/>
  <c r="E51" i="1"/>
  <c r="B50" i="1"/>
  <c r="C50" i="1"/>
  <c r="D50" i="1"/>
  <c r="E50" i="1"/>
  <c r="B49" i="1"/>
  <c r="C49" i="1"/>
  <c r="D49" i="1"/>
  <c r="E49" i="1"/>
  <c r="B48" i="1"/>
  <c r="C48" i="1"/>
  <c r="D48" i="1"/>
  <c r="E48" i="1"/>
  <c r="B47" i="1"/>
  <c r="C47" i="1"/>
  <c r="D47" i="1"/>
  <c r="E47" i="1"/>
  <c r="B46" i="1"/>
  <c r="C46" i="1"/>
  <c r="D46" i="1"/>
  <c r="E46" i="1"/>
  <c r="B45" i="1"/>
  <c r="C45" i="1"/>
  <c r="D45" i="1"/>
  <c r="E45" i="1"/>
  <c r="U25" i="15"/>
  <c r="X25" i="15" s="1"/>
  <c r="Z25" i="15"/>
  <c r="U7" i="15"/>
  <c r="X7" i="15" s="1"/>
  <c r="Z7" i="15"/>
  <c r="Q22" i="15"/>
  <c r="Q14" i="15"/>
  <c r="Q35" i="15"/>
  <c r="Q29" i="15"/>
  <c r="Q3" i="15"/>
  <c r="Q13" i="15"/>
  <c r="Q19" i="15"/>
  <c r="Q37" i="15"/>
  <c r="Q4" i="15"/>
  <c r="Q30" i="15"/>
  <c r="Q32" i="15"/>
  <c r="Q18" i="15"/>
  <c r="Q24" i="15"/>
  <c r="Q34" i="15"/>
  <c r="Q20" i="15"/>
  <c r="Q27" i="15"/>
  <c r="Q11" i="15"/>
  <c r="Q15" i="15"/>
  <c r="Q17" i="15"/>
  <c r="Q9" i="15"/>
  <c r="Q8" i="15"/>
  <c r="Q31" i="15"/>
  <c r="Q33" i="15"/>
  <c r="Q10" i="15"/>
  <c r="Q28" i="15"/>
  <c r="Q2" i="15"/>
  <c r="Q21" i="15"/>
  <c r="Q36" i="15"/>
  <c r="Q5" i="15"/>
  <c r="Q23" i="15"/>
  <c r="Q6" i="15"/>
  <c r="Q12" i="15"/>
  <c r="Q26" i="15"/>
  <c r="Q16" i="15"/>
  <c r="A72" i="1" l="1"/>
  <c r="E71" i="1"/>
  <c r="C71" i="1"/>
  <c r="D71" i="1"/>
  <c r="B71" i="1"/>
  <c r="B70" i="1"/>
  <c r="C70" i="1"/>
  <c r="D70" i="1"/>
  <c r="E70" i="1"/>
  <c r="B69" i="1"/>
  <c r="C69" i="1"/>
  <c r="D69" i="1"/>
  <c r="E69" i="1"/>
  <c r="B68" i="1"/>
  <c r="C68" i="1"/>
  <c r="D68" i="1"/>
  <c r="E68" i="1"/>
  <c r="E67" i="1"/>
  <c r="D67" i="1"/>
  <c r="B67" i="1"/>
  <c r="C67" i="1"/>
  <c r="B66" i="1"/>
  <c r="C66" i="1"/>
  <c r="D66" i="1"/>
  <c r="E66" i="1"/>
  <c r="C65" i="1"/>
  <c r="B65" i="1"/>
  <c r="E65" i="1"/>
  <c r="D65" i="1"/>
  <c r="B64" i="1"/>
  <c r="E64" i="1"/>
  <c r="D64" i="1"/>
  <c r="C64" i="1"/>
  <c r="E63" i="1"/>
  <c r="D63" i="1"/>
  <c r="B63" i="1"/>
  <c r="C63" i="1"/>
  <c r="D62" i="1"/>
  <c r="B62" i="1"/>
  <c r="C62" i="1"/>
  <c r="E62" i="1"/>
  <c r="E61" i="1"/>
  <c r="B61" i="1"/>
  <c r="D61" i="1"/>
  <c r="C61" i="1"/>
  <c r="D60" i="1"/>
  <c r="C60" i="1"/>
  <c r="B60" i="1"/>
  <c r="E60" i="1"/>
  <c r="E59" i="1"/>
  <c r="B59" i="1"/>
  <c r="D59" i="1"/>
  <c r="C59" i="1"/>
  <c r="E58" i="1"/>
  <c r="D58" i="1"/>
  <c r="C58" i="1"/>
  <c r="B58" i="1"/>
  <c r="B57" i="1"/>
  <c r="C57" i="1"/>
  <c r="D57" i="1"/>
  <c r="E57" i="1"/>
  <c r="E56" i="1"/>
  <c r="D56" i="1"/>
  <c r="C56" i="1"/>
  <c r="B56" i="1"/>
  <c r="U26" i="15"/>
  <c r="Z26" i="15"/>
  <c r="U5" i="15"/>
  <c r="X5" i="15" s="1"/>
  <c r="Z5" i="15"/>
  <c r="U2" i="15"/>
  <c r="Z2" i="15"/>
  <c r="Z37" i="15"/>
  <c r="U37" i="15"/>
  <c r="X37" i="15" s="1"/>
  <c r="U19" i="15"/>
  <c r="X19" i="15" s="1"/>
  <c r="Z19" i="15"/>
  <c r="U14" i="15"/>
  <c r="Z14" i="15"/>
  <c r="U16" i="15"/>
  <c r="X16" i="15" s="1"/>
  <c r="Z16" i="15"/>
  <c r="U31" i="15"/>
  <c r="X31" i="15" s="1"/>
  <c r="Z31" i="15"/>
  <c r="Z8" i="15"/>
  <c r="U8" i="15"/>
  <c r="X8" i="15" s="1"/>
  <c r="U27" i="15"/>
  <c r="X27" i="15" s="1"/>
  <c r="Z27" i="15"/>
  <c r="U23" i="15"/>
  <c r="X23" i="15" s="1"/>
  <c r="Z23" i="15"/>
  <c r="Z21" i="15"/>
  <c r="U21" i="15"/>
  <c r="X21" i="15" s="1"/>
  <c r="Z33" i="15"/>
  <c r="U33" i="15"/>
  <c r="X33" i="15" s="1"/>
  <c r="Z32" i="15"/>
  <c r="U32" i="15"/>
  <c r="X32" i="15" s="1"/>
  <c r="U34" i="15"/>
  <c r="X34" i="15" s="1"/>
  <c r="Z34" i="15"/>
  <c r="Z13" i="15"/>
  <c r="U13" i="15"/>
  <c r="X13" i="15" s="1"/>
  <c r="U12" i="15"/>
  <c r="X12" i="15" s="1"/>
  <c r="Z12" i="15"/>
  <c r="U20" i="15"/>
  <c r="X20" i="15" s="1"/>
  <c r="Z20" i="15"/>
  <c r="Z6" i="15"/>
  <c r="U6" i="15"/>
  <c r="X6" i="15" s="1"/>
  <c r="U28" i="15"/>
  <c r="X28" i="15" s="1"/>
  <c r="Z28" i="15"/>
  <c r="Z10" i="15"/>
  <c r="U10" i="15"/>
  <c r="X10" i="15" s="1"/>
  <c r="U11" i="15"/>
  <c r="X11" i="15" s="1"/>
  <c r="Z11" i="15"/>
  <c r="U35" i="15"/>
  <c r="X35" i="15" s="1"/>
  <c r="Z35" i="15"/>
  <c r="Z9" i="15"/>
  <c r="U9" i="15"/>
  <c r="X9" i="15" s="1"/>
  <c r="U17" i="15"/>
  <c r="X17" i="15" s="1"/>
  <c r="Z17" i="15"/>
  <c r="U24" i="15"/>
  <c r="X24" i="15" s="1"/>
  <c r="Z24" i="15"/>
  <c r="U18" i="15"/>
  <c r="X18" i="15" s="1"/>
  <c r="Z18" i="15"/>
  <c r="U22" i="15"/>
  <c r="X22" i="15" s="1"/>
  <c r="Z22" i="15"/>
  <c r="U36" i="15"/>
  <c r="X36" i="15" s="1"/>
  <c r="Z36" i="15"/>
  <c r="Z30" i="15"/>
  <c r="U30" i="15"/>
  <c r="X30" i="15" s="1"/>
  <c r="U4" i="15"/>
  <c r="X4" i="15" s="1"/>
  <c r="Z4" i="15"/>
  <c r="U3" i="15"/>
  <c r="X3" i="15" s="1"/>
  <c r="Z3" i="15"/>
  <c r="U15" i="15"/>
  <c r="X15" i="15" s="1"/>
  <c r="Z15" i="15"/>
  <c r="U29" i="15"/>
  <c r="X29" i="15" s="1"/>
  <c r="Z29" i="15"/>
  <c r="A73" i="1" l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E72" i="1"/>
  <c r="C72" i="1"/>
  <c r="D72" i="1"/>
  <c r="B72" i="1"/>
  <c r="CZ62" i="1"/>
  <c r="DH62" i="1" s="1"/>
  <c r="DJ62" i="1" s="1"/>
  <c r="CP62" i="1"/>
  <c r="V20" i="15"/>
  <c r="Y20" i="15" s="1"/>
  <c r="V21" i="15"/>
  <c r="Y21" i="15" s="1"/>
  <c r="V25" i="15"/>
  <c r="Y25" i="15" s="1"/>
  <c r="V15" i="15"/>
  <c r="Y15" i="15" s="1"/>
  <c r="V23" i="15"/>
  <c r="Y23" i="15" s="1"/>
  <c r="V17" i="15"/>
  <c r="Y17" i="15" s="1"/>
  <c r="V14" i="15"/>
  <c r="Y14" i="15" s="1"/>
  <c r="V19" i="15"/>
  <c r="Y19" i="15" s="1"/>
  <c r="V16" i="15"/>
  <c r="Y16" i="15" s="1"/>
  <c r="V24" i="15"/>
  <c r="Y24" i="15" s="1"/>
  <c r="V22" i="15"/>
  <c r="Y22" i="15" s="1"/>
  <c r="X14" i="15"/>
  <c r="V18" i="15"/>
  <c r="Y18" i="15" s="1"/>
  <c r="V27" i="15"/>
  <c r="Y27" i="15" s="1"/>
  <c r="V28" i="15"/>
  <c r="Y28" i="15" s="1"/>
  <c r="X26" i="15"/>
  <c r="V33" i="15"/>
  <c r="Y33" i="15" s="1"/>
  <c r="V35" i="15"/>
  <c r="Y35" i="15" s="1"/>
  <c r="V34" i="15"/>
  <c r="Y34" i="15" s="1"/>
  <c r="V30" i="15"/>
  <c r="Y30" i="15" s="1"/>
  <c r="V31" i="15"/>
  <c r="Y31" i="15" s="1"/>
  <c r="V36" i="15"/>
  <c r="Y36" i="15" s="1"/>
  <c r="V26" i="15"/>
  <c r="Y26" i="15" s="1"/>
  <c r="V29" i="15"/>
  <c r="Y29" i="15" s="1"/>
  <c r="V32" i="15"/>
  <c r="Y32" i="15" s="1"/>
  <c r="V37" i="15"/>
  <c r="Y37" i="15" s="1"/>
  <c r="V12" i="15"/>
  <c r="Y12" i="15" s="1"/>
  <c r="V7" i="15"/>
  <c r="Y7" i="15" s="1"/>
  <c r="V5" i="15"/>
  <c r="Y5" i="15" s="1"/>
  <c r="V3" i="15"/>
  <c r="Y3" i="15" s="1"/>
  <c r="X2" i="15"/>
  <c r="V13" i="15"/>
  <c r="Y13" i="15" s="1"/>
  <c r="V2" i="15"/>
  <c r="Y2" i="15" s="1"/>
  <c r="V6" i="15"/>
  <c r="Y6" i="15" s="1"/>
  <c r="V4" i="15"/>
  <c r="Y4" i="15" s="1"/>
  <c r="V9" i="15"/>
  <c r="Y9" i="15" s="1"/>
  <c r="V8" i="15"/>
  <c r="Y8" i="15" s="1"/>
  <c r="V10" i="15"/>
  <c r="Y10" i="15" s="1"/>
  <c r="V11" i="15"/>
  <c r="Y11" i="15" s="1"/>
  <c r="A103" i="1" l="1"/>
  <c r="A104" i="1" s="1"/>
  <c r="A105" i="1" s="1"/>
  <c r="A106" i="1" s="1"/>
  <c r="A107" i="1" s="1"/>
  <c r="B102" i="1"/>
  <c r="E102" i="1"/>
  <c r="C102" i="1"/>
  <c r="D102" i="1"/>
  <c r="B101" i="1"/>
  <c r="C101" i="1"/>
  <c r="D101" i="1"/>
  <c r="E101" i="1"/>
  <c r="B100" i="1"/>
  <c r="C100" i="1"/>
  <c r="D100" i="1"/>
  <c r="E100" i="1"/>
  <c r="C99" i="1"/>
  <c r="D99" i="1"/>
  <c r="E99" i="1"/>
  <c r="B99" i="1"/>
  <c r="E98" i="1"/>
  <c r="D98" i="1"/>
  <c r="C98" i="1"/>
  <c r="B98" i="1"/>
  <c r="E97" i="1"/>
  <c r="D97" i="1"/>
  <c r="B97" i="1"/>
  <c r="C97" i="1"/>
  <c r="E96" i="1"/>
  <c r="D96" i="1"/>
  <c r="C96" i="1"/>
  <c r="B96" i="1"/>
  <c r="B95" i="1"/>
  <c r="C95" i="1"/>
  <c r="D95" i="1"/>
  <c r="E95" i="1"/>
  <c r="B94" i="1"/>
  <c r="C94" i="1"/>
  <c r="D94" i="1"/>
  <c r="E94" i="1"/>
  <c r="B93" i="1"/>
  <c r="D93" i="1"/>
  <c r="E93" i="1"/>
  <c r="C93" i="1"/>
  <c r="B92" i="1"/>
  <c r="C92" i="1"/>
  <c r="D92" i="1"/>
  <c r="E92" i="1"/>
  <c r="B91" i="1"/>
  <c r="C91" i="1"/>
  <c r="D91" i="1"/>
  <c r="E91" i="1"/>
  <c r="C90" i="1"/>
  <c r="D90" i="1"/>
  <c r="E90" i="1"/>
  <c r="B90" i="1"/>
  <c r="E89" i="1"/>
  <c r="B89" i="1"/>
  <c r="C89" i="1"/>
  <c r="D89" i="1"/>
  <c r="E88" i="1"/>
  <c r="B88" i="1"/>
  <c r="C88" i="1"/>
  <c r="D88" i="1"/>
  <c r="B87" i="1"/>
  <c r="C87" i="1"/>
  <c r="D87" i="1"/>
  <c r="E87" i="1"/>
  <c r="B86" i="1"/>
  <c r="C86" i="1"/>
  <c r="D86" i="1"/>
  <c r="E86" i="1"/>
  <c r="E85" i="1"/>
  <c r="D85" i="1"/>
  <c r="C85" i="1"/>
  <c r="B85" i="1"/>
  <c r="B84" i="1"/>
  <c r="C84" i="1"/>
  <c r="D84" i="1"/>
  <c r="E84" i="1"/>
  <c r="B83" i="1"/>
  <c r="D83" i="1"/>
  <c r="E83" i="1"/>
  <c r="C83" i="1"/>
  <c r="B82" i="1"/>
  <c r="C82" i="1"/>
  <c r="D82" i="1"/>
  <c r="E82" i="1"/>
  <c r="B81" i="1"/>
  <c r="C81" i="1"/>
  <c r="D81" i="1"/>
  <c r="E81" i="1"/>
  <c r="B80" i="1"/>
  <c r="C80" i="1"/>
  <c r="D80" i="1"/>
  <c r="E80" i="1"/>
  <c r="B79" i="1"/>
  <c r="C79" i="1"/>
  <c r="D79" i="1"/>
  <c r="E79" i="1"/>
  <c r="B78" i="1"/>
  <c r="C78" i="1"/>
  <c r="D78" i="1"/>
  <c r="E78" i="1"/>
  <c r="B77" i="1"/>
  <c r="C77" i="1"/>
  <c r="D77" i="1"/>
  <c r="E77" i="1"/>
  <c r="B76" i="1"/>
  <c r="C76" i="1"/>
  <c r="D76" i="1"/>
  <c r="E76" i="1"/>
  <c r="B75" i="1"/>
  <c r="C75" i="1"/>
  <c r="D75" i="1"/>
  <c r="E75" i="1"/>
  <c r="B74" i="1"/>
  <c r="C74" i="1"/>
  <c r="D74" i="1"/>
  <c r="E74" i="1"/>
  <c r="B73" i="1"/>
  <c r="C73" i="1"/>
  <c r="D73" i="1"/>
  <c r="E73" i="1"/>
  <c r="AD15" i="12"/>
  <c r="P21" i="12"/>
  <c r="Z21" i="12"/>
  <c r="M15" i="12"/>
  <c r="Z15" i="12"/>
  <c r="AE15" i="12"/>
  <c r="C15" i="12"/>
  <c r="AI15" i="12"/>
  <c r="AH15" i="12"/>
  <c r="AQ21" i="12"/>
  <c r="AQ15" i="12"/>
  <c r="D21" i="12"/>
  <c r="AF15" i="12"/>
  <c r="L15" i="12"/>
  <c r="T21" i="12"/>
  <c r="L21" i="12"/>
  <c r="AB15" i="12"/>
  <c r="AM21" i="12"/>
  <c r="AK21" i="12"/>
  <c r="Q15" i="12"/>
  <c r="AL15" i="12"/>
  <c r="B15" i="12"/>
  <c r="S4" i="9"/>
  <c r="AA15" i="12"/>
  <c r="V15" i="12"/>
  <c r="G15" i="12"/>
  <c r="N15" i="12"/>
  <c r="G21" i="12"/>
  <c r="C21" i="12"/>
  <c r="AO21" i="12"/>
  <c r="AP15" i="12"/>
  <c r="R21" i="12"/>
  <c r="AR15" i="12"/>
  <c r="AM15" i="12"/>
  <c r="I21" i="12"/>
  <c r="K21" i="12"/>
  <c r="AL21" i="12"/>
  <c r="AD21" i="12"/>
  <c r="X21" i="12"/>
  <c r="F21" i="12"/>
  <c r="B21" i="12"/>
  <c r="AC15" i="12"/>
  <c r="Q11" i="9"/>
  <c r="AC21" i="12"/>
  <c r="M21" i="12"/>
  <c r="H21" i="12"/>
  <c r="R15" i="12"/>
  <c r="AS15" i="12"/>
  <c r="AH21" i="12"/>
  <c r="D15" i="12"/>
  <c r="X15" i="12"/>
  <c r="P15" i="12"/>
  <c r="J15" i="12"/>
  <c r="AF21" i="12"/>
  <c r="T15" i="12"/>
  <c r="AO15" i="12"/>
  <c r="W15" i="12"/>
  <c r="AJ15" i="12"/>
  <c r="H15" i="12"/>
  <c r="U15" i="12"/>
  <c r="K15" i="12"/>
  <c r="AJ21" i="12"/>
  <c r="AP21" i="12"/>
  <c r="AB21" i="12"/>
  <c r="AG15" i="12"/>
  <c r="AR21" i="12"/>
  <c r="I15" i="12"/>
  <c r="E21" i="12"/>
  <c r="N21" i="12"/>
  <c r="Y15" i="12"/>
  <c r="AE21" i="12"/>
  <c r="U21" i="12"/>
  <c r="Y21" i="12"/>
  <c r="V21" i="12"/>
  <c r="AK15" i="12"/>
  <c r="AG21" i="12"/>
  <c r="O21" i="12"/>
  <c r="Q21" i="12"/>
  <c r="AA21" i="12"/>
  <c r="F15" i="12"/>
  <c r="W21" i="12"/>
  <c r="AN15" i="12"/>
  <c r="J21" i="12"/>
  <c r="AI21" i="12"/>
  <c r="AS21" i="12"/>
  <c r="O15" i="12"/>
  <c r="S15" i="12"/>
  <c r="S21" i="12"/>
  <c r="E15" i="12"/>
  <c r="AN21" i="12"/>
  <c r="DL62" i="1"/>
  <c r="B107" i="1" l="1"/>
  <c r="C107" i="1"/>
  <c r="D107" i="1"/>
  <c r="E107" i="1"/>
  <c r="B106" i="1"/>
  <c r="C106" i="1"/>
  <c r="D106" i="1"/>
  <c r="E106" i="1"/>
  <c r="B105" i="1"/>
  <c r="C105" i="1"/>
  <c r="D105" i="1"/>
  <c r="E105" i="1"/>
  <c r="B104" i="1"/>
  <c r="C104" i="1"/>
  <c r="D104" i="1"/>
  <c r="E104" i="1"/>
  <c r="B103" i="1"/>
  <c r="D103" i="1"/>
  <c r="E103" i="1"/>
  <c r="C103" i="1"/>
  <c r="AT15" i="12"/>
  <c r="D3" i="12"/>
  <c r="AT21" i="12"/>
  <c r="Z344" i="14"/>
  <c r="Z299" i="14"/>
  <c r="AB213" i="14"/>
  <c r="AN289" i="14"/>
  <c r="M286" i="14"/>
  <c r="AI214" i="14"/>
  <c r="AN148" i="14"/>
  <c r="X310" i="14"/>
  <c r="N96" i="14"/>
  <c r="Y176" i="14"/>
  <c r="AB171" i="14"/>
  <c r="M259" i="14"/>
  <c r="X335" i="14"/>
  <c r="AN290" i="14"/>
  <c r="AI167" i="14"/>
  <c r="Y222" i="14"/>
  <c r="M130" i="14"/>
  <c r="X138" i="14"/>
  <c r="M121" i="14"/>
  <c r="N59" i="14"/>
  <c r="N338" i="14"/>
  <c r="N277" i="14"/>
  <c r="Z132" i="14"/>
  <c r="AI121" i="14"/>
  <c r="N298" i="14"/>
  <c r="N88" i="14"/>
  <c r="AI128" i="14"/>
  <c r="AI216" i="14"/>
  <c r="AN320" i="14"/>
  <c r="N329" i="14"/>
  <c r="M75" i="14"/>
  <c r="Z60" i="14"/>
  <c r="AI357" i="14"/>
  <c r="AN357" i="14"/>
  <c r="X150" i="14"/>
  <c r="Y168" i="14"/>
  <c r="AB293" i="14"/>
  <c r="M272" i="14"/>
  <c r="AN259" i="14"/>
  <c r="AN232" i="14"/>
  <c r="N197" i="14"/>
  <c r="AI322" i="14"/>
  <c r="AB175" i="14"/>
  <c r="Z65" i="14"/>
  <c r="N301" i="14"/>
  <c r="AN183" i="14"/>
  <c r="AB33" i="14"/>
  <c r="Z288" i="14"/>
  <c r="AI35" i="14"/>
  <c r="Y65" i="14"/>
  <c r="X97" i="14"/>
  <c r="N283" i="14"/>
  <c r="Z163" i="14"/>
  <c r="AB215" i="14"/>
  <c r="Y294" i="14"/>
  <c r="AN274" i="14"/>
  <c r="N252" i="14"/>
  <c r="AI176" i="14"/>
  <c r="AB135" i="14"/>
  <c r="M146" i="14"/>
  <c r="N316" i="14"/>
  <c r="Z118" i="14"/>
  <c r="AN261" i="14"/>
  <c r="Y228" i="14"/>
  <c r="AI368" i="14"/>
  <c r="M141" i="14"/>
  <c r="AN363" i="14"/>
  <c r="M204" i="14"/>
  <c r="AB43" i="14"/>
  <c r="AI300" i="14"/>
  <c r="AI156" i="14"/>
  <c r="AN235" i="14"/>
  <c r="AB276" i="14"/>
  <c r="AI359" i="14"/>
  <c r="X152" i="14"/>
  <c r="AN278" i="14"/>
  <c r="AN54" i="14"/>
  <c r="Y221" i="14"/>
  <c r="AN115" i="14"/>
  <c r="Y267" i="14"/>
  <c r="N208" i="14"/>
  <c r="X85" i="14"/>
  <c r="N142" i="14"/>
  <c r="N44" i="14"/>
  <c r="Y54" i="14"/>
  <c r="AN310" i="14"/>
  <c r="M83" i="14"/>
  <c r="AN335" i="14"/>
  <c r="N258" i="14"/>
  <c r="X111" i="14"/>
  <c r="Y202" i="14"/>
  <c r="AI250" i="14"/>
  <c r="AN150" i="14"/>
  <c r="AI231" i="14"/>
  <c r="AB356" i="14"/>
  <c r="M178" i="14"/>
  <c r="Y198" i="14"/>
  <c r="AI129" i="14"/>
  <c r="N369" i="14"/>
  <c r="AB262" i="14"/>
  <c r="Z93" i="14"/>
  <c r="AN279" i="14"/>
  <c r="AI235" i="14"/>
  <c r="AN316" i="14"/>
  <c r="AB191" i="14"/>
  <c r="AB75" i="14"/>
  <c r="X288" i="14"/>
  <c r="AI286" i="14"/>
  <c r="AB84" i="14"/>
  <c r="M301" i="14"/>
  <c r="Z205" i="14"/>
  <c r="Z51" i="14"/>
  <c r="X311" i="14"/>
  <c r="N72" i="14"/>
  <c r="AB275" i="14"/>
  <c r="X133" i="14"/>
  <c r="X294" i="14"/>
  <c r="AI206" i="14"/>
  <c r="AI320" i="14"/>
  <c r="AI28" i="14"/>
  <c r="Z197" i="14"/>
  <c r="M168" i="14"/>
  <c r="M144" i="14"/>
  <c r="AN330" i="14"/>
  <c r="AI80" i="14"/>
  <c r="AN280" i="14"/>
  <c r="N324" i="14"/>
  <c r="Z272" i="14"/>
  <c r="M304" i="14"/>
  <c r="AI146" i="14"/>
  <c r="AB269" i="14"/>
  <c r="X251" i="14"/>
  <c r="X268" i="14"/>
  <c r="Z91" i="14"/>
  <c r="N343" i="14"/>
  <c r="AB245" i="14"/>
  <c r="M87" i="14"/>
  <c r="AB314" i="14"/>
  <c r="M102" i="14"/>
  <c r="X314" i="14"/>
  <c r="AB221" i="14"/>
  <c r="AN48" i="14"/>
  <c r="M51" i="14"/>
  <c r="Y212" i="14"/>
  <c r="X273" i="14"/>
  <c r="AI165" i="14"/>
  <c r="AN121" i="14"/>
  <c r="N185" i="14"/>
  <c r="X57" i="14"/>
  <c r="Z130" i="14"/>
  <c r="AB134" i="14"/>
  <c r="X316" i="14"/>
  <c r="M361" i="14"/>
  <c r="X78" i="14"/>
  <c r="AI53" i="14"/>
  <c r="Z304" i="14"/>
  <c r="AB119" i="14"/>
  <c r="X198" i="14"/>
  <c r="AB274" i="14"/>
  <c r="AN42" i="14"/>
  <c r="M294" i="14"/>
  <c r="N304" i="14"/>
  <c r="M65" i="14"/>
  <c r="AI363" i="14"/>
  <c r="AI85" i="14"/>
  <c r="AB346" i="14"/>
  <c r="Y360" i="14"/>
  <c r="AB231" i="14"/>
  <c r="AI162" i="14"/>
  <c r="X302" i="14"/>
  <c r="Z327" i="14"/>
  <c r="AI294" i="14"/>
  <c r="AI142" i="14"/>
  <c r="AN162" i="14"/>
  <c r="AB51" i="14"/>
  <c r="N299" i="14"/>
  <c r="Z99" i="14"/>
  <c r="AI209" i="14"/>
  <c r="AB283" i="14"/>
  <c r="N215" i="14"/>
  <c r="AB47" i="14"/>
  <c r="AN229" i="14"/>
  <c r="X67" i="14"/>
  <c r="AN207" i="14"/>
  <c r="AN107" i="14"/>
  <c r="X332" i="14"/>
  <c r="Z356" i="14"/>
  <c r="N123" i="14"/>
  <c r="AB351" i="14"/>
  <c r="AB212" i="14"/>
  <c r="AI107" i="14"/>
  <c r="AB332" i="14"/>
  <c r="M232" i="14"/>
  <c r="AB271" i="14"/>
  <c r="AN215" i="14"/>
  <c r="X156" i="14"/>
  <c r="Z362" i="14"/>
  <c r="N70" i="14"/>
  <c r="Z308" i="14"/>
  <c r="X290" i="14"/>
  <c r="AI199" i="14"/>
  <c r="AB28" i="14"/>
  <c r="N162" i="14"/>
  <c r="AI270" i="14"/>
  <c r="N332" i="14"/>
  <c r="Y345" i="14"/>
  <c r="AB364" i="14"/>
  <c r="N89" i="14"/>
  <c r="Y211" i="14"/>
  <c r="AN178" i="14"/>
  <c r="X140" i="14"/>
  <c r="AI273" i="14"/>
  <c r="AI83" i="14"/>
  <c r="AB360" i="14"/>
  <c r="AB195" i="14"/>
  <c r="N127" i="14"/>
  <c r="Z221" i="14"/>
  <c r="M321" i="14"/>
  <c r="X30" i="14"/>
  <c r="AB154" i="14"/>
  <c r="AB291" i="14"/>
  <c r="X53" i="14"/>
  <c r="N232" i="14"/>
  <c r="X299" i="14"/>
  <c r="Y186" i="14"/>
  <c r="M134" i="14"/>
  <c r="Y361" i="14"/>
  <c r="N28" i="14"/>
  <c r="M331" i="14"/>
  <c r="M132" i="14"/>
  <c r="X61" i="14"/>
  <c r="AI194" i="14"/>
  <c r="AB160" i="14"/>
  <c r="Y182" i="14"/>
  <c r="Z286" i="14"/>
  <c r="Z234" i="14"/>
  <c r="M273" i="14"/>
  <c r="AN125" i="14"/>
  <c r="AN336" i="14"/>
  <c r="Z348" i="14"/>
  <c r="AB184" i="14"/>
  <c r="N69" i="14"/>
  <c r="Y113" i="14"/>
  <c r="AB248" i="14"/>
  <c r="Y353" i="14"/>
  <c r="M335" i="14"/>
  <c r="AB369" i="14"/>
  <c r="X124" i="14"/>
  <c r="AB48" i="14"/>
  <c r="M223" i="14"/>
  <c r="AB320" i="14"/>
  <c r="AI291" i="14"/>
  <c r="Z138" i="14"/>
  <c r="N300" i="14"/>
  <c r="N227" i="14"/>
  <c r="X355" i="14"/>
  <c r="AB159" i="14"/>
  <c r="X187" i="14"/>
  <c r="X183" i="14"/>
  <c r="N201" i="14"/>
  <c r="X272" i="14"/>
  <c r="AB189" i="14"/>
  <c r="AN112" i="14"/>
  <c r="Z153" i="14"/>
  <c r="X365" i="14"/>
  <c r="N302" i="14"/>
  <c r="AI30" i="14"/>
  <c r="M40" i="14"/>
  <c r="N297" i="14"/>
  <c r="AI350" i="14"/>
  <c r="AB32" i="14"/>
  <c r="Y278" i="14"/>
  <c r="X179" i="14"/>
  <c r="AB338" i="14"/>
  <c r="M81" i="14"/>
  <c r="AB295" i="14"/>
  <c r="Z48" i="14"/>
  <c r="X174" i="14"/>
  <c r="M119" i="14"/>
  <c r="AB54" i="14"/>
  <c r="X54" i="14"/>
  <c r="AB312" i="14"/>
  <c r="M318" i="14"/>
  <c r="AB187" i="14"/>
  <c r="AB60" i="14"/>
  <c r="AI258" i="14"/>
  <c r="AI141" i="14"/>
  <c r="Z254" i="14"/>
  <c r="Z354" i="14"/>
  <c r="AN69" i="14"/>
  <c r="AN234" i="14"/>
  <c r="Y85" i="14"/>
  <c r="AB98" i="14"/>
  <c r="AN318" i="14"/>
  <c r="AN59" i="14"/>
  <c r="AI343" i="14"/>
  <c r="Z96" i="14"/>
  <c r="N210" i="14"/>
  <c r="Y268" i="14"/>
  <c r="N128" i="14"/>
  <c r="M240" i="14"/>
  <c r="X195" i="14"/>
  <c r="AB45" i="14"/>
  <c r="M124" i="14"/>
  <c r="AB250" i="14"/>
  <c r="AB46" i="14"/>
  <c r="M245" i="14"/>
  <c r="N220" i="14"/>
  <c r="AI68" i="14"/>
  <c r="N238" i="14"/>
  <c r="Z160" i="14"/>
  <c r="AB150" i="14"/>
  <c r="AI340" i="14"/>
  <c r="AB343" i="14"/>
  <c r="X38" i="14"/>
  <c r="AB359" i="14"/>
  <c r="AB287" i="14"/>
  <c r="AI232" i="14"/>
  <c r="X241" i="14"/>
  <c r="Z140" i="14"/>
  <c r="AB78" i="14"/>
  <c r="Z281" i="14"/>
  <c r="N204" i="14"/>
  <c r="X163" i="14"/>
  <c r="AI215" i="14"/>
  <c r="AI326" i="14"/>
  <c r="Y219" i="14"/>
  <c r="Y68" i="14"/>
  <c r="AN266" i="14"/>
  <c r="AI346" i="14"/>
  <c r="N266" i="14"/>
  <c r="N319" i="14"/>
  <c r="AB123" i="14"/>
  <c r="N362" i="14"/>
  <c r="AI239" i="14"/>
  <c r="Y229" i="14"/>
  <c r="AI39" i="14"/>
  <c r="Z315" i="14"/>
  <c r="M207" i="14"/>
  <c r="AI193" i="14"/>
  <c r="AB136" i="14"/>
  <c r="AB83" i="14"/>
  <c r="AB185" i="14"/>
  <c r="X196" i="14"/>
  <c r="N229" i="14"/>
  <c r="AI49" i="14"/>
  <c r="Y258" i="14"/>
  <c r="Z33" i="14"/>
  <c r="AB99" i="14"/>
  <c r="M42" i="14"/>
  <c r="Y285" i="14"/>
  <c r="Z244" i="14"/>
  <c r="Y215" i="14"/>
  <c r="X170" i="14"/>
  <c r="X185" i="14"/>
  <c r="AB76" i="14"/>
  <c r="N189" i="14"/>
  <c r="AI119" i="14"/>
  <c r="AB127" i="14"/>
  <c r="Z321" i="14"/>
  <c r="X329" i="14"/>
  <c r="N60" i="14"/>
  <c r="AN276" i="14"/>
  <c r="AN202" i="14"/>
  <c r="AI266" i="14"/>
  <c r="X328" i="14"/>
  <c r="AB354" i="14"/>
  <c r="Z150" i="14"/>
  <c r="X243" i="14"/>
  <c r="AI34" i="14"/>
  <c r="N181" i="14"/>
  <c r="N170" i="14"/>
  <c r="M219" i="14"/>
  <c r="X320" i="14"/>
  <c r="X35" i="14"/>
  <c r="Z184" i="14"/>
  <c r="X228" i="14"/>
  <c r="AI98" i="14"/>
  <c r="AB139" i="14"/>
  <c r="AI106" i="14"/>
  <c r="N91" i="14"/>
  <c r="AI66" i="14"/>
  <c r="AB117" i="14"/>
  <c r="AN187" i="14"/>
  <c r="Z320" i="14"/>
  <c r="N203" i="14"/>
  <c r="X252" i="14"/>
  <c r="M297" i="14"/>
  <c r="X247" i="14"/>
  <c r="AN358" i="14"/>
  <c r="AI337" i="14"/>
  <c r="Y45" i="14"/>
  <c r="AI234" i="14"/>
  <c r="AI192" i="14"/>
  <c r="Z231" i="14"/>
  <c r="AB172" i="14"/>
  <c r="Z79" i="14"/>
  <c r="M367" i="14"/>
  <c r="X357" i="14"/>
  <c r="M184" i="14"/>
  <c r="Z28" i="14"/>
  <c r="AB140" i="14"/>
  <c r="AI114" i="14"/>
  <c r="N242" i="14"/>
  <c r="X326" i="14"/>
  <c r="N77" i="14"/>
  <c r="N263" i="14"/>
  <c r="N245" i="14"/>
  <c r="AN30" i="14"/>
  <c r="N265" i="14"/>
  <c r="AB67" i="14"/>
  <c r="Z45" i="14"/>
  <c r="N126" i="14"/>
  <c r="Y342" i="14"/>
  <c r="X323" i="14"/>
  <c r="AN175" i="14"/>
  <c r="AI81" i="14"/>
  <c r="AI208" i="14"/>
  <c r="M288" i="14"/>
  <c r="N186" i="14"/>
  <c r="Y148" i="14"/>
  <c r="AB230" i="14"/>
  <c r="AI125" i="14"/>
  <c r="M302" i="14"/>
  <c r="Z202" i="14"/>
  <c r="Y82" i="14"/>
  <c r="N73" i="14"/>
  <c r="AN129" i="14"/>
  <c r="Z271" i="14"/>
  <c r="M88" i="14"/>
  <c r="Y204" i="14"/>
  <c r="AN179" i="14"/>
  <c r="M157" i="14"/>
  <c r="M311" i="14"/>
  <c r="Z233" i="14"/>
  <c r="AN39" i="14"/>
  <c r="AB55" i="14"/>
  <c r="Z241" i="14"/>
  <c r="Z187" i="14"/>
  <c r="X242" i="14"/>
  <c r="Z98" i="14"/>
  <c r="M326" i="14"/>
  <c r="X208" i="14"/>
  <c r="AB253" i="14"/>
  <c r="Z267" i="14"/>
  <c r="N95" i="14"/>
  <c r="AB235" i="14"/>
  <c r="Z318" i="14"/>
  <c r="AB166" i="14"/>
  <c r="Z87" i="14"/>
  <c r="M275" i="14"/>
  <c r="X96" i="14"/>
  <c r="AN219" i="14"/>
  <c r="AI171" i="14"/>
  <c r="AB157" i="14"/>
  <c r="AB266" i="14"/>
  <c r="AB163" i="14"/>
  <c r="X254" i="14"/>
  <c r="Y328" i="14"/>
  <c r="N212" i="14"/>
  <c r="AI163" i="14"/>
  <c r="M369" i="14"/>
  <c r="AB188" i="14"/>
  <c r="AI334" i="14"/>
  <c r="M86" i="14"/>
  <c r="N305" i="14"/>
  <c r="Y141" i="14"/>
  <c r="AB40" i="14"/>
  <c r="AB92" i="14"/>
  <c r="AI44" i="14"/>
  <c r="AI328" i="14"/>
  <c r="AI65" i="14"/>
  <c r="N248" i="14"/>
  <c r="Y101" i="14"/>
  <c r="X168" i="14"/>
  <c r="AN333" i="14"/>
  <c r="Z251" i="14"/>
  <c r="X141" i="14"/>
  <c r="Z220" i="14"/>
  <c r="AB254" i="14"/>
  <c r="AI311" i="14"/>
  <c r="Z240" i="14"/>
  <c r="Y59" i="14"/>
  <c r="X256" i="14"/>
  <c r="N154" i="14"/>
  <c r="AI91" i="14"/>
  <c r="AN284" i="14"/>
  <c r="AI230" i="14"/>
  <c r="AB91" i="14"/>
  <c r="AI50" i="14"/>
  <c r="Z177" i="14"/>
  <c r="Z82" i="14"/>
  <c r="X86" i="14"/>
  <c r="AB108" i="14"/>
  <c r="AB97" i="14"/>
  <c r="N308" i="14"/>
  <c r="AI246" i="14"/>
  <c r="N40" i="14"/>
  <c r="N218" i="14"/>
  <c r="M213" i="14"/>
  <c r="M31" i="14"/>
  <c r="X79" i="14"/>
  <c r="AI149" i="14"/>
  <c r="AI349" i="14"/>
  <c r="AN43" i="14"/>
  <c r="Z92" i="14"/>
  <c r="Z129" i="14"/>
  <c r="X122" i="14"/>
  <c r="AN127" i="14"/>
  <c r="AB69" i="14"/>
  <c r="AN73" i="14"/>
  <c r="AI51" i="14"/>
  <c r="X204" i="14"/>
  <c r="AB321" i="14"/>
  <c r="Z353" i="14"/>
  <c r="Z239" i="14"/>
  <c r="AN32" i="14"/>
  <c r="Z274" i="14"/>
  <c r="AB192" i="14"/>
  <c r="X149" i="14"/>
  <c r="AB88" i="14"/>
  <c r="AI229" i="14"/>
  <c r="X136" i="14"/>
  <c r="AB155" i="14"/>
  <c r="Z32" i="14"/>
  <c r="AB73" i="14"/>
  <c r="Y166" i="14"/>
  <c r="X172" i="14"/>
  <c r="X358" i="14"/>
  <c r="X338" i="14"/>
  <c r="Z73" i="14"/>
  <c r="Z105" i="14"/>
  <c r="X291" i="14"/>
  <c r="X137" i="14"/>
  <c r="N287" i="14"/>
  <c r="N90" i="14"/>
  <c r="M228" i="14"/>
  <c r="AI178" i="14"/>
  <c r="N325" i="14"/>
  <c r="Z113" i="14"/>
  <c r="Y327" i="14"/>
  <c r="AI327" i="14"/>
  <c r="Z367" i="14"/>
  <c r="AB181" i="14"/>
  <c r="M362" i="14"/>
  <c r="X49" i="14"/>
  <c r="AN83" i="14"/>
  <c r="Z144" i="14"/>
  <c r="Y276" i="14"/>
  <c r="Y355" i="14"/>
  <c r="Z142" i="14"/>
  <c r="M206" i="14"/>
  <c r="Y117" i="14"/>
  <c r="Z172" i="14"/>
  <c r="M154" i="14"/>
  <c r="Z137" i="14"/>
  <c r="N120" i="14"/>
  <c r="AB278" i="14"/>
  <c r="M95" i="14"/>
  <c r="X146" i="14"/>
  <c r="Y339" i="14"/>
  <c r="Y351" i="14"/>
  <c r="Y337" i="14"/>
  <c r="AN303" i="14"/>
  <c r="AB200" i="14"/>
  <c r="Y320" i="14"/>
  <c r="Y75" i="14"/>
  <c r="AB138" i="14"/>
  <c r="AI102" i="14"/>
  <c r="M250" i="14"/>
  <c r="Z287" i="14"/>
  <c r="Y188" i="14"/>
  <c r="Y368" i="14"/>
  <c r="N331" i="14"/>
  <c r="AB368" i="14"/>
  <c r="AN245" i="14"/>
  <c r="Z141" i="14"/>
  <c r="AB66" i="14"/>
  <c r="AB361" i="14"/>
  <c r="Z360" i="14"/>
  <c r="X210" i="14"/>
  <c r="Y162" i="14"/>
  <c r="Y136" i="14"/>
  <c r="Z155" i="14"/>
  <c r="AI108" i="14"/>
  <c r="AB238" i="14"/>
  <c r="AI332" i="14"/>
  <c r="AB208" i="14"/>
  <c r="AI54" i="14"/>
  <c r="Y218" i="14"/>
  <c r="AN292" i="14"/>
  <c r="N289" i="14"/>
  <c r="N261" i="14"/>
  <c r="AI89" i="14"/>
  <c r="AB214" i="14"/>
  <c r="X36" i="14"/>
  <c r="Y240" i="14"/>
  <c r="AI63" i="14"/>
  <c r="X277" i="14"/>
  <c r="N315" i="14"/>
  <c r="X284" i="14"/>
  <c r="Z339" i="14"/>
  <c r="X127" i="14"/>
  <c r="AB280" i="14"/>
  <c r="Z347" i="14"/>
  <c r="M199" i="14"/>
  <c r="M285" i="14"/>
  <c r="AB194" i="14"/>
  <c r="AB111" i="14"/>
  <c r="AN265" i="14"/>
  <c r="Y76" i="14"/>
  <c r="N58" i="14"/>
  <c r="M357" i="14"/>
  <c r="M282" i="14"/>
  <c r="M66" i="14"/>
  <c r="X90" i="14"/>
  <c r="AI323" i="14"/>
  <c r="AB355" i="14"/>
  <c r="AN55" i="14"/>
  <c r="AI116" i="14"/>
  <c r="M44" i="14"/>
  <c r="AN277" i="14"/>
  <c r="Y92" i="14"/>
  <c r="N318" i="14"/>
  <c r="M179" i="14"/>
  <c r="N75" i="14"/>
  <c r="Z149" i="14"/>
  <c r="AI173" i="14"/>
  <c r="X88" i="14"/>
  <c r="X43" i="14"/>
  <c r="AB305" i="14"/>
  <c r="Z122" i="14"/>
  <c r="AI360" i="14"/>
  <c r="AN242" i="14"/>
  <c r="AI367" i="14"/>
  <c r="AB193" i="14"/>
  <c r="M202" i="14"/>
  <c r="Y217" i="14"/>
  <c r="Y107" i="14"/>
  <c r="AI255" i="14"/>
  <c r="N46" i="14"/>
  <c r="X200" i="14"/>
  <c r="AI72" i="14"/>
  <c r="N320" i="14"/>
  <c r="AN321" i="14"/>
  <c r="Z135" i="14"/>
  <c r="M107" i="14"/>
  <c r="AI169" i="14"/>
  <c r="Y365" i="14"/>
  <c r="AN66" i="14"/>
  <c r="Y359" i="14"/>
  <c r="M170" i="14"/>
  <c r="M287" i="14"/>
  <c r="AN114" i="14"/>
  <c r="AI195" i="14"/>
  <c r="M149" i="14"/>
  <c r="AB29" i="14"/>
  <c r="AB261" i="14"/>
  <c r="Z312" i="14"/>
  <c r="AI196" i="14"/>
  <c r="AI147" i="14"/>
  <c r="N257" i="14"/>
  <c r="AB216" i="14"/>
  <c r="N194" i="14"/>
  <c r="AI144" i="14"/>
  <c r="AN346" i="14"/>
  <c r="Y163" i="14"/>
  <c r="Y40" i="14"/>
  <c r="Z190" i="14"/>
  <c r="Y66" i="14"/>
  <c r="Z195" i="14"/>
  <c r="AI301" i="14"/>
  <c r="Y231" i="14"/>
  <c r="Z95" i="14"/>
  <c r="Z349" i="14"/>
  <c r="N199" i="14"/>
  <c r="AB323" i="14"/>
  <c r="N342" i="14"/>
  <c r="M41" i="14"/>
  <c r="M58" i="14"/>
  <c r="Z329" i="14"/>
  <c r="Y303" i="14"/>
  <c r="M79" i="14"/>
  <c r="AN101" i="14"/>
  <c r="AB366" i="14"/>
  <c r="Z282" i="14"/>
  <c r="N223" i="14"/>
  <c r="AB41" i="14"/>
  <c r="N312" i="14"/>
  <c r="Y326" i="14"/>
  <c r="AB149" i="14"/>
  <c r="Z46" i="14"/>
  <c r="AI157" i="14"/>
  <c r="X39" i="14"/>
  <c r="Z331" i="14"/>
  <c r="AN180" i="14"/>
  <c r="AI32" i="14"/>
  <c r="M161" i="14"/>
  <c r="N182" i="14"/>
  <c r="X327" i="14"/>
  <c r="Z86" i="14"/>
  <c r="AB285" i="14"/>
  <c r="M57" i="14"/>
  <c r="X65" i="14"/>
  <c r="N336" i="14"/>
  <c r="AB206" i="14"/>
  <c r="N253" i="14"/>
  <c r="AI304" i="14"/>
  <c r="Y313" i="14"/>
  <c r="X59" i="14"/>
  <c r="AN128" i="14"/>
  <c r="Y299" i="14"/>
  <c r="Y56" i="14"/>
  <c r="N290" i="14"/>
  <c r="X339" i="14"/>
  <c r="AN353" i="14"/>
  <c r="X191" i="14"/>
  <c r="AI136" i="14"/>
  <c r="Z131" i="14"/>
  <c r="AI261" i="14"/>
  <c r="Z175" i="14"/>
  <c r="N79" i="14"/>
  <c r="N71" i="14"/>
  <c r="M145" i="14"/>
  <c r="N198" i="14"/>
  <c r="AI126" i="14"/>
  <c r="X282" i="14"/>
  <c r="M160" i="14"/>
  <c r="M111" i="14"/>
  <c r="Z364" i="14"/>
  <c r="Y266" i="14"/>
  <c r="AI202" i="14"/>
  <c r="M116" i="14"/>
  <c r="M310" i="14"/>
  <c r="AB336" i="14"/>
  <c r="M94" i="14"/>
  <c r="Y88" i="14"/>
  <c r="Y151" i="14"/>
  <c r="AI275" i="14"/>
  <c r="N139" i="14"/>
  <c r="AB197" i="14"/>
  <c r="AI110" i="14"/>
  <c r="N360" i="14"/>
  <c r="AN195" i="14"/>
  <c r="Y32" i="14"/>
  <c r="Y157" i="14"/>
  <c r="M163" i="14"/>
  <c r="M72" i="14"/>
  <c r="M281" i="14"/>
  <c r="AI82" i="14"/>
  <c r="AN327" i="14"/>
  <c r="N317" i="14"/>
  <c r="N200" i="14"/>
  <c r="X177" i="14"/>
  <c r="M254" i="14"/>
  <c r="AN222" i="14"/>
  <c r="AN168" i="14"/>
  <c r="Z248" i="14"/>
  <c r="N172" i="14"/>
  <c r="Y29" i="14"/>
  <c r="N41" i="14"/>
  <c r="AI364" i="14"/>
  <c r="AI240" i="14"/>
  <c r="AI276" i="14"/>
  <c r="N64" i="14"/>
  <c r="M330" i="14"/>
  <c r="AI282" i="14"/>
  <c r="X82" i="14"/>
  <c r="N222" i="14"/>
  <c r="AI330" i="14"/>
  <c r="N230" i="14"/>
  <c r="N250" i="14"/>
  <c r="AN348" i="14"/>
  <c r="M203" i="14"/>
  <c r="AN243" i="14"/>
  <c r="AB317" i="14"/>
  <c r="AI151" i="14"/>
  <c r="N130" i="14"/>
  <c r="AB153" i="14"/>
  <c r="AN124" i="14"/>
  <c r="M176" i="14"/>
  <c r="AB96" i="14"/>
  <c r="Y338" i="14"/>
  <c r="X134" i="14"/>
  <c r="M358" i="14"/>
  <c r="AB294" i="14"/>
  <c r="Y122" i="14"/>
  <c r="M140" i="14"/>
  <c r="AI170" i="14"/>
  <c r="X70" i="14"/>
  <c r="AN355" i="14"/>
  <c r="AI99" i="14"/>
  <c r="N339" i="14"/>
  <c r="X112" i="14"/>
  <c r="N37" i="14"/>
  <c r="AN75" i="14"/>
  <c r="AB292" i="14"/>
  <c r="AB148" i="14"/>
  <c r="AI186" i="14"/>
  <c r="N335" i="14"/>
  <c r="X303" i="14"/>
  <c r="Z151" i="14"/>
  <c r="X157" i="14"/>
  <c r="M74" i="14"/>
  <c r="N109" i="14"/>
  <c r="M89" i="14"/>
  <c r="M104" i="14"/>
  <c r="AN65" i="14"/>
  <c r="M67" i="14"/>
  <c r="M293" i="14"/>
  <c r="Y178" i="14"/>
  <c r="N74" i="14"/>
  <c r="X249" i="14"/>
  <c r="M30" i="14"/>
  <c r="N124" i="14"/>
  <c r="M131" i="14"/>
  <c r="N134" i="14"/>
  <c r="Y329" i="14"/>
  <c r="AN298" i="14"/>
  <c r="AB183" i="14"/>
  <c r="M214" i="14"/>
  <c r="Y174" i="14"/>
  <c r="Z276" i="14"/>
  <c r="AN369" i="14"/>
  <c r="M60" i="14"/>
  <c r="Z322" i="14"/>
  <c r="Y146" i="14"/>
  <c r="X48" i="14"/>
  <c r="AB125" i="14"/>
  <c r="AB74" i="14"/>
  <c r="X309" i="14"/>
  <c r="AI289" i="14"/>
  <c r="AN285" i="14"/>
  <c r="AB158" i="14"/>
  <c r="Y51" i="14"/>
  <c r="Z39" i="14"/>
  <c r="M346" i="14"/>
  <c r="M125" i="14"/>
  <c r="N148" i="14"/>
  <c r="X29" i="14"/>
  <c r="Y164" i="14"/>
  <c r="N333" i="14"/>
  <c r="N76" i="14"/>
  <c r="AI205" i="14"/>
  <c r="X93" i="14"/>
  <c r="M187" i="14"/>
  <c r="AN166" i="14"/>
  <c r="M315" i="14"/>
  <c r="X364" i="14"/>
  <c r="AI302" i="14"/>
  <c r="AB142" i="14"/>
  <c r="X263" i="14"/>
  <c r="AI279" i="14"/>
  <c r="AB39" i="14"/>
  <c r="AN29" i="14"/>
  <c r="AB86" i="14"/>
  <c r="M351" i="14"/>
  <c r="AI148" i="14"/>
  <c r="M151" i="14"/>
  <c r="N282" i="14"/>
  <c r="M217" i="14"/>
  <c r="N178" i="14"/>
  <c r="X165" i="14"/>
  <c r="Z261" i="14"/>
  <c r="N131" i="14"/>
  <c r="AI237" i="14"/>
  <c r="N66" i="14"/>
  <c r="X333" i="14"/>
  <c r="X206" i="14"/>
  <c r="X343" i="14"/>
  <c r="M153" i="14"/>
  <c r="M174" i="14"/>
  <c r="AN130" i="14"/>
  <c r="AN119" i="14"/>
  <c r="Y114" i="14"/>
  <c r="N85" i="14"/>
  <c r="M303" i="14"/>
  <c r="AN317" i="14"/>
  <c r="AN159" i="14"/>
  <c r="AB277" i="14"/>
  <c r="Z268" i="14"/>
  <c r="M48" i="14"/>
  <c r="M164" i="14"/>
  <c r="AB128" i="14"/>
  <c r="AB281" i="14"/>
  <c r="AN163" i="14"/>
  <c r="AB87" i="14"/>
  <c r="N363" i="14"/>
  <c r="AB167" i="14"/>
  <c r="AI78" i="14"/>
  <c r="M295" i="14"/>
  <c r="M290" i="14"/>
  <c r="Y330" i="14"/>
  <c r="AI241" i="14"/>
  <c r="M341" i="14"/>
  <c r="X173" i="14"/>
  <c r="Z259" i="14"/>
  <c r="Y210" i="14"/>
  <c r="AB298" i="14"/>
  <c r="AN174" i="14"/>
  <c r="X218" i="14"/>
  <c r="Y288" i="14"/>
  <c r="M327" i="14"/>
  <c r="AN86" i="14"/>
  <c r="Z126" i="14"/>
  <c r="M39" i="14"/>
  <c r="M243" i="14"/>
  <c r="AB65" i="14"/>
  <c r="AI135" i="14"/>
  <c r="X135" i="14"/>
  <c r="AI62" i="14"/>
  <c r="M225" i="14"/>
  <c r="N62" i="14"/>
  <c r="AB209" i="14"/>
  <c r="AN60" i="14"/>
  <c r="AN80" i="14"/>
  <c r="AI338" i="14"/>
  <c r="Y225" i="14"/>
  <c r="N57" i="14"/>
  <c r="AB205" i="14"/>
  <c r="Z169" i="14"/>
  <c r="N366" i="14"/>
  <c r="N365" i="14"/>
  <c r="M216" i="14"/>
  <c r="AI245" i="14"/>
  <c r="AB109" i="14"/>
  <c r="X151" i="14"/>
  <c r="AB203" i="14"/>
  <c r="M323" i="14"/>
  <c r="N48" i="14"/>
  <c r="AB129" i="14"/>
  <c r="N99" i="14"/>
  <c r="AN41" i="14"/>
  <c r="N143" i="14"/>
  <c r="Z214" i="14"/>
  <c r="AN344" i="14"/>
  <c r="N140" i="14"/>
  <c r="X361" i="14"/>
  <c r="X215" i="14"/>
  <c r="AN36" i="14"/>
  <c r="Z365" i="14"/>
  <c r="M309" i="14"/>
  <c r="Z62" i="14"/>
  <c r="Z223" i="14"/>
  <c r="AB156" i="14"/>
  <c r="N311" i="14"/>
  <c r="Y261" i="14"/>
  <c r="Y36" i="14"/>
  <c r="M36" i="14"/>
  <c r="AB265" i="14"/>
  <c r="AN82" i="14"/>
  <c r="X98" i="14"/>
  <c r="X180" i="14"/>
  <c r="Z148" i="14"/>
  <c r="X271" i="14"/>
  <c r="Z313" i="14"/>
  <c r="AN283" i="14"/>
  <c r="AN240" i="14"/>
  <c r="M148" i="14"/>
  <c r="X280" i="14"/>
  <c r="M348" i="14"/>
  <c r="Z216" i="14"/>
  <c r="AI280" i="14"/>
  <c r="AI331" i="14"/>
  <c r="M137" i="14"/>
  <c r="AB301" i="14"/>
  <c r="Y79" i="14"/>
  <c r="N110" i="14"/>
  <c r="M127" i="14"/>
  <c r="X92" i="14"/>
  <c r="X352" i="14"/>
  <c r="Z167" i="14"/>
  <c r="AB38" i="14"/>
  <c r="Z357" i="14"/>
  <c r="Y199" i="14"/>
  <c r="X45" i="14"/>
  <c r="AI159" i="14"/>
  <c r="Z236" i="14"/>
  <c r="AI79" i="14"/>
  <c r="X115" i="14"/>
  <c r="Z121" i="14"/>
  <c r="AN131" i="14"/>
  <c r="N54" i="14"/>
  <c r="Y250" i="14"/>
  <c r="M312" i="14"/>
  <c r="X363" i="14"/>
  <c r="X148" i="14"/>
  <c r="X66" i="14"/>
  <c r="M255" i="14"/>
  <c r="AB202" i="14"/>
  <c r="X34" i="14"/>
  <c r="N322" i="14"/>
  <c r="AI52" i="14"/>
  <c r="M249" i="14"/>
  <c r="AI277" i="14"/>
  <c r="AN199" i="14"/>
  <c r="Y354" i="14"/>
  <c r="Z127" i="14"/>
  <c r="Z302" i="14"/>
  <c r="N348" i="14"/>
  <c r="Y149" i="14"/>
  <c r="X109" i="14"/>
  <c r="AI172" i="14"/>
  <c r="Z35" i="14"/>
  <c r="AB279" i="14"/>
  <c r="N176" i="14"/>
  <c r="Z306" i="14"/>
  <c r="AB133" i="14"/>
  <c r="X55" i="14"/>
  <c r="X325" i="14"/>
  <c r="N294" i="14"/>
  <c r="AB58" i="14"/>
  <c r="AN74" i="14"/>
  <c r="N349" i="14"/>
  <c r="N107" i="14"/>
  <c r="M257" i="14"/>
  <c r="Z217" i="14"/>
  <c r="M97" i="14"/>
  <c r="Y332" i="14"/>
  <c r="AI100" i="14"/>
  <c r="Y235" i="14"/>
  <c r="N153" i="14"/>
  <c r="AB340" i="14"/>
  <c r="AN181" i="14"/>
  <c r="Z78" i="14"/>
  <c r="AI256" i="14"/>
  <c r="Y214" i="14"/>
  <c r="M248" i="14"/>
  <c r="AN281" i="14"/>
  <c r="Y41" i="14"/>
  <c r="AB327" i="14"/>
  <c r="Z193" i="14"/>
  <c r="AN92" i="14"/>
  <c r="Z124" i="14"/>
  <c r="X319" i="14"/>
  <c r="AN249" i="14"/>
  <c r="X216" i="14"/>
  <c r="M38" i="14"/>
  <c r="AB334" i="14"/>
  <c r="AB233" i="14"/>
  <c r="AB318" i="14"/>
  <c r="AN34" i="14"/>
  <c r="M181" i="14"/>
  <c r="X161" i="14"/>
  <c r="N97" i="14"/>
  <c r="X248" i="14"/>
  <c r="X41" i="14"/>
  <c r="N112" i="14"/>
  <c r="N224" i="14"/>
  <c r="M241" i="14"/>
  <c r="AI361" i="14"/>
  <c r="AI150" i="14"/>
  <c r="AI197" i="14"/>
  <c r="X266" i="14"/>
  <c r="X330" i="14"/>
  <c r="AI213" i="14"/>
  <c r="Y239" i="14"/>
  <c r="X341" i="14"/>
  <c r="N280" i="14"/>
  <c r="X237" i="14"/>
  <c r="X166" i="14"/>
  <c r="Y205" i="14"/>
  <c r="X259" i="14"/>
  <c r="AI271" i="14"/>
  <c r="AB325" i="14"/>
  <c r="Y123" i="14"/>
  <c r="Y55" i="14"/>
  <c r="Y367" i="14"/>
  <c r="M333" i="14"/>
  <c r="N33" i="14"/>
  <c r="Y213" i="14"/>
  <c r="Z125" i="14"/>
  <c r="Z104" i="14"/>
  <c r="Y321" i="14"/>
  <c r="M113" i="14"/>
  <c r="M45" i="14"/>
  <c r="Y144" i="14"/>
  <c r="AB37" i="14"/>
  <c r="Y232" i="14"/>
  <c r="X347" i="14"/>
  <c r="AN255" i="14"/>
  <c r="AI329" i="14"/>
  <c r="Y324" i="14"/>
  <c r="N105" i="14"/>
  <c r="M192" i="14"/>
  <c r="AB224" i="14"/>
  <c r="Y282" i="14"/>
  <c r="Y298" i="14"/>
  <c r="AI290" i="14"/>
  <c r="Y369" i="14"/>
  <c r="Y160" i="14"/>
  <c r="AB196" i="14"/>
  <c r="M182" i="14"/>
  <c r="M238" i="14"/>
  <c r="AI76" i="14"/>
  <c r="AN88" i="14"/>
  <c r="AB85" i="14"/>
  <c r="AI55" i="14"/>
  <c r="AI191" i="14"/>
  <c r="AN102" i="14"/>
  <c r="AN251" i="14"/>
  <c r="AB173" i="14"/>
  <c r="Z275" i="14"/>
  <c r="AN134" i="14"/>
  <c r="Y322" i="14"/>
  <c r="N93" i="14"/>
  <c r="AN315" i="14"/>
  <c r="AN214" i="14"/>
  <c r="AI111" i="14"/>
  <c r="AI153" i="14"/>
  <c r="N306" i="14"/>
  <c r="AI305" i="14"/>
  <c r="N279" i="14"/>
  <c r="AN104" i="14"/>
  <c r="M274" i="14"/>
  <c r="AB161" i="14"/>
  <c r="N184" i="14"/>
  <c r="Y201" i="14"/>
  <c r="AB199" i="14"/>
  <c r="AB182" i="14"/>
  <c r="Y244" i="14"/>
  <c r="Z311" i="14"/>
  <c r="AI155" i="14"/>
  <c r="AB306" i="14"/>
  <c r="Y140" i="14"/>
  <c r="AI115" i="14"/>
  <c r="AI200" i="14"/>
  <c r="AN71" i="14"/>
  <c r="AB227" i="14"/>
  <c r="AI137" i="14"/>
  <c r="Y195" i="14"/>
  <c r="Z204" i="14"/>
  <c r="N180" i="14"/>
  <c r="M246" i="14"/>
  <c r="M263" i="14"/>
  <c r="AI92" i="14"/>
  <c r="AB63" i="14"/>
  <c r="X42" i="14"/>
  <c r="N174" i="14"/>
  <c r="AI355" i="14"/>
  <c r="N354" i="14"/>
  <c r="N161" i="14"/>
  <c r="AB313" i="14"/>
  <c r="N119" i="14"/>
  <c r="Z285" i="14"/>
  <c r="X102" i="14"/>
  <c r="M277" i="14"/>
  <c r="AB264" i="14"/>
  <c r="X100" i="14"/>
  <c r="X118" i="14"/>
  <c r="AI238" i="14"/>
  <c r="Y175" i="14"/>
  <c r="X262" i="14"/>
  <c r="AB217" i="14"/>
  <c r="N217" i="14"/>
  <c r="X331" i="14"/>
  <c r="Z212" i="14"/>
  <c r="Z352" i="14"/>
  <c r="Z189" i="14"/>
  <c r="AI316" i="14"/>
  <c r="AN78" i="14"/>
  <c r="AN200" i="14"/>
  <c r="AB350" i="14"/>
  <c r="AI101" i="14"/>
  <c r="Z29" i="14"/>
  <c r="N237" i="14"/>
  <c r="Z89" i="14"/>
  <c r="Y184" i="14"/>
  <c r="X144" i="14"/>
  <c r="N101" i="14"/>
  <c r="AB270" i="14"/>
  <c r="AN139" i="14"/>
  <c r="X202" i="14"/>
  <c r="Z336" i="14"/>
  <c r="AN208" i="14"/>
  <c r="AN138" i="14"/>
  <c r="AN198" i="14"/>
  <c r="M84" i="14"/>
  <c r="AN57" i="14"/>
  <c r="Y167" i="14"/>
  <c r="N82" i="14"/>
  <c r="AB79" i="14"/>
  <c r="N125" i="14"/>
  <c r="Y143" i="14"/>
  <c r="Y306" i="14"/>
  <c r="AN76" i="14"/>
  <c r="M114" i="14"/>
  <c r="N358" i="14"/>
  <c r="AB137" i="14"/>
  <c r="Z41" i="14"/>
  <c r="Z200" i="14"/>
  <c r="AB80" i="14"/>
  <c r="AI189" i="14"/>
  <c r="AI366" i="14"/>
  <c r="Z278" i="14"/>
  <c r="M271" i="14"/>
  <c r="N53" i="14"/>
  <c r="AN46" i="14"/>
  <c r="Z66" i="14"/>
  <c r="AN40" i="14"/>
  <c r="Z64" i="14"/>
  <c r="X354" i="14"/>
  <c r="Z136" i="14"/>
  <c r="M183" i="14"/>
  <c r="AN157" i="14"/>
  <c r="Z112" i="14"/>
  <c r="AI190" i="14"/>
  <c r="AI96" i="14"/>
  <c r="N295" i="14"/>
  <c r="M332" i="14"/>
  <c r="Y52" i="14"/>
  <c r="X108" i="14"/>
  <c r="N353" i="14"/>
  <c r="AI70" i="14"/>
  <c r="X77" i="14"/>
  <c r="AI344" i="14"/>
  <c r="AN368" i="14"/>
  <c r="AN345" i="14"/>
  <c r="AI228" i="14"/>
  <c r="AB362" i="14"/>
  <c r="AN254" i="14"/>
  <c r="AB296" i="14"/>
  <c r="Y53" i="14"/>
  <c r="AB113" i="14"/>
  <c r="N113" i="14"/>
  <c r="Z213" i="14"/>
  <c r="AB42" i="14"/>
  <c r="AN323" i="14"/>
  <c r="AN267" i="14"/>
  <c r="AI251" i="14"/>
  <c r="N50" i="14"/>
  <c r="AI203" i="14"/>
  <c r="M68" i="14"/>
  <c r="Z351" i="14"/>
  <c r="Y334" i="14"/>
  <c r="Y274" i="14"/>
  <c r="AI210" i="14"/>
  <c r="Y308" i="14"/>
  <c r="Z168" i="14"/>
  <c r="X104" i="14"/>
  <c r="D37" i="11" s="1"/>
  <c r="M129" i="14"/>
  <c r="N92" i="14"/>
  <c r="Z359" i="14"/>
  <c r="Z67" i="14"/>
  <c r="AI252" i="14"/>
  <c r="Z269" i="14"/>
  <c r="Z333" i="14"/>
  <c r="N32" i="14"/>
  <c r="AN361" i="14"/>
  <c r="AN341" i="14"/>
  <c r="AI90" i="14"/>
  <c r="N179" i="14"/>
  <c r="M167" i="14"/>
  <c r="Z264" i="14"/>
  <c r="Y47" i="14"/>
  <c r="M279" i="14"/>
  <c r="AB263" i="14"/>
  <c r="Z338" i="14"/>
  <c r="N168" i="14"/>
  <c r="M201" i="14"/>
  <c r="AN50" i="14"/>
  <c r="Z294" i="14"/>
  <c r="Y125" i="14"/>
  <c r="N214" i="14"/>
  <c r="X286" i="14"/>
  <c r="AI56" i="14"/>
  <c r="AI41" i="14"/>
  <c r="M289" i="14"/>
  <c r="AN331" i="14"/>
  <c r="AI287" i="14"/>
  <c r="AN28" i="14"/>
  <c r="Y49" i="14"/>
  <c r="Z208" i="14"/>
  <c r="AN334" i="14"/>
  <c r="Z157" i="14"/>
  <c r="AI236" i="14"/>
  <c r="M171" i="14"/>
  <c r="X201" i="14"/>
  <c r="Z165" i="14"/>
  <c r="N356" i="14"/>
  <c r="N347" i="14"/>
  <c r="N150" i="14"/>
  <c r="X193" i="14"/>
  <c r="AB341" i="14"/>
  <c r="Y335" i="14"/>
  <c r="Z88" i="14"/>
  <c r="Z300" i="14"/>
  <c r="Y262" i="14"/>
  <c r="N141" i="14"/>
  <c r="AB308" i="14"/>
  <c r="Y284" i="14"/>
  <c r="AN58" i="14"/>
  <c r="N175" i="14"/>
  <c r="Y307" i="14"/>
  <c r="N87" i="14"/>
  <c r="AI362" i="14"/>
  <c r="X225" i="14"/>
  <c r="M283" i="14"/>
  <c r="Z273" i="14"/>
  <c r="AB331" i="14"/>
  <c r="N29" i="14"/>
  <c r="X293" i="14"/>
  <c r="AI105" i="14"/>
  <c r="N231" i="14"/>
  <c r="X346" i="14"/>
  <c r="AI260" i="14"/>
  <c r="AN314" i="14"/>
  <c r="AB72" i="14"/>
  <c r="AN300" i="14"/>
  <c r="X99" i="14"/>
  <c r="AN248" i="14"/>
  <c r="AI132" i="14"/>
  <c r="AN135" i="14"/>
  <c r="Z242" i="14"/>
  <c r="AN64" i="14"/>
  <c r="Y347" i="14"/>
  <c r="AN237" i="14"/>
  <c r="X50" i="14"/>
  <c r="AN211" i="14"/>
  <c r="X81" i="14"/>
  <c r="X125" i="14"/>
  <c r="AB143" i="14"/>
  <c r="AN270" i="14"/>
  <c r="AN322" i="14"/>
  <c r="AN164" i="14"/>
  <c r="M276" i="14"/>
  <c r="M298" i="14"/>
  <c r="M101" i="14"/>
  <c r="X240" i="14"/>
  <c r="Y346" i="14"/>
  <c r="AB268" i="14"/>
  <c r="Y109" i="14"/>
  <c r="AN212" i="14"/>
  <c r="M82" i="14"/>
  <c r="Y291" i="14"/>
  <c r="Y155" i="14"/>
  <c r="X224" i="14"/>
  <c r="X162" i="14"/>
  <c r="M316" i="14"/>
  <c r="Z171" i="14"/>
  <c r="AN56" i="14"/>
  <c r="AB252" i="14"/>
  <c r="M305" i="14"/>
  <c r="Y124" i="14"/>
  <c r="M352" i="14"/>
  <c r="X60" i="14"/>
  <c r="AN262" i="14"/>
  <c r="Z350" i="14"/>
  <c r="AI134" i="14"/>
  <c r="AI127" i="14"/>
  <c r="AB319" i="14"/>
  <c r="N147" i="14"/>
  <c r="AI242" i="14"/>
  <c r="Z224" i="14"/>
  <c r="Y33" i="14"/>
  <c r="N80" i="14"/>
  <c r="AN216" i="14"/>
  <c r="Y292" i="14"/>
  <c r="AN146" i="14"/>
  <c r="X171" i="14"/>
  <c r="AN328" i="14"/>
  <c r="N234" i="14"/>
  <c r="N259" i="14"/>
  <c r="X367" i="14"/>
  <c r="Y50" i="14"/>
  <c r="AB273" i="14"/>
  <c r="M158" i="14"/>
  <c r="Z246" i="14"/>
  <c r="AN253" i="14"/>
  <c r="M292" i="14"/>
  <c r="N314" i="14"/>
  <c r="AB339" i="14"/>
  <c r="Y192" i="14"/>
  <c r="AN31" i="14"/>
  <c r="AI37" i="14"/>
  <c r="Y58" i="14"/>
  <c r="Y272" i="14"/>
  <c r="N207" i="14"/>
  <c r="X95" i="14"/>
  <c r="M98" i="14"/>
  <c r="Z100" i="14"/>
  <c r="AN77" i="14"/>
  <c r="AI75" i="14"/>
  <c r="Z303" i="14"/>
  <c r="AI281" i="14"/>
  <c r="AB31" i="14"/>
  <c r="N42" i="14"/>
  <c r="Y216" i="14"/>
  <c r="Y280" i="14"/>
  <c r="AN269" i="14"/>
  <c r="X264" i="14"/>
  <c r="AB44" i="14"/>
  <c r="M53" i="14"/>
  <c r="N65" i="14"/>
  <c r="Y108" i="14"/>
  <c r="AI243" i="14"/>
  <c r="AB56" i="14"/>
  <c r="AB251" i="14"/>
  <c r="M133" i="14"/>
  <c r="AN236" i="14"/>
  <c r="Z101" i="14"/>
  <c r="Y279" i="14"/>
  <c r="AB93" i="14"/>
  <c r="Z341" i="14"/>
  <c r="AI226" i="14"/>
  <c r="Y300" i="14"/>
  <c r="Z210" i="14"/>
  <c r="Z298" i="14"/>
  <c r="Y38" i="14"/>
  <c r="X297" i="14"/>
  <c r="N340" i="14"/>
  <c r="N270" i="14"/>
  <c r="Y264" i="14"/>
  <c r="AN151" i="14"/>
  <c r="AN109" i="14"/>
  <c r="AI112" i="14"/>
  <c r="Y77" i="14"/>
  <c r="Z156" i="14"/>
  <c r="N118" i="14"/>
  <c r="AB249" i="14"/>
  <c r="Z247" i="14"/>
  <c r="N278" i="14"/>
  <c r="N260" i="14"/>
  <c r="Y206" i="14"/>
  <c r="M334" i="14"/>
  <c r="AI257" i="14"/>
  <c r="AN61" i="14"/>
  <c r="N209" i="14"/>
  <c r="AI309" i="14"/>
  <c r="M166" i="14"/>
  <c r="X89" i="14"/>
  <c r="Z109" i="14"/>
  <c r="N177" i="14"/>
  <c r="Y248" i="14"/>
  <c r="AN263" i="14"/>
  <c r="AI325" i="14"/>
  <c r="X113" i="14"/>
  <c r="M224" i="14"/>
  <c r="M34" i="14"/>
  <c r="Z369" i="14"/>
  <c r="Y127" i="14"/>
  <c r="AI43" i="14"/>
  <c r="X275" i="14"/>
  <c r="AI253" i="14"/>
  <c r="Y116" i="14"/>
  <c r="AI181" i="14"/>
  <c r="AI122" i="14"/>
  <c r="AB126" i="14"/>
  <c r="AB258" i="14"/>
  <c r="M324" i="14"/>
  <c r="M222" i="14"/>
  <c r="X281" i="14"/>
  <c r="Y260" i="14"/>
  <c r="Y269" i="14"/>
  <c r="X214" i="14"/>
  <c r="AN185" i="14"/>
  <c r="N328" i="14"/>
  <c r="AB130" i="14"/>
  <c r="X279" i="14"/>
  <c r="M172" i="14"/>
  <c r="X117" i="14"/>
  <c r="X87" i="14"/>
  <c r="Z253" i="14"/>
  <c r="AI310" i="14"/>
  <c r="Y366" i="14"/>
  <c r="Y224" i="14"/>
  <c r="AB118" i="14"/>
  <c r="X369" i="14"/>
  <c r="AB89" i="14"/>
  <c r="AB36" i="14"/>
  <c r="Y132" i="14"/>
  <c r="AB132" i="14"/>
  <c r="AN228" i="14"/>
  <c r="N114" i="14"/>
  <c r="AN297" i="14"/>
  <c r="AI168" i="14"/>
  <c r="M284" i="14"/>
  <c r="M349" i="14"/>
  <c r="AI177" i="14"/>
  <c r="AB207" i="14"/>
  <c r="X220" i="14"/>
  <c r="X278" i="14"/>
  <c r="AN98" i="14"/>
  <c r="AB219" i="14"/>
  <c r="M339" i="14"/>
  <c r="Y325" i="14"/>
  <c r="X337" i="14"/>
  <c r="N296" i="14"/>
  <c r="M59" i="14"/>
  <c r="X211" i="14"/>
  <c r="Z258" i="14"/>
  <c r="M56" i="14"/>
  <c r="Y363" i="14"/>
  <c r="Z68" i="14"/>
  <c r="M235" i="14"/>
  <c r="AB259" i="14"/>
  <c r="Z117" i="14"/>
  <c r="AN142" i="14"/>
  <c r="AB367" i="14"/>
  <c r="Y179" i="14"/>
  <c r="AB267" i="14"/>
  <c r="X181" i="14"/>
  <c r="M366" i="14"/>
  <c r="AB94" i="14"/>
  <c r="AI198" i="14"/>
  <c r="X186" i="14"/>
  <c r="M266" i="14"/>
  <c r="X261" i="14"/>
  <c r="AB247" i="14"/>
  <c r="AI222" i="14"/>
  <c r="Z159" i="14"/>
  <c r="AN309" i="14"/>
  <c r="AN120" i="14"/>
  <c r="N221" i="14"/>
  <c r="AN287" i="14"/>
  <c r="N63" i="14"/>
  <c r="M200" i="14"/>
  <c r="X313" i="14"/>
  <c r="Y252" i="14"/>
  <c r="M342" i="14"/>
  <c r="X356" i="14"/>
  <c r="AB286" i="14"/>
  <c r="X233" i="14"/>
  <c r="X221" i="14"/>
  <c r="AN288" i="14"/>
  <c r="N35" i="14"/>
  <c r="AI204" i="14"/>
  <c r="M117" i="14"/>
  <c r="AI319" i="14"/>
  <c r="AB81" i="14"/>
  <c r="AI154" i="14"/>
  <c r="M368" i="14"/>
  <c r="M91" i="14"/>
  <c r="AI88" i="14"/>
  <c r="M270" i="14"/>
  <c r="M256" i="14"/>
  <c r="M208" i="14"/>
  <c r="AI315" i="14"/>
  <c r="AB95" i="14"/>
  <c r="AB164" i="14"/>
  <c r="X74" i="14"/>
  <c r="N166" i="14"/>
  <c r="Z335" i="14"/>
  <c r="Y270" i="14"/>
  <c r="X107" i="14"/>
  <c r="AB333" i="14"/>
  <c r="AN325" i="14"/>
  <c r="AB357" i="14"/>
  <c r="Y130" i="14"/>
  <c r="N236" i="14"/>
  <c r="N165" i="14"/>
  <c r="AB131" i="14"/>
  <c r="AN304" i="14"/>
  <c r="AN136" i="14"/>
  <c r="AI218" i="14"/>
  <c r="AN167" i="14"/>
  <c r="AB307" i="14"/>
  <c r="M46" i="14"/>
  <c r="Y200" i="14"/>
  <c r="X33" i="14"/>
  <c r="N254" i="14"/>
  <c r="M76" i="14"/>
  <c r="Z270" i="14"/>
  <c r="N267" i="14"/>
  <c r="X126" i="14"/>
  <c r="Y62" i="14"/>
  <c r="AI139" i="14"/>
  <c r="AN63" i="14"/>
  <c r="M143" i="14"/>
  <c r="AI182" i="14"/>
  <c r="AI347" i="14"/>
  <c r="AB198" i="14"/>
  <c r="AB229" i="14"/>
  <c r="M268" i="14"/>
  <c r="Z40" i="14"/>
  <c r="Z199" i="14"/>
  <c r="M269" i="14"/>
  <c r="N193" i="14"/>
  <c r="N133" i="14"/>
  <c r="N61" i="14"/>
  <c r="M237" i="14"/>
  <c r="N136" i="14"/>
  <c r="AN47" i="14"/>
  <c r="AN291" i="14"/>
  <c r="AN188" i="14"/>
  <c r="AI365" i="14"/>
  <c r="AI314" i="14"/>
  <c r="Z49" i="14"/>
  <c r="M360" i="14"/>
  <c r="Z283" i="14"/>
  <c r="Y91" i="14"/>
  <c r="Z209" i="14"/>
  <c r="Y364" i="14"/>
  <c r="AB34" i="14"/>
  <c r="N108" i="14"/>
  <c r="AI187" i="14"/>
  <c r="AI233" i="14"/>
  <c r="N169" i="14"/>
  <c r="N188" i="14"/>
  <c r="M194" i="14"/>
  <c r="Y133" i="14"/>
  <c r="M112" i="14"/>
  <c r="AB124" i="14"/>
  <c r="Y87" i="14"/>
  <c r="X101" i="14"/>
  <c r="X283" i="14"/>
  <c r="AN171" i="14"/>
  <c r="M350" i="14"/>
  <c r="Z103" i="14"/>
  <c r="AN209" i="14"/>
  <c r="AB315" i="14"/>
  <c r="N159" i="14"/>
  <c r="Z188" i="14"/>
  <c r="X205" i="14"/>
  <c r="M197" i="14"/>
  <c r="AI73" i="14"/>
  <c r="AB303" i="14"/>
  <c r="AI259" i="14"/>
  <c r="AB223" i="14"/>
  <c r="AN213" i="14"/>
  <c r="Z185" i="14"/>
  <c r="M62" i="14"/>
  <c r="Z228" i="14"/>
  <c r="M177" i="14"/>
  <c r="AN147" i="14"/>
  <c r="AB52" i="14"/>
  <c r="AI297" i="14"/>
  <c r="AN110" i="14"/>
  <c r="M344" i="14"/>
  <c r="M198" i="14"/>
  <c r="Y134" i="14"/>
  <c r="X192" i="14"/>
  <c r="AI180" i="14"/>
  <c r="Z114" i="14"/>
  <c r="AN273" i="14"/>
  <c r="AN70" i="14"/>
  <c r="Z279" i="14"/>
  <c r="Y63" i="14"/>
  <c r="N268" i="14"/>
  <c r="X295" i="14"/>
  <c r="AI247" i="14"/>
  <c r="AN286" i="14"/>
  <c r="X307" i="14"/>
  <c r="AN186" i="14"/>
  <c r="AB146" i="14"/>
  <c r="X160" i="14"/>
  <c r="AB168" i="14"/>
  <c r="AI164" i="14"/>
  <c r="M365" i="14"/>
  <c r="X222" i="14"/>
  <c r="Z120" i="14"/>
  <c r="Z152" i="14"/>
  <c r="AI342" i="14"/>
  <c r="Z293" i="14"/>
  <c r="Z80" i="14"/>
  <c r="AN360" i="14"/>
  <c r="Y121" i="14"/>
  <c r="AI248" i="14"/>
  <c r="AN313" i="14"/>
  <c r="AN45" i="14"/>
  <c r="Z176" i="14"/>
  <c r="AI345" i="14"/>
  <c r="X31" i="14"/>
  <c r="X164" i="14"/>
  <c r="AB228" i="14"/>
  <c r="Z77" i="14"/>
  <c r="Y180" i="14"/>
  <c r="AB352" i="14"/>
  <c r="Y95" i="14"/>
  <c r="M64" i="14"/>
  <c r="Y238" i="14"/>
  <c r="Z179" i="14"/>
  <c r="AI288" i="14"/>
  <c r="M209" i="14"/>
  <c r="X155" i="14"/>
  <c r="X158" i="14"/>
  <c r="Y102" i="14"/>
  <c r="X217" i="14"/>
  <c r="AN329" i="14"/>
  <c r="AN247" i="14"/>
  <c r="Z256" i="14"/>
  <c r="Z83" i="14"/>
  <c r="Y357" i="14"/>
  <c r="Z162" i="14"/>
  <c r="Y312" i="14"/>
  <c r="AN340" i="14"/>
  <c r="AI269" i="14"/>
  <c r="AN84" i="14"/>
  <c r="Y273" i="14"/>
  <c r="M252" i="14"/>
  <c r="X129" i="14"/>
  <c r="AI313" i="14"/>
  <c r="N310" i="14"/>
  <c r="X94" i="14"/>
  <c r="X246" i="14"/>
  <c r="AI38" i="14"/>
  <c r="N94" i="14"/>
  <c r="N262" i="14"/>
  <c r="X269" i="14"/>
  <c r="AB201" i="14"/>
  <c r="N45" i="14"/>
  <c r="N164" i="14"/>
  <c r="M328" i="14"/>
  <c r="X239" i="14"/>
  <c r="Y118" i="14"/>
  <c r="X235" i="14"/>
  <c r="Y349" i="14"/>
  <c r="N30" i="14"/>
  <c r="Y61" i="14"/>
  <c r="AB114" i="14"/>
  <c r="M139" i="14"/>
  <c r="N171" i="14"/>
  <c r="AN217" i="14"/>
  <c r="Z107" i="14"/>
  <c r="N251" i="14"/>
  <c r="N98" i="14"/>
  <c r="Y81" i="14"/>
  <c r="N43" i="14"/>
  <c r="AI104" i="14"/>
  <c r="AI67" i="14"/>
  <c r="X345" i="14"/>
  <c r="M336" i="14"/>
  <c r="M242" i="14"/>
  <c r="Y145" i="14"/>
  <c r="AI224" i="14"/>
  <c r="Z355" i="14"/>
  <c r="X51" i="14"/>
  <c r="AI221" i="14"/>
  <c r="AN111" i="14"/>
  <c r="N106" i="14"/>
  <c r="Y323" i="14"/>
  <c r="Z238" i="14"/>
  <c r="AB170" i="14"/>
  <c r="AB337" i="14"/>
  <c r="AI249" i="14"/>
  <c r="AB365" i="14"/>
  <c r="AN226" i="14"/>
  <c r="X359" i="14"/>
  <c r="AI354" i="14"/>
  <c r="AN141" i="14"/>
  <c r="N264" i="14"/>
  <c r="M363" i="14"/>
  <c r="AB101" i="14"/>
  <c r="M221" i="14"/>
  <c r="AN152" i="14"/>
  <c r="M258" i="14"/>
  <c r="Z345" i="14"/>
  <c r="Y362" i="14"/>
  <c r="AB310" i="14"/>
  <c r="N271" i="14"/>
  <c r="M353" i="14"/>
  <c r="M244" i="14"/>
  <c r="Y271" i="14"/>
  <c r="Z366" i="14"/>
  <c r="AN156" i="14"/>
  <c r="Z31" i="14"/>
  <c r="X142" i="14"/>
  <c r="AB255" i="14"/>
  <c r="X209" i="14"/>
  <c r="AB246" i="14"/>
  <c r="N344" i="14"/>
  <c r="AB300" i="14"/>
  <c r="N31" i="14"/>
  <c r="Y331" i="14"/>
  <c r="AB353" i="14"/>
  <c r="Z174" i="14"/>
  <c r="AB144" i="14"/>
  <c r="N249" i="14"/>
  <c r="Y128" i="14"/>
  <c r="AI274" i="14"/>
  <c r="Y177" i="14"/>
  <c r="M103" i="14"/>
  <c r="Z226" i="14"/>
  <c r="X292" i="14"/>
  <c r="AB244" i="14"/>
  <c r="X114" i="14"/>
  <c r="AN94" i="14"/>
  <c r="Z263" i="14"/>
  <c r="AI74" i="14"/>
  <c r="Y147" i="14"/>
  <c r="Y97" i="14"/>
  <c r="X91" i="14"/>
  <c r="X348" i="14"/>
  <c r="M278" i="14"/>
  <c r="Y295" i="14"/>
  <c r="AN204" i="14"/>
  <c r="X182" i="14"/>
  <c r="AI123" i="14"/>
  <c r="X298" i="14"/>
  <c r="N240" i="14"/>
  <c r="Z110" i="14"/>
  <c r="X71" i="14"/>
  <c r="X132" i="14"/>
  <c r="Y318" i="14"/>
  <c r="Z250" i="14"/>
  <c r="Y209" i="14"/>
  <c r="Z123" i="14"/>
  <c r="AN227" i="14"/>
  <c r="N233" i="14"/>
  <c r="Z116" i="14"/>
  <c r="Z307" i="14"/>
  <c r="AB71" i="14"/>
  <c r="M253" i="14"/>
  <c r="AI293" i="14"/>
  <c r="Z260" i="14"/>
  <c r="AI263" i="14"/>
  <c r="Z34" i="14"/>
  <c r="X75" i="14"/>
  <c r="M71" i="14"/>
  <c r="Z178" i="14"/>
  <c r="AI174" i="14"/>
  <c r="N243" i="14"/>
  <c r="X106" i="14"/>
  <c r="Z128" i="14"/>
  <c r="Z301" i="14"/>
  <c r="Y105" i="14"/>
  <c r="Y39" i="14"/>
  <c r="X267" i="14"/>
  <c r="Z52" i="14"/>
  <c r="AI212" i="14"/>
  <c r="Z180" i="14"/>
  <c r="Y37" i="14"/>
  <c r="Y43" i="14"/>
  <c r="AI160" i="14"/>
  <c r="Z296" i="14"/>
  <c r="X37" i="14"/>
  <c r="N293" i="14"/>
  <c r="Y234" i="14"/>
  <c r="AB330" i="14"/>
  <c r="AI219" i="14"/>
  <c r="N281" i="14"/>
  <c r="Z94" i="14"/>
  <c r="M110" i="14"/>
  <c r="Y78" i="14"/>
  <c r="Y70" i="14"/>
  <c r="AN206" i="14"/>
  <c r="AN117" i="14"/>
  <c r="Y48" i="14"/>
  <c r="M325" i="14"/>
  <c r="Y104" i="14"/>
  <c r="AN51" i="14"/>
  <c r="X184" i="14"/>
  <c r="AI267" i="14"/>
  <c r="X258" i="14"/>
  <c r="Z81" i="14"/>
  <c r="AI103" i="14"/>
  <c r="Z181" i="14"/>
  <c r="Z55" i="14"/>
  <c r="AN225" i="14"/>
  <c r="Z249" i="14"/>
  <c r="Y233" i="14"/>
  <c r="AN170" i="14"/>
  <c r="AI61" i="14"/>
  <c r="X139" i="14"/>
  <c r="AN296" i="14"/>
  <c r="N211" i="14"/>
  <c r="AI272" i="14"/>
  <c r="AN95" i="14"/>
  <c r="X176" i="14"/>
  <c r="Y220" i="14"/>
  <c r="AI339" i="14"/>
  <c r="X260" i="14"/>
  <c r="Z337" i="14"/>
  <c r="AI140" i="14"/>
  <c r="N272" i="14"/>
  <c r="AN140" i="14"/>
  <c r="M85" i="14"/>
  <c r="AN169" i="14"/>
  <c r="Y74" i="14"/>
  <c r="N115" i="14"/>
  <c r="AN311" i="14"/>
  <c r="M118" i="14"/>
  <c r="M52" i="14"/>
  <c r="Y316" i="14"/>
  <c r="AN81" i="14"/>
  <c r="X223" i="14"/>
  <c r="Y42" i="14"/>
  <c r="AN295" i="14"/>
  <c r="M320" i="14"/>
  <c r="Z47" i="14"/>
  <c r="Z192" i="14"/>
  <c r="M307" i="14"/>
  <c r="Z90" i="14"/>
  <c r="Y96" i="14"/>
  <c r="X353" i="14"/>
  <c r="Z108" i="14"/>
  <c r="AI317" i="14"/>
  <c r="N307" i="14"/>
  <c r="AI264" i="14"/>
  <c r="Y100" i="14"/>
  <c r="Y67" i="14"/>
  <c r="X232" i="14"/>
  <c r="N117" i="14"/>
  <c r="N323" i="14"/>
  <c r="X130" i="14"/>
  <c r="Y315" i="14"/>
  <c r="Z319" i="14"/>
  <c r="AI254" i="14"/>
  <c r="Y84" i="14"/>
  <c r="X285" i="14"/>
  <c r="AB240" i="14"/>
  <c r="Z50" i="14"/>
  <c r="X257" i="14"/>
  <c r="AB348" i="14"/>
  <c r="Z230" i="14"/>
  <c r="AN49" i="14"/>
  <c r="AB165" i="14"/>
  <c r="M147" i="14"/>
  <c r="AN352" i="14"/>
  <c r="N55" i="14"/>
  <c r="Z85" i="14"/>
  <c r="Z76" i="14"/>
  <c r="M29" i="14"/>
  <c r="X169" i="14"/>
  <c r="X188" i="14"/>
  <c r="M195" i="14"/>
  <c r="Y172" i="14"/>
  <c r="N205" i="14"/>
  <c r="Y289" i="14"/>
  <c r="AN203" i="14"/>
  <c r="M264" i="14"/>
  <c r="AI118" i="14"/>
  <c r="AI324" i="14"/>
  <c r="M280" i="14"/>
  <c r="AN62" i="14"/>
  <c r="M50" i="14"/>
  <c r="N337" i="14"/>
  <c r="M185" i="14"/>
  <c r="AN258" i="14"/>
  <c r="N116" i="14"/>
  <c r="X76" i="14"/>
  <c r="AI46" i="14"/>
  <c r="Z305" i="14"/>
  <c r="AI358" i="14"/>
  <c r="X28" i="14"/>
  <c r="N158" i="14"/>
  <c r="Z284" i="14"/>
  <c r="N47" i="14"/>
  <c r="AB77" i="14"/>
  <c r="AB112" i="14"/>
  <c r="M35" i="14"/>
  <c r="AB289" i="14"/>
  <c r="M122" i="14"/>
  <c r="X73" i="14"/>
  <c r="AI138" i="14"/>
  <c r="X212" i="14"/>
  <c r="N163" i="14"/>
  <c r="Y165" i="14"/>
  <c r="X143" i="14"/>
  <c r="M43" i="14"/>
  <c r="Y150" i="14"/>
  <c r="M190" i="14"/>
  <c r="AN35" i="14"/>
  <c r="N351" i="14"/>
  <c r="M28" i="14"/>
  <c r="Z255" i="14"/>
  <c r="N137" i="14"/>
  <c r="Y301" i="14"/>
  <c r="AB297" i="14"/>
  <c r="AB241" i="14"/>
  <c r="AI217" i="14"/>
  <c r="AN210" i="14"/>
  <c r="AB329" i="14"/>
  <c r="M99" i="14"/>
  <c r="N187" i="14"/>
  <c r="Y72" i="14"/>
  <c r="AB147" i="14"/>
  <c r="AN337" i="14"/>
  <c r="N81" i="14"/>
  <c r="AB234" i="14"/>
  <c r="M193" i="14"/>
  <c r="Y173" i="14"/>
  <c r="AN33" i="14"/>
  <c r="Y89" i="14"/>
  <c r="M233" i="14"/>
  <c r="Y259" i="14"/>
  <c r="Y106" i="14"/>
  <c r="M126" i="14"/>
  <c r="AN367" i="14"/>
  <c r="Z235" i="14"/>
  <c r="AN223" i="14"/>
  <c r="Z115" i="14"/>
  <c r="M136" i="14"/>
  <c r="M347" i="14"/>
  <c r="Y350" i="14"/>
  <c r="AN324" i="14"/>
  <c r="N274" i="14"/>
  <c r="M162" i="14"/>
  <c r="Z38" i="14"/>
  <c r="AN366" i="14"/>
  <c r="AB237" i="14"/>
  <c r="X305" i="14"/>
  <c r="M78" i="14"/>
  <c r="X360" i="14"/>
  <c r="AB345" i="14"/>
  <c r="Z340" i="14"/>
  <c r="M73" i="14"/>
  <c r="M262" i="14"/>
  <c r="AN172" i="14"/>
  <c r="N284" i="14"/>
  <c r="AN354" i="14"/>
  <c r="Y98" i="14"/>
  <c r="Z368" i="14"/>
  <c r="N183" i="14"/>
  <c r="AN282" i="14"/>
  <c r="X227" i="14"/>
  <c r="M260" i="14"/>
  <c r="N38" i="14"/>
  <c r="Z325" i="14"/>
  <c r="Z53" i="14"/>
  <c r="AI321" i="14"/>
  <c r="Y142" i="14"/>
  <c r="Y135" i="14"/>
  <c r="Y287" i="14"/>
  <c r="AN85" i="14"/>
  <c r="AB363" i="14"/>
  <c r="M138" i="14"/>
  <c r="AB290" i="14"/>
  <c r="X289" i="14"/>
  <c r="AB342" i="14"/>
  <c r="N247" i="14"/>
  <c r="Z219" i="14"/>
  <c r="N195" i="14"/>
  <c r="Y30" i="14"/>
  <c r="N152" i="14"/>
  <c r="N192" i="14"/>
  <c r="Z222" i="14"/>
  <c r="N83" i="14"/>
  <c r="Z346" i="14"/>
  <c r="AI120" i="14"/>
  <c r="M90" i="14"/>
  <c r="Y296" i="14"/>
  <c r="AN299" i="14"/>
  <c r="AB236" i="14"/>
  <c r="AI341" i="14"/>
  <c r="M142" i="14"/>
  <c r="Y247" i="14"/>
  <c r="AB186" i="14"/>
  <c r="AN301" i="14"/>
  <c r="AB232" i="14"/>
  <c r="Z229" i="14"/>
  <c r="AB178" i="14"/>
  <c r="N49" i="14"/>
  <c r="AI295" i="14"/>
  <c r="X119" i="14"/>
  <c r="AB104" i="14"/>
  <c r="Y207" i="14"/>
  <c r="AN184" i="14"/>
  <c r="Y311" i="14"/>
  <c r="Y60" i="14"/>
  <c r="AI95" i="14"/>
  <c r="AN319" i="14"/>
  <c r="M359" i="14"/>
  <c r="AN79" i="14"/>
  <c r="Y156" i="14"/>
  <c r="Y194" i="14"/>
  <c r="AN91" i="14"/>
  <c r="X255" i="14"/>
  <c r="M93" i="14"/>
  <c r="Y297" i="14"/>
  <c r="AI284" i="14"/>
  <c r="AB218" i="14"/>
  <c r="AN165" i="14"/>
  <c r="AI36" i="14"/>
  <c r="M100" i="14"/>
  <c r="AN145" i="14"/>
  <c r="AB169" i="14"/>
  <c r="X296" i="14"/>
  <c r="Y94" i="14"/>
  <c r="X68" i="14"/>
  <c r="Z225" i="14"/>
  <c r="X44" i="14"/>
  <c r="M306" i="14"/>
  <c r="Y230" i="14"/>
  <c r="M345" i="14"/>
  <c r="Y356" i="14"/>
  <c r="X304" i="14"/>
  <c r="AI133" i="14"/>
  <c r="N86" i="14"/>
  <c r="N303" i="14"/>
  <c r="AB272" i="14"/>
  <c r="X318" i="14"/>
  <c r="Y44" i="14"/>
  <c r="Z173" i="14"/>
  <c r="Y183" i="14"/>
  <c r="Y358" i="14"/>
  <c r="M96" i="14"/>
  <c r="AI188" i="14"/>
  <c r="M343" i="14"/>
  <c r="N36" i="14"/>
  <c r="Z139" i="14"/>
  <c r="N235" i="14"/>
  <c r="Y263" i="14"/>
  <c r="N361" i="14"/>
  <c r="AN113" i="14"/>
  <c r="X167" i="14"/>
  <c r="Z358" i="14"/>
  <c r="AB70" i="14"/>
  <c r="M188" i="14"/>
  <c r="AI227" i="14"/>
  <c r="Y69" i="14"/>
  <c r="Y159" i="14"/>
  <c r="AB49" i="14"/>
  <c r="Z316" i="14"/>
  <c r="AI175" i="14"/>
  <c r="AB304" i="14"/>
  <c r="M210" i="14"/>
  <c r="M251" i="14"/>
  <c r="AN218" i="14"/>
  <c r="AB349" i="14"/>
  <c r="Y245" i="14"/>
  <c r="M180" i="14"/>
  <c r="AI185" i="14"/>
  <c r="Z309" i="14"/>
  <c r="M47" i="14"/>
  <c r="Z164" i="14"/>
  <c r="AB299" i="14"/>
  <c r="Y181" i="14"/>
  <c r="AN106" i="14"/>
  <c r="Z317" i="14"/>
  <c r="X131" i="14"/>
  <c r="AB311" i="14"/>
  <c r="M212" i="14"/>
  <c r="X153" i="14"/>
  <c r="AN161" i="14"/>
  <c r="Y254" i="14"/>
  <c r="AB100" i="14"/>
  <c r="AN67" i="14"/>
  <c r="N256" i="14"/>
  <c r="AN350" i="14"/>
  <c r="AN220" i="14"/>
  <c r="M150" i="14"/>
  <c r="M186" i="14"/>
  <c r="M175" i="14"/>
  <c r="AN133" i="14"/>
  <c r="AN349" i="14"/>
  <c r="AN241" i="14"/>
  <c r="M159" i="14"/>
  <c r="X308" i="14"/>
  <c r="Y154" i="14"/>
  <c r="AI335" i="14"/>
  <c r="M229" i="14"/>
  <c r="N167" i="14"/>
  <c r="AB174" i="14"/>
  <c r="X56" i="14"/>
  <c r="N196" i="14"/>
  <c r="AN173" i="14"/>
  <c r="M329" i="14"/>
  <c r="Y158" i="14"/>
  <c r="Y319" i="14"/>
  <c r="AB226" i="14"/>
  <c r="AN149" i="14"/>
  <c r="AI40" i="14"/>
  <c r="N121" i="14"/>
  <c r="AI283" i="14"/>
  <c r="AB347" i="14"/>
  <c r="M189" i="14"/>
  <c r="AB284" i="14"/>
  <c r="Y286" i="14"/>
  <c r="Z42" i="14"/>
  <c r="AI348" i="14"/>
  <c r="AN196" i="14"/>
  <c r="M105" i="14"/>
  <c r="N352" i="14"/>
  <c r="N269" i="14"/>
  <c r="X336" i="14"/>
  <c r="AN123" i="14"/>
  <c r="M106" i="14"/>
  <c r="Y185" i="14"/>
  <c r="Y73" i="14"/>
  <c r="AI225" i="14"/>
  <c r="AN72" i="14"/>
  <c r="AI166" i="14"/>
  <c r="AN347" i="14"/>
  <c r="N190" i="14"/>
  <c r="AN302" i="14"/>
  <c r="N288" i="14"/>
  <c r="Z54" i="14"/>
  <c r="Z361" i="14"/>
  <c r="N246" i="14"/>
  <c r="AN306" i="14"/>
  <c r="AN158" i="14"/>
  <c r="Y171" i="14"/>
  <c r="AI351" i="14"/>
  <c r="Y290" i="14"/>
  <c r="M128" i="14"/>
  <c r="AI318" i="14"/>
  <c r="M247" i="14"/>
  <c r="M220" i="14"/>
  <c r="Y333" i="14"/>
  <c r="Y242" i="14"/>
  <c r="AN191" i="14"/>
  <c r="AI356" i="14"/>
  <c r="X121" i="14"/>
  <c r="AB53" i="14"/>
  <c r="N68" i="14"/>
  <c r="Y253" i="14"/>
  <c r="M120" i="14"/>
  <c r="Y208" i="14"/>
  <c r="X83" i="14"/>
  <c r="X145" i="14"/>
  <c r="M265" i="14"/>
  <c r="X368" i="14"/>
  <c r="AB145" i="14"/>
  <c r="AI262" i="14"/>
  <c r="AI31" i="14"/>
  <c r="Y90" i="14"/>
  <c r="AI124" i="14"/>
  <c r="AN96" i="14"/>
  <c r="N160" i="14"/>
  <c r="Z326" i="14"/>
  <c r="X128" i="14"/>
  <c r="AN143" i="14"/>
  <c r="AN257" i="14"/>
  <c r="Y112" i="14"/>
  <c r="Y28" i="14"/>
  <c r="Z133" i="14"/>
  <c r="Y71" i="14"/>
  <c r="X234" i="14"/>
  <c r="AI306" i="14"/>
  <c r="N155" i="14"/>
  <c r="AB102" i="14"/>
  <c r="AI312" i="14"/>
  <c r="M77" i="14"/>
  <c r="AI69" i="14"/>
  <c r="X213" i="14"/>
  <c r="AN293" i="14"/>
  <c r="Z245" i="14"/>
  <c r="Z59" i="14"/>
  <c r="Z30" i="14"/>
  <c r="X315" i="14"/>
  <c r="AN137" i="14"/>
  <c r="AI158" i="14"/>
  <c r="Y138" i="14"/>
  <c r="Y246" i="14"/>
  <c r="N129" i="14"/>
  <c r="AI336" i="14"/>
  <c r="Y191" i="14"/>
  <c r="Z72" i="14"/>
  <c r="AB358" i="14"/>
  <c r="AN37" i="14"/>
  <c r="X321" i="14"/>
  <c r="X197" i="14"/>
  <c r="X203" i="14"/>
  <c r="M173" i="14"/>
  <c r="Y46" i="14"/>
  <c r="AB243" i="14"/>
  <c r="Z323" i="14"/>
  <c r="N122" i="14"/>
  <c r="N34" i="14"/>
  <c r="AI113" i="14"/>
  <c r="AI353" i="14"/>
  <c r="Y277" i="14"/>
  <c r="X366" i="14"/>
  <c r="AN359" i="14"/>
  <c r="N239" i="14"/>
  <c r="AN268" i="14"/>
  <c r="Z334" i="14"/>
  <c r="M337" i="14"/>
  <c r="Y223" i="14"/>
  <c r="Z57" i="14"/>
  <c r="M261" i="14"/>
  <c r="Y80" i="14"/>
  <c r="X362" i="14"/>
  <c r="M319" i="14"/>
  <c r="AN155" i="14"/>
  <c r="AB239" i="14"/>
  <c r="X189" i="14"/>
  <c r="M196" i="14"/>
  <c r="AI299" i="14"/>
  <c r="N67" i="14"/>
  <c r="X80" i="14"/>
  <c r="N359" i="14"/>
  <c r="N138" i="14"/>
  <c r="X40" i="14"/>
  <c r="Z265" i="14"/>
  <c r="AB282" i="14"/>
  <c r="X231" i="14"/>
  <c r="AI303" i="14"/>
  <c r="AB335" i="14"/>
  <c r="AN221" i="14"/>
  <c r="Z277" i="14"/>
  <c r="N156" i="14"/>
  <c r="Y34" i="14"/>
  <c r="X253" i="14"/>
  <c r="X274" i="14"/>
  <c r="N216" i="14"/>
  <c r="AB122" i="14"/>
  <c r="Z143" i="14"/>
  <c r="M80" i="14"/>
  <c r="M356" i="14"/>
  <c r="AN238" i="14"/>
  <c r="AB326" i="14"/>
  <c r="Z252" i="14"/>
  <c r="X301" i="14"/>
  <c r="AB210" i="14"/>
  <c r="X270" i="14"/>
  <c r="X207" i="14"/>
  <c r="AB115" i="14"/>
  <c r="M156" i="14"/>
  <c r="Y196" i="14"/>
  <c r="Y281" i="14"/>
  <c r="AN89" i="14"/>
  <c r="N144" i="14"/>
  <c r="Z206" i="14"/>
  <c r="Y226" i="14"/>
  <c r="Y283" i="14"/>
  <c r="X178" i="14"/>
  <c r="M37" i="14"/>
  <c r="X69" i="14"/>
  <c r="Y83" i="14"/>
  <c r="AN362" i="14"/>
  <c r="Y193" i="14"/>
  <c r="AN153" i="14"/>
  <c r="AN182" i="14"/>
  <c r="M70" i="14"/>
  <c r="Z343" i="14"/>
  <c r="Y110" i="14"/>
  <c r="AB106" i="14"/>
  <c r="Z332" i="14"/>
  <c r="N102" i="14"/>
  <c r="M231" i="14"/>
  <c r="Z232" i="14"/>
  <c r="AN126" i="14"/>
  <c r="AI33" i="14"/>
  <c r="X84" i="14"/>
  <c r="Y265" i="14"/>
  <c r="N135" i="14"/>
  <c r="Y255" i="14"/>
  <c r="Y257" i="14"/>
  <c r="N345" i="14"/>
  <c r="Z154" i="14"/>
  <c r="AN201" i="14"/>
  <c r="Y111" i="14"/>
  <c r="AI308" i="14"/>
  <c r="X199" i="14"/>
  <c r="N346" i="14"/>
  <c r="AN53" i="14"/>
  <c r="AI278" i="14"/>
  <c r="AN205" i="14"/>
  <c r="X159" i="14"/>
  <c r="M218" i="14"/>
  <c r="X63" i="14"/>
  <c r="X190" i="14"/>
  <c r="Y314" i="14"/>
  <c r="N146" i="14"/>
  <c r="Z186" i="14"/>
  <c r="AI369" i="14"/>
  <c r="Z257" i="14"/>
  <c r="M239" i="14"/>
  <c r="X62" i="14"/>
  <c r="AB151" i="14"/>
  <c r="X229" i="14"/>
  <c r="X52" i="14"/>
  <c r="AN193" i="14"/>
  <c r="M63" i="14"/>
  <c r="AB242" i="14"/>
  <c r="N52" i="14"/>
  <c r="AI84" i="14"/>
  <c r="AB322" i="14"/>
  <c r="AN356" i="14"/>
  <c r="AI42" i="14"/>
  <c r="Z63" i="14"/>
  <c r="Z37" i="14"/>
  <c r="AN342" i="14"/>
  <c r="AB64" i="14"/>
  <c r="AB190" i="14"/>
  <c r="X265" i="14"/>
  <c r="X32" i="14"/>
  <c r="AI93" i="14"/>
  <c r="AN52" i="14"/>
  <c r="AN154" i="14"/>
  <c r="AN256" i="14"/>
  <c r="N327" i="14"/>
  <c r="AN160" i="14"/>
  <c r="M61" i="14"/>
  <c r="M314" i="14"/>
  <c r="X244" i="14"/>
  <c r="N367" i="14"/>
  <c r="AN192" i="14"/>
  <c r="N157" i="14"/>
  <c r="AI143" i="14"/>
  <c r="Z170" i="14"/>
  <c r="AN239" i="14"/>
  <c r="N334" i="14"/>
  <c r="AN275" i="14"/>
  <c r="M236" i="14"/>
  <c r="X344" i="14"/>
  <c r="AN105" i="14"/>
  <c r="AN177" i="14"/>
  <c r="AN308" i="14"/>
  <c r="Y153" i="14"/>
  <c r="AI285" i="14"/>
  <c r="Y256" i="14"/>
  <c r="AN244" i="14"/>
  <c r="M354" i="14"/>
  <c r="X245" i="14"/>
  <c r="AB176" i="14"/>
  <c r="Y161" i="14"/>
  <c r="AB103" i="14"/>
  <c r="Z145" i="14"/>
  <c r="AI117" i="14"/>
  <c r="AN189" i="14"/>
  <c r="AB162" i="14"/>
  <c r="N228" i="14"/>
  <c r="AB82" i="14"/>
  <c r="AN246" i="14"/>
  <c r="Y86" i="14"/>
  <c r="X58" i="14"/>
  <c r="AB222" i="14"/>
  <c r="Y203" i="14"/>
  <c r="AI207" i="14"/>
  <c r="X46" i="14"/>
  <c r="X349" i="14"/>
  <c r="Z69" i="14"/>
  <c r="N132" i="14"/>
  <c r="Y120" i="14"/>
  <c r="Y305" i="14"/>
  <c r="N364" i="14"/>
  <c r="X103" i="14"/>
  <c r="Y64" i="14"/>
  <c r="AN332" i="14"/>
  <c r="N39" i="14"/>
  <c r="AI307" i="14"/>
  <c r="AB179" i="14"/>
  <c r="N219" i="14"/>
  <c r="AN144" i="14"/>
  <c r="AN44" i="14"/>
  <c r="Y57" i="14"/>
  <c r="AI60" i="14"/>
  <c r="X317" i="14"/>
  <c r="Y129" i="14"/>
  <c r="N255" i="14"/>
  <c r="X123" i="14"/>
  <c r="Y237" i="14"/>
  <c r="M108" i="14"/>
  <c r="M267" i="14"/>
  <c r="X147" i="14"/>
  <c r="AB260" i="14"/>
  <c r="Y340" i="14"/>
  <c r="AI211" i="14"/>
  <c r="X219" i="14"/>
  <c r="X306" i="14"/>
  <c r="AI352" i="14"/>
  <c r="AB211" i="14"/>
  <c r="N341" i="14"/>
  <c r="X230" i="14"/>
  <c r="X300" i="14"/>
  <c r="Z61" i="14"/>
  <c r="M355" i="14"/>
  <c r="Y249" i="14"/>
  <c r="M191" i="14"/>
  <c r="AB288" i="14"/>
  <c r="Z97" i="14"/>
  <c r="AB116" i="14"/>
  <c r="Y348" i="14"/>
  <c r="M317" i="14"/>
  <c r="X110" i="14"/>
  <c r="Z237" i="14"/>
  <c r="AI47" i="14"/>
  <c r="Z203" i="14"/>
  <c r="AN197" i="14"/>
  <c r="N368" i="14"/>
  <c r="AN260" i="14"/>
  <c r="N78" i="14"/>
  <c r="Y344" i="14"/>
  <c r="Y341" i="14"/>
  <c r="Z363" i="14"/>
  <c r="AN365" i="14"/>
  <c r="AB30" i="14"/>
  <c r="X351" i="14"/>
  <c r="AI97" i="14"/>
  <c r="Y103" i="14"/>
  <c r="Y31" i="14"/>
  <c r="Z43" i="14"/>
  <c r="AN264" i="14"/>
  <c r="M322" i="14"/>
  <c r="AN338" i="14"/>
  <c r="N213" i="14"/>
  <c r="N225" i="14"/>
  <c r="M54" i="14"/>
  <c r="AB152" i="14"/>
  <c r="Z111" i="14"/>
  <c r="AI161" i="14"/>
  <c r="AB50" i="14"/>
  <c r="Z158" i="14"/>
  <c r="AB120" i="14"/>
  <c r="AI130" i="14"/>
  <c r="AB68" i="14"/>
  <c r="M313" i="14"/>
  <c r="AN38" i="14"/>
  <c r="AN339" i="14"/>
  <c r="M300" i="14"/>
  <c r="Y241" i="14"/>
  <c r="N285" i="14"/>
  <c r="Z44" i="14"/>
  <c r="Y139" i="14"/>
  <c r="N309" i="14"/>
  <c r="AN351" i="14"/>
  <c r="Z36" i="14"/>
  <c r="Y190" i="14"/>
  <c r="AN307" i="14"/>
  <c r="AB257" i="14"/>
  <c r="AN90" i="14"/>
  <c r="Y170" i="14"/>
  <c r="AN231" i="14"/>
  <c r="X250" i="14"/>
  <c r="X312" i="14"/>
  <c r="AI244" i="14"/>
  <c r="N100" i="14"/>
  <c r="AB61" i="14"/>
  <c r="AB302" i="14"/>
  <c r="X154" i="14"/>
  <c r="AI71" i="14"/>
  <c r="X105" i="14"/>
  <c r="N226" i="14"/>
  <c r="AN87" i="14"/>
  <c r="Z266" i="14"/>
  <c r="Z56" i="14"/>
  <c r="Z243" i="14"/>
  <c r="M92" i="14"/>
  <c r="N173" i="14"/>
  <c r="X334" i="14"/>
  <c r="Y227" i="14"/>
  <c r="Y197" i="14"/>
  <c r="M226" i="14"/>
  <c r="AB309" i="14"/>
  <c r="Y99" i="14"/>
  <c r="Z215" i="14"/>
  <c r="M205" i="14"/>
  <c r="AN294" i="14"/>
  <c r="AB121" i="14"/>
  <c r="Y189" i="14"/>
  <c r="M165" i="14"/>
  <c r="AN116" i="14"/>
  <c r="AB57" i="14"/>
  <c r="Y152" i="14"/>
  <c r="AB62" i="14"/>
  <c r="M152" i="14"/>
  <c r="AI58" i="14"/>
  <c r="N286" i="14"/>
  <c r="N51" i="14"/>
  <c r="Y302" i="14"/>
  <c r="N276" i="14"/>
  <c r="Y35" i="14"/>
  <c r="AB107" i="14"/>
  <c r="AI223" i="14"/>
  <c r="AI265" i="14"/>
  <c r="Z196" i="14"/>
  <c r="AN68" i="14"/>
  <c r="N355" i="14"/>
  <c r="AB110" i="14"/>
  <c r="Z84" i="14"/>
  <c r="Y187" i="14"/>
  <c r="AB105" i="14"/>
  <c r="AB35" i="14"/>
  <c r="X342" i="14"/>
  <c r="Y169" i="14"/>
  <c r="M299" i="14"/>
  <c r="AB90" i="14"/>
  <c r="AN176" i="14"/>
  <c r="Z310" i="14"/>
  <c r="AB59" i="14"/>
  <c r="AI179" i="14"/>
  <c r="AB204" i="14"/>
  <c r="N206" i="14"/>
  <c r="AI45" i="14"/>
  <c r="Z342" i="14"/>
  <c r="AI57" i="14"/>
  <c r="AI184" i="14"/>
  <c r="Y137" i="14"/>
  <c r="X322" i="14"/>
  <c r="AI183" i="14"/>
  <c r="Y131" i="14"/>
  <c r="AN233" i="14"/>
  <c r="M109" i="14"/>
  <c r="AB316" i="14"/>
  <c r="N202" i="14"/>
  <c r="X238" i="14"/>
  <c r="AN326" i="14"/>
  <c r="N321" i="14"/>
  <c r="AN250" i="14"/>
  <c r="X276" i="14"/>
  <c r="Z191" i="14"/>
  <c r="N241" i="14"/>
  <c r="Y309" i="14"/>
  <c r="M155" i="14"/>
  <c r="M296" i="14"/>
  <c r="M32" i="14"/>
  <c r="AN97" i="14"/>
  <c r="AI145" i="14"/>
  <c r="AB180" i="14"/>
  <c r="AB256" i="14"/>
  <c r="Z166" i="14"/>
  <c r="M230" i="14"/>
  <c r="N104" i="14"/>
  <c r="X236" i="14"/>
  <c r="Z297" i="14"/>
  <c r="M69" i="14"/>
  <c r="N313" i="14"/>
  <c r="AN100" i="14"/>
  <c r="Z227" i="14"/>
  <c r="Z183" i="14"/>
  <c r="X226" i="14"/>
  <c r="Y93" i="14"/>
  <c r="Y317" i="14"/>
  <c r="AN224" i="14"/>
  <c r="Y251" i="14"/>
  <c r="N292" i="14"/>
  <c r="Y310" i="14"/>
  <c r="AI64" i="14"/>
  <c r="Z292" i="14"/>
  <c r="N244" i="14"/>
  <c r="Y336" i="14"/>
  <c r="AI87" i="14"/>
  <c r="N275" i="14"/>
  <c r="AI86" i="14"/>
  <c r="Z71" i="14"/>
  <c r="N330" i="14"/>
  <c r="AN230" i="14"/>
  <c r="AI94" i="14"/>
  <c r="Z70" i="14"/>
  <c r="N350" i="14"/>
  <c r="AI48" i="14"/>
  <c r="Y343" i="14"/>
  <c r="AB141" i="14"/>
  <c r="AN118" i="14"/>
  <c r="Z211" i="14"/>
  <c r="M135" i="14"/>
  <c r="Y243" i="14"/>
  <c r="X350" i="14"/>
  <c r="AN194" i="14"/>
  <c r="M227" i="14"/>
  <c r="M169" i="14"/>
  <c r="N357" i="14"/>
  <c r="AN312" i="14"/>
  <c r="N56" i="14"/>
  <c r="AI296" i="14"/>
  <c r="N326" i="14"/>
  <c r="X72" i="14"/>
  <c r="N291" i="14"/>
  <c r="Z161" i="14"/>
  <c r="AN93" i="14"/>
  <c r="M215" i="14"/>
  <c r="AN122" i="14"/>
  <c r="N84" i="14"/>
  <c r="M234" i="14"/>
  <c r="Z280" i="14"/>
  <c r="M115" i="14"/>
  <c r="X64" i="14"/>
  <c r="D31" i="11"/>
  <c r="Z324" i="14"/>
  <c r="M340" i="14"/>
  <c r="Z291" i="14"/>
  <c r="M338" i="14"/>
  <c r="M33" i="14"/>
  <c r="N149" i="14"/>
  <c r="N111" i="14"/>
  <c r="Z146" i="14"/>
  <c r="M123" i="14"/>
  <c r="AB225" i="14"/>
  <c r="Y126" i="14"/>
  <c r="X287" i="14"/>
  <c r="AN99" i="14"/>
  <c r="AB328" i="14"/>
  <c r="N273" i="14"/>
  <c r="AN272" i="14"/>
  <c r="AI268" i="14"/>
  <c r="Y115" i="14"/>
  <c r="X116" i="14"/>
  <c r="N191" i="14"/>
  <c r="Z314" i="14"/>
  <c r="AI220" i="14"/>
  <c r="AI109" i="14"/>
  <c r="Y236" i="14"/>
  <c r="X47" i="14"/>
  <c r="Z75" i="14"/>
  <c r="AI77" i="14"/>
  <c r="M291" i="14"/>
  <c r="Z207" i="14"/>
  <c r="X175" i="14"/>
  <c r="AN103" i="14"/>
  <c r="Z194" i="14"/>
  <c r="M211" i="14"/>
  <c r="AI131" i="14"/>
  <c r="M49" i="14"/>
  <c r="N145" i="14"/>
  <c r="Z218" i="14"/>
  <c r="Z290" i="14"/>
  <c r="Y304" i="14"/>
  <c r="AN190" i="14"/>
  <c r="AI333" i="14"/>
  <c r="Z134" i="14"/>
  <c r="AI152" i="14"/>
  <c r="Y119" i="14"/>
  <c r="Z289" i="14"/>
  <c r="AN271" i="14"/>
  <c r="AB177" i="14"/>
  <c r="AI201" i="14"/>
  <c r="Z106" i="14"/>
  <c r="AI298" i="14"/>
  <c r="Z74" i="14"/>
  <c r="Z262" i="14"/>
  <c r="Z58" i="14"/>
  <c r="X324" i="14"/>
  <c r="M364" i="14"/>
  <c r="Z198" i="14"/>
  <c r="X194" i="14"/>
  <c r="Y352" i="14"/>
  <c r="AN132" i="14"/>
  <c r="Y293" i="14"/>
  <c r="AN108" i="14"/>
  <c r="Z328" i="14"/>
  <c r="AI29" i="14"/>
  <c r="Z119" i="14"/>
  <c r="Z147" i="14"/>
  <c r="Z182" i="14"/>
  <c r="Z102" i="14"/>
  <c r="M55" i="14"/>
  <c r="AB220" i="14"/>
  <c r="Z201" i="14"/>
  <c r="AB324" i="14"/>
  <c r="X340" i="14"/>
  <c r="AN364" i="14"/>
  <c r="X120" i="14"/>
  <c r="AN252" i="14"/>
  <c r="N103" i="14"/>
  <c r="N151" i="14"/>
  <c r="Z330" i="14"/>
  <c r="AI59" i="14"/>
  <c r="AI292" i="14"/>
  <c r="AB344" i="14"/>
  <c r="Z295" i="14"/>
  <c r="AN343" i="14"/>
  <c r="M308" i="14"/>
  <c r="AN305" i="14"/>
  <c r="Y275" i="14"/>
  <c r="D13" i="11"/>
  <c r="C37" i="11"/>
  <c r="E13" i="11" l="1"/>
  <c r="AA275" i="14"/>
  <c r="W120" i="14"/>
  <c r="W340" i="14"/>
  <c r="AA293" i="14"/>
  <c r="AA352" i="14"/>
  <c r="W194" i="14"/>
  <c r="W324" i="14"/>
  <c r="AA119" i="14"/>
  <c r="AA304" i="14"/>
  <c r="W175" i="14"/>
  <c r="W47" i="14"/>
  <c r="AA236" i="14"/>
  <c r="W116" i="14"/>
  <c r="AA115" i="14"/>
  <c r="W287" i="14"/>
  <c r="AA126" i="14"/>
  <c r="E31" i="11"/>
  <c r="W64" i="14"/>
  <c r="W72" i="14"/>
  <c r="W350" i="14"/>
  <c r="AA243" i="14"/>
  <c r="AA343" i="14"/>
  <c r="AA336" i="14"/>
  <c r="AA310" i="14"/>
  <c r="AA251" i="14"/>
  <c r="AA317" i="14"/>
  <c r="AA93" i="14"/>
  <c r="W226" i="14"/>
  <c r="W236" i="14"/>
  <c r="AA309" i="14"/>
  <c r="W276" i="14"/>
  <c r="W238" i="14"/>
  <c r="AA131" i="14"/>
  <c r="W322" i="14"/>
  <c r="AA137" i="14"/>
  <c r="AA169" i="14"/>
  <c r="W342" i="14"/>
  <c r="AA187" i="14"/>
  <c r="AA35" i="14"/>
  <c r="AA302" i="14"/>
  <c r="AA152" i="14"/>
  <c r="AA189" i="14"/>
  <c r="AA99" i="14"/>
  <c r="AA197" i="14"/>
  <c r="AA227" i="14"/>
  <c r="W334" i="14"/>
  <c r="E37" i="11"/>
  <c r="W105" i="14"/>
  <c r="W154" i="14"/>
  <c r="W312" i="14"/>
  <c r="W250" i="14"/>
  <c r="AA170" i="14"/>
  <c r="AA190" i="14"/>
  <c r="AA139" i="14"/>
  <c r="AA241" i="14"/>
  <c r="AA31" i="14"/>
  <c r="AA103" i="14"/>
  <c r="W351" i="14"/>
  <c r="AA341" i="14"/>
  <c r="AA344" i="14"/>
  <c r="W110" i="14"/>
  <c r="AA348" i="14"/>
  <c r="AA249" i="14"/>
  <c r="W300" i="14"/>
  <c r="W230" i="14"/>
  <c r="W306" i="14"/>
  <c r="W219" i="14"/>
  <c r="AA340" i="14"/>
  <c r="W147" i="14"/>
  <c r="AA237" i="14"/>
  <c r="W123" i="14"/>
  <c r="AA129" i="14"/>
  <c r="W317" i="14"/>
  <c r="AA57" i="14"/>
  <c r="AA64" i="14"/>
  <c r="W103" i="14"/>
  <c r="AA305" i="14"/>
  <c r="AA120" i="14"/>
  <c r="W349" i="14"/>
  <c r="W46" i="14"/>
  <c r="AA203" i="14"/>
  <c r="W58" i="14"/>
  <c r="AA86" i="14"/>
  <c r="AA161" i="14"/>
  <c r="W245" i="14"/>
  <c r="AA256" i="14"/>
  <c r="AA153" i="14"/>
  <c r="W344" i="14"/>
  <c r="W244" i="14"/>
  <c r="W32" i="14"/>
  <c r="W265" i="14"/>
  <c r="W52" i="14"/>
  <c r="W229" i="14"/>
  <c r="W62" i="14"/>
  <c r="AA314" i="14"/>
  <c r="W190" i="14"/>
  <c r="W63" i="14"/>
  <c r="W159" i="14"/>
  <c r="W199" i="14"/>
  <c r="AA111" i="14"/>
  <c r="AA257" i="14"/>
  <c r="AA255" i="14"/>
  <c r="AA265" i="14"/>
  <c r="W84" i="14"/>
  <c r="AA110" i="14"/>
  <c r="AA193" i="14"/>
  <c r="AA83" i="14"/>
  <c r="W69" i="14"/>
  <c r="W178" i="14"/>
  <c r="AA283" i="14"/>
  <c r="AA226" i="14"/>
  <c r="AA281" i="14"/>
  <c r="AA196" i="14"/>
  <c r="W207" i="14"/>
  <c r="W270" i="14"/>
  <c r="W301" i="14"/>
  <c r="W274" i="14"/>
  <c r="W253" i="14"/>
  <c r="AA34" i="14"/>
  <c r="W231" i="14"/>
  <c r="W40" i="14"/>
  <c r="W80" i="14"/>
  <c r="W189" i="14"/>
  <c r="W362" i="14"/>
  <c r="AA80" i="14"/>
  <c r="AA223" i="14"/>
  <c r="W366" i="14"/>
  <c r="AA277" i="14"/>
  <c r="AA46" i="14"/>
  <c r="W203" i="14"/>
  <c r="W197" i="14"/>
  <c r="W321" i="14"/>
  <c r="AA191" i="14"/>
  <c r="AA246" i="14"/>
  <c r="AA138" i="14"/>
  <c r="W315" i="14"/>
  <c r="W213" i="14"/>
  <c r="W234" i="14"/>
  <c r="AA71" i="14"/>
  <c r="AA28" i="14"/>
  <c r="AA112" i="14"/>
  <c r="W128" i="14"/>
  <c r="U4" i="9"/>
  <c r="D32" i="11" s="1"/>
  <c r="E32" i="11" s="1"/>
  <c r="AA90" i="14"/>
  <c r="W368" i="14"/>
  <c r="W145" i="14"/>
  <c r="W83" i="14"/>
  <c r="AA208" i="14"/>
  <c r="AA253" i="14"/>
  <c r="W121" i="14"/>
  <c r="AA242" i="14"/>
  <c r="AA333" i="14"/>
  <c r="AA290" i="14"/>
  <c r="AA171" i="14"/>
  <c r="AA73" i="14"/>
  <c r="AA185" i="14"/>
  <c r="W336" i="14"/>
  <c r="AA286" i="14"/>
  <c r="AA319" i="14"/>
  <c r="AA158" i="14"/>
  <c r="W56" i="14"/>
  <c r="AA154" i="14"/>
  <c r="W308" i="14"/>
  <c r="AA254" i="14"/>
  <c r="W153" i="14"/>
  <c r="W131" i="14"/>
  <c r="AA181" i="14"/>
  <c r="AA245" i="14"/>
  <c r="AA159" i="14"/>
  <c r="AA69" i="14"/>
  <c r="Q44" i="15"/>
  <c r="W167" i="14"/>
  <c r="AA263" i="14"/>
  <c r="Q41" i="15"/>
  <c r="D4" i="9"/>
  <c r="D14" i="11" s="1"/>
  <c r="E14" i="11" s="1"/>
  <c r="AA358" i="14"/>
  <c r="AA183" i="14"/>
  <c r="AA44" i="14"/>
  <c r="W318" i="14"/>
  <c r="W304" i="14"/>
  <c r="AA356" i="14"/>
  <c r="AA230" i="14"/>
  <c r="W44" i="14"/>
  <c r="W68" i="14"/>
  <c r="AA94" i="14"/>
  <c r="W296" i="14"/>
  <c r="AA297" i="14"/>
  <c r="W255" i="14"/>
  <c r="AA194" i="14"/>
  <c r="AA156" i="14"/>
  <c r="AA60" i="14"/>
  <c r="AA311" i="14"/>
  <c r="AA207" i="14"/>
  <c r="W119" i="14"/>
  <c r="AA247" i="14"/>
  <c r="AA296" i="14"/>
  <c r="AA30" i="14"/>
  <c r="W289" i="14"/>
  <c r="AA287" i="14"/>
  <c r="AA135" i="14"/>
  <c r="AA142" i="14"/>
  <c r="W227" i="14"/>
  <c r="AA98" i="14"/>
  <c r="W360" i="14"/>
  <c r="W305" i="14"/>
  <c r="AA350" i="14"/>
  <c r="AA106" i="14"/>
  <c r="AA259" i="14"/>
  <c r="AA89" i="14"/>
  <c r="AA173" i="14"/>
  <c r="AA72" i="14"/>
  <c r="AA301" i="14"/>
  <c r="D4" i="10"/>
  <c r="D15" i="11" s="1"/>
  <c r="E15" i="11" s="1"/>
  <c r="Q38" i="15"/>
  <c r="AA150" i="14"/>
  <c r="W143" i="14"/>
  <c r="AA165" i="14"/>
  <c r="W212" i="14"/>
  <c r="W73" i="14"/>
  <c r="Q39" i="15"/>
  <c r="W28" i="14"/>
  <c r="D39" i="11"/>
  <c r="W76" i="14"/>
  <c r="Q47" i="15"/>
  <c r="AA289" i="14"/>
  <c r="AA172" i="14"/>
  <c r="W188" i="14"/>
  <c r="W169" i="14"/>
  <c r="W257" i="14"/>
  <c r="W285" i="14"/>
  <c r="AA84" i="14"/>
  <c r="AA315" i="14"/>
  <c r="W130" i="14"/>
  <c r="W232" i="14"/>
  <c r="AA67" i="14"/>
  <c r="AA100" i="14"/>
  <c r="W353" i="14"/>
  <c r="AA96" i="14"/>
  <c r="AA42" i="14"/>
  <c r="W223" i="14"/>
  <c r="AA316" i="14"/>
  <c r="AA74" i="14"/>
  <c r="W260" i="14"/>
  <c r="AA220" i="14"/>
  <c r="W176" i="14"/>
  <c r="W139" i="14"/>
  <c r="AA233" i="14"/>
  <c r="W258" i="14"/>
  <c r="W184" i="14"/>
  <c r="AA104" i="14"/>
  <c r="D10" i="11" s="1"/>
  <c r="E10" i="11" s="1"/>
  <c r="AA48" i="14"/>
  <c r="AA70" i="14"/>
  <c r="AA78" i="14"/>
  <c r="AA234" i="14"/>
  <c r="W37" i="14"/>
  <c r="AA43" i="14"/>
  <c r="AA37" i="14"/>
  <c r="W267" i="14"/>
  <c r="AA39" i="14"/>
  <c r="AA105" i="14"/>
  <c r="W106" i="14"/>
  <c r="W75" i="14"/>
  <c r="AA209" i="14"/>
  <c r="AA318" i="14"/>
  <c r="W132" i="14"/>
  <c r="W71" i="14"/>
  <c r="W298" i="14"/>
  <c r="W182" i="14"/>
  <c r="AA295" i="14"/>
  <c r="W348" i="14"/>
  <c r="W91" i="14"/>
  <c r="AA97" i="14"/>
  <c r="AA147" i="14"/>
  <c r="W114" i="14"/>
  <c r="W292" i="14"/>
  <c r="AA177" i="14"/>
  <c r="AA128" i="14"/>
  <c r="AA331" i="14"/>
  <c r="W209" i="14"/>
  <c r="W142" i="14"/>
  <c r="AA271" i="14"/>
  <c r="AA362" i="14"/>
  <c r="W359" i="14"/>
  <c r="AA323" i="14"/>
  <c r="W51" i="14"/>
  <c r="AA145" i="14"/>
  <c r="W345" i="14"/>
  <c r="AA81" i="14"/>
  <c r="AA61" i="14"/>
  <c r="AA349" i="14"/>
  <c r="W235" i="14"/>
  <c r="AA118" i="14"/>
  <c r="W239" i="14"/>
  <c r="W269" i="14"/>
  <c r="W246" i="14"/>
  <c r="W94" i="14"/>
  <c r="W129" i="14"/>
  <c r="AA273" i="14"/>
  <c r="AA312" i="14"/>
  <c r="AA357" i="14"/>
  <c r="W217" i="14"/>
  <c r="AA102" i="14"/>
  <c r="W158" i="14"/>
  <c r="W155" i="14"/>
  <c r="AA238" i="14"/>
  <c r="AA95" i="14"/>
  <c r="AA180" i="14"/>
  <c r="W164" i="14"/>
  <c r="W31" i="14"/>
  <c r="AA121" i="14"/>
  <c r="W222" i="14"/>
  <c r="W160" i="14"/>
  <c r="W307" i="14"/>
  <c r="W295" i="14"/>
  <c r="AA63" i="14"/>
  <c r="W192" i="14"/>
  <c r="AA134" i="14"/>
  <c r="W205" i="14"/>
  <c r="W283" i="14"/>
  <c r="W101" i="14"/>
  <c r="AA87" i="14"/>
  <c r="AA133" i="14"/>
  <c r="AA364" i="14"/>
  <c r="AA91" i="14"/>
  <c r="AA62" i="14"/>
  <c r="W126" i="14"/>
  <c r="W33" i="14"/>
  <c r="AA200" i="14"/>
  <c r="AA130" i="14"/>
  <c r="W107" i="14"/>
  <c r="AA270" i="14"/>
  <c r="W74" i="14"/>
  <c r="W221" i="14"/>
  <c r="W233" i="14"/>
  <c r="W356" i="14"/>
  <c r="AA252" i="14"/>
  <c r="W313" i="14"/>
  <c r="W261" i="14"/>
  <c r="W186" i="14"/>
  <c r="W181" i="14"/>
  <c r="AA179" i="14"/>
  <c r="AA363" i="14"/>
  <c r="W211" i="14"/>
  <c r="W337" i="14"/>
  <c r="AA325" i="14"/>
  <c r="Q49" i="15"/>
  <c r="W278" i="14"/>
  <c r="W220" i="14"/>
  <c r="AA132" i="14"/>
  <c r="W369" i="14"/>
  <c r="AA224" i="14"/>
  <c r="AA366" i="14"/>
  <c r="W87" i="14"/>
  <c r="W117" i="14"/>
  <c r="W279" i="14"/>
  <c r="W214" i="14"/>
  <c r="AA269" i="14"/>
  <c r="AA260" i="14"/>
  <c r="W281" i="14"/>
  <c r="AA116" i="14"/>
  <c r="W275" i="14"/>
  <c r="AA127" i="14"/>
  <c r="W113" i="14"/>
  <c r="AA248" i="14"/>
  <c r="W89" i="14"/>
  <c r="AA206" i="14"/>
  <c r="AA77" i="14"/>
  <c r="AA264" i="14"/>
  <c r="W297" i="14"/>
  <c r="AA38" i="14"/>
  <c r="AA300" i="14"/>
  <c r="AA279" i="14"/>
  <c r="AA108" i="14"/>
  <c r="W264" i="14"/>
  <c r="AA280" i="14"/>
  <c r="AA216" i="14"/>
  <c r="W95" i="14"/>
  <c r="AA272" i="14"/>
  <c r="AA58" i="14"/>
  <c r="AA192" i="14"/>
  <c r="Q43" i="15"/>
  <c r="AA50" i="14"/>
  <c r="W367" i="14"/>
  <c r="W171" i="14"/>
  <c r="AA292" i="14"/>
  <c r="AA33" i="14"/>
  <c r="W60" i="14"/>
  <c r="AA124" i="14"/>
  <c r="W162" i="14"/>
  <c r="W224" i="14"/>
  <c r="AA155" i="14"/>
  <c r="AA291" i="14"/>
  <c r="AA109" i="14"/>
  <c r="AA346" i="14"/>
  <c r="W240" i="14"/>
  <c r="W125" i="14"/>
  <c r="W81" i="14"/>
  <c r="W50" i="14"/>
  <c r="AA347" i="14"/>
  <c r="W99" i="14"/>
  <c r="W346" i="14"/>
  <c r="W293" i="14"/>
  <c r="W225" i="14"/>
  <c r="AA307" i="14"/>
  <c r="AA284" i="14"/>
  <c r="AA262" i="14"/>
  <c r="AA335" i="14"/>
  <c r="W193" i="14"/>
  <c r="W201" i="14"/>
  <c r="AA49" i="14"/>
  <c r="R4" i="10"/>
  <c r="D33" i="11" s="1"/>
  <c r="E33" i="11" s="1"/>
  <c r="W286" i="14"/>
  <c r="AA125" i="14"/>
  <c r="AA47" i="14"/>
  <c r="W104" i="14"/>
  <c r="D28" i="11" s="1"/>
  <c r="E28" i="11" s="1"/>
  <c r="AA308" i="14"/>
  <c r="AA274" i="14"/>
  <c r="AA334" i="14"/>
  <c r="AA53" i="14"/>
  <c r="W77" i="14"/>
  <c r="W108" i="14"/>
  <c r="AA52" i="14"/>
  <c r="T4" i="9"/>
  <c r="C38" i="11" s="1"/>
  <c r="W354" i="14"/>
  <c r="AA306" i="14"/>
  <c r="AA143" i="14"/>
  <c r="AA167" i="14"/>
  <c r="W202" i="14"/>
  <c r="W144" i="14"/>
  <c r="AA184" i="14"/>
  <c r="W331" i="14"/>
  <c r="W262" i="14"/>
  <c r="AA175" i="14"/>
  <c r="W118" i="14"/>
  <c r="W100" i="14"/>
  <c r="W102" i="14"/>
  <c r="W42" i="14"/>
  <c r="AA195" i="14"/>
  <c r="AA140" i="14"/>
  <c r="AA244" i="14"/>
  <c r="AA201" i="14"/>
  <c r="AA322" i="14"/>
  <c r="AA160" i="14"/>
  <c r="AA369" i="14"/>
  <c r="AA298" i="14"/>
  <c r="AA282" i="14"/>
  <c r="AA324" i="14"/>
  <c r="W347" i="14"/>
  <c r="AA232" i="14"/>
  <c r="AA144" i="14"/>
  <c r="AA321" i="14"/>
  <c r="AA213" i="14"/>
  <c r="AA367" i="14"/>
  <c r="AA55" i="14"/>
  <c r="AA123" i="14"/>
  <c r="W259" i="14"/>
  <c r="AA205" i="14"/>
  <c r="W166" i="14"/>
  <c r="W237" i="14"/>
  <c r="W341" i="14"/>
  <c r="AA239" i="14"/>
  <c r="W330" i="14"/>
  <c r="W266" i="14"/>
  <c r="W41" i="14"/>
  <c r="W248" i="14"/>
  <c r="W161" i="14"/>
  <c r="W216" i="14"/>
  <c r="W319" i="14"/>
  <c r="AA41" i="14"/>
  <c r="AA214" i="14"/>
  <c r="AA235" i="14"/>
  <c r="AA332" i="14"/>
  <c r="D11" i="9"/>
  <c r="W325" i="14"/>
  <c r="W55" i="14"/>
  <c r="W109" i="14"/>
  <c r="AA149" i="14"/>
  <c r="AA354" i="14"/>
  <c r="Q46" i="15"/>
  <c r="W34" i="14"/>
  <c r="W66" i="14"/>
  <c r="W148" i="14"/>
  <c r="W363" i="14"/>
  <c r="AA250" i="14"/>
  <c r="W115" i="14"/>
  <c r="W45" i="14"/>
  <c r="AA199" i="14"/>
  <c r="W352" i="14"/>
  <c r="W92" i="14"/>
  <c r="Q42" i="15"/>
  <c r="AA79" i="14"/>
  <c r="W280" i="14"/>
  <c r="W271" i="14"/>
  <c r="W180" i="14"/>
  <c r="W98" i="14"/>
  <c r="AA36" i="14"/>
  <c r="AA261" i="14"/>
  <c r="W215" i="14"/>
  <c r="W361" i="14"/>
  <c r="W151" i="14"/>
  <c r="AA225" i="14"/>
  <c r="W135" i="14"/>
  <c r="AA288" i="14"/>
  <c r="W218" i="14"/>
  <c r="AA210" i="14"/>
  <c r="W173" i="14"/>
  <c r="AA330" i="14"/>
  <c r="AA114" i="14"/>
  <c r="W343" i="14"/>
  <c r="W206" i="14"/>
  <c r="W333" i="14"/>
  <c r="W165" i="14"/>
  <c r="W263" i="14"/>
  <c r="W364" i="14"/>
  <c r="W93" i="14"/>
  <c r="AA164" i="14"/>
  <c r="W29" i="14"/>
  <c r="AA51" i="14"/>
  <c r="W309" i="14"/>
  <c r="W48" i="14"/>
  <c r="AA146" i="14"/>
  <c r="AA174" i="14"/>
  <c r="AA329" i="14"/>
  <c r="W249" i="14"/>
  <c r="AA178" i="14"/>
  <c r="D18" i="9"/>
  <c r="W157" i="14"/>
  <c r="W303" i="14"/>
  <c r="W112" i="14"/>
  <c r="W70" i="14"/>
  <c r="AA122" i="14"/>
  <c r="W134" i="14"/>
  <c r="AA338" i="14"/>
  <c r="W82" i="14"/>
  <c r="AA29" i="14"/>
  <c r="W177" i="14"/>
  <c r="AA157" i="14"/>
  <c r="AA32" i="14"/>
  <c r="AA151" i="14"/>
  <c r="AA88" i="14"/>
  <c r="AA266" i="14"/>
  <c r="W282" i="14"/>
  <c r="W191" i="14"/>
  <c r="W339" i="14"/>
  <c r="AA56" i="14"/>
  <c r="AA299" i="14"/>
  <c r="W59" i="14"/>
  <c r="AA313" i="14"/>
  <c r="W65" i="14"/>
  <c r="W327" i="14"/>
  <c r="W39" i="14"/>
  <c r="AA326" i="14"/>
  <c r="AA303" i="14"/>
  <c r="AA231" i="14"/>
  <c r="AA66" i="14"/>
  <c r="AA40" i="14"/>
  <c r="AA163" i="14"/>
  <c r="AA359" i="14"/>
  <c r="AA365" i="14"/>
  <c r="W200" i="14"/>
  <c r="AA107" i="14"/>
  <c r="AA217" i="14"/>
  <c r="W43" i="14"/>
  <c r="W88" i="14"/>
  <c r="AA92" i="14"/>
  <c r="W90" i="14"/>
  <c r="Q40" i="15"/>
  <c r="AA76" i="14"/>
  <c r="W127" i="14"/>
  <c r="W284" i="14"/>
  <c r="W277" i="14"/>
  <c r="AA240" i="14"/>
  <c r="W36" i="14"/>
  <c r="AA218" i="14"/>
  <c r="AA136" i="14"/>
  <c r="AA162" i="14"/>
  <c r="W210" i="14"/>
  <c r="AA368" i="14"/>
  <c r="AA188" i="14"/>
  <c r="AA75" i="14"/>
  <c r="AA320" i="14"/>
  <c r="AA337" i="14"/>
  <c r="AA351" i="14"/>
  <c r="AA339" i="14"/>
  <c r="W146" i="14"/>
  <c r="AA117" i="14"/>
  <c r="AA355" i="14"/>
  <c r="AA276" i="14"/>
  <c r="W49" i="14"/>
  <c r="AA327" i="14"/>
  <c r="W137" i="14"/>
  <c r="W291" i="14"/>
  <c r="W338" i="14"/>
  <c r="W358" i="14"/>
  <c r="W172" i="14"/>
  <c r="AA166" i="14"/>
  <c r="W136" i="14"/>
  <c r="W149" i="14"/>
  <c r="W204" i="14"/>
  <c r="W122" i="14"/>
  <c r="W79" i="14"/>
  <c r="W86" i="14"/>
  <c r="W256" i="14"/>
  <c r="AA59" i="14"/>
  <c r="W141" i="14"/>
  <c r="W168" i="14"/>
  <c r="AA101" i="14"/>
  <c r="AA141" i="14"/>
  <c r="AA328" i="14"/>
  <c r="W254" i="14"/>
  <c r="D38" i="11"/>
  <c r="W96" i="14"/>
  <c r="Q4" i="9"/>
  <c r="W208" i="14"/>
  <c r="W242" i="14"/>
  <c r="Q48" i="15"/>
  <c r="AA204" i="14"/>
  <c r="AA82" i="14"/>
  <c r="AA148" i="14"/>
  <c r="W323" i="14"/>
  <c r="AA342" i="14"/>
  <c r="W326" i="14"/>
  <c r="W357" i="14"/>
  <c r="AA45" i="14"/>
  <c r="W247" i="14"/>
  <c r="W252" i="14"/>
  <c r="W228" i="14"/>
  <c r="W35" i="14"/>
  <c r="W320" i="14"/>
  <c r="Q45" i="15"/>
  <c r="W243" i="14"/>
  <c r="W328" i="14"/>
  <c r="W329" i="14"/>
  <c r="W185" i="14"/>
  <c r="W170" i="14"/>
  <c r="AA215" i="14"/>
  <c r="AA285" i="14"/>
  <c r="AA258" i="14"/>
  <c r="W196" i="14"/>
  <c r="AA229" i="14"/>
  <c r="AA68" i="14"/>
  <c r="AA219" i="14"/>
  <c r="W163" i="14"/>
  <c r="W241" i="14"/>
  <c r="W38" i="14"/>
  <c r="W195" i="14"/>
  <c r="AA268" i="14"/>
  <c r="AA85" i="14"/>
  <c r="W54" i="14"/>
  <c r="W174" i="14"/>
  <c r="W179" i="14"/>
  <c r="AA278" i="14"/>
  <c r="W365" i="14"/>
  <c r="W272" i="14"/>
  <c r="W183" i="14"/>
  <c r="W187" i="14"/>
  <c r="W355" i="14"/>
  <c r="W124" i="14"/>
  <c r="AA353" i="14"/>
  <c r="AA113" i="14"/>
  <c r="AA182" i="14"/>
  <c r="W61" i="14"/>
  <c r="AA361" i="14"/>
  <c r="AA186" i="14"/>
  <c r="W299" i="14"/>
  <c r="W53" i="14"/>
  <c r="W30" i="14"/>
  <c r="W140" i="14"/>
  <c r="AA211" i="14"/>
  <c r="AA345" i="14"/>
  <c r="W290" i="14"/>
  <c r="W156" i="14"/>
  <c r="W332" i="14"/>
  <c r="W67" i="14"/>
  <c r="W302" i="14"/>
  <c r="AA360" i="14"/>
  <c r="W198" i="14"/>
  <c r="W78" i="14"/>
  <c r="W316" i="14"/>
  <c r="W57" i="14"/>
  <c r="W273" i="14"/>
  <c r="AA212" i="14"/>
  <c r="W314" i="14"/>
  <c r="W268" i="14"/>
  <c r="W251" i="14"/>
  <c r="Q4" i="10"/>
  <c r="C39" i="11" s="1"/>
  <c r="W294" i="14"/>
  <c r="W133" i="14"/>
  <c r="W311" i="14"/>
  <c r="W288" i="14"/>
  <c r="AA198" i="14"/>
  <c r="AA202" i="14"/>
  <c r="W111" i="14"/>
  <c r="AA54" i="14"/>
  <c r="W85" i="14"/>
  <c r="AA267" i="14"/>
  <c r="AA221" i="14"/>
  <c r="W152" i="14"/>
  <c r="AA228" i="14"/>
  <c r="AA294" i="14"/>
  <c r="W97" i="14"/>
  <c r="AA65" i="14"/>
  <c r="AA168" i="14"/>
  <c r="W150" i="14"/>
  <c r="W138" i="14"/>
  <c r="AA222" i="14"/>
  <c r="W335" i="14"/>
  <c r="AA176" i="14"/>
  <c r="W310" i="14"/>
  <c r="AO120" i="14"/>
  <c r="AO324" i="14"/>
  <c r="AO175" i="14"/>
  <c r="AO287" i="14"/>
  <c r="AO64" i="14"/>
  <c r="AO350" i="14"/>
  <c r="AO238" i="14"/>
  <c r="AO105" i="14"/>
  <c r="AO312" i="14"/>
  <c r="AO230" i="14"/>
  <c r="AO219" i="14"/>
  <c r="AO244" i="14"/>
  <c r="AO265" i="14"/>
  <c r="AO229" i="14"/>
  <c r="AO178" i="14"/>
  <c r="AO270" i="14"/>
  <c r="AO274" i="14"/>
  <c r="AO213" i="14"/>
  <c r="AO56" i="14"/>
  <c r="AO131" i="14"/>
  <c r="AO119" i="14"/>
  <c r="AO73" i="14"/>
  <c r="AO28" i="14"/>
  <c r="AO139" i="14"/>
  <c r="AO267" i="14"/>
  <c r="AO106" i="14"/>
  <c r="AO71" i="14"/>
  <c r="AO182" i="14"/>
  <c r="AO209" i="14"/>
  <c r="AO345" i="14"/>
  <c r="AO239" i="14"/>
  <c r="AO246" i="14"/>
  <c r="AO129" i="14"/>
  <c r="AO217" i="14"/>
  <c r="AO158" i="14"/>
  <c r="AO31" i="14"/>
  <c r="AO222" i="14"/>
  <c r="AO307" i="14"/>
  <c r="AO205" i="14"/>
  <c r="AO101" i="14"/>
  <c r="AO107" i="14"/>
  <c r="AO74" i="14"/>
  <c r="AO233" i="14"/>
  <c r="AO117" i="14"/>
  <c r="AO214" i="14"/>
  <c r="AO281" i="14"/>
  <c r="AO264" i="14"/>
  <c r="AO95" i="14"/>
  <c r="AO135" i="14"/>
  <c r="AO206" i="14"/>
  <c r="AO165" i="14"/>
  <c r="AO364" i="14"/>
  <c r="AO309" i="14"/>
  <c r="AO134" i="14"/>
  <c r="AO65" i="14"/>
  <c r="AO39" i="14"/>
  <c r="AO88" i="14"/>
  <c r="AO66" i="14"/>
  <c r="AO363" i="14"/>
  <c r="AO352" i="14"/>
  <c r="AO271" i="14"/>
  <c r="AO98" i="14"/>
  <c r="AO215" i="14"/>
  <c r="AO151" i="14"/>
  <c r="AO343" i="14"/>
  <c r="AO29" i="14"/>
  <c r="AO195" i="14"/>
  <c r="AO316" i="14"/>
  <c r="AO273" i="14"/>
  <c r="AO116" i="14"/>
  <c r="AO226" i="14"/>
  <c r="AO334" i="14"/>
  <c r="AO317" i="14"/>
  <c r="AO103" i="14"/>
  <c r="AO349" i="14"/>
  <c r="AO190" i="14"/>
  <c r="AO159" i="14"/>
  <c r="AO84" i="14"/>
  <c r="AO231" i="14"/>
  <c r="AO80" i="14"/>
  <c r="AO362" i="14"/>
  <c r="AO366" i="14"/>
  <c r="AO203" i="14"/>
  <c r="AO321" i="14"/>
  <c r="AO145" i="14"/>
  <c r="AO304" i="14"/>
  <c r="AO44" i="14"/>
  <c r="AO255" i="14"/>
  <c r="AO289" i="14"/>
  <c r="AO360" i="14"/>
  <c r="AO133" i="14"/>
  <c r="AO335" i="14"/>
  <c r="AO340" i="14"/>
  <c r="AO194" i="14"/>
  <c r="AO47" i="14"/>
  <c r="AO72" i="14"/>
  <c r="AO276" i="14"/>
  <c r="AO154" i="14"/>
  <c r="AO250" i="14"/>
  <c r="AO351" i="14"/>
  <c r="AO110" i="14"/>
  <c r="AO300" i="14"/>
  <c r="AO306" i="14"/>
  <c r="AO123" i="14"/>
  <c r="AO58" i="14"/>
  <c r="AO245" i="14"/>
  <c r="AO344" i="14"/>
  <c r="AO32" i="14"/>
  <c r="AO52" i="14"/>
  <c r="AO62" i="14"/>
  <c r="AO69" i="14"/>
  <c r="AO207" i="14"/>
  <c r="AO301" i="14"/>
  <c r="AO253" i="14"/>
  <c r="AO315" i="14"/>
  <c r="AO234" i="14"/>
  <c r="AO153" i="14"/>
  <c r="AO296" i="14"/>
  <c r="AO227" i="14"/>
  <c r="AO212" i="14"/>
  <c r="AO76" i="14"/>
  <c r="AO176" i="14"/>
  <c r="AO132" i="14"/>
  <c r="AO298" i="14"/>
  <c r="AO292" i="14"/>
  <c r="AO142" i="14"/>
  <c r="AO359" i="14"/>
  <c r="AO269" i="14"/>
  <c r="AO94" i="14"/>
  <c r="AO155" i="14"/>
  <c r="AO160" i="14"/>
  <c r="AO295" i="14"/>
  <c r="AO283" i="14"/>
  <c r="AO221" i="14"/>
  <c r="AO356" i="14"/>
  <c r="AO369" i="14"/>
  <c r="AO87" i="14"/>
  <c r="AO279" i="14"/>
  <c r="AO113" i="14"/>
  <c r="AO297" i="14"/>
  <c r="AO224" i="14"/>
  <c r="AO125" i="14"/>
  <c r="AO50" i="14"/>
  <c r="AO118" i="14"/>
  <c r="AO237" i="14"/>
  <c r="AO325" i="14"/>
  <c r="AO109" i="14"/>
  <c r="AO45" i="14"/>
  <c r="AO173" i="14"/>
  <c r="AO333" i="14"/>
  <c r="AO263" i="14"/>
  <c r="AO93" i="14"/>
  <c r="AO48" i="14"/>
  <c r="AO177" i="14"/>
  <c r="AO327" i="14"/>
  <c r="AO200" i="14"/>
  <c r="AO43" i="14"/>
  <c r="AO277" i="14"/>
  <c r="AO36" i="14"/>
  <c r="AO291" i="14"/>
  <c r="AO358" i="14"/>
  <c r="AO204" i="14"/>
  <c r="AO256" i="14"/>
  <c r="AO141" i="14"/>
  <c r="AO323" i="14"/>
  <c r="AO326" i="14"/>
  <c r="AO243" i="14"/>
  <c r="AO329" i="14"/>
  <c r="AO170" i="14"/>
  <c r="AO196" i="14"/>
  <c r="AO241" i="14"/>
  <c r="AO179" i="14"/>
  <c r="AO272" i="14"/>
  <c r="AO140" i="14"/>
  <c r="AO290" i="14"/>
  <c r="AO302" i="14"/>
  <c r="AO57" i="14"/>
  <c r="AO268" i="14"/>
  <c r="AO311" i="14"/>
  <c r="AO138" i="14"/>
  <c r="AO220" i="14"/>
  <c r="AO275" i="14"/>
  <c r="AO367" i="14"/>
  <c r="AO346" i="14"/>
  <c r="AO225" i="14"/>
  <c r="AO201" i="14"/>
  <c r="AO286" i="14"/>
  <c r="AO104" i="14"/>
  <c r="AO108" i="14"/>
  <c r="AO354" i="14"/>
  <c r="AO262" i="14"/>
  <c r="AO341" i="14"/>
  <c r="AO330" i="14"/>
  <c r="AO41" i="14"/>
  <c r="AO161" i="14"/>
  <c r="AO319" i="14"/>
  <c r="AO34" i="14"/>
  <c r="AO148" i="14"/>
  <c r="AO115" i="14"/>
  <c r="AO92" i="14"/>
  <c r="AO280" i="14"/>
  <c r="AO180" i="14"/>
  <c r="AO361" i="14"/>
  <c r="AO218" i="14"/>
  <c r="AO249" i="14"/>
  <c r="AO157" i="14"/>
  <c r="AO112" i="14"/>
  <c r="AO82" i="14"/>
  <c r="AO191" i="14"/>
  <c r="AO90" i="14"/>
  <c r="AO127" i="14"/>
  <c r="AO210" i="14"/>
  <c r="AO137" i="14"/>
  <c r="AO136" i="14"/>
  <c r="AO79" i="14"/>
  <c r="AO208" i="14"/>
  <c r="AO247" i="14"/>
  <c r="AO228" i="14"/>
  <c r="AO320" i="14"/>
  <c r="AO38" i="14"/>
  <c r="AO187" i="14"/>
  <c r="AO124" i="14"/>
  <c r="AO30" i="14"/>
  <c r="AO78" i="14"/>
  <c r="AO314" i="14"/>
  <c r="AO294" i="14"/>
  <c r="AO162" i="14"/>
  <c r="AO240" i="14"/>
  <c r="AO81" i="14"/>
  <c r="AO202" i="14"/>
  <c r="AO100" i="14"/>
  <c r="AO42" i="14"/>
  <c r="AO347" i="14"/>
  <c r="AO166" i="14"/>
  <c r="AO55" i="14"/>
  <c r="AO328" i="14"/>
  <c r="AO185" i="14"/>
  <c r="AO163" i="14"/>
  <c r="AO174" i="14"/>
  <c r="AO61" i="14"/>
  <c r="AO299" i="14"/>
  <c r="AO156" i="14"/>
  <c r="AO67" i="14"/>
  <c r="AO198" i="14"/>
  <c r="AO251" i="14"/>
  <c r="AO111" i="14"/>
  <c r="AO85" i="14"/>
  <c r="AO152" i="14"/>
  <c r="AO97" i="14"/>
  <c r="AO150" i="14"/>
  <c r="AO310" i="14"/>
  <c r="AO169" i="14"/>
  <c r="AO285" i="14"/>
  <c r="AO130" i="14"/>
  <c r="AO184" i="14"/>
  <c r="AO75" i="14"/>
  <c r="AO91" i="14"/>
  <c r="AO114" i="14"/>
  <c r="AO51" i="14"/>
  <c r="AO235" i="14"/>
  <c r="AO192" i="14"/>
  <c r="AO33" i="14"/>
  <c r="AO313" i="14"/>
  <c r="AO186" i="14"/>
  <c r="AO337" i="14"/>
  <c r="AO278" i="14"/>
  <c r="AO89" i="14"/>
  <c r="AO171" i="14"/>
  <c r="AO60" i="14"/>
  <c r="AO99" i="14"/>
  <c r="AO293" i="14"/>
  <c r="AO193" i="14"/>
  <c r="AO77" i="14"/>
  <c r="AO144" i="14"/>
  <c r="AO331" i="14"/>
  <c r="AO102" i="14"/>
  <c r="AO259" i="14"/>
  <c r="AO266" i="14"/>
  <c r="AO248" i="14"/>
  <c r="AO216" i="14"/>
  <c r="AO236" i="14"/>
  <c r="AO322" i="14"/>
  <c r="AO342" i="14"/>
  <c r="AO147" i="14"/>
  <c r="AO46" i="14"/>
  <c r="AO63" i="14"/>
  <c r="AO199" i="14"/>
  <c r="AO40" i="14"/>
  <c r="AO189" i="14"/>
  <c r="AO197" i="14"/>
  <c r="AO128" i="14"/>
  <c r="AO368" i="14"/>
  <c r="AO83" i="14"/>
  <c r="AO121" i="14"/>
  <c r="AO336" i="14"/>
  <c r="AO308" i="14"/>
  <c r="AO167" i="14"/>
  <c r="AO318" i="14"/>
  <c r="AO68" i="14"/>
  <c r="AO305" i="14"/>
  <c r="AO143" i="14"/>
  <c r="AO188" i="14"/>
  <c r="AO257" i="14"/>
  <c r="AO232" i="14"/>
  <c r="AO353" i="14"/>
  <c r="AO223" i="14"/>
  <c r="AO260" i="14"/>
  <c r="AO258" i="14"/>
  <c r="AO37" i="14"/>
  <c r="AO348" i="14"/>
  <c r="AO164" i="14"/>
  <c r="AO126" i="14"/>
  <c r="AO261" i="14"/>
  <c r="AO181" i="14"/>
  <c r="AO211" i="14"/>
  <c r="AO284" i="14"/>
  <c r="AO146" i="14"/>
  <c r="AO338" i="14"/>
  <c r="AO172" i="14"/>
  <c r="AO168" i="14"/>
  <c r="AO357" i="14"/>
  <c r="AO35" i="14"/>
  <c r="AO303" i="14"/>
  <c r="AO70" i="14"/>
  <c r="AO282" i="14"/>
  <c r="AO339" i="14"/>
  <c r="AO59" i="14"/>
  <c r="AO49" i="14"/>
  <c r="AO149" i="14"/>
  <c r="AO122" i="14"/>
  <c r="AO86" i="14"/>
  <c r="AO254" i="14"/>
  <c r="AO96" i="14"/>
  <c r="AO242" i="14"/>
  <c r="AO252" i="14"/>
  <c r="AO54" i="14"/>
  <c r="AO365" i="14"/>
  <c r="AO183" i="14"/>
  <c r="AO355" i="14"/>
  <c r="AO53" i="14"/>
  <c r="AO332" i="14"/>
  <c r="AO288" i="14"/>
  <c r="V4" i="9" l="1"/>
  <c r="D35" i="11" s="1"/>
  <c r="E35" i="11" s="1"/>
  <c r="S4" i="10"/>
  <c r="D36" i="11" s="1"/>
  <c r="E36" i="11" s="1"/>
  <c r="R228" i="14"/>
  <c r="Q228" i="14"/>
  <c r="P228" i="14"/>
  <c r="R258" i="14"/>
  <c r="Q258" i="14"/>
  <c r="P258" i="14"/>
  <c r="O258" i="14" s="1"/>
  <c r="Q148" i="14"/>
  <c r="R148" i="14"/>
  <c r="P148" i="14"/>
  <c r="P101" i="14"/>
  <c r="Q101" i="14"/>
  <c r="R101" i="14"/>
  <c r="R166" i="14"/>
  <c r="Q166" i="14"/>
  <c r="P166" i="14"/>
  <c r="P117" i="14"/>
  <c r="R117" i="14"/>
  <c r="Q117" i="14"/>
  <c r="R351" i="14"/>
  <c r="P351" i="14"/>
  <c r="Q351" i="14"/>
  <c r="R188" i="14"/>
  <c r="P188" i="14"/>
  <c r="Q188" i="14"/>
  <c r="R162" i="14"/>
  <c r="P162" i="14"/>
  <c r="Q162" i="14"/>
  <c r="R76" i="14"/>
  <c r="P76" i="14"/>
  <c r="Q76" i="14"/>
  <c r="R40" i="14"/>
  <c r="Q40" i="14"/>
  <c r="P40" i="14"/>
  <c r="Q326" i="14"/>
  <c r="R326" i="14"/>
  <c r="P326" i="14"/>
  <c r="P151" i="14"/>
  <c r="R151" i="14"/>
  <c r="Q151" i="14"/>
  <c r="P338" i="14"/>
  <c r="Q338" i="14"/>
  <c r="R338" i="14"/>
  <c r="U45" i="15"/>
  <c r="X45" i="15" s="1"/>
  <c r="Z45" i="15"/>
  <c r="Q342" i="14"/>
  <c r="P342" i="14"/>
  <c r="R342" i="14"/>
  <c r="P82" i="14"/>
  <c r="R82" i="14"/>
  <c r="Q82" i="14"/>
  <c r="P59" i="14"/>
  <c r="Q59" i="14"/>
  <c r="R59" i="14"/>
  <c r="R337" i="14"/>
  <c r="P337" i="14"/>
  <c r="Q337" i="14"/>
  <c r="Q368" i="14"/>
  <c r="R368" i="14"/>
  <c r="P368" i="14"/>
  <c r="R136" i="14"/>
  <c r="Q136" i="14"/>
  <c r="P136" i="14"/>
  <c r="R240" i="14"/>
  <c r="Q240" i="14"/>
  <c r="P240" i="14"/>
  <c r="Z49" i="15"/>
  <c r="U49" i="15"/>
  <c r="X49" i="15" s="1"/>
  <c r="P252" i="14"/>
  <c r="Q252" i="14"/>
  <c r="R252" i="14"/>
  <c r="Q130" i="14"/>
  <c r="P130" i="14"/>
  <c r="R130" i="14"/>
  <c r="R364" i="14"/>
  <c r="P364" i="14"/>
  <c r="Q364" i="14"/>
  <c r="P63" i="14"/>
  <c r="R63" i="14"/>
  <c r="Q63" i="14"/>
  <c r="P238" i="14"/>
  <c r="R238" i="14"/>
  <c r="Q238" i="14"/>
  <c r="R357" i="14"/>
  <c r="P357" i="14"/>
  <c r="Q357" i="14"/>
  <c r="Q349" i="14"/>
  <c r="R349" i="14"/>
  <c r="P349" i="14"/>
  <c r="R323" i="14"/>
  <c r="P323" i="14"/>
  <c r="Q323" i="14"/>
  <c r="Q271" i="14"/>
  <c r="P271" i="14"/>
  <c r="R271" i="14"/>
  <c r="P147" i="14"/>
  <c r="R147" i="14"/>
  <c r="Q147" i="14"/>
  <c r="R209" i="14"/>
  <c r="P209" i="14"/>
  <c r="Q209" i="14"/>
  <c r="R48" i="14"/>
  <c r="Q48" i="14"/>
  <c r="P48" i="14"/>
  <c r="P315" i="14"/>
  <c r="R315" i="14"/>
  <c r="Q315" i="14"/>
  <c r="Z47" i="15"/>
  <c r="U47" i="15"/>
  <c r="X47" i="15" s="1"/>
  <c r="E39" i="11"/>
  <c r="P89" i="14"/>
  <c r="Q89" i="14"/>
  <c r="R89" i="14"/>
  <c r="R98" i="14"/>
  <c r="P98" i="14"/>
  <c r="Q98" i="14"/>
  <c r="Q135" i="14"/>
  <c r="R135" i="14"/>
  <c r="P135" i="14"/>
  <c r="P30" i="14"/>
  <c r="R30" i="14"/>
  <c r="Q30" i="14"/>
  <c r="P156" i="14"/>
  <c r="R156" i="14"/>
  <c r="Q156" i="14"/>
  <c r="Q297" i="14"/>
  <c r="R297" i="14"/>
  <c r="P297" i="14"/>
  <c r="Q230" i="14"/>
  <c r="R230" i="14"/>
  <c r="P230" i="14"/>
  <c r="P358" i="14"/>
  <c r="Q358" i="14"/>
  <c r="R358" i="14"/>
  <c r="Q159" i="14"/>
  <c r="R159" i="14"/>
  <c r="P159" i="14"/>
  <c r="P171" i="14"/>
  <c r="R171" i="14"/>
  <c r="Q171" i="14"/>
  <c r="Q71" i="14"/>
  <c r="R71" i="14"/>
  <c r="P71" i="14"/>
  <c r="R246" i="14"/>
  <c r="Q246" i="14"/>
  <c r="P246" i="14"/>
  <c r="R46" i="14"/>
  <c r="P46" i="14"/>
  <c r="Q46" i="14"/>
  <c r="Q223" i="14"/>
  <c r="P223" i="14"/>
  <c r="R223" i="14"/>
  <c r="P34" i="14"/>
  <c r="R34" i="14"/>
  <c r="Q34" i="14"/>
  <c r="P281" i="14"/>
  <c r="Q281" i="14"/>
  <c r="R281" i="14"/>
  <c r="Q193" i="14"/>
  <c r="R193" i="14"/>
  <c r="P193" i="14"/>
  <c r="P265" i="14"/>
  <c r="R265" i="14"/>
  <c r="Q265" i="14"/>
  <c r="Q314" i="14"/>
  <c r="R314" i="14"/>
  <c r="P314" i="14"/>
  <c r="P256" i="14"/>
  <c r="R256" i="14"/>
  <c r="Q256" i="14"/>
  <c r="P86" i="14"/>
  <c r="R86" i="14"/>
  <c r="Q86" i="14"/>
  <c r="R120" i="14"/>
  <c r="Q120" i="14"/>
  <c r="P120" i="14"/>
  <c r="Q64" i="14"/>
  <c r="P64" i="14"/>
  <c r="R64" i="14"/>
  <c r="Q129" i="14"/>
  <c r="P129" i="14"/>
  <c r="R129" i="14"/>
  <c r="P348" i="14"/>
  <c r="Q348" i="14"/>
  <c r="R348" i="14"/>
  <c r="R341" i="14"/>
  <c r="Q341" i="14"/>
  <c r="P341" i="14"/>
  <c r="P31" i="14"/>
  <c r="O31" i="14" s="1"/>
  <c r="Q31" i="14"/>
  <c r="R31" i="14"/>
  <c r="P170" i="14"/>
  <c r="R170" i="14"/>
  <c r="Q170" i="14"/>
  <c r="P227" i="14"/>
  <c r="R227" i="14"/>
  <c r="Q227" i="14"/>
  <c r="Q152" i="14"/>
  <c r="R152" i="14"/>
  <c r="P152" i="14"/>
  <c r="Q93" i="14"/>
  <c r="R93" i="14"/>
  <c r="P93" i="14"/>
  <c r="R336" i="14"/>
  <c r="Q336" i="14"/>
  <c r="P336" i="14"/>
  <c r="R236" i="14"/>
  <c r="P236" i="14"/>
  <c r="Q236" i="14"/>
  <c r="P293" i="14"/>
  <c r="Q293" i="14"/>
  <c r="R293" i="14"/>
  <c r="Z46" i="15"/>
  <c r="U46" i="15"/>
  <c r="X46" i="15" s="1"/>
  <c r="R214" i="14"/>
  <c r="P214" i="14"/>
  <c r="Q214" i="14"/>
  <c r="R239" i="14"/>
  <c r="Q239" i="14"/>
  <c r="P239" i="14"/>
  <c r="P367" i="14"/>
  <c r="R367" i="14"/>
  <c r="Q367" i="14"/>
  <c r="Q232" i="14"/>
  <c r="R232" i="14"/>
  <c r="P232" i="14"/>
  <c r="Q282" i="14"/>
  <c r="R282" i="14"/>
  <c r="P282" i="14"/>
  <c r="P322" i="14"/>
  <c r="Q322" i="14"/>
  <c r="R322" i="14"/>
  <c r="R195" i="14"/>
  <c r="P195" i="14"/>
  <c r="Q195" i="14"/>
  <c r="Q143" i="14"/>
  <c r="R143" i="14"/>
  <c r="P143" i="14"/>
  <c r="P274" i="14"/>
  <c r="R274" i="14"/>
  <c r="Q274" i="14"/>
  <c r="P47" i="14"/>
  <c r="Q47" i="14"/>
  <c r="R47" i="14"/>
  <c r="P284" i="14"/>
  <c r="R284" i="14"/>
  <c r="Q284" i="14"/>
  <c r="P109" i="14"/>
  <c r="R109" i="14"/>
  <c r="Q109" i="14"/>
  <c r="R50" i="14"/>
  <c r="P50" i="14"/>
  <c r="Q50" i="14"/>
  <c r="P272" i="14"/>
  <c r="R272" i="14"/>
  <c r="Q272" i="14"/>
  <c r="P280" i="14"/>
  <c r="R280" i="14"/>
  <c r="Q280" i="14"/>
  <c r="P279" i="14"/>
  <c r="Q279" i="14"/>
  <c r="R279" i="14"/>
  <c r="R116" i="14"/>
  <c r="Q116" i="14"/>
  <c r="P116" i="14"/>
  <c r="Q269" i="14"/>
  <c r="R269" i="14"/>
  <c r="P269" i="14"/>
  <c r="P363" i="14"/>
  <c r="R363" i="14"/>
  <c r="Q363" i="14"/>
  <c r="R62" i="14"/>
  <c r="P62" i="14"/>
  <c r="Q62" i="14"/>
  <c r="Q87" i="14"/>
  <c r="P87" i="14"/>
  <c r="R87" i="14"/>
  <c r="Q180" i="14"/>
  <c r="R180" i="14"/>
  <c r="P180" i="14"/>
  <c r="P273" i="14"/>
  <c r="R273" i="14"/>
  <c r="Q273" i="14"/>
  <c r="P81" i="14"/>
  <c r="R81" i="14"/>
  <c r="Q81" i="14"/>
  <c r="P128" i="14"/>
  <c r="Q128" i="14"/>
  <c r="R128" i="14"/>
  <c r="R295" i="14"/>
  <c r="P295" i="14"/>
  <c r="Q295" i="14"/>
  <c r="Q39" i="14"/>
  <c r="R39" i="14"/>
  <c r="P39" i="14"/>
  <c r="P43" i="14"/>
  <c r="R43" i="14"/>
  <c r="Q43" i="14"/>
  <c r="R78" i="14"/>
  <c r="P78" i="14"/>
  <c r="Q78" i="14"/>
  <c r="R233" i="14"/>
  <c r="P233" i="14"/>
  <c r="Q233" i="14"/>
  <c r="R74" i="14"/>
  <c r="F18" i="9"/>
  <c r="H18" i="9" s="1"/>
  <c r="Q74" i="14"/>
  <c r="P74" i="14"/>
  <c r="R42" i="14"/>
  <c r="Q42" i="14"/>
  <c r="P42" i="14"/>
  <c r="R100" i="14"/>
  <c r="P100" i="14"/>
  <c r="Q100" i="14"/>
  <c r="P172" i="14"/>
  <c r="R172" i="14"/>
  <c r="Q172" i="14"/>
  <c r="R345" i="14"/>
  <c r="Q345" i="14"/>
  <c r="P345" i="14"/>
  <c r="Q353" i="14"/>
  <c r="R353" i="14"/>
  <c r="P353" i="14"/>
  <c r="Q85" i="14"/>
  <c r="R85" i="14"/>
  <c r="P85" i="14"/>
  <c r="Q229" i="14"/>
  <c r="P229" i="14"/>
  <c r="R229" i="14"/>
  <c r="P285" i="14"/>
  <c r="R285" i="14"/>
  <c r="Q285" i="14"/>
  <c r="Z42" i="15"/>
  <c r="U42" i="15"/>
  <c r="X42" i="15" s="1"/>
  <c r="Q354" i="14"/>
  <c r="P354" i="14"/>
  <c r="R354" i="14"/>
  <c r="R41" i="14"/>
  <c r="P41" i="14"/>
  <c r="Q41" i="14"/>
  <c r="R213" i="14"/>
  <c r="P213" i="14"/>
  <c r="Q213" i="14"/>
  <c r="R298" i="14"/>
  <c r="Q298" i="14"/>
  <c r="P298" i="14"/>
  <c r="P201" i="14"/>
  <c r="Q201" i="14"/>
  <c r="R201" i="14"/>
  <c r="Q175" i="14"/>
  <c r="P175" i="14"/>
  <c r="R175" i="14"/>
  <c r="R306" i="14"/>
  <c r="P306" i="14"/>
  <c r="Q306" i="14"/>
  <c r="Q52" i="14"/>
  <c r="R52" i="14"/>
  <c r="P52" i="14"/>
  <c r="P308" i="14"/>
  <c r="Q308" i="14"/>
  <c r="R308" i="14"/>
  <c r="P125" i="14"/>
  <c r="Q125" i="14"/>
  <c r="R125" i="14"/>
  <c r="P49" i="14"/>
  <c r="Q49" i="14"/>
  <c r="R49" i="14"/>
  <c r="R307" i="14"/>
  <c r="Q307" i="14"/>
  <c r="P307" i="14"/>
  <c r="P291" i="14"/>
  <c r="R291" i="14"/>
  <c r="Q291" i="14"/>
  <c r="R222" i="14"/>
  <c r="P222" i="14"/>
  <c r="Q222" i="14"/>
  <c r="P202" i="14"/>
  <c r="Q202" i="14"/>
  <c r="R202" i="14"/>
  <c r="P360" i="14"/>
  <c r="Q360" i="14"/>
  <c r="R360" i="14"/>
  <c r="Q211" i="14"/>
  <c r="R211" i="14"/>
  <c r="P211" i="14"/>
  <c r="Q278" i="14"/>
  <c r="P278" i="14"/>
  <c r="R278" i="14"/>
  <c r="R268" i="14"/>
  <c r="P268" i="14"/>
  <c r="Q268" i="14"/>
  <c r="R215" i="14"/>
  <c r="P215" i="14"/>
  <c r="Q215" i="14"/>
  <c r="P204" i="14"/>
  <c r="R204" i="14"/>
  <c r="Q204" i="14"/>
  <c r="P328" i="14"/>
  <c r="R328" i="14"/>
  <c r="Q328" i="14"/>
  <c r="Q276" i="14"/>
  <c r="R276" i="14"/>
  <c r="P276" i="14"/>
  <c r="P320" i="14"/>
  <c r="R320" i="14"/>
  <c r="Q320" i="14"/>
  <c r="P218" i="14"/>
  <c r="Q218" i="14"/>
  <c r="R218" i="14"/>
  <c r="P107" i="14"/>
  <c r="Q107" i="14"/>
  <c r="R107" i="14"/>
  <c r="Q359" i="14"/>
  <c r="P359" i="14"/>
  <c r="R359" i="14"/>
  <c r="Q231" i="14"/>
  <c r="P231" i="14"/>
  <c r="R231" i="14"/>
  <c r="Q299" i="14"/>
  <c r="R299" i="14"/>
  <c r="P299" i="14"/>
  <c r="Q266" i="14"/>
  <c r="P266" i="14"/>
  <c r="R266" i="14"/>
  <c r="R157" i="14"/>
  <c r="Q157" i="14"/>
  <c r="P157" i="14"/>
  <c r="P146" i="14"/>
  <c r="Q146" i="14"/>
  <c r="R146" i="14"/>
  <c r="Q164" i="14"/>
  <c r="R164" i="14"/>
  <c r="P164" i="14"/>
  <c r="R330" i="14"/>
  <c r="Q330" i="14"/>
  <c r="P330" i="14"/>
  <c r="R261" i="14"/>
  <c r="Q261" i="14"/>
  <c r="P261" i="14"/>
  <c r="P199" i="14"/>
  <c r="Q199" i="14"/>
  <c r="R199" i="14"/>
  <c r="R149" i="14"/>
  <c r="Q149" i="14"/>
  <c r="P149" i="14"/>
  <c r="R332" i="14"/>
  <c r="Q332" i="14"/>
  <c r="P332" i="14"/>
  <c r="Q123" i="14"/>
  <c r="P123" i="14"/>
  <c r="R123" i="14"/>
  <c r="Q321" i="14"/>
  <c r="R321" i="14"/>
  <c r="P321" i="14"/>
  <c r="P369" i="14"/>
  <c r="R369" i="14"/>
  <c r="Q369" i="14"/>
  <c r="P244" i="14"/>
  <c r="Q244" i="14"/>
  <c r="R244" i="14"/>
  <c r="P184" i="14"/>
  <c r="Q184" i="14"/>
  <c r="R184" i="14"/>
  <c r="P53" i="14"/>
  <c r="R53" i="14"/>
  <c r="Q53" i="14"/>
  <c r="P335" i="14"/>
  <c r="R335" i="14"/>
  <c r="Q335" i="14"/>
  <c r="P347" i="14"/>
  <c r="R347" i="14"/>
  <c r="Q347" i="14"/>
  <c r="Q155" i="14"/>
  <c r="R155" i="14"/>
  <c r="P155" i="14"/>
  <c r="P33" i="14"/>
  <c r="Q33" i="14"/>
  <c r="R33" i="14"/>
  <c r="R192" i="14"/>
  <c r="Q192" i="14"/>
  <c r="P192" i="14"/>
  <c r="R38" i="14"/>
  <c r="Q38" i="14"/>
  <c r="P38" i="14"/>
  <c r="R77" i="14"/>
  <c r="P77" i="14"/>
  <c r="Q77" i="14"/>
  <c r="R248" i="14"/>
  <c r="P248" i="14"/>
  <c r="Q248" i="14"/>
  <c r="Q224" i="14"/>
  <c r="R224" i="14"/>
  <c r="P224" i="14"/>
  <c r="P176" i="14"/>
  <c r="R176" i="14"/>
  <c r="Q176" i="14"/>
  <c r="R168" i="14"/>
  <c r="Q168" i="14"/>
  <c r="P168" i="14"/>
  <c r="Q294" i="14"/>
  <c r="R294" i="14"/>
  <c r="P294" i="14"/>
  <c r="P221" i="14"/>
  <c r="R221" i="14"/>
  <c r="Q221" i="14"/>
  <c r="P54" i="14"/>
  <c r="Q54" i="14"/>
  <c r="R54" i="14"/>
  <c r="Q198" i="14"/>
  <c r="R198" i="14"/>
  <c r="P198" i="14"/>
  <c r="R212" i="14"/>
  <c r="P212" i="14"/>
  <c r="Q212" i="14"/>
  <c r="Q186" i="14"/>
  <c r="R186" i="14"/>
  <c r="P186" i="14"/>
  <c r="Q182" i="14"/>
  <c r="R182" i="14"/>
  <c r="P182" i="14"/>
  <c r="P219" i="14"/>
  <c r="Q219" i="14"/>
  <c r="R219" i="14"/>
  <c r="Z48" i="15"/>
  <c r="U48" i="15"/>
  <c r="X48" i="15" s="1"/>
  <c r="E38" i="11"/>
  <c r="Q141" i="14"/>
  <c r="P141" i="14"/>
  <c r="R141" i="14"/>
  <c r="R327" i="14"/>
  <c r="Q327" i="14"/>
  <c r="P327" i="14"/>
  <c r="P355" i="14"/>
  <c r="Q355" i="14"/>
  <c r="R355" i="14"/>
  <c r="P339" i="14"/>
  <c r="R339" i="14"/>
  <c r="Q339" i="14"/>
  <c r="R75" i="14"/>
  <c r="Q75" i="14"/>
  <c r="P75" i="14"/>
  <c r="R163" i="14"/>
  <c r="P163" i="14"/>
  <c r="Q163" i="14"/>
  <c r="R303" i="14"/>
  <c r="Q303" i="14"/>
  <c r="P303" i="14"/>
  <c r="R313" i="14"/>
  <c r="P313" i="14"/>
  <c r="Q313" i="14"/>
  <c r="R56" i="14"/>
  <c r="Q56" i="14"/>
  <c r="P56" i="14"/>
  <c r="R88" i="14"/>
  <c r="P88" i="14"/>
  <c r="Q88" i="14"/>
  <c r="Q122" i="14"/>
  <c r="P122" i="14"/>
  <c r="R122" i="14"/>
  <c r="Q51" i="14"/>
  <c r="P51" i="14"/>
  <c r="R51" i="14"/>
  <c r="R225" i="14"/>
  <c r="Q225" i="14"/>
  <c r="P225" i="14"/>
  <c r="P36" i="14"/>
  <c r="R36" i="14"/>
  <c r="Q36" i="14"/>
  <c r="P250" i="14"/>
  <c r="R250" i="14"/>
  <c r="Q250" i="14"/>
  <c r="Q235" i="14"/>
  <c r="R235" i="14"/>
  <c r="P235" i="14"/>
  <c r="R205" i="14"/>
  <c r="P205" i="14"/>
  <c r="Q205" i="14"/>
  <c r="Q55" i="14"/>
  <c r="P55" i="14"/>
  <c r="R55" i="14"/>
  <c r="R144" i="14"/>
  <c r="P144" i="14"/>
  <c r="Q144" i="14"/>
  <c r="Q324" i="14"/>
  <c r="P324" i="14"/>
  <c r="R324" i="14"/>
  <c r="P160" i="14"/>
  <c r="R160" i="14"/>
  <c r="Q160" i="14"/>
  <c r="P140" i="14"/>
  <c r="Q140" i="14"/>
  <c r="R140" i="14"/>
  <c r="P167" i="14"/>
  <c r="Q167" i="14"/>
  <c r="R167" i="14"/>
  <c r="R334" i="14"/>
  <c r="P334" i="14"/>
  <c r="Q334" i="14"/>
  <c r="P262" i="14"/>
  <c r="Q262" i="14"/>
  <c r="R262" i="14"/>
  <c r="Q346" i="14"/>
  <c r="R346" i="14"/>
  <c r="P346" i="14"/>
  <c r="P124" i="14"/>
  <c r="R124" i="14"/>
  <c r="Q124" i="14"/>
  <c r="R292" i="14"/>
  <c r="Q292" i="14"/>
  <c r="P292" i="14"/>
  <c r="Q58" i="14"/>
  <c r="P58" i="14"/>
  <c r="R58" i="14"/>
  <c r="Q216" i="14"/>
  <c r="P216" i="14"/>
  <c r="R216" i="14"/>
  <c r="Q108" i="14"/>
  <c r="P108" i="14"/>
  <c r="R108" i="14"/>
  <c r="R206" i="14"/>
  <c r="Q206" i="14"/>
  <c r="P206" i="14"/>
  <c r="R260" i="14"/>
  <c r="Q260" i="14"/>
  <c r="P260" i="14"/>
  <c r="Q325" i="14"/>
  <c r="P325" i="14"/>
  <c r="R325" i="14"/>
  <c r="P270" i="14"/>
  <c r="Q270" i="14"/>
  <c r="R270" i="14"/>
  <c r="R200" i="14"/>
  <c r="Q200" i="14"/>
  <c r="P200" i="14"/>
  <c r="P133" i="14"/>
  <c r="R133" i="14"/>
  <c r="Q133" i="14"/>
  <c r="R134" i="14"/>
  <c r="Q134" i="14"/>
  <c r="P134" i="14"/>
  <c r="P121" i="14"/>
  <c r="R121" i="14"/>
  <c r="Q121" i="14"/>
  <c r="Q102" i="14"/>
  <c r="P102" i="14"/>
  <c r="R102" i="14"/>
  <c r="P312" i="14"/>
  <c r="R312" i="14"/>
  <c r="Q312" i="14"/>
  <c r="P118" i="14"/>
  <c r="Q118" i="14"/>
  <c r="R118" i="14"/>
  <c r="P61" i="14"/>
  <c r="R61" i="14"/>
  <c r="Q61" i="14"/>
  <c r="P145" i="14"/>
  <c r="R145" i="14"/>
  <c r="Q145" i="14"/>
  <c r="P331" i="14"/>
  <c r="R331" i="14"/>
  <c r="Q331" i="14"/>
  <c r="Q97" i="14"/>
  <c r="R97" i="14"/>
  <c r="P97" i="14"/>
  <c r="F11" i="9"/>
  <c r="H11" i="9" s="1"/>
  <c r="R105" i="14"/>
  <c r="P105" i="14"/>
  <c r="Q105" i="14"/>
  <c r="Q37" i="14"/>
  <c r="P37" i="14"/>
  <c r="R37" i="14"/>
  <c r="P234" i="14"/>
  <c r="R234" i="14"/>
  <c r="Q234" i="14"/>
  <c r="R104" i="14"/>
  <c r="D19" i="11" s="1"/>
  <c r="E19" i="11" s="1"/>
  <c r="P104" i="14"/>
  <c r="Q104" i="14"/>
  <c r="P84" i="14"/>
  <c r="R84" i="14"/>
  <c r="Q84" i="14"/>
  <c r="P301" i="14"/>
  <c r="Q301" i="14"/>
  <c r="R301" i="14"/>
  <c r="Q259" i="14"/>
  <c r="R259" i="14"/>
  <c r="P259" i="14"/>
  <c r="P287" i="14"/>
  <c r="Q287" i="14"/>
  <c r="R287" i="14"/>
  <c r="R296" i="14"/>
  <c r="Q296" i="14"/>
  <c r="P296" i="14"/>
  <c r="R207" i="14"/>
  <c r="Q207" i="14"/>
  <c r="P207" i="14"/>
  <c r="Q194" i="14"/>
  <c r="P194" i="14"/>
  <c r="R194" i="14"/>
  <c r="P356" i="14"/>
  <c r="Q356" i="14"/>
  <c r="R356" i="14"/>
  <c r="R245" i="14"/>
  <c r="Q245" i="14"/>
  <c r="P245" i="14"/>
  <c r="P158" i="14"/>
  <c r="R158" i="14"/>
  <c r="Q158" i="14"/>
  <c r="R290" i="14"/>
  <c r="Q290" i="14"/>
  <c r="P290" i="14"/>
  <c r="P191" i="14"/>
  <c r="R191" i="14"/>
  <c r="Q191" i="14"/>
  <c r="Q277" i="14"/>
  <c r="P277" i="14"/>
  <c r="R277" i="14"/>
  <c r="Q80" i="14"/>
  <c r="P80" i="14"/>
  <c r="R80" i="14"/>
  <c r="Q226" i="14"/>
  <c r="R226" i="14"/>
  <c r="P226" i="14"/>
  <c r="R110" i="14"/>
  <c r="P110" i="14"/>
  <c r="Q110" i="14"/>
  <c r="P255" i="14"/>
  <c r="Q255" i="14"/>
  <c r="R255" i="14"/>
  <c r="P305" i="14"/>
  <c r="R305" i="14"/>
  <c r="Q305" i="14"/>
  <c r="P57" i="14"/>
  <c r="Q57" i="14"/>
  <c r="R57" i="14"/>
  <c r="Q241" i="14"/>
  <c r="P241" i="14"/>
  <c r="R241" i="14"/>
  <c r="R197" i="14"/>
  <c r="P197" i="14"/>
  <c r="Q197" i="14"/>
  <c r="P302" i="14"/>
  <c r="Q302" i="14"/>
  <c r="R302" i="14"/>
  <c r="R317" i="14"/>
  <c r="P317" i="14"/>
  <c r="Q317" i="14"/>
  <c r="Q343" i="14"/>
  <c r="P343" i="14"/>
  <c r="R343" i="14"/>
  <c r="R115" i="14"/>
  <c r="Q115" i="14"/>
  <c r="P115" i="14"/>
  <c r="P304" i="14"/>
  <c r="Q304" i="14"/>
  <c r="R304" i="14"/>
  <c r="P275" i="14"/>
  <c r="Q275" i="14"/>
  <c r="R275" i="14"/>
  <c r="R65" i="14"/>
  <c r="P65" i="14"/>
  <c r="Q65" i="14"/>
  <c r="P267" i="14"/>
  <c r="R267" i="14"/>
  <c r="Q267" i="14"/>
  <c r="Q361" i="14"/>
  <c r="R361" i="14"/>
  <c r="P361" i="14"/>
  <c r="P92" i="14"/>
  <c r="Q92" i="14"/>
  <c r="R92" i="14"/>
  <c r="Z39" i="15"/>
  <c r="U39" i="15"/>
  <c r="X39" i="15" s="1"/>
  <c r="Q150" i="14"/>
  <c r="R150" i="14"/>
  <c r="P150" i="14"/>
  <c r="Q72" i="14"/>
  <c r="R72" i="14"/>
  <c r="P72" i="14"/>
  <c r="R106" i="14"/>
  <c r="P106" i="14"/>
  <c r="Q106" i="14"/>
  <c r="P247" i="14"/>
  <c r="R247" i="14"/>
  <c r="Q247" i="14"/>
  <c r="P311" i="14"/>
  <c r="R311" i="14"/>
  <c r="Q311" i="14"/>
  <c r="P44" i="14"/>
  <c r="Q44" i="14"/>
  <c r="R44" i="14"/>
  <c r="Z41" i="15"/>
  <c r="U41" i="15"/>
  <c r="U44" i="15"/>
  <c r="X44" i="15" s="1"/>
  <c r="Z44" i="15"/>
  <c r="Q181" i="14"/>
  <c r="P181" i="14"/>
  <c r="R181" i="14"/>
  <c r="P154" i="14"/>
  <c r="Q154" i="14"/>
  <c r="R154" i="14"/>
  <c r="Q319" i="14"/>
  <c r="P319" i="14"/>
  <c r="R319" i="14"/>
  <c r="R185" i="14"/>
  <c r="P185" i="14"/>
  <c r="Q185" i="14"/>
  <c r="R333" i="14"/>
  <c r="P333" i="14"/>
  <c r="Q333" i="14"/>
  <c r="R253" i="14"/>
  <c r="Q253" i="14"/>
  <c r="P253" i="14"/>
  <c r="P90" i="14"/>
  <c r="R90" i="14"/>
  <c r="Q90" i="14"/>
  <c r="R112" i="14"/>
  <c r="Q112" i="14"/>
  <c r="P112" i="14"/>
  <c r="P283" i="14"/>
  <c r="R283" i="14"/>
  <c r="Q283" i="14"/>
  <c r="R257" i="14"/>
  <c r="P257" i="14"/>
  <c r="Q257" i="14"/>
  <c r="R340" i="14"/>
  <c r="Q340" i="14"/>
  <c r="P340" i="14"/>
  <c r="R139" i="14"/>
  <c r="P139" i="14"/>
  <c r="Q139" i="14"/>
  <c r="Q99" i="14"/>
  <c r="P99" i="14"/>
  <c r="R99" i="14"/>
  <c r="R35" i="14"/>
  <c r="P35" i="14"/>
  <c r="Q35" i="14"/>
  <c r="P169" i="14"/>
  <c r="R169" i="14"/>
  <c r="Q169" i="14"/>
  <c r="R131" i="14"/>
  <c r="P131" i="14"/>
  <c r="Q131" i="14"/>
  <c r="P251" i="14"/>
  <c r="R251" i="14"/>
  <c r="Q251" i="14"/>
  <c r="R243" i="14"/>
  <c r="P243" i="14"/>
  <c r="Q243" i="14"/>
  <c r="Q126" i="14"/>
  <c r="P126" i="14"/>
  <c r="R126" i="14"/>
  <c r="R119" i="14"/>
  <c r="Q119" i="14"/>
  <c r="P119" i="14"/>
  <c r="P113" i="14"/>
  <c r="Q113" i="14"/>
  <c r="R113" i="14"/>
  <c r="Q68" i="14"/>
  <c r="P68" i="14"/>
  <c r="R68" i="14"/>
  <c r="Q45" i="14"/>
  <c r="R45" i="14"/>
  <c r="P45" i="14"/>
  <c r="R329" i="14"/>
  <c r="P329" i="14"/>
  <c r="Q329" i="14"/>
  <c r="R288" i="14"/>
  <c r="Q288" i="14"/>
  <c r="P288" i="14"/>
  <c r="P79" i="14"/>
  <c r="R79" i="14"/>
  <c r="Q79" i="14"/>
  <c r="U40" i="15"/>
  <c r="X40" i="15" s="1"/>
  <c r="Z40" i="15"/>
  <c r="P217" i="14"/>
  <c r="R217" i="14"/>
  <c r="Q217" i="14"/>
  <c r="P365" i="14"/>
  <c r="Q365" i="14"/>
  <c r="R365" i="14"/>
  <c r="P66" i="14"/>
  <c r="Q66" i="14"/>
  <c r="R66" i="14"/>
  <c r="R32" i="14"/>
  <c r="Q32" i="14"/>
  <c r="P32" i="14"/>
  <c r="Q29" i="14"/>
  <c r="R29" i="14"/>
  <c r="P29" i="14"/>
  <c r="R178" i="14"/>
  <c r="P178" i="14"/>
  <c r="Q178" i="14"/>
  <c r="P174" i="14"/>
  <c r="R174" i="14"/>
  <c r="Q174" i="14"/>
  <c r="P114" i="14"/>
  <c r="Q114" i="14"/>
  <c r="R114" i="14"/>
  <c r="P210" i="14"/>
  <c r="R210" i="14"/>
  <c r="Q210" i="14"/>
  <c r="U43" i="15"/>
  <c r="X43" i="15" s="1"/>
  <c r="Z43" i="15"/>
  <c r="Q300" i="14"/>
  <c r="P300" i="14"/>
  <c r="R300" i="14"/>
  <c r="R264" i="14"/>
  <c r="P264" i="14"/>
  <c r="Q264" i="14"/>
  <c r="R127" i="14"/>
  <c r="Q127" i="14"/>
  <c r="P127" i="14"/>
  <c r="P366" i="14"/>
  <c r="Q366" i="14"/>
  <c r="R366" i="14"/>
  <c r="R132" i="14"/>
  <c r="Q132" i="14"/>
  <c r="P132" i="14"/>
  <c r="Q179" i="14"/>
  <c r="P179" i="14"/>
  <c r="R179" i="14"/>
  <c r="P91" i="14"/>
  <c r="R91" i="14"/>
  <c r="Q91" i="14"/>
  <c r="P95" i="14"/>
  <c r="R95" i="14"/>
  <c r="Q95" i="14"/>
  <c r="P362" i="14"/>
  <c r="R362" i="14"/>
  <c r="Q362" i="14"/>
  <c r="P177" i="14"/>
  <c r="R177" i="14"/>
  <c r="Q177" i="14"/>
  <c r="P318" i="14"/>
  <c r="R318" i="14"/>
  <c r="Q318" i="14"/>
  <c r="Q70" i="14"/>
  <c r="R70" i="14"/>
  <c r="P70" i="14"/>
  <c r="P220" i="14"/>
  <c r="Q220" i="14"/>
  <c r="R220" i="14"/>
  <c r="R316" i="14"/>
  <c r="Q316" i="14"/>
  <c r="P316" i="14"/>
  <c r="O316" i="14" s="1"/>
  <c r="F4" i="9"/>
  <c r="R4" i="9" s="1"/>
  <c r="Q96" i="14"/>
  <c r="R96" i="14"/>
  <c r="P96" i="14"/>
  <c r="Q67" i="14"/>
  <c r="R67" i="14"/>
  <c r="P67" i="14"/>
  <c r="P289" i="14"/>
  <c r="Q289" i="14"/>
  <c r="R289" i="14"/>
  <c r="Q165" i="14"/>
  <c r="R165" i="14"/>
  <c r="P165" i="14"/>
  <c r="U38" i="15"/>
  <c r="Z38" i="15"/>
  <c r="Q173" i="14"/>
  <c r="R173" i="14"/>
  <c r="P173" i="14"/>
  <c r="Q350" i="14"/>
  <c r="P350" i="14"/>
  <c r="O350" i="14" s="1"/>
  <c r="R350" i="14"/>
  <c r="R142" i="14"/>
  <c r="Q142" i="14"/>
  <c r="P142" i="14"/>
  <c r="O142" i="14" s="1"/>
  <c r="P60" i="14"/>
  <c r="Q60" i="14"/>
  <c r="R60" i="14"/>
  <c r="R94" i="14"/>
  <c r="Q94" i="14"/>
  <c r="P94" i="14"/>
  <c r="P183" i="14"/>
  <c r="Q183" i="14"/>
  <c r="R183" i="14"/>
  <c r="Q263" i="14"/>
  <c r="P263" i="14"/>
  <c r="R263" i="14"/>
  <c r="R69" i="14"/>
  <c r="Q69" i="14"/>
  <c r="P69" i="14"/>
  <c r="R254" i="14"/>
  <c r="P254" i="14"/>
  <c r="Q254" i="14"/>
  <c r="P286" i="14"/>
  <c r="Q286" i="14"/>
  <c r="R286" i="14"/>
  <c r="P73" i="14"/>
  <c r="R73" i="14"/>
  <c r="Q73" i="14"/>
  <c r="P242" i="14"/>
  <c r="Q242" i="14"/>
  <c r="R242" i="14"/>
  <c r="R208" i="14"/>
  <c r="Q208" i="14"/>
  <c r="P208" i="14"/>
  <c r="F4" i="10"/>
  <c r="P28" i="14"/>
  <c r="R28" i="14"/>
  <c r="Q28" i="14"/>
  <c r="R138" i="14"/>
  <c r="P138" i="14"/>
  <c r="Q138" i="14"/>
  <c r="Q196" i="14"/>
  <c r="R196" i="14"/>
  <c r="P196" i="14"/>
  <c r="P83" i="14"/>
  <c r="R83" i="14"/>
  <c r="Q83" i="14"/>
  <c r="Q111" i="14"/>
  <c r="R111" i="14"/>
  <c r="P111" i="14"/>
  <c r="Q153" i="14"/>
  <c r="P153" i="14"/>
  <c r="O153" i="14" s="1"/>
  <c r="R153" i="14"/>
  <c r="R161" i="14"/>
  <c r="Q161" i="14"/>
  <c r="P161" i="14"/>
  <c r="O161" i="14" s="1"/>
  <c r="P203" i="14"/>
  <c r="R203" i="14"/>
  <c r="Q203" i="14"/>
  <c r="R237" i="14"/>
  <c r="P237" i="14"/>
  <c r="Q237" i="14"/>
  <c r="P249" i="14"/>
  <c r="Q249" i="14"/>
  <c r="R249" i="14"/>
  <c r="Q344" i="14"/>
  <c r="R344" i="14"/>
  <c r="P344" i="14"/>
  <c r="Q103" i="14"/>
  <c r="R103" i="14"/>
  <c r="P103" i="14"/>
  <c r="P190" i="14"/>
  <c r="Q190" i="14"/>
  <c r="R190" i="14"/>
  <c r="Q189" i="14"/>
  <c r="P189" i="14"/>
  <c r="O189" i="14" s="1"/>
  <c r="R189" i="14"/>
  <c r="P187" i="14"/>
  <c r="R187" i="14"/>
  <c r="Q187" i="14"/>
  <c r="R137" i="14"/>
  <c r="P137" i="14"/>
  <c r="Q137" i="14"/>
  <c r="P309" i="14"/>
  <c r="R309" i="14"/>
  <c r="Q309" i="14"/>
  <c r="P310" i="14"/>
  <c r="R310" i="14"/>
  <c r="Q310" i="14"/>
  <c r="R352" i="14"/>
  <c r="P352" i="14"/>
  <c r="Q352" i="14"/>
  <c r="D22" i="11"/>
  <c r="D34" i="11"/>
  <c r="X41" i="15" l="1"/>
  <c r="G4" i="9" s="1"/>
  <c r="E4" i="9"/>
  <c r="C11" i="11" s="1"/>
  <c r="O282" i="14"/>
  <c r="O367" i="14"/>
  <c r="O163" i="14"/>
  <c r="O129" i="14"/>
  <c r="O188" i="14"/>
  <c r="O190" i="14"/>
  <c r="O289" i="14"/>
  <c r="O208" i="14"/>
  <c r="O94" i="14"/>
  <c r="O68" i="14"/>
  <c r="O340" i="14"/>
  <c r="O303" i="14"/>
  <c r="O168" i="14"/>
  <c r="O261" i="14"/>
  <c r="O157" i="14"/>
  <c r="O266" i="14"/>
  <c r="O278" i="14"/>
  <c r="O175" i="14"/>
  <c r="O42" i="14"/>
  <c r="O138" i="14"/>
  <c r="O329" i="14"/>
  <c r="O185" i="14"/>
  <c r="O317" i="14"/>
  <c r="O302" i="14"/>
  <c r="O212" i="14"/>
  <c r="O248" i="14"/>
  <c r="O184" i="14"/>
  <c r="O100" i="14"/>
  <c r="O62" i="14"/>
  <c r="O366" i="14"/>
  <c r="O66" i="14"/>
  <c r="O131" i="14"/>
  <c r="O139" i="14"/>
  <c r="O95" i="14"/>
  <c r="O49" i="14"/>
  <c r="O29" i="14"/>
  <c r="O243" i="14"/>
  <c r="O300" i="14"/>
  <c r="O288" i="14"/>
  <c r="O178" i="14"/>
  <c r="O113" i="14"/>
  <c r="O35" i="14"/>
  <c r="O257" i="14"/>
  <c r="O197" i="14"/>
  <c r="O105" i="14"/>
  <c r="O88" i="14"/>
  <c r="O128" i="14"/>
  <c r="O194" i="14"/>
  <c r="O102" i="14"/>
  <c r="O56" i="14"/>
  <c r="O75" i="14"/>
  <c r="O192" i="14"/>
  <c r="O149" i="14"/>
  <c r="O116" i="14"/>
  <c r="O277" i="14"/>
  <c r="O325" i="14"/>
  <c r="O216" i="14"/>
  <c r="O55" i="14"/>
  <c r="O304" i="14"/>
  <c r="O301" i="14"/>
  <c r="O334" i="14"/>
  <c r="O167" i="14"/>
  <c r="O355" i="14"/>
  <c r="O219" i="14"/>
  <c r="O215" i="14"/>
  <c r="O202" i="14"/>
  <c r="O196" i="14"/>
  <c r="O309" i="14"/>
  <c r="O344" i="14"/>
  <c r="O240" i="14"/>
  <c r="N4" i="9"/>
  <c r="D26" i="11" s="1"/>
  <c r="E26" i="11" s="1"/>
  <c r="O207" i="14"/>
  <c r="O310" i="14"/>
  <c r="O233" i="14"/>
  <c r="O295" i="14"/>
  <c r="O63" i="14"/>
  <c r="O130" i="14"/>
  <c r="O273" i="14"/>
  <c r="O363" i="14"/>
  <c r="O280" i="14"/>
  <c r="O284" i="14"/>
  <c r="O193" i="14"/>
  <c r="O34" i="14"/>
  <c r="O159" i="14"/>
  <c r="O342" i="14"/>
  <c r="O270" i="14"/>
  <c r="O313" i="14"/>
  <c r="O238" i="14"/>
  <c r="O67" i="14"/>
  <c r="O362" i="14"/>
  <c r="O356" i="14"/>
  <c r="O287" i="14"/>
  <c r="O331" i="14"/>
  <c r="O262" i="14"/>
  <c r="O160" i="14"/>
  <c r="O218" i="14"/>
  <c r="O222" i="14"/>
  <c r="O308" i="14"/>
  <c r="O201" i="14"/>
  <c r="O41" i="14"/>
  <c r="O137" i="14"/>
  <c r="O267" i="14"/>
  <c r="O226" i="14"/>
  <c r="O259" i="14"/>
  <c r="O84" i="14"/>
  <c r="O260" i="14"/>
  <c r="O324" i="14"/>
  <c r="O225" i="14"/>
  <c r="O51" i="14"/>
  <c r="O231" i="14"/>
  <c r="O361" i="14"/>
  <c r="O191" i="14"/>
  <c r="O312" i="14"/>
  <c r="O133" i="14"/>
  <c r="O72" i="14"/>
  <c r="O294" i="14"/>
  <c r="O347" i="14"/>
  <c r="O271" i="14"/>
  <c r="O251" i="14"/>
  <c r="O283" i="14"/>
  <c r="O150" i="14"/>
  <c r="O162" i="14"/>
  <c r="O79" i="14"/>
  <c r="O247" i="14"/>
  <c r="O235" i="14"/>
  <c r="O36" i="14"/>
  <c r="O176" i="14"/>
  <c r="O321" i="14"/>
  <c r="O328" i="14"/>
  <c r="O52" i="14"/>
  <c r="O285" i="14"/>
  <c r="O85" i="14"/>
  <c r="O272" i="14"/>
  <c r="O143" i="14"/>
  <c r="O232" i="14"/>
  <c r="O293" i="14"/>
  <c r="O265" i="14"/>
  <c r="O171" i="14"/>
  <c r="O186" i="14"/>
  <c r="O224" i="14"/>
  <c r="O164" i="14"/>
  <c r="O299" i="14"/>
  <c r="O211" i="14"/>
  <c r="O315" i="14"/>
  <c r="O349" i="14"/>
  <c r="O48" i="14"/>
  <c r="C29" i="11"/>
  <c r="E34" i="11"/>
  <c r="E22" i="11"/>
  <c r="L4" i="9"/>
  <c r="O96" i="14"/>
  <c r="O174" i="14"/>
  <c r="O169" i="14"/>
  <c r="O90" i="14"/>
  <c r="O311" i="14"/>
  <c r="O305" i="14"/>
  <c r="O158" i="14"/>
  <c r="O61" i="14"/>
  <c r="O121" i="14"/>
  <c r="O124" i="14"/>
  <c r="O250" i="14"/>
  <c r="O357" i="14"/>
  <c r="O252" i="14"/>
  <c r="O151" i="14"/>
  <c r="O40" i="14"/>
  <c r="O76" i="14"/>
  <c r="O148" i="14"/>
  <c r="L4" i="10"/>
  <c r="O28" i="14"/>
  <c r="O352" i="14"/>
  <c r="O103" i="14"/>
  <c r="O249" i="14"/>
  <c r="D12" i="11"/>
  <c r="H4" i="10"/>
  <c r="D30" i="11" s="1"/>
  <c r="O286" i="14"/>
  <c r="O69" i="14"/>
  <c r="O263" i="14"/>
  <c r="O183" i="14"/>
  <c r="J4" i="9"/>
  <c r="D20" i="11" s="1"/>
  <c r="E20" i="11" s="1"/>
  <c r="O220" i="14"/>
  <c r="O179" i="14"/>
  <c r="O127" i="14"/>
  <c r="O264" i="14"/>
  <c r="O114" i="14"/>
  <c r="O99" i="14"/>
  <c r="O253" i="14"/>
  <c r="O333" i="14"/>
  <c r="O181" i="14"/>
  <c r="O44" i="14"/>
  <c r="O106" i="14"/>
  <c r="O92" i="14"/>
  <c r="O65" i="14"/>
  <c r="O275" i="14"/>
  <c r="O115" i="14"/>
  <c r="O343" i="14"/>
  <c r="O241" i="14"/>
  <c r="O57" i="14"/>
  <c r="O110" i="14"/>
  <c r="O245" i="14"/>
  <c r="O296" i="14"/>
  <c r="O104" i="14"/>
  <c r="O234" i="14"/>
  <c r="O97" i="14"/>
  <c r="L11" i="9"/>
  <c r="O145" i="14"/>
  <c r="O134" i="14"/>
  <c r="O58" i="14"/>
  <c r="O346" i="14"/>
  <c r="O205" i="14"/>
  <c r="O339" i="14"/>
  <c r="O327" i="14"/>
  <c r="O141" i="14"/>
  <c r="O182" i="14"/>
  <c r="O38" i="14"/>
  <c r="O33" i="14"/>
  <c r="O53" i="14"/>
  <c r="O332" i="14"/>
  <c r="O199" i="14"/>
  <c r="O330" i="14"/>
  <c r="O146" i="14"/>
  <c r="O320" i="14"/>
  <c r="O360" i="14"/>
  <c r="O354" i="14"/>
  <c r="O229" i="14"/>
  <c r="O345" i="14"/>
  <c r="L18" i="9"/>
  <c r="O74" i="14"/>
  <c r="O78" i="14"/>
  <c r="O43" i="14"/>
  <c r="O81" i="14"/>
  <c r="O180" i="14"/>
  <c r="O87" i="14"/>
  <c r="O269" i="14"/>
  <c r="O279" i="14"/>
  <c r="O50" i="14"/>
  <c r="O109" i="14"/>
  <c r="O239" i="14"/>
  <c r="O214" i="14"/>
  <c r="O236" i="14"/>
  <c r="O152" i="14"/>
  <c r="O170" i="14"/>
  <c r="O341" i="14"/>
  <c r="O120" i="14"/>
  <c r="O256" i="14"/>
  <c r="O281" i="14"/>
  <c r="O46" i="14"/>
  <c r="O358" i="14"/>
  <c r="O297" i="14"/>
  <c r="O30" i="14"/>
  <c r="O209" i="14"/>
  <c r="O147" i="14"/>
  <c r="O364" i="14"/>
  <c r="O368" i="14"/>
  <c r="O337" i="14"/>
  <c r="O59" i="14"/>
  <c r="O82" i="14"/>
  <c r="O338" i="14"/>
  <c r="O326" i="14"/>
  <c r="O351" i="14"/>
  <c r="O117" i="14"/>
  <c r="O111" i="14"/>
  <c r="N4" i="10"/>
  <c r="O173" i="14"/>
  <c r="V40" i="15"/>
  <c r="Y40" i="15" s="1"/>
  <c r="V48" i="15"/>
  <c r="Y48" i="15" s="1"/>
  <c r="V42" i="15"/>
  <c r="Y42" i="15" s="1"/>
  <c r="V45" i="15"/>
  <c r="Y45" i="15" s="1"/>
  <c r="V44" i="15"/>
  <c r="Y44" i="15" s="1"/>
  <c r="X38" i="15"/>
  <c r="V49" i="15"/>
  <c r="Y49" i="15" s="1"/>
  <c r="V43" i="15"/>
  <c r="Y43" i="15" s="1"/>
  <c r="V39" i="15"/>
  <c r="Y39" i="15" s="1"/>
  <c r="V47" i="15"/>
  <c r="Y47" i="15" s="1"/>
  <c r="V46" i="15"/>
  <c r="Y46" i="15" s="1"/>
  <c r="V38" i="15"/>
  <c r="Y38" i="15" s="1"/>
  <c r="V41" i="15"/>
  <c r="O70" i="14"/>
  <c r="O177" i="14"/>
  <c r="O217" i="14"/>
  <c r="O45" i="14"/>
  <c r="J11" i="9"/>
  <c r="O198" i="14"/>
  <c r="O221" i="14"/>
  <c r="O155" i="14"/>
  <c r="O335" i="14"/>
  <c r="O369" i="14"/>
  <c r="O276" i="14"/>
  <c r="O204" i="14"/>
  <c r="O291" i="14"/>
  <c r="O353" i="14"/>
  <c r="O172" i="14"/>
  <c r="N18" i="9"/>
  <c r="O39" i="14"/>
  <c r="O274" i="14"/>
  <c r="O93" i="14"/>
  <c r="O227" i="14"/>
  <c r="O348" i="14"/>
  <c r="O86" i="14"/>
  <c r="O314" i="14"/>
  <c r="O223" i="14"/>
  <c r="O71" i="14"/>
  <c r="O230" i="14"/>
  <c r="O156" i="14"/>
  <c r="O135" i="14"/>
  <c r="O98" i="14"/>
  <c r="O89" i="14"/>
  <c r="O323" i="14"/>
  <c r="O136" i="14"/>
  <c r="O166" i="14"/>
  <c r="O228" i="14"/>
  <c r="O187" i="14"/>
  <c r="O73" i="14"/>
  <c r="O210" i="14"/>
  <c r="O237" i="14"/>
  <c r="O203" i="14"/>
  <c r="O83" i="14"/>
  <c r="J4" i="10"/>
  <c r="D21" i="11" s="1"/>
  <c r="E21" i="11" s="1"/>
  <c r="O242" i="14"/>
  <c r="O254" i="14"/>
  <c r="O60" i="14"/>
  <c r="O165" i="14"/>
  <c r="H4" i="9"/>
  <c r="D29" i="11" s="1"/>
  <c r="D11" i="11"/>
  <c r="E11" i="11" s="1"/>
  <c r="O318" i="14"/>
  <c r="O91" i="14"/>
  <c r="O132" i="14"/>
  <c r="O32" i="14"/>
  <c r="O365" i="14"/>
  <c r="O119" i="14"/>
  <c r="O126" i="14"/>
  <c r="O112" i="14"/>
  <c r="O319" i="14"/>
  <c r="O154" i="14"/>
  <c r="O255" i="14"/>
  <c r="O80" i="14"/>
  <c r="O290" i="14"/>
  <c r="O37" i="14"/>
  <c r="N11" i="9"/>
  <c r="O118" i="14"/>
  <c r="O200" i="14"/>
  <c r="O206" i="14"/>
  <c r="O108" i="14"/>
  <c r="O292" i="14"/>
  <c r="O140" i="14"/>
  <c r="O144" i="14"/>
  <c r="O122" i="14"/>
  <c r="O54" i="14"/>
  <c r="O77" i="14"/>
  <c r="O244" i="14"/>
  <c r="O123" i="14"/>
  <c r="O359" i="14"/>
  <c r="O107" i="14"/>
  <c r="O268" i="14"/>
  <c r="O307" i="14"/>
  <c r="O125" i="14"/>
  <c r="O306" i="14"/>
  <c r="O298" i="14"/>
  <c r="O213" i="14"/>
  <c r="O47" i="14"/>
  <c r="O195" i="14"/>
  <c r="O322" i="14"/>
  <c r="O336" i="14"/>
  <c r="O64" i="14"/>
  <c r="O246" i="14"/>
  <c r="O101" i="14"/>
  <c r="D25" i="11"/>
  <c r="D16" i="11"/>
  <c r="Y41" i="15" l="1"/>
  <c r="G4" i="10" s="1"/>
  <c r="C30" i="11" s="1"/>
  <c r="E30" i="11" s="1"/>
  <c r="E4" i="10"/>
  <c r="C12" i="11" s="1"/>
  <c r="E12" i="11" s="1"/>
  <c r="E29" i="11"/>
  <c r="D23" i="11"/>
  <c r="E23" i="11" s="1"/>
  <c r="P4" i="9"/>
  <c r="D17" i="11" s="1"/>
  <c r="E17" i="11" s="1"/>
  <c r="E16" i="11"/>
  <c r="E25" i="11"/>
  <c r="P11" i="9"/>
  <c r="P4" i="10"/>
  <c r="D18" i="11" s="1"/>
  <c r="E18" i="11" s="1"/>
  <c r="D24" i="11"/>
  <c r="E24" i="11" s="1"/>
  <c r="D27" i="11"/>
  <c r="E27" i="11" s="1"/>
  <c r="P18" i="9"/>
</calcChain>
</file>

<file path=xl/sharedStrings.xml><?xml version="1.0" encoding="utf-8"?>
<sst xmlns="http://schemas.openxmlformats.org/spreadsheetml/2006/main" count="10823" uniqueCount="977">
  <si>
    <t>Performance Summary PWEPL</t>
  </si>
  <si>
    <t xml:space="preserve">Month </t>
  </si>
  <si>
    <t xml:space="preserve">Date </t>
  </si>
  <si>
    <t>Financial Year</t>
  </si>
  <si>
    <t>Year-3</t>
  </si>
  <si>
    <t>Year Start Date</t>
  </si>
  <si>
    <t xml:space="preserve"> </t>
  </si>
  <si>
    <t>Year End Date</t>
  </si>
  <si>
    <t>Sr. No.</t>
  </si>
  <si>
    <t>Particular</t>
  </si>
  <si>
    <t>Target</t>
  </si>
  <si>
    <t>Measured</t>
  </si>
  <si>
    <t>Deviation</t>
  </si>
  <si>
    <t>Remarks</t>
  </si>
  <si>
    <t>E_Grid Daily (MWh)</t>
  </si>
  <si>
    <t>E_Grid MTD(MWh)</t>
  </si>
  <si>
    <t>E_Grid YTD (MWh)</t>
  </si>
  <si>
    <t>Wind Speed Daily</t>
  </si>
  <si>
    <t>Wind Speed MTD</t>
  </si>
  <si>
    <t>Wind Speed YTD</t>
  </si>
  <si>
    <t>PA Daily</t>
  </si>
  <si>
    <t>PA MTD</t>
  </si>
  <si>
    <t>PA YTD</t>
  </si>
  <si>
    <t>EGA Daily</t>
  </si>
  <si>
    <t>EGA MTD</t>
  </si>
  <si>
    <t>EGA YTD</t>
  </si>
  <si>
    <t>IGA Daily</t>
  </si>
  <si>
    <t>IGA MTD</t>
  </si>
  <si>
    <t>IGA YTD</t>
  </si>
  <si>
    <t>MA Daily</t>
  </si>
  <si>
    <t>MA MTD</t>
  </si>
  <si>
    <t>MA YTD</t>
  </si>
  <si>
    <t>CUF Daily</t>
  </si>
  <si>
    <t>CUF MTD</t>
  </si>
  <si>
    <t>CUF YTD</t>
  </si>
  <si>
    <t>Line Loss Daily</t>
  </si>
  <si>
    <t>Line Loss MTD</t>
  </si>
  <si>
    <t>Line Loss YTD</t>
  </si>
  <si>
    <t>Reactive Power Daily</t>
  </si>
  <si>
    <t>Reactive Power MTD</t>
  </si>
  <si>
    <t>Reactive Power YTD</t>
  </si>
  <si>
    <t>Expected Energy Daily</t>
  </si>
  <si>
    <t>Expected Energy MTD</t>
  </si>
  <si>
    <t>Expected Energy YTD</t>
  </si>
  <si>
    <t xml:space="preserve">Feeder4 </t>
  </si>
  <si>
    <t>Till Date</t>
  </si>
  <si>
    <t>PWEPL Performance Summary-YTD</t>
  </si>
  <si>
    <t>Year</t>
  </si>
  <si>
    <t>Days</t>
  </si>
  <si>
    <t>Estimated WS(m/s)</t>
  </si>
  <si>
    <t>Measured WS (m/s)</t>
  </si>
  <si>
    <t>Budgeted Energy (MWh)</t>
  </si>
  <si>
    <t>Measured Energy (MWh)</t>
  </si>
  <si>
    <t>Target CUF (%)</t>
  </si>
  <si>
    <t>Measured CUF (%)</t>
  </si>
  <si>
    <t>Target GA (%)</t>
  </si>
  <si>
    <t>Measured GA (%)</t>
  </si>
  <si>
    <t>Target MA (%)</t>
  </si>
  <si>
    <t>Measured MA (%)</t>
  </si>
  <si>
    <t>Target IGA(%)</t>
  </si>
  <si>
    <t>Measured IGA (%)</t>
  </si>
  <si>
    <t>Target PA(%)</t>
  </si>
  <si>
    <t>Measured PA (%)</t>
  </si>
  <si>
    <t>Expected Energy</t>
  </si>
  <si>
    <t>Loss (%)</t>
  </si>
  <si>
    <t>Reactive Power (%)</t>
  </si>
  <si>
    <t>PWEPL Performance Summary (MTD)</t>
  </si>
  <si>
    <t>Target IGA (%)</t>
  </si>
  <si>
    <t>WTG Total (MWh)</t>
  </si>
  <si>
    <t>Line Losses(%)</t>
  </si>
  <si>
    <t>E_WS_Corrected</t>
  </si>
  <si>
    <t>Start Date</t>
  </si>
  <si>
    <t>End Date</t>
  </si>
  <si>
    <t>PWEPL Performance Summary (WTD)</t>
  </si>
  <si>
    <t>PWEGPL Performance Summary (LTD)</t>
  </si>
  <si>
    <t>WTG No.</t>
  </si>
  <si>
    <t>P-01</t>
  </si>
  <si>
    <t>P-02</t>
  </si>
  <si>
    <t>P-03</t>
  </si>
  <si>
    <t>P-04</t>
  </si>
  <si>
    <t>P-05</t>
  </si>
  <si>
    <t>P-06</t>
  </si>
  <si>
    <t>P-07</t>
  </si>
  <si>
    <t>P-08</t>
  </si>
  <si>
    <t>P-09</t>
  </si>
  <si>
    <t>P-10</t>
  </si>
  <si>
    <t>P-11</t>
  </si>
  <si>
    <t>P-12</t>
  </si>
  <si>
    <t>P-13</t>
  </si>
  <si>
    <t>P-14</t>
  </si>
  <si>
    <t>P-15</t>
  </si>
  <si>
    <t>P-16</t>
  </si>
  <si>
    <t>P-17</t>
  </si>
  <si>
    <t>P-18</t>
  </si>
  <si>
    <t>P-19</t>
  </si>
  <si>
    <t>P-20</t>
  </si>
  <si>
    <t>P-22</t>
  </si>
  <si>
    <t>P-23</t>
  </si>
  <si>
    <t>P-25</t>
  </si>
  <si>
    <t>P-26</t>
  </si>
  <si>
    <t>P-27</t>
  </si>
  <si>
    <t>P-28</t>
  </si>
  <si>
    <t>P-31</t>
  </si>
  <si>
    <t>P-32</t>
  </si>
  <si>
    <t>P-34</t>
  </si>
  <si>
    <t>P-37</t>
  </si>
  <si>
    <t>P-38</t>
  </si>
  <si>
    <t>P-40</t>
  </si>
  <si>
    <t>P-41</t>
  </si>
  <si>
    <t>P-42</t>
  </si>
  <si>
    <t>P-43</t>
  </si>
  <si>
    <t>P-45</t>
  </si>
  <si>
    <t>P-46</t>
  </si>
  <si>
    <t>P-47</t>
  </si>
  <si>
    <t>P-48</t>
  </si>
  <si>
    <t>P-50</t>
  </si>
  <si>
    <t>P-51</t>
  </si>
  <si>
    <t>P-52</t>
  </si>
  <si>
    <t>P-55</t>
  </si>
  <si>
    <t>P-56</t>
  </si>
  <si>
    <t>MA</t>
  </si>
  <si>
    <t>WTG BD Hours</t>
  </si>
  <si>
    <t>IGA</t>
  </si>
  <si>
    <t>METERING YARD</t>
  </si>
  <si>
    <t>FEEDER</t>
  </si>
  <si>
    <t>OG</t>
  </si>
  <si>
    <t>TRANSFER</t>
  </si>
  <si>
    <t>USS</t>
  </si>
  <si>
    <t>EGA</t>
  </si>
  <si>
    <t>External Grid</t>
  </si>
  <si>
    <t>Generation</t>
  </si>
  <si>
    <t>PA</t>
  </si>
  <si>
    <t>Sum of BD</t>
  </si>
  <si>
    <t>Count of BD</t>
  </si>
  <si>
    <t>MTTR WTG</t>
  </si>
  <si>
    <t>MTBF WTG</t>
  </si>
  <si>
    <t>WS (M/S)</t>
  </si>
  <si>
    <t>Line loss (%)</t>
  </si>
  <si>
    <t>Corelation (%)</t>
  </si>
  <si>
    <t>Reactive Power</t>
  </si>
  <si>
    <t>Fault Analysis</t>
  </si>
  <si>
    <t>Put hour Here</t>
  </si>
  <si>
    <t>Default hour for full Data</t>
  </si>
  <si>
    <t>Row Labels</t>
  </si>
  <si>
    <t>Sum of Breakdown Time</t>
  </si>
  <si>
    <t>Count of Error Text</t>
  </si>
  <si>
    <t>MTTR</t>
  </si>
  <si>
    <t>MTBF</t>
  </si>
  <si>
    <t>Gearbox oil overtemperature</t>
  </si>
  <si>
    <t>Line CCU collective faults</t>
  </si>
  <si>
    <t xml:space="preserve"> PLC fault 24V Supply</t>
  </si>
  <si>
    <t>Anemometer defec</t>
  </si>
  <si>
    <t>Line CCU fault current</t>
  </si>
  <si>
    <t>Pitch thyristor 3 fault</t>
  </si>
  <si>
    <t xml:space="preserve">Yaw tooth sensor 1 timeout </t>
  </si>
  <si>
    <t>Rotor speeds not plausible</t>
  </si>
  <si>
    <t>Communication fault wind measurement device</t>
  </si>
  <si>
    <t>No communication Cu</t>
  </si>
  <si>
    <t>Pitch thyristor 1 fault</t>
  </si>
  <si>
    <t>Brake not released secondary brake</t>
  </si>
  <si>
    <t>CCU fault at abnormal grid condition</t>
  </si>
  <si>
    <t>Grid voltage drop CU</t>
  </si>
  <si>
    <t>Pitch thyristor 2 fault</t>
  </si>
  <si>
    <t>Communication fault pitch controller Axis 2</t>
  </si>
  <si>
    <t>Gearbox oil level too low</t>
  </si>
  <si>
    <t>Line CCU fault voltage</t>
  </si>
  <si>
    <t>Timeout yaw counter</t>
  </si>
  <si>
    <t xml:space="preserve">Yaw tooth sensor 2 timeout </t>
  </si>
  <si>
    <t>axis 3 fault pitch controlle</t>
  </si>
  <si>
    <t xml:space="preserve">Yaw Brake Voltage 230Volt not OK </t>
  </si>
  <si>
    <t>Temp. sensor error (shut down)</t>
  </si>
  <si>
    <t xml:space="preserve">System re-initialization after grid outage </t>
  </si>
  <si>
    <t>DTA DIN03 control breaker status</t>
  </si>
  <si>
    <t>Battery voltage not OK axis 1</t>
  </si>
  <si>
    <t>axis 2 fault pitch controller</t>
  </si>
  <si>
    <t>Pitch control deviation Axis 3</t>
  </si>
  <si>
    <t>Yaw Mapping</t>
  </si>
  <si>
    <t>Communication fault Pitch controller</t>
  </si>
  <si>
    <t>Internal Line VCB tripped in over current</t>
  </si>
  <si>
    <t>axis 1 fault pitch controller</t>
  </si>
  <si>
    <t>TopBox DIN21 motor protection aux contact string</t>
  </si>
  <si>
    <t>Ratio generator-/rotor speed</t>
  </si>
  <si>
    <t>Line fault voltage</t>
  </si>
  <si>
    <t>Feedback error circuit breaker</t>
  </si>
  <si>
    <t>Shaft bearing overtemperature</t>
  </si>
  <si>
    <t>No speed reduction with secondary braking</t>
  </si>
  <si>
    <t>Brake does not close</t>
  </si>
  <si>
    <t>Pitch control deviation axis 1</t>
  </si>
  <si>
    <t>Limit switch 90deg-rotorblade defective</t>
  </si>
  <si>
    <t>Safety chain</t>
  </si>
  <si>
    <t>Pitch malfunction 2 or 3 blades</t>
  </si>
  <si>
    <t>Yaw runaway</t>
  </si>
  <si>
    <t xml:space="preserve">Yaw sensor error </t>
  </si>
  <si>
    <t>Secondary braking time too high</t>
  </si>
  <si>
    <t>Secondary brake test</t>
  </si>
  <si>
    <t>Incorrect Error Code</t>
  </si>
  <si>
    <t>Grand Total</t>
  </si>
  <si>
    <t>Date</t>
  </si>
  <si>
    <t>Calendar Year</t>
  </si>
  <si>
    <t>Month Year</t>
  </si>
  <si>
    <t>Operating Hours</t>
  </si>
  <si>
    <t>GHI-UP (KWh/m2)</t>
  </si>
  <si>
    <t>GHI-Down(KWh/m2)</t>
  </si>
  <si>
    <t>POA-UP(KWh/m2)</t>
  </si>
  <si>
    <t>POA-Down(KWh/m2)</t>
  </si>
  <si>
    <t>Amb_Temp(°C)</t>
  </si>
  <si>
    <t>Mod_Temp(°C)</t>
  </si>
  <si>
    <t>WS_Avg(m/s)</t>
  </si>
  <si>
    <t>WS_Max(m/s)</t>
  </si>
  <si>
    <t>PA(%)</t>
  </si>
  <si>
    <t>MA (%)</t>
  </si>
  <si>
    <t>IGA (%)</t>
  </si>
  <si>
    <t>EGA(%)</t>
  </si>
  <si>
    <t>EMA (%)</t>
  </si>
  <si>
    <t>TA (%)</t>
  </si>
  <si>
    <t>PR(%)</t>
  </si>
  <si>
    <t>WPR(%)</t>
  </si>
  <si>
    <t>CUF(%)</t>
  </si>
  <si>
    <t>Gen_Exp (kWh)</t>
  </si>
  <si>
    <t>Mtr_Export (kWh)</t>
  </si>
  <si>
    <t>Mtr_Import (kWh)</t>
  </si>
  <si>
    <t>Mtr_Net_Exp (KWh)</t>
  </si>
  <si>
    <t>Operational Capacity (MW)</t>
  </si>
  <si>
    <t>Bugt_Resource</t>
  </si>
  <si>
    <t>Bugt_Energy</t>
  </si>
  <si>
    <t>Bugt PR</t>
  </si>
  <si>
    <t>Bugt CUF</t>
  </si>
  <si>
    <t>Bugt_PA</t>
  </si>
  <si>
    <t>Bugt_EGA</t>
  </si>
  <si>
    <t>Actual Energy WPR</t>
  </si>
  <si>
    <t>RA (%)</t>
  </si>
  <si>
    <t>Mod Clean Dry (Num)</t>
  </si>
  <si>
    <t>Mod Clean Wet (Num)</t>
  </si>
  <si>
    <t>Line Loss(%)</t>
  </si>
  <si>
    <t>Bugt Line loss (%) (Wind)</t>
  </si>
  <si>
    <t>Bugt Reactive Power (%) (Wind)</t>
  </si>
  <si>
    <t>Bugt Capacity</t>
  </si>
  <si>
    <t>CC*Bugt</t>
  </si>
  <si>
    <t>Energy Generated by individual Turbine</t>
  </si>
  <si>
    <t>Wind Speed (M/s)</t>
  </si>
  <si>
    <t>Meter Readings</t>
  </si>
  <si>
    <t>Calculated Energy Numbers</t>
  </si>
  <si>
    <t>Finacial Year</t>
  </si>
  <si>
    <t>Calendor Year</t>
  </si>
  <si>
    <t>WS_P-01</t>
  </si>
  <si>
    <t>WS_P-02</t>
  </si>
  <si>
    <t>WS_P-03</t>
  </si>
  <si>
    <t>WS_P-04</t>
  </si>
  <si>
    <t>WS_P-05</t>
  </si>
  <si>
    <t>WS_P-06</t>
  </si>
  <si>
    <t>WS_P-07</t>
  </si>
  <si>
    <t>WS_P-08</t>
  </si>
  <si>
    <t>WS_P-09</t>
  </si>
  <si>
    <t>WS_P-10</t>
  </si>
  <si>
    <t>WS_P-11</t>
  </si>
  <si>
    <t>WS_P-12</t>
  </si>
  <si>
    <t>WS_P-13</t>
  </si>
  <si>
    <t>WS_P-14</t>
  </si>
  <si>
    <t>WS_P-15</t>
  </si>
  <si>
    <t>WS_P-16</t>
  </si>
  <si>
    <t>WS_P-17</t>
  </si>
  <si>
    <t>WS_P-18</t>
  </si>
  <si>
    <t>WS_P-19</t>
  </si>
  <si>
    <t>WS_P-20</t>
  </si>
  <si>
    <t>WS_P-22</t>
  </si>
  <si>
    <t>WS_P-23</t>
  </si>
  <si>
    <t>WS_P-25</t>
  </si>
  <si>
    <t>WS_P-26</t>
  </si>
  <si>
    <t>WS_P-27</t>
  </si>
  <si>
    <t>WS_P-28</t>
  </si>
  <si>
    <t>WS_P-31</t>
  </si>
  <si>
    <t>WS_P-32</t>
  </si>
  <si>
    <t>WS_P-34</t>
  </si>
  <si>
    <t>WS_P-37</t>
  </si>
  <si>
    <t>WS_P-38</t>
  </si>
  <si>
    <t>WS_P-40</t>
  </si>
  <si>
    <t>WS_P-41</t>
  </si>
  <si>
    <t>WS_P-42</t>
  </si>
  <si>
    <t>WS_P-43</t>
  </si>
  <si>
    <t>WS_P-45</t>
  </si>
  <si>
    <t>WS_P-46</t>
  </si>
  <si>
    <t>WS_P-47</t>
  </si>
  <si>
    <t>WS_P-48</t>
  </si>
  <si>
    <t>WS_P-50</t>
  </si>
  <si>
    <t>WS_P-51</t>
  </si>
  <si>
    <t>WS_P-52</t>
  </si>
  <si>
    <t>WS_P-55</t>
  </si>
  <si>
    <t>WS_P-56</t>
  </si>
  <si>
    <t>WTG Total Gneration (MWh)</t>
  </si>
  <si>
    <t>Wind Speed Average cumulative (m/S)2</t>
  </si>
  <si>
    <t>Wind Speed Max (m/S)</t>
  </si>
  <si>
    <t>Rain (mm)</t>
  </si>
  <si>
    <t>33 kV_Wind_F1_Export reading</t>
  </si>
  <si>
    <t>33 kV_Wind_F1_Import reading</t>
  </si>
  <si>
    <t>33 kV_Wind_F2_Export_reading</t>
  </si>
  <si>
    <t>33 kV_Wind_F2_Import_reading</t>
  </si>
  <si>
    <t>33 kV_Wind_F3_Export_Reading</t>
  </si>
  <si>
    <t>33 kV_Wind_F3_Import_Reading</t>
  </si>
  <si>
    <t>33 kV_Wind_F4_Export Reading</t>
  </si>
  <si>
    <t>33 kV_Wind_F4_Import Reading</t>
  </si>
  <si>
    <t>33 kV_F1_Total_Export (MWh)</t>
  </si>
  <si>
    <t>33 kV_Wind_F1_Import (MWh)</t>
  </si>
  <si>
    <t>33 kV_F2_Total_Export (MWh)2</t>
  </si>
  <si>
    <t>33 kV_Wind_F2_Import (MWh)</t>
  </si>
  <si>
    <t>33 kV_Wind_F3_Export (MWh)</t>
  </si>
  <si>
    <t>33 kV_Wind_F3_Import (MWh)2</t>
  </si>
  <si>
    <t>33 kV_Wind_F4_Export (MWh)</t>
  </si>
  <si>
    <t>33 kV_Wind_F4_Import (MWh)2</t>
  </si>
  <si>
    <t>33 kV_Wind_Total_Export (MWh)</t>
  </si>
  <si>
    <t>33 kV_Wind_Total_Import (MWh)</t>
  </si>
  <si>
    <t>33 kV Line Loss (%)</t>
  </si>
  <si>
    <t>EbMA(%)</t>
  </si>
  <si>
    <t>Forecasting Data count received on Forecasting Portal</t>
  </si>
  <si>
    <t>Forecasting Penalties (INR)</t>
  </si>
  <si>
    <t>Expected Energy As Per Power Curve  (MWh)</t>
  </si>
  <si>
    <t>Reactive Energy (MVArH)</t>
  </si>
  <si>
    <t>Operational Capacity</t>
  </si>
  <si>
    <t>Month</t>
  </si>
  <si>
    <t>Operating Year</t>
  </si>
  <si>
    <t>Affected WTG</t>
  </si>
  <si>
    <t>SPV</t>
  </si>
  <si>
    <t>Plant Equivalent Weightage</t>
  </si>
  <si>
    <t>Error Code</t>
  </si>
  <si>
    <t>Error Text</t>
  </si>
  <si>
    <t>Breakdown Description</t>
  </si>
  <si>
    <t>Fault Start TimeStamp</t>
  </si>
  <si>
    <t>Work Start TimeStamp</t>
  </si>
  <si>
    <t>Fault Clearance time</t>
  </si>
  <si>
    <t>Response Time</t>
  </si>
  <si>
    <t>Resolution Time</t>
  </si>
  <si>
    <t>Breakdown Time</t>
  </si>
  <si>
    <t>Action taken</t>
  </si>
  <si>
    <t>Status</t>
  </si>
  <si>
    <t>Plant Equivalent breakdown</t>
  </si>
  <si>
    <t>Paired WTG for Enegy based MA</t>
  </si>
  <si>
    <t>Year_2</t>
  </si>
  <si>
    <t>CE100010</t>
  </si>
  <si>
    <t>12th Annual Maintenance Activity</t>
  </si>
  <si>
    <t>12th Annual Maintenance Activity completed</t>
  </si>
  <si>
    <t>Close</t>
  </si>
  <si>
    <t>WTG Scheduled Maintenance</t>
  </si>
  <si>
    <t>Secondary brake pads worn</t>
  </si>
  <si>
    <t xml:space="preserve">Hydraulic Brake Pad Replaced &amp; wtg restored </t>
  </si>
  <si>
    <t>WTG Breakdown Maintenance</t>
  </si>
  <si>
    <t>Year_3</t>
  </si>
  <si>
    <t>Radiator Motor Failure</t>
  </si>
  <si>
    <t>Rediator Motor replaced</t>
  </si>
  <si>
    <t>P-8</t>
  </si>
  <si>
    <t>Turbine Communication fault</t>
  </si>
  <si>
    <t>Hard Rebooted Turbine from down tower assembly</t>
  </si>
  <si>
    <t>DTA Maintenance</t>
  </si>
  <si>
    <t>DTA Maintenance activity completed</t>
  </si>
  <si>
    <t>Radiator motor replaced</t>
  </si>
  <si>
    <t>Rebooted the PLC &amp; reset at scada</t>
  </si>
  <si>
    <t>FT Sensor failure</t>
  </si>
  <si>
    <t>FT sensor replaced.</t>
  </si>
  <si>
    <t>12th Annual Maintenance Day 1 Activity completed</t>
  </si>
  <si>
    <t>Yaw limit switch activated</t>
  </si>
  <si>
    <t xml:space="preserve"> Cable Twist Release &amp; Turbine Restored</t>
  </si>
  <si>
    <t>Manual Stop</t>
  </si>
  <si>
    <t xml:space="preserve"> Gearbox Oil  &amp; Main Bering Grease Sample Collection work </t>
  </si>
  <si>
    <t>OIL &amp; Grease sample collection work completed</t>
  </si>
  <si>
    <t>12th Annual Maintenance Day 2 Activity completed</t>
  </si>
  <si>
    <t>P-3</t>
  </si>
  <si>
    <t>Battery Voltage Not OK</t>
  </si>
  <si>
    <t xml:space="preserve">Axis Box 5 Amp Fuse Replaced &amp; wtg restored </t>
  </si>
  <si>
    <t>IO Card 28V power supply failed</t>
  </si>
  <si>
    <t>WETB card failure</t>
  </si>
  <si>
    <t>Replaced WETB card.</t>
  </si>
  <si>
    <t>Shaft Bearing Over Tempreture</t>
  </si>
  <si>
    <t>Tempreture sensor cable connection tight proparly &amp; turbine restored</t>
  </si>
  <si>
    <t>Hydralic Brake pad &amp; Sensor replaced</t>
  </si>
  <si>
    <t>Grease cleaned from yaw sensor, Yaw teeth, Pinion.</t>
  </si>
  <si>
    <t>Line CCU Collective faults</t>
  </si>
  <si>
    <t>Replaced WEMA card.</t>
  </si>
  <si>
    <t>Hub door open</t>
  </si>
  <si>
    <t>hub door closing work complited</t>
  </si>
  <si>
    <t>Yaw tooth sensor 1 timeout</t>
  </si>
  <si>
    <t>Hydraulic brake test Accumulater pressure error</t>
  </si>
  <si>
    <t>Accumulater reaplaced &amp; turbine restored</t>
  </si>
  <si>
    <t>Generator carbon brush warn</t>
  </si>
  <si>
    <t>generator carbon brush limit switch connection tight properly</t>
  </si>
  <si>
    <t>CE100017</t>
  </si>
  <si>
    <t>UPS fault</t>
  </si>
  <si>
    <t xml:space="preserve">Replaced UPS Battery Bank </t>
  </si>
  <si>
    <t>Grease on sensor</t>
  </si>
  <si>
    <t>Yaw tooth sensor clean &amp; Cable twist release &amp; turbine restored</t>
  </si>
  <si>
    <t>Manual stop for Turbine Ispection</t>
  </si>
  <si>
    <t>Turbine Inspection Completed</t>
  </si>
  <si>
    <t>Pitch Converter failure</t>
  </si>
  <si>
    <t>Replaced Pitch converter</t>
  </si>
  <si>
    <t>Secondary rotor brake does not close</t>
  </si>
  <si>
    <t>A Q A Against PM Audit</t>
  </si>
  <si>
    <t>Audit work completed</t>
  </si>
  <si>
    <t>WTG Unscheduled Maintenance</t>
  </si>
  <si>
    <t>Pitch Motor Oil replacement work done</t>
  </si>
  <si>
    <t>CBM Anomolies</t>
  </si>
  <si>
    <t>CBM sensor interchange &amp; turbine restored</t>
  </si>
  <si>
    <t>Concumaer</t>
  </si>
  <si>
    <t>Wind_F1</t>
  </si>
  <si>
    <t>S/D for SS V.C.B VDR &amp; IR testing work</t>
  </si>
  <si>
    <t>Testing work completed</t>
  </si>
  <si>
    <t>Site Average</t>
  </si>
  <si>
    <t>EG Scheduled Maintenance</t>
  </si>
  <si>
    <t>Wind_F2</t>
  </si>
  <si>
    <t>Wind_F3</t>
  </si>
  <si>
    <t>Wind_F4</t>
  </si>
  <si>
    <t>S/D for Nerale S/S bus bar jump replacement  work</t>
  </si>
  <si>
    <t>Jump replacement work completed</t>
  </si>
  <si>
    <t>Group VCB-02 Yard YPM activity</t>
  </si>
  <si>
    <t>Group VCB-02 Yard YPM activity complated</t>
  </si>
  <si>
    <t>IG Scheduled Maintenance</t>
  </si>
  <si>
    <t>Internal grid shutdown for YPM activity</t>
  </si>
  <si>
    <t>Group VCB-02,CKT-02 Yard YPM activity work</t>
  </si>
  <si>
    <t>Internal grid shutdown for SEM activity</t>
  </si>
  <si>
    <t>CT &amp; PT Installation work</t>
  </si>
  <si>
    <t>IG Unscheduled Maintenance</t>
  </si>
  <si>
    <t>Internal grid shutdown for Relay Removing work</t>
  </si>
  <si>
    <t>Relay Removing work Complated</t>
  </si>
  <si>
    <t>Feeder tripped by E/F</t>
  </si>
  <si>
    <t>Test charged taken charged successfully</t>
  </si>
  <si>
    <t>IG Breakdown Maintenance</t>
  </si>
  <si>
    <t>VCB Tripped</t>
  </si>
  <si>
    <t>VCB reet &amp; Charge</t>
  </si>
  <si>
    <t>VCB reset &amp; Charge</t>
  </si>
  <si>
    <t xml:space="preserve">S/D for Group VCB -03 YPM Work </t>
  </si>
  <si>
    <t>Group VCB-3 YPM Work completed</t>
  </si>
  <si>
    <t>WTG-27 &amp; 28 Isolator shifting work</t>
  </si>
  <si>
    <t>WTG- 28 Isolator shifting work</t>
  </si>
  <si>
    <t>WTG- 20 Isolator shifting work</t>
  </si>
  <si>
    <t>WTG- 19 Isolator shifting work</t>
  </si>
  <si>
    <t xml:space="preserve">S/D for Group VCB -4 YPM Work </t>
  </si>
  <si>
    <t>Group VCB-4 YPM Work completed</t>
  </si>
  <si>
    <t>Internal grid shutdown for MSEB line cross work</t>
  </si>
  <si>
    <t>Work Completed</t>
  </si>
  <si>
    <t>WTG- 01 Isolator shifting work</t>
  </si>
  <si>
    <t>WTG- 01 line jump open work</t>
  </si>
  <si>
    <t>WTG- 01 line jump connecting work</t>
  </si>
  <si>
    <t>WTG- 31 line jump open work</t>
  </si>
  <si>
    <t>WTG- 31 Isolator shifting work</t>
  </si>
  <si>
    <t>WTG- 31 line jump Connect work</t>
  </si>
  <si>
    <t>WTG- 40 Isolator shifting work</t>
  </si>
  <si>
    <t>WTG- 41 Isolator shifting work</t>
  </si>
  <si>
    <t>WTG- 47 line jump Connect work</t>
  </si>
  <si>
    <t>WTG- 47 Isolator shifting work</t>
  </si>
  <si>
    <t>WTG- 48 line jump open work</t>
  </si>
  <si>
    <t>WTG- 48 Isolator shifting work</t>
  </si>
  <si>
    <t>Feeder tripped by O/C</t>
  </si>
  <si>
    <t>WTG- 51 &amp; 52 line jump open work</t>
  </si>
  <si>
    <t>WTG- 51 Isolator shifting work</t>
  </si>
  <si>
    <t>WTG- 52 Isolator shifting work</t>
  </si>
  <si>
    <t>WTG- 51 &amp; 52 line jump Connect work</t>
  </si>
  <si>
    <t>WTG- 32 Isolator shifting work</t>
  </si>
  <si>
    <t>WTG- 37 Isolator shifting work</t>
  </si>
  <si>
    <t>WTG- 32 &amp; 37 line jump open work</t>
  </si>
  <si>
    <t>WTG- 32 &amp; 37 line jump Connect work</t>
  </si>
  <si>
    <t>work in progress</t>
  </si>
  <si>
    <t>CT,PT cabling &amp; tray Installation work</t>
  </si>
  <si>
    <t>Location No.</t>
  </si>
  <si>
    <t>Location Type</t>
  </si>
  <si>
    <t>FY</t>
  </si>
  <si>
    <t>CY</t>
  </si>
  <si>
    <t>Cycle No.</t>
  </si>
  <si>
    <t>Frequency</t>
  </si>
  <si>
    <t>PM Title</t>
  </si>
  <si>
    <t>Day 1 Planned Maintenance Date</t>
  </si>
  <si>
    <t>Day 2 Planned Maintenance Date</t>
  </si>
  <si>
    <t>Day 1 Actual Maintenance Date</t>
  </si>
  <si>
    <t>Day 2 Actual Maintenance Date</t>
  </si>
  <si>
    <t>Delay Day 1</t>
  </si>
  <si>
    <t>Delay Day 2</t>
  </si>
  <si>
    <t>Remark</t>
  </si>
  <si>
    <t>PWEPL-50</t>
  </si>
  <si>
    <t>AM</t>
  </si>
  <si>
    <t>12th Annual Maintenance activity Completed</t>
  </si>
  <si>
    <t>PWEPL-51</t>
  </si>
  <si>
    <t>PWEPL-52</t>
  </si>
  <si>
    <t>PWEPL-31</t>
  </si>
  <si>
    <t>PWEPL-03</t>
  </si>
  <si>
    <t>PWEPL-02</t>
  </si>
  <si>
    <t>PWEPL-18</t>
  </si>
  <si>
    <t>PWEPL-01</t>
  </si>
  <si>
    <t>PWEPL-07</t>
  </si>
  <si>
    <t>PWEPL-56</t>
  </si>
  <si>
    <t>PWEPL-55</t>
  </si>
  <si>
    <t>PWEPL-45</t>
  </si>
  <si>
    <t>PWEPL-46</t>
  </si>
  <si>
    <t>PWEPL-47</t>
  </si>
  <si>
    <t>PWEPL-48</t>
  </si>
  <si>
    <t>PWEPL-42</t>
  </si>
  <si>
    <t>PWEPL-06</t>
  </si>
  <si>
    <t>PWEPL-41</t>
  </si>
  <si>
    <t>PWEPL-05</t>
  </si>
  <si>
    <t>PWEPL-40</t>
  </si>
  <si>
    <t>Total Reactive Power (kVArH)</t>
  </si>
  <si>
    <t>Programstart PLC</t>
  </si>
  <si>
    <t>Generator</t>
  </si>
  <si>
    <t>Consumer</t>
  </si>
  <si>
    <t>Capacity</t>
  </si>
  <si>
    <t>% Plant Equiva. Weightage</t>
  </si>
  <si>
    <t>Feeder Number</t>
  </si>
  <si>
    <t>USS YARD</t>
  </si>
  <si>
    <t>Total Capacity</t>
  </si>
  <si>
    <t>No Errors</t>
  </si>
  <si>
    <t>PWEPL</t>
  </si>
  <si>
    <t>MSEDCL</t>
  </si>
  <si>
    <t>OG1</t>
  </si>
  <si>
    <t>Open</t>
  </si>
  <si>
    <t>PM</t>
  </si>
  <si>
    <t>WTG</t>
  </si>
  <si>
    <t>IG</t>
  </si>
  <si>
    <t>EG</t>
  </si>
  <si>
    <t>BM</t>
  </si>
  <si>
    <t>EG Unscheduled Maintenance</t>
  </si>
  <si>
    <t>System OK</t>
  </si>
  <si>
    <t>EG Breakdown Maintenance</t>
  </si>
  <si>
    <t>Storm shutdown</t>
  </si>
  <si>
    <t>Overvoltage</t>
  </si>
  <si>
    <t xml:space="preserve">WTG Environmental </t>
  </si>
  <si>
    <t>IG Force Major</t>
  </si>
  <si>
    <t>EG Force Major</t>
  </si>
  <si>
    <t>Undervoltage</t>
  </si>
  <si>
    <t>WTG Force Majeure</t>
  </si>
  <si>
    <t>Underfrequency</t>
  </si>
  <si>
    <t>Overfrequency</t>
  </si>
  <si>
    <t>Phase angle error</t>
  </si>
  <si>
    <t>Asymmetric generator current</t>
  </si>
  <si>
    <t>Generator overspeed</t>
  </si>
  <si>
    <t>Rotor overspeed</t>
  </si>
  <si>
    <t>RotorSpeedMonitor</t>
  </si>
  <si>
    <t>Maximum motor power</t>
  </si>
  <si>
    <t>Cable twisting right</t>
  </si>
  <si>
    <t>Cable twisting left</t>
  </si>
  <si>
    <t>Yaw drive stop position</t>
  </si>
  <si>
    <t>PowerExceedPeakValue</t>
  </si>
  <si>
    <t>Primary braking time too high</t>
  </si>
  <si>
    <t>No red. of speed when braking with primarybrake</t>
  </si>
  <si>
    <t>Emergency stop tower base</t>
  </si>
  <si>
    <t>Speed with braked turbine</t>
  </si>
  <si>
    <t>Vibrations sensor Defect</t>
  </si>
  <si>
    <t>Wrong yaw direction of rotation</t>
  </si>
  <si>
    <t>Hydraulic pump time too high</t>
  </si>
  <si>
    <t>Hydraulic pump time too low</t>
  </si>
  <si>
    <t>Service switch hydraulic top cabinet</t>
  </si>
  <si>
    <t>Hydraulic oil level too low</t>
  </si>
  <si>
    <t>Gearbox oil ressure too lo</t>
  </si>
  <si>
    <t>Wind vane defect</t>
  </si>
  <si>
    <t>Rotor impulse sensor defect</t>
  </si>
  <si>
    <t>Generator impulse sensor defect</t>
  </si>
  <si>
    <t>Demand to stop by an external device</t>
  </si>
  <si>
    <t>Vibration switch</t>
  </si>
  <si>
    <t>Main switch released</t>
  </si>
  <si>
    <t>Dirty gearing oil filter</t>
  </si>
  <si>
    <t>Gear oil temperature switching contact</t>
  </si>
  <si>
    <t>Generator bearing A overtemperature</t>
  </si>
  <si>
    <t>Generator bearing B overtemperature</t>
  </si>
  <si>
    <t>Outside temperature too low</t>
  </si>
  <si>
    <t>Yaw motor overtemperature</t>
  </si>
  <si>
    <t>Gearbox oil temperature too low</t>
  </si>
  <si>
    <t>Braking pad of secondary brake worn out</t>
  </si>
  <si>
    <t>Restart time delay</t>
  </si>
  <si>
    <t>Multiple overtemperature switch off</t>
  </si>
  <si>
    <t>Gearbox oil filter dirty (warning)</t>
  </si>
  <si>
    <t>Gearbox running hot in low stage</t>
  </si>
  <si>
    <t>Generator cooling air overtemperature</t>
  </si>
  <si>
    <t>Gearbox bearing overtemperature</t>
  </si>
  <si>
    <t>Generator overtemperature 1</t>
  </si>
  <si>
    <t>Generator overtemperature 2</t>
  </si>
  <si>
    <t>Rotor CCU fault voltage</t>
  </si>
  <si>
    <t>Rotor CCU fault current</t>
  </si>
  <si>
    <t>Rotor CCU fault temperature</t>
  </si>
  <si>
    <t>Rotor locking</t>
  </si>
  <si>
    <t>Speed in the tower resonance range</t>
  </si>
  <si>
    <t>Feedback signal from CCU</t>
  </si>
  <si>
    <t>Line CCU fault temperature</t>
  </si>
  <si>
    <t>Line fault frequency</t>
  </si>
  <si>
    <t>Emergency stop nacelle / hub</t>
  </si>
  <si>
    <t>Collective fault pitch controller</t>
  </si>
  <si>
    <t>Pitch Overrun 0deg</t>
  </si>
  <si>
    <t>Pitch Overrun 90deg</t>
  </si>
  <si>
    <t>Generator power switch</t>
  </si>
  <si>
    <t>Generator speed not plausible</t>
  </si>
  <si>
    <t>Braking time rotor blade 1 too high</t>
  </si>
  <si>
    <t>Braking time rotor blade 2 too high</t>
  </si>
  <si>
    <t>Braking time rotor blade 3 too high</t>
  </si>
  <si>
    <t>Battery charging rotor blade drive</t>
  </si>
  <si>
    <t>Battery charging voltage not OK</t>
  </si>
  <si>
    <t>Battery test</t>
  </si>
  <si>
    <t>Limit switch 0deg-rotorblade angle unclear</t>
  </si>
  <si>
    <t>Temperature warning pitch motor</t>
  </si>
  <si>
    <t>Overtemperature pitch motor</t>
  </si>
  <si>
    <t>Motor protection pitch motor</t>
  </si>
  <si>
    <t>Rotor CCU collective faults</t>
  </si>
  <si>
    <t>Pulse sensor rotor monitor defect</t>
  </si>
  <si>
    <t>Blade angle asymmetry</t>
  </si>
  <si>
    <t>Turbine stopped due to calm</t>
  </si>
  <si>
    <t>Load shutdown</t>
  </si>
  <si>
    <t>Generator fan service switch</t>
  </si>
  <si>
    <t>Obstruction light fault / failure</t>
  </si>
  <si>
    <t>Generator brushes worn</t>
  </si>
  <si>
    <t>Maintenance</t>
  </si>
  <si>
    <t>Repair</t>
  </si>
  <si>
    <t>Overvoltage protection triggered</t>
  </si>
  <si>
    <t>Torque deviation</t>
  </si>
  <si>
    <t>Maintenance switch pitch</t>
  </si>
  <si>
    <t>Service switch pitch</t>
  </si>
  <si>
    <t>Normal operation</t>
  </si>
  <si>
    <t>Voltage limiting activated</t>
  </si>
  <si>
    <t>yaw emergency stop</t>
  </si>
  <si>
    <t>Waiting for gearbox oil pressure</t>
  </si>
  <si>
    <t>Increasing speed with falling blade angle</t>
  </si>
  <si>
    <t>Service key brake release</t>
  </si>
  <si>
    <t>Low-noise operation</t>
  </si>
  <si>
    <t>Overtemperature transformer warning</t>
  </si>
  <si>
    <t>Overtemperature transformer disturbance</t>
  </si>
  <si>
    <t>Drive train vibration</t>
  </si>
  <si>
    <t>Tower vibration</t>
  </si>
  <si>
    <t>Fault battery charge switching shut down</t>
  </si>
  <si>
    <t>Successful battery test is needed</t>
  </si>
  <si>
    <t>Wind deviation</t>
  </si>
  <si>
    <t>Spinning position</t>
  </si>
  <si>
    <t>Start-up</t>
  </si>
  <si>
    <t>Load operation</t>
  </si>
  <si>
    <t>Shut down</t>
  </si>
  <si>
    <t>Manual operation pitch</t>
  </si>
  <si>
    <t>Manual operation speed</t>
  </si>
  <si>
    <t>Manual operation torque</t>
  </si>
  <si>
    <t>Manual operation line separation</t>
  </si>
  <si>
    <t>Manual operation yaw</t>
  </si>
  <si>
    <t>Container / nacelle temp.fault (not for CWE turbines)</t>
  </si>
  <si>
    <t>Manual operation generator fan</t>
  </si>
  <si>
    <t>aviation light system common alarm</t>
  </si>
  <si>
    <t>By-pass filter soiling</t>
  </si>
  <si>
    <t>Gearbox pressure loss by-pass filter</t>
  </si>
  <si>
    <t>Fault temperature measurement</t>
  </si>
  <si>
    <t>Overtemperature cabinet</t>
  </si>
  <si>
    <t>Ground fault LVMD</t>
  </si>
  <si>
    <t>Battery voltage not OK axis 2</t>
  </si>
  <si>
    <t>Battery voltage not OK axis 3</t>
  </si>
  <si>
    <t>Direction dependent shut-down</t>
  </si>
  <si>
    <t>Too Frequent cut-ins</t>
  </si>
  <si>
    <t>External stop caused by curtailment</t>
  </si>
  <si>
    <t>External power limitation</t>
  </si>
  <si>
    <t>Blade angle not plausible axis 1</t>
  </si>
  <si>
    <t>Power circuit breaker CCU released</t>
  </si>
  <si>
    <t>Generator overtemperature 3</t>
  </si>
  <si>
    <t>Temp. sensor error (warning)</t>
  </si>
  <si>
    <t>Temp. not plausible</t>
  </si>
  <si>
    <t>Manual Hydraulic / Brake</t>
  </si>
  <si>
    <t>Reboot PLC</t>
  </si>
  <si>
    <t>Malfunction particle counter</t>
  </si>
  <si>
    <t>Shadow related shut down</t>
  </si>
  <si>
    <t>Too long manual / Service operation</t>
  </si>
  <si>
    <t>Power limitation due to high temperature</t>
  </si>
  <si>
    <t>Shut-down low voltage</t>
  </si>
  <si>
    <t>Low voltage ride through</t>
  </si>
  <si>
    <t>Prepressure error, active brake</t>
  </si>
  <si>
    <t>Prepressure warning, active brake</t>
  </si>
  <si>
    <t>Test prepressure active brake</t>
  </si>
  <si>
    <t>Crow bar triggered CCU</t>
  </si>
  <si>
    <t>Power limitation CCU</t>
  </si>
  <si>
    <t>Response signal interrupt battery driven pitching</t>
  </si>
  <si>
    <t>Test measuring system</t>
  </si>
  <si>
    <t>Idling in speed control</t>
  </si>
  <si>
    <t>Undertemperature Cabinet</t>
  </si>
  <si>
    <t>Warning adv controls sensors</t>
  </si>
  <si>
    <t>Heat up state</t>
  </si>
  <si>
    <t>Turbine heat up error</t>
  </si>
  <si>
    <t>Brake pad worn, warning</t>
  </si>
  <si>
    <t>Manual operation yaw hydraulic</t>
  </si>
  <si>
    <t>Idling command at WTG</t>
  </si>
  <si>
    <t>Fault reset</t>
  </si>
  <si>
    <t>Cabinet overtemperature warning</t>
  </si>
  <si>
    <t>Power limitation freq. dependent</t>
  </si>
  <si>
    <t>Undertemperature slipring</t>
  </si>
  <si>
    <t>Service Switch Rotorlock</t>
  </si>
  <si>
    <t>Activation rotor lock</t>
  </si>
  <si>
    <t>Block restart due to grid frequency</t>
  </si>
  <si>
    <t>Circuit breaker maintenance necessary</t>
  </si>
  <si>
    <t>Generator overspeed 2</t>
  </si>
  <si>
    <t>Rotor overspeed 2</t>
  </si>
  <si>
    <t>Line CCU temperature warning</t>
  </si>
  <si>
    <t>Rotor CCU temperature warning</t>
  </si>
  <si>
    <t>Pitch control deviation Axis 2</t>
  </si>
  <si>
    <t>Blade Angle not plausible Axis 2</t>
  </si>
  <si>
    <t>Blade Angle not plausible Axis 3</t>
  </si>
  <si>
    <t>Battery drive after grid fault</t>
  </si>
  <si>
    <t>Service stop</t>
  </si>
  <si>
    <t>Service stop with fault</t>
  </si>
  <si>
    <t>Malfunction wind measurement device</t>
  </si>
  <si>
    <t>Power limitation fault adv.Controls sensor</t>
  </si>
  <si>
    <t>Internal Pitch Mode</t>
  </si>
  <si>
    <t>Internal Pitch Mode Implausible</t>
  </si>
  <si>
    <t>Power limitation adv Power limitation adv control hub offsets</t>
  </si>
  <si>
    <t>Calibrating ALC gains</t>
  </si>
  <si>
    <t>Mapping ALC hub offsets</t>
  </si>
  <si>
    <t>Service switch pitch unplausible</t>
  </si>
  <si>
    <t>Aero balance worsening</t>
  </si>
  <si>
    <t>MSF bending out of threshold</t>
  </si>
  <si>
    <t>Pitch limitation low power avoidance</t>
  </si>
  <si>
    <t>Communication to the frequency converter is not active</t>
  </si>
  <si>
    <t>Communication fault pitch controller Axis 1</t>
  </si>
  <si>
    <t>Communication fault pitch controller Axis 3</t>
  </si>
  <si>
    <t>Yaw Map pending</t>
  </si>
  <si>
    <t>Yaw Mapping Error</t>
  </si>
  <si>
    <t>New Added</t>
  </si>
  <si>
    <t>VCB_OC</t>
  </si>
  <si>
    <t>Y_Sens_Err</t>
  </si>
  <si>
    <t>CE100001</t>
  </si>
  <si>
    <t>CE100002</t>
  </si>
  <si>
    <t>Major BD - Blade</t>
  </si>
  <si>
    <t>CE100003</t>
  </si>
  <si>
    <t>Major BD - Transformer</t>
  </si>
  <si>
    <t>CE100004</t>
  </si>
  <si>
    <t>Major BD - Generator</t>
  </si>
  <si>
    <t>CE100005</t>
  </si>
  <si>
    <t>Major BD - Gearbox</t>
  </si>
  <si>
    <t>CE100006</t>
  </si>
  <si>
    <t>Major BD - Main Bearing</t>
  </si>
  <si>
    <t>CE100007</t>
  </si>
  <si>
    <t>Transmission Line Related work</t>
  </si>
  <si>
    <t>CE100008</t>
  </si>
  <si>
    <t>General Work Stoppage</t>
  </si>
  <si>
    <t>CE100009</t>
  </si>
  <si>
    <t>Major BD - Power Cable</t>
  </si>
  <si>
    <t>CE100011</t>
  </si>
  <si>
    <t>Major BD - DFIG</t>
  </si>
  <si>
    <t>CE100012</t>
  </si>
  <si>
    <t>Major BD - Foundation</t>
  </si>
  <si>
    <t>CE100013</t>
  </si>
  <si>
    <t>Theft</t>
  </si>
  <si>
    <t>Manual Stop - Preventive Maintenance Activity</t>
  </si>
  <si>
    <t>CE100014</t>
  </si>
  <si>
    <t>Manual Stop - Audit</t>
  </si>
  <si>
    <t>CE100015</t>
  </si>
  <si>
    <t>Manual Stop - Safety Related</t>
  </si>
  <si>
    <t>CE100016</t>
  </si>
  <si>
    <t>Manual Stop - Blade Cleaning</t>
  </si>
  <si>
    <t>UPS breakdown</t>
  </si>
  <si>
    <t>Month Name</t>
  </si>
  <si>
    <t>Month Number</t>
  </si>
  <si>
    <t>No. of Days in Month</t>
  </si>
  <si>
    <t>GHI</t>
  </si>
  <si>
    <t>POA</t>
  </si>
  <si>
    <t>WS</t>
  </si>
  <si>
    <t>Tamb</t>
  </si>
  <si>
    <t>Tmod</t>
  </si>
  <si>
    <t>Egrid (MWh)</t>
  </si>
  <si>
    <t>Bugt_Capacity</t>
  </si>
  <si>
    <t>PR</t>
  </si>
  <si>
    <t>Daily POA</t>
  </si>
  <si>
    <t>Days Operated</t>
  </si>
  <si>
    <t>MTD POA</t>
  </si>
  <si>
    <t>YTD POA</t>
  </si>
  <si>
    <t>Daily Energy (MWh)</t>
  </si>
  <si>
    <t>MTD Energy (MWh)</t>
  </si>
  <si>
    <t>YTD Energy (MWh)</t>
  </si>
  <si>
    <t>Bugt CUF (%)</t>
  </si>
  <si>
    <t>Bugt CUF (%) MTD</t>
  </si>
  <si>
    <t>Bugt CUF (%)YTD</t>
  </si>
  <si>
    <t>Ave. Cap MTD</t>
  </si>
  <si>
    <t>Ave. Cap YTD</t>
  </si>
  <si>
    <t>CC Energy MTD</t>
  </si>
  <si>
    <t>WS MTD</t>
  </si>
  <si>
    <t>WS YTD</t>
  </si>
  <si>
    <t>Bugt PA</t>
  </si>
  <si>
    <t>Bugt EGA</t>
  </si>
  <si>
    <t>Bugt TA</t>
  </si>
  <si>
    <t>Bugt MA</t>
  </si>
  <si>
    <t>Bugt IGA</t>
  </si>
  <si>
    <t>Corelation</t>
  </si>
  <si>
    <t>Bugt Line loss</t>
  </si>
  <si>
    <t>Bugt Reactive Power</t>
  </si>
  <si>
    <t>April</t>
  </si>
  <si>
    <t>FY23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</si>
  <si>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</si>
  <si>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</si>
  <si>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</si>
  <si>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</si>
  <si>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</si>
  <si>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</si>
  <si>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</si>
  <si>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</si>
  <si>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</si>
  <si>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</si>
  <si>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</si>
  <si>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FY24</t>
  </si>
  <si>
    <t>FY25</t>
  </si>
  <si>
    <t>FY26</t>
  </si>
  <si>
    <t>Pitch Drive Oil replacement work</t>
  </si>
  <si>
    <t>Q1 braker reset</t>
  </si>
  <si>
    <t>hub door closing work completed</t>
  </si>
  <si>
    <t>Foundation Pressure Grouting work</t>
  </si>
  <si>
    <t>Manual stop for Foundation Pressure Grouting work</t>
  </si>
  <si>
    <t>Coolent Top up &amp; turbine restored</t>
  </si>
  <si>
    <t>Foundation Pressure Grouting work completed,waiting for curing</t>
  </si>
  <si>
    <t>Undervoltage fault</t>
  </si>
  <si>
    <t>Yaw tooth sensor 2 timeout</t>
  </si>
  <si>
    <t>Foundation Pressure Grouting work completed</t>
  </si>
  <si>
    <t>Yaw tooth sensor clean &amp; turbine restored</t>
  </si>
  <si>
    <t>Converter rotor current fault</t>
  </si>
  <si>
    <t>Replaced WEOR card</t>
  </si>
  <si>
    <t>Yaw tooth sensor clean &amp; Gap set &amp; turbine restored</t>
  </si>
  <si>
    <t>PWEPL-46 R Phase LA failure</t>
  </si>
  <si>
    <t>LA replaced</t>
  </si>
  <si>
    <t>S/D for Nerale S/S 33kv Side Maintenance &amp; Externel line Maintenance work</t>
  </si>
  <si>
    <t>Side Maintenance &amp; Externel line Maintenance work done</t>
  </si>
  <si>
    <t xml:space="preserve">Circuit braker tripped so reset breaker </t>
  </si>
  <si>
    <t>CP-49 B-Phase Pin insulator failure</t>
  </si>
  <si>
    <t>CP-50 R-Phase Pin insulator failure</t>
  </si>
  <si>
    <t>PP-43 R-Phase Pin insulator failure</t>
  </si>
  <si>
    <t>PP-56 Y-Phase Pin insulator failure</t>
  </si>
  <si>
    <t>Pin Insulator replaced</t>
  </si>
  <si>
    <t>S/D for External line tree trimming work</t>
  </si>
  <si>
    <t>Tree trimming work done</t>
  </si>
  <si>
    <t>S/D for FDR 3 &amp; 4 TP-02 R,Y,B Phase Jump &amp; Pam connector replacement work</t>
  </si>
  <si>
    <t>Jump &amp; Pam connector replacement work done</t>
  </si>
  <si>
    <t>S/D for CRP Panel B Phase O/C Relay replacement work</t>
  </si>
  <si>
    <t>Relay replacement work done</t>
  </si>
  <si>
    <t>S/D for CRP Panel Y &amp; B Phase O/C Relay replacement work</t>
  </si>
  <si>
    <t>S/D for CRP Panel Y &amp; B Phase O/C Relay &amp; Ammeter replacement work</t>
  </si>
  <si>
    <t>Secondary Brake Pad worn</t>
  </si>
  <si>
    <t>Brake Pad replaced</t>
  </si>
  <si>
    <t>Slipring replacement work</t>
  </si>
  <si>
    <t xml:space="preserve">Slipring replacement work completed </t>
  </si>
  <si>
    <t>PWEPL-48 B phase LA failure</t>
  </si>
  <si>
    <t>S/D for CRP Panel Y Phase O/C Relay replacement work</t>
  </si>
  <si>
    <t>S/D for CRP Panel R &amp; Y Phase O/C Relay replacement work</t>
  </si>
  <si>
    <t xml:space="preserve">LA replaced </t>
  </si>
  <si>
    <t>S/D for CRP Panel R &amp; B Phase O/C Relay replacement work</t>
  </si>
  <si>
    <t>S/D for CRP Panel R Phase O/C Relay replacement work</t>
  </si>
  <si>
    <t>QHSE Turbine Audit</t>
  </si>
  <si>
    <t xml:space="preserve">tower vibration sensor failure </t>
  </si>
  <si>
    <t>QHSE turbine audit completed</t>
  </si>
  <si>
    <t>External line cp 186 R phase pin insulator replaced &amp; charge</t>
  </si>
  <si>
    <t>PWEPL-09</t>
  </si>
  <si>
    <t>PWEPL-10</t>
  </si>
  <si>
    <t>PWEPL-11</t>
  </si>
  <si>
    <t>PWEPL-12</t>
  </si>
  <si>
    <t>PWEPL-13</t>
  </si>
  <si>
    <t>PWEPL-14</t>
  </si>
  <si>
    <t>PWEPL-15</t>
  </si>
  <si>
    <t>PWEPL-16</t>
  </si>
  <si>
    <t>PWEPL-17</t>
  </si>
  <si>
    <t>PWEPL-19</t>
  </si>
  <si>
    <t>PWEPL-20</t>
  </si>
  <si>
    <t>PWEPL-38</t>
  </si>
  <si>
    <t>PWEPL-28</t>
  </si>
  <si>
    <t>PWEPL-27</t>
  </si>
  <si>
    <t>PWEPL-26</t>
  </si>
  <si>
    <t>PWEPL-25</t>
  </si>
  <si>
    <t>PWEPL-08</t>
  </si>
  <si>
    <t>PWEPL-43</t>
  </si>
  <si>
    <t>PWEPL-22</t>
  </si>
  <si>
    <t>PWEPL-23</t>
  </si>
  <si>
    <t>PWEPL-04</t>
  </si>
  <si>
    <t>PWEPL-34</t>
  </si>
  <si>
    <t>PWEPL-32</t>
  </si>
  <si>
    <t>PWEPL-37</t>
  </si>
  <si>
    <t>SAM</t>
  </si>
  <si>
    <t>12th Semi Annual Maintenance activity Completed</t>
  </si>
  <si>
    <t>11th Annual Maintenance activity Completed</t>
  </si>
  <si>
    <t>11th Semi Annual Maintenance activity Completed</t>
  </si>
  <si>
    <t>Top box motor protection alarm</t>
  </si>
  <si>
    <t>Anemometer failure</t>
  </si>
  <si>
    <t>PWEPL-61 SEM B Phase PT failed</t>
  </si>
  <si>
    <t>Anemometer signal communucating cable replaced</t>
  </si>
  <si>
    <t>CKT-2 ,PP-43 B phase pin insulator replaced</t>
  </si>
  <si>
    <t>Thermobypass valve replaced &amp; gearbox inspection done.</t>
  </si>
  <si>
    <t>Gearbox inspection</t>
  </si>
  <si>
    <t>Pitch Encoder clean properly &amp; turbine restored</t>
  </si>
  <si>
    <t>Pitch controller communication fault</t>
  </si>
  <si>
    <t>Gearbox oil pressure too low</t>
  </si>
  <si>
    <t>Replaced AEPC card &amp; Top Box to Slipring Lane cable &amp; turbine restored</t>
  </si>
  <si>
    <t>Yaw puck Pistons replacement</t>
  </si>
  <si>
    <t>S/D for SEM B Phase CT replacement work</t>
  </si>
  <si>
    <t>PT replacement work done</t>
  </si>
  <si>
    <t>CT replacement work done</t>
  </si>
  <si>
    <t>S/D for SEM Y Phase PT replacement work</t>
  </si>
  <si>
    <t>Fault Category</t>
  </si>
  <si>
    <t>S/D for SEM Y Phase CT replacement work</t>
  </si>
  <si>
    <t>WET B card failure</t>
  </si>
  <si>
    <t>Replaced WET B card</t>
  </si>
  <si>
    <t>Yaw Puck Pistons 6 nos replaced</t>
  </si>
  <si>
    <t>Yaw Puck Pistons 3 nos  replaced</t>
  </si>
  <si>
    <t>Axis 3 Pitch Battery replaced</t>
  </si>
  <si>
    <t>S/D for SEM R Phase PT replacement work</t>
  </si>
  <si>
    <t>Yaw Puck Pistons 12 nos replaced</t>
  </si>
  <si>
    <t>Replaced Pitch Encoder &amp; Carbon Brushes</t>
  </si>
  <si>
    <t>Audit pending point closing work</t>
  </si>
  <si>
    <t>Manual stop for Customer Audit pending point closing work</t>
  </si>
  <si>
    <t>Pitch Encoder replaced</t>
  </si>
  <si>
    <t>S/D for Nerale S/S 33kv side Maintenance &amp; testing work</t>
  </si>
  <si>
    <t>Side Maintenance &amp; Testing work completed</t>
  </si>
  <si>
    <t>Replaced WET B card &amp; Hydraulic oil top &amp; turbine restored</t>
  </si>
  <si>
    <t>Q13 MCB &amp; Pitch centre box MCB tripped we reset MCB</t>
  </si>
  <si>
    <t>AEPA card failure</t>
  </si>
  <si>
    <t>Replaced AEPA card</t>
  </si>
  <si>
    <t>Yaw Puck Pistons 5 nos replaced</t>
  </si>
  <si>
    <t>WET A card failure</t>
  </si>
  <si>
    <t>Replaced WET A card</t>
  </si>
  <si>
    <t>Yaw Puck Pistons 7 nos replaced</t>
  </si>
  <si>
    <t>Pitch Motor failure</t>
  </si>
  <si>
    <t xml:space="preserve">Replaced Pitch motor </t>
  </si>
  <si>
    <t>DTA/MCC fuse or motor protection alarm</t>
  </si>
  <si>
    <t>Q13 MCB tripped we reset MCB &amp; turbine restored</t>
  </si>
  <si>
    <t>WEMA card failure</t>
  </si>
  <si>
    <t>Replaced WEMA card</t>
  </si>
  <si>
    <t>hydrolic unit valve replace &amp; turbine restored</t>
  </si>
  <si>
    <t>After complete line petrolling &amp; CKT will restored</t>
  </si>
  <si>
    <t>S/D taken for 55 Y phase isolator jaw replacement work</t>
  </si>
  <si>
    <t>Jaw replacement work</t>
  </si>
  <si>
    <t>Secondary Hydraulic brake not released</t>
  </si>
  <si>
    <t>Replaced Hydraulic unit pressure volve &amp; WET C card</t>
  </si>
  <si>
    <t>Pitch Encoder clean &amp; turbine restored</t>
  </si>
  <si>
    <t>Generator over speed</t>
  </si>
  <si>
    <t>Replaced Generator speed proximity sensor</t>
  </si>
  <si>
    <t>Turbine Inspection work done &amp; turbine restored</t>
  </si>
  <si>
    <t>Replaced Hydraulic unit &amp; turbine restored</t>
  </si>
  <si>
    <t>Stoppage Type</t>
  </si>
  <si>
    <t>Paired WTG Generation for loss calculation</t>
  </si>
  <si>
    <t>Estimated Energy Loss (kWh)</t>
  </si>
  <si>
    <t>Special Remarks</t>
  </si>
  <si>
    <t>PTW No.</t>
  </si>
  <si>
    <t>Job Card No.</t>
  </si>
  <si>
    <t>Major Breakdown</t>
  </si>
  <si>
    <t>Breakdown</t>
  </si>
  <si>
    <t>ROW</t>
  </si>
  <si>
    <t xml:space="preserve">Affected Feeder </t>
  </si>
  <si>
    <t>Scope</t>
  </si>
  <si>
    <t>Breakdown Type</t>
  </si>
  <si>
    <t>Curtailment Order imit.</t>
  </si>
  <si>
    <t>EGA_Including_CurtailmentOrder</t>
  </si>
  <si>
    <t>Loss of KWH</t>
  </si>
  <si>
    <t>Y Phase Protection PT bypass work</t>
  </si>
  <si>
    <t>PT bypass work done</t>
  </si>
  <si>
    <t>S/D for Line Stringing work</t>
  </si>
  <si>
    <t>Line Stringing work done</t>
  </si>
  <si>
    <t>Replaced K21 contactor coil &amp; Auxilary &amp; turbine restored</t>
  </si>
  <si>
    <t>Replaced Hydraulic unit pressure volve &amp; WET A card</t>
  </si>
  <si>
    <t>Q1 MCB tripped we reset MCB &amp; turbine restored</t>
  </si>
  <si>
    <t>Manual stop for Foundation Inspection work</t>
  </si>
  <si>
    <t>Rotor side CCU collective faults</t>
  </si>
  <si>
    <t>Gearbox oil over temperature</t>
  </si>
  <si>
    <t xml:space="preserve">Replaced Radiater motor </t>
  </si>
  <si>
    <t>Wind measurment serieal communication fault</t>
  </si>
  <si>
    <t>Replaced WET A card fuse &amp; turbine restored</t>
  </si>
  <si>
    <t>Battery voltage not OK Axis 2</t>
  </si>
  <si>
    <t>Battery charger fuse replaced &amp; turbine restored</t>
  </si>
  <si>
    <t>WETB card &amp; Power supply replaced</t>
  </si>
  <si>
    <t>Manual stop for Tower vibration test</t>
  </si>
  <si>
    <t>Replaced Hydraulic unit pressure volve</t>
  </si>
  <si>
    <t>Manual stop for Gearbox temperature warning</t>
  </si>
  <si>
    <t>Replaced Thermo bypass volve</t>
  </si>
  <si>
    <t>Manual stop for Power curve issue</t>
  </si>
  <si>
    <t>Uploaded CCU &amp; WTG parameter &amp; turbine restored</t>
  </si>
  <si>
    <t>Work in progress</t>
  </si>
  <si>
    <t>Replace 500 Amp fuse &amp; turbine started</t>
  </si>
  <si>
    <t>open</t>
  </si>
  <si>
    <t>Pitch Encoder &amp; AEPA  replaced</t>
  </si>
  <si>
    <t>OPEN</t>
  </si>
  <si>
    <t>WORK IN PROGRESS</t>
  </si>
  <si>
    <t>connection tighght properly &amp; turbine restored</t>
  </si>
  <si>
    <t>replce yaw tooth sensor &amp; turbine restored</t>
  </si>
  <si>
    <t>Q19 MCB tripped we reset MCB &amp; turbine restored</t>
  </si>
  <si>
    <t>Replace Pitch motor bearing &amp; turbine started</t>
  </si>
  <si>
    <t>PWEPL-04 R phase LA failure</t>
  </si>
  <si>
    <t>IO card 28V power supply failed</t>
  </si>
  <si>
    <t>Hub door closing work completed</t>
  </si>
  <si>
    <t>PDC box MCB tripped we reset MCB &amp; turbine restored</t>
  </si>
  <si>
    <t>we check all circuit no deviation observe so Anemometer replaced</t>
  </si>
  <si>
    <t>Pitch slipring to centre box mainson cable ground so use spare cable &amp; WETA card replaced &amp; turbine restored</t>
  </si>
  <si>
    <t>Replaced Radiater motor &amp; contactor</t>
  </si>
  <si>
    <t>Manual stop for Turbine Inspection</t>
  </si>
  <si>
    <t>Turbine Inspection done</t>
  </si>
  <si>
    <t>Pitch thyristor 1,2,3 fault</t>
  </si>
  <si>
    <t>Replaced Anemometer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</si>
</sst>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 * #,##0.00_ ;_ * \-#,##0.00_ ;_ * &quot;-&quot;??_ ;_ @_ "/>
    <numFmt numFmtId="164" formatCode="0.0"/>
    <numFmt numFmtId="165" formatCode="[$-409]d/mmm/yy;@"/>
    <numFmt numFmtId="166" formatCode="[$-409]mmm/yy;@"/>
    <numFmt numFmtId="167" formatCode="[$-409]d\-mmm\-yy;@"/>
    <numFmt numFmtId="168" formatCode="_ * #,##0_ ;_ * \-#,##0_ ;_ * &quot;-&quot;??_ ;_ @_ "/>
    <numFmt numFmtId="169" formatCode="0.0%"/>
    <numFmt numFmtId="170" formatCode="h:mm;@"/>
    <numFmt numFmtId="171" formatCode="0.000%"/>
    <numFmt numFmtId="172" formatCode="[$-10409]0;\(0\)"/>
    <numFmt numFmtId="173" formatCode="[h]:mm"/>
  </numFmts>
  <fonts count="54">
    <font>
      <sz val="11"/>
      <color theme="1"/>
      <name val="Calibri"/>
      <family val="2"/>
      <scheme val="minor"/>
    </font>
    <font>
      <sz val="11"/>
      <color theme="1"/>
      <name val="Helvetica Neue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charset val="134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mbria"/>
      <family val="1"/>
    </font>
    <font>
      <u/>
      <sz val="11"/>
      <color theme="1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Hadassah Friedlaender"/>
      <family val="1"/>
      <charset val="177"/>
    </font>
    <font>
      <b/>
      <sz val="10"/>
      <color theme="0"/>
      <name val="Hadassah Friedlaender"/>
      <family val="1"/>
      <charset val="177"/>
    </font>
    <font>
      <sz val="10"/>
      <name val="Arial"/>
      <family val="2"/>
    </font>
    <font>
      <sz val="10"/>
      <name val="Hadassah Friedlaender"/>
      <family val="1"/>
      <charset val="177"/>
    </font>
    <font>
      <sz val="10"/>
      <color theme="1"/>
      <name val="Hadassah Friedlaender"/>
      <family val="1"/>
      <charset val="177"/>
    </font>
    <font>
      <b/>
      <sz val="10"/>
      <name val="Hadassah Friedlaender"/>
      <family val="1"/>
      <charset val="177"/>
    </font>
    <font>
      <sz val="10"/>
      <color rgb="FF000000"/>
      <name val="Cambria"/>
      <family val="1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0"/>
      <name val="Palatino Linotype"/>
      <family val="1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mbria"/>
      <family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mbria"/>
      <family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mbria"/>
      <family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mbria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scheme val="minor"/>
    </font>
    <font>
      <sz val="11"/>
      <color theme="1"/>
      <name val="Cambria"/>
    </font>
    <font>
      <sz val="11"/>
      <color theme="1"/>
      <name val="Calibri"/>
      <scheme val="minor"/>
    </font>
    <font>
      <sz val="11"/>
      <color theme="1"/>
      <name val="Calibri"/>
    </font>
  </fonts>
  <fills count="2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0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58">
    <border>
      <left/>
      <right/>
      <top/>
      <bottom/>
      <diagonal/>
    </border>
    <border>
      <left style="dotted">
        <color theme="2" tint="-9.9917600024414813E-2"/>
      </left>
      <right style="dotted">
        <color theme="2" tint="-9.9917600024414813E-2"/>
      </right>
      <top style="dotted">
        <color theme="2" tint="-9.9917600024414813E-2"/>
      </top>
      <bottom style="dotted">
        <color theme="2" tint="-9.9917600024414813E-2"/>
      </bottom>
      <diagonal/>
    </border>
    <border>
      <left/>
      <right style="dotted">
        <color theme="2" tint="-9.9917600024414813E-2"/>
      </right>
      <top/>
      <bottom style="dotted">
        <color theme="2" tint="-9.9917600024414813E-2"/>
      </bottom>
      <diagonal/>
    </border>
    <border>
      <left style="dotted">
        <color theme="2" tint="-9.9917600024414813E-2"/>
      </left>
      <right style="dotted">
        <color theme="2" tint="-9.9917600024414813E-2"/>
      </right>
      <top/>
      <bottom style="dotted">
        <color theme="2" tint="-9.9917600024414813E-2"/>
      </bottom>
      <diagonal/>
    </border>
    <border>
      <left style="dotted">
        <color theme="2" tint="-9.9917600024414813E-2"/>
      </left>
      <right/>
      <top/>
      <bottom style="dotted">
        <color theme="2" tint="-9.9917600024414813E-2"/>
      </bottom>
      <diagonal/>
    </border>
    <border>
      <left/>
      <right style="dotted">
        <color theme="2" tint="-9.9917600024414813E-2"/>
      </right>
      <top style="dotted">
        <color theme="2" tint="-9.9917600024414813E-2"/>
      </top>
      <bottom style="dotted">
        <color theme="2" tint="-9.9917600024414813E-2"/>
      </bottom>
      <diagonal/>
    </border>
    <border>
      <left style="dotted">
        <color theme="2" tint="-9.9917600024414813E-2"/>
      </left>
      <right/>
      <top style="dotted">
        <color theme="2" tint="-9.9917600024414813E-2"/>
      </top>
      <bottom style="dotted">
        <color theme="2" tint="-9.9917600024414813E-2"/>
      </bottom>
      <diagonal/>
    </border>
    <border>
      <left style="dotted">
        <color theme="2" tint="-9.9917600024414813E-2"/>
      </left>
      <right style="dotted">
        <color theme="2" tint="-9.9917600024414813E-2"/>
      </right>
      <top style="dotted">
        <color theme="2" tint="-9.9917600024414813E-2"/>
      </top>
      <bottom/>
      <diagonal/>
    </border>
    <border>
      <left style="dotted">
        <color theme="2" tint="-9.9948118533890809E-2"/>
      </left>
      <right style="dotted">
        <color theme="2" tint="-9.9948118533890809E-2"/>
      </right>
      <top style="dotted">
        <color theme="2" tint="-9.9948118533890809E-2"/>
      </top>
      <bottom style="dotted">
        <color theme="2" tint="-9.9948118533890809E-2"/>
      </bottom>
      <diagonal/>
    </border>
    <border>
      <left style="dotted">
        <color theme="2" tint="-9.9948118533890809E-2"/>
      </left>
      <right style="dotted">
        <color theme="2" tint="-9.9948118533890809E-2"/>
      </right>
      <top/>
      <bottom style="dotted">
        <color theme="2" tint="-9.9948118533890809E-2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theme="5"/>
      </top>
      <bottom style="hair">
        <color theme="5"/>
      </bottom>
      <diagonal/>
    </border>
    <border>
      <left/>
      <right/>
      <top style="hair">
        <color theme="5"/>
      </top>
      <bottom style="hair">
        <color theme="5"/>
      </bottom>
      <diagonal/>
    </border>
    <border>
      <left/>
      <right style="medium">
        <color indexed="64"/>
      </right>
      <top style="hair">
        <color theme="5"/>
      </top>
      <bottom style="hair">
        <color theme="5"/>
      </bottom>
      <diagonal/>
    </border>
    <border>
      <left style="medium">
        <color indexed="64"/>
      </left>
      <right style="double">
        <color theme="5" tint="0.59996337778862885"/>
      </right>
      <top/>
      <bottom style="medium">
        <color indexed="64"/>
      </bottom>
      <diagonal/>
    </border>
    <border>
      <left style="double">
        <color theme="5" tint="0.59996337778862885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theme="5" tint="0.59996337778862885"/>
      </left>
      <right style="double">
        <color theme="5" tint="0.59996337778862885"/>
      </right>
      <top/>
      <bottom/>
      <diagonal/>
    </border>
    <border>
      <left style="medium">
        <color indexed="64"/>
      </left>
      <right style="hair">
        <color theme="5"/>
      </right>
      <top style="medium">
        <color indexed="64"/>
      </top>
      <bottom style="medium">
        <color indexed="64"/>
      </bottom>
      <diagonal/>
    </border>
    <border>
      <left style="hair">
        <color theme="5"/>
      </left>
      <right style="hair">
        <color theme="5"/>
      </right>
      <top style="medium">
        <color indexed="64"/>
      </top>
      <bottom style="medium">
        <color indexed="64"/>
      </bottom>
      <diagonal/>
    </border>
    <border>
      <left style="hair">
        <color theme="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5"/>
      </right>
      <top style="medium">
        <color indexed="64"/>
      </top>
      <bottom style="hair">
        <color theme="5"/>
      </bottom>
      <diagonal/>
    </border>
    <border>
      <left style="hair">
        <color theme="5"/>
      </left>
      <right style="hair">
        <color theme="5"/>
      </right>
      <top style="medium">
        <color indexed="64"/>
      </top>
      <bottom style="hair">
        <color theme="5"/>
      </bottom>
      <diagonal/>
    </border>
    <border>
      <left style="hair">
        <color theme="5"/>
      </left>
      <right style="medium">
        <color indexed="64"/>
      </right>
      <top style="medium">
        <color indexed="64"/>
      </top>
      <bottom style="hair">
        <color theme="5"/>
      </bottom>
      <diagonal/>
    </border>
    <border>
      <left style="medium">
        <color indexed="64"/>
      </left>
      <right style="hair">
        <color theme="5"/>
      </right>
      <top style="hair">
        <color theme="5"/>
      </top>
      <bottom style="hair">
        <color theme="5"/>
      </bottom>
      <diagonal/>
    </border>
    <border>
      <left style="hair">
        <color theme="5"/>
      </left>
      <right style="hair">
        <color theme="5"/>
      </right>
      <top style="hair">
        <color theme="5"/>
      </top>
      <bottom style="hair">
        <color theme="5"/>
      </bottom>
      <diagonal/>
    </border>
    <border>
      <left style="hair">
        <color theme="5"/>
      </left>
      <right style="medium">
        <color indexed="64"/>
      </right>
      <top style="hair">
        <color theme="5"/>
      </top>
      <bottom style="hair">
        <color theme="5"/>
      </bottom>
      <diagonal/>
    </border>
    <border>
      <left style="medium">
        <color indexed="64"/>
      </left>
      <right style="hair">
        <color theme="5"/>
      </right>
      <top style="hair">
        <color theme="5"/>
      </top>
      <bottom style="medium">
        <color indexed="64"/>
      </bottom>
      <diagonal/>
    </border>
    <border>
      <left style="hair">
        <color theme="5"/>
      </left>
      <right style="hair">
        <color theme="5"/>
      </right>
      <top style="hair">
        <color theme="5"/>
      </top>
      <bottom style="medium">
        <color indexed="64"/>
      </bottom>
      <diagonal/>
    </border>
    <border>
      <left style="hair">
        <color theme="5"/>
      </left>
      <right style="medium">
        <color indexed="64"/>
      </right>
      <top style="hair">
        <color theme="5"/>
      </top>
      <bottom style="medium">
        <color indexed="64"/>
      </bottom>
      <diagonal/>
    </border>
    <border>
      <left style="medium">
        <color indexed="64"/>
      </left>
      <right style="hair">
        <color theme="5"/>
      </right>
      <top style="medium">
        <color indexed="64"/>
      </top>
      <bottom/>
      <diagonal/>
    </border>
    <border>
      <left style="medium">
        <color indexed="64"/>
      </left>
      <right style="hair">
        <color theme="5"/>
      </right>
      <top/>
      <bottom/>
      <diagonal/>
    </border>
    <border>
      <left style="medium">
        <color indexed="64"/>
      </left>
      <right style="hair">
        <color theme="5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tted">
        <color theme="2" tint="-9.9948118533890809E-2"/>
      </left>
      <right style="dotted">
        <color theme="2" tint="-9.9948118533890809E-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theme="2" tint="-9.9917600024414813E-2"/>
      </left>
      <right/>
      <top style="dotted">
        <color theme="2" tint="-9.9917600024414813E-2"/>
      </top>
      <bottom/>
      <diagonal/>
    </border>
    <border>
      <left style="hair">
        <color theme="5"/>
      </left>
      <right/>
      <top style="hair">
        <color theme="5"/>
      </top>
      <bottom style="hair">
        <color theme="5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1570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5" fillId="0" borderId="0" applyFont="0" applyFill="0" applyBorder="0" applyAlignment="0" applyProtection="0"/>
    <xf numFmtId="0" fontId="7" fillId="0" borderId="0">
      <alignment vertical="center"/>
    </xf>
    <xf numFmtId="0" fontId="11" fillId="0" borderId="0" applyNumberFormat="0" applyFill="0" applyBorder="0" applyAlignment="0" applyProtection="0"/>
    <xf numFmtId="0" fontId="2" fillId="0" borderId="0"/>
    <xf numFmtId="0" fontId="15" fillId="0" borderId="0"/>
    <xf numFmtId="9" fontId="7" fillId="0" borderId="0" applyFont="0" applyFill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7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7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/>
    <xf numFmtId="0" fontId="0" fillId="4" borderId="0" xfId="0" applyFill="1" applyAlignment="1">
      <alignment horizontal="centerContinuous"/>
    </xf>
    <xf numFmtId="0" fontId="6" fillId="8" borderId="0" xfId="0" applyFont="1" applyFill="1" applyAlignment="1">
      <alignment horizontal="centerContinuous"/>
    </xf>
    <xf numFmtId="165" fontId="4" fillId="3" borderId="2" xfId="3" applyNumberFormat="1" applyFont="1" applyFill="1" applyBorder="1" applyAlignment="1">
      <alignment horizontal="center" vertical="center" wrapText="1"/>
    </xf>
    <xf numFmtId="0" fontId="4" fillId="3" borderId="3" xfId="3" applyFont="1" applyFill="1" applyBorder="1" applyAlignment="1">
      <alignment horizontal="center" vertical="center" wrapText="1"/>
    </xf>
    <xf numFmtId="10" fontId="4" fillId="3" borderId="3" xfId="4" applyNumberFormat="1" applyFont="1" applyFill="1" applyBorder="1" applyAlignment="1">
      <alignment horizontal="center" vertical="center" wrapText="1"/>
    </xf>
    <xf numFmtId="10" fontId="4" fillId="3" borderId="4" xfId="4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/>
    </xf>
    <xf numFmtId="166" fontId="6" fillId="7" borderId="1" xfId="0" applyNumberFormat="1" applyFont="1" applyFill="1" applyBorder="1" applyAlignment="1">
      <alignment horizontal="center"/>
    </xf>
    <xf numFmtId="1" fontId="6" fillId="0" borderId="1" xfId="4" applyNumberFormat="1" applyFont="1" applyFill="1" applyBorder="1" applyAlignment="1">
      <alignment horizontal="center"/>
    </xf>
    <xf numFmtId="168" fontId="6" fillId="7" borderId="1" xfId="1" applyNumberFormat="1" applyFont="1" applyFill="1" applyBorder="1" applyAlignment="1">
      <alignment horizontal="center"/>
    </xf>
    <xf numFmtId="1" fontId="6" fillId="0" borderId="7" xfId="4" applyNumberFormat="1" applyFont="1" applyFill="1" applyBorder="1" applyAlignment="1">
      <alignment horizontal="center"/>
    </xf>
    <xf numFmtId="0" fontId="11" fillId="0" borderId="0" xfId="6"/>
    <xf numFmtId="10" fontId="0" fillId="0" borderId="0" xfId="2" applyNumberFormat="1" applyFont="1" applyAlignment="1">
      <alignment horizontal="center"/>
    </xf>
    <xf numFmtId="0" fontId="4" fillId="3" borderId="9" xfId="3" applyFont="1" applyFill="1" applyBorder="1" applyAlignment="1">
      <alignment horizontal="center" vertical="center" wrapText="1"/>
    </xf>
    <xf numFmtId="2" fontId="10" fillId="7" borderId="8" xfId="0" applyNumberFormat="1" applyFont="1" applyFill="1" applyBorder="1" applyAlignment="1">
      <alignment horizontal="center"/>
    </xf>
    <xf numFmtId="2" fontId="0" fillId="7" borderId="8" xfId="0" applyNumberFormat="1" applyFill="1" applyBorder="1" applyAlignment="1">
      <alignment horizontal="center"/>
    </xf>
    <xf numFmtId="0" fontId="0" fillId="9" borderId="0" xfId="0" applyFill="1" applyAlignment="1">
      <alignment vertical="center"/>
    </xf>
    <xf numFmtId="15" fontId="0" fillId="10" borderId="0" xfId="0" applyNumberFormat="1" applyFill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10" fontId="0" fillId="0" borderId="0" xfId="2" applyNumberFormat="1" applyFont="1"/>
    <xf numFmtId="0" fontId="2" fillId="0" borderId="0" xfId="7" applyAlignment="1">
      <alignment horizontal="center"/>
    </xf>
    <xf numFmtId="0" fontId="2" fillId="0" borderId="0" xfId="7"/>
    <xf numFmtId="0" fontId="2" fillId="0" borderId="0" xfId="7" applyAlignment="1">
      <alignment horizontal="right"/>
    </xf>
    <xf numFmtId="0" fontId="14" fillId="15" borderId="15" xfId="0" applyFont="1" applyFill="1" applyBorder="1"/>
    <xf numFmtId="166" fontId="16" fillId="5" borderId="16" xfId="8" applyNumberFormat="1" applyFont="1" applyFill="1" applyBorder="1" applyAlignment="1">
      <alignment horizontal="left" vertical="center"/>
    </xf>
    <xf numFmtId="166" fontId="16" fillId="5" borderId="16" xfId="8" applyNumberFormat="1" applyFont="1" applyFill="1" applyBorder="1" applyAlignment="1">
      <alignment vertical="center"/>
    </xf>
    <xf numFmtId="166" fontId="16" fillId="5" borderId="17" xfId="8" applyNumberFormat="1" applyFont="1" applyFill="1" applyBorder="1" applyAlignment="1">
      <alignment vertical="center"/>
    </xf>
    <xf numFmtId="165" fontId="16" fillId="5" borderId="16" xfId="8" applyNumberFormat="1" applyFont="1" applyFill="1" applyBorder="1" applyAlignment="1">
      <alignment horizontal="left" vertical="center"/>
    </xf>
    <xf numFmtId="0" fontId="9" fillId="0" borderId="0" xfId="8" applyFont="1" applyAlignment="1">
      <alignment horizontal="center" vertical="center"/>
    </xf>
    <xf numFmtId="0" fontId="2" fillId="0" borderId="0" xfId="7" applyAlignment="1">
      <alignment vertical="center"/>
    </xf>
    <xf numFmtId="0" fontId="14" fillId="15" borderId="18" xfId="0" applyFont="1" applyFill="1" applyBorder="1"/>
    <xf numFmtId="165" fontId="16" fillId="5" borderId="19" xfId="8" applyNumberFormat="1" applyFont="1" applyFill="1" applyBorder="1" applyAlignment="1">
      <alignment horizontal="left" vertical="center"/>
    </xf>
    <xf numFmtId="166" fontId="16" fillId="5" borderId="20" xfId="8" applyNumberFormat="1" applyFont="1" applyFill="1" applyBorder="1" applyAlignment="1">
      <alignment vertical="center"/>
    </xf>
    <xf numFmtId="166" fontId="16" fillId="5" borderId="21" xfId="8" applyNumberFormat="1" applyFont="1" applyFill="1" applyBorder="1" applyAlignment="1">
      <alignment vertical="center"/>
    </xf>
    <xf numFmtId="0" fontId="17" fillId="5" borderId="22" xfId="0" applyFont="1" applyFill="1" applyBorder="1"/>
    <xf numFmtId="165" fontId="18" fillId="5" borderId="22" xfId="8" applyNumberFormat="1" applyFont="1" applyFill="1" applyBorder="1" applyAlignment="1">
      <alignment horizontal="left" vertical="center"/>
    </xf>
    <xf numFmtId="0" fontId="14" fillId="15" borderId="23" xfId="0" applyFont="1" applyFill="1" applyBorder="1" applyAlignment="1">
      <alignment horizontal="center" vertical="center" wrapText="1"/>
    </xf>
    <xf numFmtId="0" fontId="14" fillId="15" borderId="24" xfId="0" applyFont="1" applyFill="1" applyBorder="1" applyAlignment="1">
      <alignment horizontal="center" vertical="center" wrapText="1"/>
    </xf>
    <xf numFmtId="0" fontId="14" fillId="15" borderId="25" xfId="0" applyFont="1" applyFill="1" applyBorder="1" applyAlignment="1">
      <alignment horizontal="center" vertical="center" wrapText="1"/>
    </xf>
    <xf numFmtId="0" fontId="17" fillId="5" borderId="27" xfId="0" applyFont="1" applyFill="1" applyBorder="1"/>
    <xf numFmtId="1" fontId="16" fillId="5" borderId="27" xfId="2" applyNumberFormat="1" applyFont="1" applyFill="1" applyBorder="1" applyAlignment="1">
      <alignment horizontal="center" vertical="center"/>
    </xf>
    <xf numFmtId="10" fontId="17" fillId="5" borderId="27" xfId="9" applyNumberFormat="1" applyFont="1" applyFill="1" applyBorder="1" applyAlignment="1">
      <alignment horizontal="center"/>
    </xf>
    <xf numFmtId="0" fontId="17" fillId="5" borderId="30" xfId="0" applyFont="1" applyFill="1" applyBorder="1"/>
    <xf numFmtId="1" fontId="16" fillId="5" borderId="30" xfId="2" applyNumberFormat="1" applyFont="1" applyFill="1" applyBorder="1" applyAlignment="1">
      <alignment horizontal="center" vertical="center"/>
    </xf>
    <xf numFmtId="1" fontId="17" fillId="5" borderId="30" xfId="2" applyNumberFormat="1" applyFont="1" applyFill="1" applyBorder="1" applyAlignment="1">
      <alignment horizontal="center"/>
    </xf>
    <xf numFmtId="10" fontId="17" fillId="5" borderId="30" xfId="9" applyNumberFormat="1" applyFont="1" applyFill="1" applyBorder="1" applyAlignment="1">
      <alignment horizontal="center"/>
    </xf>
    <xf numFmtId="0" fontId="17" fillId="5" borderId="33" xfId="0" applyFont="1" applyFill="1" applyBorder="1"/>
    <xf numFmtId="1" fontId="16" fillId="5" borderId="33" xfId="2" applyNumberFormat="1" applyFont="1" applyFill="1" applyBorder="1" applyAlignment="1">
      <alignment horizontal="center" vertical="center"/>
    </xf>
    <xf numFmtId="1" fontId="17" fillId="5" borderId="33" xfId="2" applyNumberFormat="1" applyFont="1" applyFill="1" applyBorder="1" applyAlignment="1">
      <alignment horizontal="center"/>
    </xf>
    <xf numFmtId="10" fontId="17" fillId="5" borderId="33" xfId="9" applyNumberFormat="1" applyFont="1" applyFill="1" applyBorder="1" applyAlignment="1">
      <alignment horizontal="center"/>
    </xf>
    <xf numFmtId="164" fontId="16" fillId="5" borderId="27" xfId="2" applyNumberFormat="1" applyFont="1" applyFill="1" applyBorder="1" applyAlignment="1">
      <alignment horizontal="center" vertical="center"/>
    </xf>
    <xf numFmtId="164" fontId="17" fillId="5" borderId="27" xfId="2" applyNumberFormat="1" applyFont="1" applyFill="1" applyBorder="1" applyAlignment="1">
      <alignment horizontal="center"/>
    </xf>
    <xf numFmtId="164" fontId="16" fillId="5" borderId="30" xfId="2" applyNumberFormat="1" applyFont="1" applyFill="1" applyBorder="1" applyAlignment="1">
      <alignment horizontal="center" vertical="center"/>
    </xf>
    <xf numFmtId="164" fontId="16" fillId="5" borderId="33" xfId="2" applyNumberFormat="1" applyFont="1" applyFill="1" applyBorder="1" applyAlignment="1">
      <alignment horizontal="center" vertical="center"/>
    </xf>
    <xf numFmtId="164" fontId="17" fillId="5" borderId="33" xfId="2" applyNumberFormat="1" applyFont="1" applyFill="1" applyBorder="1" applyAlignment="1">
      <alignment horizontal="center"/>
    </xf>
    <xf numFmtId="169" fontId="16" fillId="5" borderId="27" xfId="2" applyNumberFormat="1" applyFont="1" applyFill="1" applyBorder="1" applyAlignment="1">
      <alignment horizontal="center" vertical="center"/>
    </xf>
    <xf numFmtId="169" fontId="17" fillId="5" borderId="27" xfId="2" applyNumberFormat="1" applyFont="1" applyFill="1" applyBorder="1" applyAlignment="1">
      <alignment horizontal="center"/>
    </xf>
    <xf numFmtId="169" fontId="16" fillId="5" borderId="30" xfId="2" applyNumberFormat="1" applyFont="1" applyFill="1" applyBorder="1" applyAlignment="1">
      <alignment horizontal="center" vertical="center"/>
    </xf>
    <xf numFmtId="169" fontId="17" fillId="5" borderId="30" xfId="2" applyNumberFormat="1" applyFont="1" applyFill="1" applyBorder="1" applyAlignment="1">
      <alignment horizontal="center"/>
    </xf>
    <xf numFmtId="169" fontId="16" fillId="5" borderId="33" xfId="2" applyNumberFormat="1" applyFont="1" applyFill="1" applyBorder="1" applyAlignment="1">
      <alignment horizontal="center" vertical="center"/>
    </xf>
    <xf numFmtId="169" fontId="17" fillId="5" borderId="33" xfId="2" applyNumberFormat="1" applyFont="1" applyFill="1" applyBorder="1" applyAlignment="1">
      <alignment horizontal="center"/>
    </xf>
    <xf numFmtId="10" fontId="6" fillId="0" borderId="1" xfId="1" applyNumberFormat="1" applyFont="1" applyFill="1" applyBorder="1" applyAlignment="1">
      <alignment horizontal="center"/>
    </xf>
    <xf numFmtId="10" fontId="6" fillId="0" borderId="7" xfId="1" applyNumberFormat="1" applyFont="1" applyFill="1" applyBorder="1" applyAlignment="1">
      <alignment horizontal="center"/>
    </xf>
    <xf numFmtId="10" fontId="4" fillId="3" borderId="3" xfId="0" applyNumberFormat="1" applyFont="1" applyFill="1" applyBorder="1" applyAlignment="1">
      <alignment horizontal="center" vertical="center" wrapText="1"/>
    </xf>
    <xf numFmtId="0" fontId="19" fillId="0" borderId="38" xfId="0" applyFont="1" applyBorder="1" applyAlignment="1">
      <alignment vertical="center"/>
    </xf>
    <xf numFmtId="43" fontId="6" fillId="0" borderId="1" xfId="1" applyFont="1" applyFill="1" applyBorder="1" applyAlignment="1">
      <alignment horizontal="center"/>
    </xf>
    <xf numFmtId="43" fontId="6" fillId="7" borderId="1" xfId="1" applyFont="1" applyFill="1" applyBorder="1" applyAlignment="1">
      <alignment horizontal="center"/>
    </xf>
    <xf numFmtId="43" fontId="0" fillId="0" borderId="0" xfId="1" applyFont="1"/>
    <xf numFmtId="43" fontId="4" fillId="3" borderId="3" xfId="1" applyFont="1" applyFill="1" applyBorder="1" applyAlignment="1">
      <alignment horizontal="center" vertical="center" wrapText="1"/>
    </xf>
    <xf numFmtId="43" fontId="0" fillId="6" borderId="0" xfId="1" applyFont="1" applyFill="1" applyAlignment="1">
      <alignment horizontal="centerContinuous"/>
    </xf>
    <xf numFmtId="43" fontId="0" fillId="0" borderId="0" xfId="0" applyNumberFormat="1"/>
    <xf numFmtId="0" fontId="0" fillId="5" borderId="8" xfId="0" applyFill="1" applyBorder="1"/>
    <xf numFmtId="0" fontId="7" fillId="5" borderId="8" xfId="5" applyFill="1" applyBorder="1" applyAlignment="1">
      <alignment horizontal="left"/>
    </xf>
    <xf numFmtId="0" fontId="6" fillId="5" borderId="8" xfId="0" applyFont="1" applyFill="1" applyBorder="1"/>
    <xf numFmtId="0" fontId="0" fillId="0" borderId="0" xfId="0" applyAlignment="1">
      <alignment horizontal="center" vertical="center"/>
    </xf>
    <xf numFmtId="43" fontId="6" fillId="0" borderId="7" xfId="1" applyFont="1" applyFill="1" applyBorder="1" applyAlignment="1">
      <alignment horizontal="center"/>
    </xf>
    <xf numFmtId="168" fontId="6" fillId="7" borderId="7" xfId="1" applyNumberFormat="1" applyFont="1" applyFill="1" applyBorder="1" applyAlignment="1">
      <alignment horizontal="center"/>
    </xf>
    <xf numFmtId="0" fontId="19" fillId="0" borderId="0" xfId="0" applyFont="1" applyAlignment="1">
      <alignment horizontal="left" vertical="center"/>
    </xf>
    <xf numFmtId="0" fontId="0" fillId="9" borderId="41" xfId="0" applyFill="1" applyBorder="1" applyAlignment="1">
      <alignment vertical="center"/>
    </xf>
    <xf numFmtId="15" fontId="0" fillId="10" borderId="41" xfId="0" applyNumberFormat="1" applyFill="1" applyBorder="1" applyAlignment="1">
      <alignment horizontal="center" vertical="center"/>
    </xf>
    <xf numFmtId="10" fontId="0" fillId="0" borderId="0" xfId="0" applyNumberFormat="1"/>
    <xf numFmtId="2" fontId="0" fillId="0" borderId="0" xfId="0" applyNumberFormat="1"/>
    <xf numFmtId="2" fontId="0" fillId="16" borderId="0" xfId="0" applyNumberFormat="1" applyFill="1"/>
    <xf numFmtId="0" fontId="1" fillId="0" borderId="0" xfId="26"/>
    <xf numFmtId="0" fontId="1" fillId="0" borderId="0" xfId="26" applyAlignment="1">
      <alignment horizontal="center" vertical="center"/>
    </xf>
    <xf numFmtId="0" fontId="1" fillId="0" borderId="0" xfId="26" applyAlignment="1">
      <alignment horizontal="center" vertical="center" wrapText="1"/>
    </xf>
    <xf numFmtId="2" fontId="0" fillId="7" borderId="8" xfId="0" applyNumberFormat="1" applyFill="1" applyBorder="1" applyAlignment="1">
      <alignment horizontal="center" vertical="center"/>
    </xf>
    <xf numFmtId="167" fontId="24" fillId="0" borderId="5" xfId="5" applyNumberFormat="1" applyFont="1" applyBorder="1" applyAlignment="1">
      <alignment horizontal="center" vertical="center"/>
    </xf>
    <xf numFmtId="3" fontId="6" fillId="5" borderId="7" xfId="4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5" fillId="18" borderId="44" xfId="0" applyFont="1" applyFill="1" applyBorder="1" applyAlignment="1" applyProtection="1">
      <alignment horizontal="right" vertical="top" wrapText="1" readingOrder="1"/>
      <protection locked="0"/>
    </xf>
    <xf numFmtId="0" fontId="25" fillId="18" borderId="44" xfId="0" applyFont="1" applyFill="1" applyBorder="1" applyAlignment="1" applyProtection="1">
      <alignment horizontal="right" vertical="center" wrapText="1" readingOrder="1"/>
      <protection locked="0"/>
    </xf>
    <xf numFmtId="0" fontId="0" fillId="0" borderId="0" xfId="7" applyFont="1"/>
    <xf numFmtId="168" fontId="6" fillId="7" borderId="1" xfId="0" applyNumberFormat="1" applyFont="1" applyFill="1" applyBorder="1" applyAlignment="1">
      <alignment horizontal="center"/>
    </xf>
    <xf numFmtId="1" fontId="6" fillId="5" borderId="1" xfId="0" applyNumberFormat="1" applyFont="1" applyFill="1" applyBorder="1" applyAlignment="1">
      <alignment horizontal="center"/>
    </xf>
    <xf numFmtId="10" fontId="6" fillId="7" borderId="6" xfId="0" applyNumberFormat="1" applyFont="1" applyFill="1" applyBorder="1" applyAlignment="1">
      <alignment horizontal="center"/>
    </xf>
    <xf numFmtId="0" fontId="8" fillId="12" borderId="43" xfId="0" applyFont="1" applyFill="1" applyBorder="1" applyAlignment="1">
      <alignment horizontal="center" vertical="center" wrapText="1"/>
    </xf>
    <xf numFmtId="2" fontId="6" fillId="0" borderId="1" xfId="1" applyNumberFormat="1" applyFont="1" applyFill="1" applyBorder="1" applyAlignment="1">
      <alignment horizontal="center"/>
    </xf>
    <xf numFmtId="164" fontId="17" fillId="5" borderId="47" xfId="2" applyNumberFormat="1" applyFont="1" applyFill="1" applyBorder="1" applyAlignment="1">
      <alignment horizontal="center"/>
    </xf>
    <xf numFmtId="0" fontId="0" fillId="0" borderId="0" xfId="0" applyAlignment="1">
      <alignment horizontal="left" vertical="top"/>
    </xf>
    <xf numFmtId="43" fontId="0" fillId="0" borderId="0" xfId="1" applyFont="1" applyBorder="1"/>
    <xf numFmtId="0" fontId="4" fillId="3" borderId="48" xfId="794" applyFont="1" applyFill="1" applyBorder="1" applyAlignment="1">
      <alignment horizontal="center" vertical="center" wrapText="1"/>
    </xf>
    <xf numFmtId="0" fontId="27" fillId="0" borderId="0" xfId="795"/>
    <xf numFmtId="0" fontId="27" fillId="0" borderId="0" xfId="795" applyAlignment="1">
      <alignment horizontal="center" vertical="center"/>
    </xf>
    <xf numFmtId="2" fontId="0" fillId="0" borderId="0" xfId="796" applyNumberFormat="1" applyFont="1" applyFill="1" applyAlignment="1">
      <alignment horizontal="center" vertical="center"/>
    </xf>
    <xf numFmtId="164" fontId="0" fillId="0" borderId="0" xfId="796" applyNumberFormat="1" applyFont="1" applyFill="1" applyBorder="1" applyAlignment="1">
      <alignment horizontal="center" vertical="center"/>
    </xf>
    <xf numFmtId="2" fontId="0" fillId="0" borderId="0" xfId="796" applyNumberFormat="1" applyFont="1" applyFill="1" applyBorder="1" applyAlignment="1">
      <alignment horizontal="center" vertical="center"/>
    </xf>
    <xf numFmtId="9" fontId="0" fillId="0" borderId="0" xfId="2" applyFont="1"/>
    <xf numFmtId="2" fontId="27" fillId="0" borderId="0" xfId="795" applyNumberFormat="1" applyAlignment="1">
      <alignment horizontal="center" vertical="center"/>
    </xf>
    <xf numFmtId="17" fontId="0" fillId="0" borderId="52" xfId="797" applyNumberFormat="1" applyFont="1" applyFill="1" applyBorder="1" applyAlignment="1">
      <alignment horizontal="center" vertical="center"/>
    </xf>
    <xf numFmtId="0" fontId="0" fillId="0" borderId="52" xfId="797" applyNumberFormat="1" applyFont="1" applyFill="1" applyBorder="1" applyAlignment="1">
      <alignment horizontal="center" vertical="center"/>
    </xf>
    <xf numFmtId="10" fontId="0" fillId="0" borderId="52" xfId="796" applyNumberFormat="1" applyFont="1" applyFill="1" applyBorder="1" applyAlignment="1">
      <alignment horizontal="center" vertical="center"/>
    </xf>
    <xf numFmtId="0" fontId="0" fillId="0" borderId="53" xfId="797" applyNumberFormat="1" applyFont="1" applyFill="1" applyBorder="1" applyAlignment="1">
      <alignment horizontal="center" vertical="center"/>
    </xf>
    <xf numFmtId="10" fontId="0" fillId="0" borderId="53" xfId="796" applyNumberFormat="1" applyFont="1" applyFill="1" applyBorder="1" applyAlignment="1">
      <alignment horizontal="center" vertical="center"/>
    </xf>
    <xf numFmtId="10" fontId="27" fillId="0" borderId="0" xfId="795" applyNumberFormat="1" applyAlignment="1">
      <alignment horizontal="center" vertical="center"/>
    </xf>
    <xf numFmtId="164" fontId="27" fillId="0" borderId="53" xfId="795" applyNumberFormat="1" applyBorder="1" applyAlignment="1">
      <alignment horizontal="center" vertical="center"/>
    </xf>
    <xf numFmtId="0" fontId="8" fillId="0" borderId="51" xfId="795" applyFont="1" applyBorder="1" applyAlignment="1">
      <alignment horizontal="center" vertical="center" wrapText="1"/>
    </xf>
    <xf numFmtId="0" fontId="27" fillId="0" borderId="52" xfId="795" applyBorder="1" applyAlignment="1">
      <alignment horizontal="center" vertical="center"/>
    </xf>
    <xf numFmtId="0" fontId="27" fillId="0" borderId="53" xfId="795" applyBorder="1" applyAlignment="1">
      <alignment horizontal="center" vertical="center"/>
    </xf>
    <xf numFmtId="2" fontId="27" fillId="0" borderId="52" xfId="795" applyNumberFormat="1" applyBorder="1" applyAlignment="1">
      <alignment horizontal="center" vertical="center"/>
    </xf>
    <xf numFmtId="164" fontId="27" fillId="0" borderId="52" xfId="795" applyNumberFormat="1" applyBorder="1" applyAlignment="1">
      <alignment horizontal="center" vertical="center"/>
    </xf>
    <xf numFmtId="1" fontId="27" fillId="0" borderId="52" xfId="795" applyNumberFormat="1" applyBorder="1" applyAlignment="1">
      <alignment horizontal="center" vertical="center"/>
    </xf>
    <xf numFmtId="2" fontId="27" fillId="0" borderId="53" xfId="795" applyNumberFormat="1" applyBorder="1" applyAlignment="1">
      <alignment horizontal="center" vertical="center"/>
    </xf>
    <xf numFmtId="1" fontId="27" fillId="0" borderId="53" xfId="795" applyNumberFormat="1" applyBorder="1" applyAlignment="1">
      <alignment horizontal="center" vertical="center"/>
    </xf>
    <xf numFmtId="1" fontId="0" fillId="0" borderId="53" xfId="795" applyNumberFormat="1" applyFont="1" applyBorder="1" applyAlignment="1">
      <alignment horizontal="center" vertical="center"/>
    </xf>
    <xf numFmtId="2" fontId="0" fillId="0" borderId="53" xfId="795" applyNumberFormat="1" applyFont="1" applyBorder="1" applyAlignment="1">
      <alignment horizontal="center" vertical="center"/>
    </xf>
    <xf numFmtId="164" fontId="0" fillId="0" borderId="53" xfId="795" applyNumberFormat="1" applyFont="1" applyBorder="1" applyAlignment="1">
      <alignment horizontal="center" vertical="center"/>
    </xf>
    <xf numFmtId="9" fontId="0" fillId="0" borderId="0" xfId="2" applyFont="1" applyFill="1" applyAlignment="1">
      <alignment horizontal="center" vertical="center"/>
    </xf>
    <xf numFmtId="165" fontId="4" fillId="0" borderId="48" xfId="794" applyNumberFormat="1" applyFont="1" applyBorder="1" applyAlignment="1">
      <alignment horizontal="center" vertical="center" wrapText="1"/>
    </xf>
    <xf numFmtId="0" fontId="4" fillId="0" borderId="48" xfId="794" applyFont="1" applyBorder="1" applyAlignment="1">
      <alignment horizontal="center" vertical="center" wrapText="1"/>
    </xf>
    <xf numFmtId="0" fontId="8" fillId="0" borderId="48" xfId="795" applyFont="1" applyBorder="1" applyAlignment="1">
      <alignment horizontal="center" vertical="center" wrapText="1"/>
    </xf>
    <xf numFmtId="9" fontId="8" fillId="0" borderId="48" xfId="2" applyFont="1" applyFill="1" applyBorder="1" applyAlignment="1">
      <alignment horizontal="center" vertical="center" wrapText="1"/>
    </xf>
    <xf numFmtId="15" fontId="27" fillId="0" borderId="0" xfId="795" applyNumberFormat="1" applyAlignment="1">
      <alignment horizontal="center" vertical="center"/>
    </xf>
    <xf numFmtId="1" fontId="27" fillId="0" borderId="0" xfId="795" applyNumberFormat="1" applyAlignment="1">
      <alignment horizontal="center" vertical="center"/>
    </xf>
    <xf numFmtId="17" fontId="27" fillId="0" borderId="0" xfId="795" applyNumberFormat="1" applyAlignment="1">
      <alignment horizontal="center" vertical="center"/>
    </xf>
    <xf numFmtId="10" fontId="26" fillId="0" borderId="0" xfId="796" applyNumberFormat="1" applyFont="1" applyFill="1" applyAlignment="1">
      <alignment horizontal="center" vertical="center"/>
    </xf>
    <xf numFmtId="169" fontId="0" fillId="0" borderId="0" xfId="796" applyNumberFormat="1" applyFont="1" applyFill="1" applyAlignment="1">
      <alignment horizontal="center" vertical="center"/>
    </xf>
    <xf numFmtId="10" fontId="0" fillId="0" borderId="0" xfId="796" applyNumberFormat="1" applyFont="1" applyFill="1" applyAlignment="1">
      <alignment horizontal="center" vertical="center"/>
    </xf>
    <xf numFmtId="164" fontId="27" fillId="0" borderId="0" xfId="795" applyNumberFormat="1" applyAlignment="1">
      <alignment horizontal="center" vertical="center"/>
    </xf>
    <xf numFmtId="165" fontId="4" fillId="3" borderId="54" xfId="794" applyNumberFormat="1" applyFont="1" applyFill="1" applyBorder="1" applyAlignment="1">
      <alignment horizontal="center" vertical="center" wrapText="1"/>
    </xf>
    <xf numFmtId="15" fontId="27" fillId="19" borderId="49" xfId="795" applyNumberFormat="1" applyFill="1" applyBorder="1" applyAlignment="1">
      <alignment horizontal="center" vertical="center"/>
    </xf>
    <xf numFmtId="1" fontId="27" fillId="19" borderId="50" xfId="795" applyNumberFormat="1" applyFill="1" applyBorder="1" applyAlignment="1">
      <alignment horizontal="center" vertical="center"/>
    </xf>
    <xf numFmtId="0" fontId="27" fillId="19" borderId="50" xfId="795" applyFill="1" applyBorder="1" applyAlignment="1">
      <alignment horizontal="center" vertical="center"/>
    </xf>
    <xf numFmtId="17" fontId="27" fillId="19" borderId="50" xfId="795" applyNumberFormat="1" applyFill="1" applyBorder="1" applyAlignment="1">
      <alignment horizontal="center" vertical="center"/>
    </xf>
    <xf numFmtId="15" fontId="27" fillId="20" borderId="49" xfId="795" applyNumberFormat="1" applyFill="1" applyBorder="1" applyAlignment="1">
      <alignment horizontal="center" vertical="center"/>
    </xf>
    <xf numFmtId="1" fontId="27" fillId="20" borderId="50" xfId="795" applyNumberFormat="1" applyFill="1" applyBorder="1" applyAlignment="1">
      <alignment horizontal="center" vertical="center"/>
    </xf>
    <xf numFmtId="0" fontId="27" fillId="20" borderId="50" xfId="795" applyFill="1" applyBorder="1" applyAlignment="1">
      <alignment horizontal="center" vertical="center"/>
    </xf>
    <xf numFmtId="17" fontId="27" fillId="20" borderId="50" xfId="795" applyNumberFormat="1" applyFill="1" applyBorder="1" applyAlignment="1">
      <alignment horizontal="center" vertical="center"/>
    </xf>
    <xf numFmtId="17" fontId="3" fillId="12" borderId="45" xfId="0" applyNumberFormat="1" applyFont="1" applyFill="1" applyBorder="1" applyAlignment="1">
      <alignment horizontal="center" vertical="center"/>
    </xf>
    <xf numFmtId="0" fontId="8" fillId="12" borderId="45" xfId="0" applyFont="1" applyFill="1" applyBorder="1" applyAlignment="1">
      <alignment horizontal="center" vertical="center"/>
    </xf>
    <xf numFmtId="0" fontId="8" fillId="12" borderId="45" xfId="0" applyFont="1" applyFill="1" applyBorder="1" applyAlignment="1">
      <alignment horizontal="center" vertical="center" wrapText="1"/>
    </xf>
    <xf numFmtId="1" fontId="3" fillId="12" borderId="45" xfId="0" applyNumberFormat="1" applyFont="1" applyFill="1" applyBorder="1" applyAlignment="1">
      <alignment horizontal="center" vertical="center"/>
    </xf>
    <xf numFmtId="1" fontId="0" fillId="13" borderId="45" xfId="0" applyNumberFormat="1" applyFill="1" applyBorder="1" applyAlignment="1">
      <alignment horizontal="center" vertical="center"/>
    </xf>
    <xf numFmtId="2" fontId="0" fillId="13" borderId="45" xfId="0" applyNumberFormat="1" applyFill="1" applyBorder="1" applyAlignment="1">
      <alignment horizontal="center" vertical="center"/>
    </xf>
    <xf numFmtId="2" fontId="0" fillId="14" borderId="45" xfId="0" applyNumberFormat="1" applyFill="1" applyBorder="1" applyAlignment="1">
      <alignment horizontal="center" vertical="center"/>
    </xf>
    <xf numFmtId="1" fontId="0" fillId="14" borderId="45" xfId="0" applyNumberFormat="1" applyFill="1" applyBorder="1" applyAlignment="1">
      <alignment horizontal="center" vertical="center"/>
    </xf>
    <xf numFmtId="169" fontId="0" fillId="13" borderId="45" xfId="2" applyNumberFormat="1" applyFont="1" applyFill="1" applyBorder="1" applyAlignment="1">
      <alignment horizontal="center" vertical="center"/>
    </xf>
    <xf numFmtId="169" fontId="0" fillId="14" borderId="45" xfId="2" applyNumberFormat="1" applyFont="1" applyFill="1" applyBorder="1" applyAlignment="1">
      <alignment horizontal="center" vertical="center"/>
    </xf>
    <xf numFmtId="10" fontId="0" fillId="14" borderId="45" xfId="2" applyNumberFormat="1" applyFont="1" applyFill="1" applyBorder="1" applyAlignment="1">
      <alignment horizontal="center" vertical="center"/>
    </xf>
    <xf numFmtId="0" fontId="8" fillId="12" borderId="45" xfId="0" applyFont="1" applyFill="1" applyBorder="1" applyAlignment="1">
      <alignment vertical="center"/>
    </xf>
    <xf numFmtId="0" fontId="0" fillId="9" borderId="45" xfId="0" applyFill="1" applyBorder="1" applyAlignment="1">
      <alignment vertical="center"/>
    </xf>
    <xf numFmtId="15" fontId="0" fillId="10" borderId="45" xfId="0" applyNumberFormat="1" applyFill="1" applyBorder="1" applyAlignment="1">
      <alignment horizontal="center" vertical="center"/>
    </xf>
    <xf numFmtId="0" fontId="0" fillId="0" borderId="45" xfId="0" applyBorder="1" applyAlignment="1">
      <alignment horizontal="left" vertical="top"/>
    </xf>
    <xf numFmtId="10" fontId="4" fillId="3" borderId="45" xfId="4" applyNumberFormat="1" applyFont="1" applyFill="1" applyBorder="1" applyAlignment="1">
      <alignment horizontal="center" vertical="center" wrapText="1"/>
    </xf>
    <xf numFmtId="10" fontId="0" fillId="0" borderId="45" xfId="2" applyNumberFormat="1" applyFont="1" applyBorder="1"/>
    <xf numFmtId="0" fontId="0" fillId="16" borderId="45" xfId="0" applyFill="1" applyBorder="1" applyAlignment="1">
      <alignment horizontal="left" vertical="top"/>
    </xf>
    <xf numFmtId="43" fontId="0" fillId="0" borderId="45" xfId="1" applyFont="1" applyBorder="1"/>
    <xf numFmtId="9" fontId="0" fillId="0" borderId="45" xfId="2" applyFont="1" applyBorder="1"/>
    <xf numFmtId="0" fontId="0" fillId="0" borderId="45" xfId="0" applyBorder="1"/>
    <xf numFmtId="169" fontId="0" fillId="0" borderId="45" xfId="2" applyNumberFormat="1" applyFont="1" applyBorder="1"/>
    <xf numFmtId="0" fontId="0" fillId="0" borderId="45" xfId="0" pivotButton="1" applyBorder="1"/>
    <xf numFmtId="0" fontId="20" fillId="17" borderId="45" xfId="0" applyFont="1" applyFill="1" applyBorder="1" applyAlignment="1">
      <alignment horizontal="center" vertical="center"/>
    </xf>
    <xf numFmtId="0" fontId="0" fillId="0" borderId="45" xfId="0" applyBorder="1" applyAlignment="1">
      <alignment horizontal="left"/>
    </xf>
    <xf numFmtId="43" fontId="0" fillId="0" borderId="45" xfId="0" applyNumberFormat="1" applyBorder="1"/>
    <xf numFmtId="43" fontId="0" fillId="0" borderId="45" xfId="1" applyFont="1" applyBorder="1" applyAlignment="1">
      <alignment horizontal="center" vertical="center"/>
    </xf>
    <xf numFmtId="10" fontId="4" fillId="3" borderId="3" xfId="3" applyNumberFormat="1" applyFont="1" applyFill="1" applyBorder="1" applyAlignment="1">
      <alignment horizontal="center" vertical="center" wrapText="1"/>
    </xf>
    <xf numFmtId="0" fontId="6" fillId="0" borderId="3" xfId="1" applyNumberFormat="1" applyFont="1" applyFill="1" applyBorder="1" applyAlignment="1">
      <alignment horizontal="center"/>
    </xf>
    <xf numFmtId="168" fontId="6" fillId="7" borderId="7" xfId="0" applyNumberFormat="1" applyFont="1" applyFill="1" applyBorder="1" applyAlignment="1">
      <alignment horizontal="center"/>
    </xf>
    <xf numFmtId="1" fontId="6" fillId="5" borderId="7" xfId="0" applyNumberFormat="1" applyFont="1" applyFill="1" applyBorder="1" applyAlignment="1">
      <alignment horizontal="center"/>
    </xf>
    <xf numFmtId="10" fontId="6" fillId="7" borderId="46" xfId="0" applyNumberFormat="1" applyFont="1" applyFill="1" applyBorder="1" applyAlignment="1">
      <alignment horizontal="center"/>
    </xf>
    <xf numFmtId="43" fontId="6" fillId="7" borderId="7" xfId="1" applyFont="1" applyFill="1" applyBorder="1" applyAlignment="1">
      <alignment horizontal="center"/>
    </xf>
    <xf numFmtId="1" fontId="6" fillId="0" borderId="1" xfId="798" applyNumberFormat="1" applyFont="1" applyFill="1" applyBorder="1" applyAlignment="1">
      <alignment horizontal="center"/>
    </xf>
    <xf numFmtId="171" fontId="17" fillId="5" borderId="27" xfId="2" applyNumberFormat="1" applyFont="1" applyFill="1" applyBorder="1" applyAlignment="1">
      <alignment horizontal="center"/>
    </xf>
    <xf numFmtId="171" fontId="17" fillId="5" borderId="30" xfId="2" applyNumberFormat="1" applyFont="1" applyFill="1" applyBorder="1" applyAlignment="1">
      <alignment horizontal="center"/>
    </xf>
    <xf numFmtId="171" fontId="17" fillId="5" borderId="33" xfId="2" applyNumberFormat="1" applyFont="1" applyFill="1" applyBorder="1" applyAlignment="1">
      <alignment horizontal="center"/>
    </xf>
    <xf numFmtId="172" fontId="6" fillId="7" borderId="1" xfId="0" applyNumberFormat="1" applyFont="1" applyFill="1" applyBorder="1" applyAlignment="1">
      <alignment horizontal="center"/>
    </xf>
    <xf numFmtId="166" fontId="16" fillId="5" borderId="16" xfId="8" applyNumberFormat="1" applyFont="1" applyFill="1" applyBorder="1" applyAlignment="1" applyProtection="1">
      <alignment horizontal="left" vertical="center"/>
      <protection locked="0"/>
    </xf>
    <xf numFmtId="165" fontId="16" fillId="5" borderId="16" xfId="8" applyNumberFormat="1" applyFont="1" applyFill="1" applyBorder="1" applyAlignment="1" applyProtection="1">
      <alignment horizontal="left" vertical="center"/>
      <protection locked="0"/>
    </xf>
    <xf numFmtId="1" fontId="17" fillId="5" borderId="28" xfId="0" applyNumberFormat="1" applyFont="1" applyFill="1" applyBorder="1" applyProtection="1">
      <protection locked="0"/>
    </xf>
    <xf numFmtId="0" fontId="17" fillId="5" borderId="31" xfId="0" applyFont="1" applyFill="1" applyBorder="1" applyProtection="1">
      <protection locked="0"/>
    </xf>
    <xf numFmtId="0" fontId="17" fillId="5" borderId="34" xfId="0" applyFont="1" applyFill="1" applyBorder="1" applyProtection="1">
      <protection locked="0"/>
    </xf>
    <xf numFmtId="0" fontId="17" fillId="5" borderId="17" xfId="0" applyFont="1" applyFill="1" applyBorder="1" applyProtection="1">
      <protection locked="0"/>
    </xf>
    <xf numFmtId="10" fontId="2" fillId="0" borderId="0" xfId="2" applyNumberFormat="1" applyFont="1" applyAlignment="1">
      <alignment horizontal="center" vertical="center"/>
    </xf>
    <xf numFmtId="1" fontId="6" fillId="0" borderId="0" xfId="795" applyNumberFormat="1" applyFont="1" applyAlignment="1">
      <alignment horizontal="center" vertical="center"/>
    </xf>
    <xf numFmtId="1" fontId="6" fillId="0" borderId="7" xfId="4" applyNumberFormat="1" applyFont="1" applyFill="1" applyBorder="1" applyAlignment="1">
      <alignment horizontal="center" vertical="center"/>
    </xf>
    <xf numFmtId="43" fontId="6" fillId="0" borderId="7" xfId="1" applyFont="1" applyFill="1" applyBorder="1" applyAlignment="1" applyProtection="1">
      <alignment horizontal="center"/>
      <protection locked="0"/>
    </xf>
    <xf numFmtId="168" fontId="28" fillId="7" borderId="1" xfId="0" applyNumberFormat="1" applyFont="1" applyFill="1" applyBorder="1" applyAlignment="1">
      <alignment horizontal="center"/>
    </xf>
    <xf numFmtId="43" fontId="28" fillId="7" borderId="1" xfId="1" applyFont="1" applyFill="1" applyBorder="1" applyAlignment="1">
      <alignment horizontal="center"/>
    </xf>
    <xf numFmtId="1" fontId="28" fillId="5" borderId="1" xfId="0" applyNumberFormat="1" applyFont="1" applyFill="1" applyBorder="1" applyAlignment="1">
      <alignment horizontal="center"/>
    </xf>
    <xf numFmtId="43" fontId="28" fillId="0" borderId="1" xfId="1" applyFont="1" applyFill="1" applyBorder="1" applyAlignment="1">
      <alignment horizontal="center"/>
    </xf>
    <xf numFmtId="1" fontId="28" fillId="0" borderId="1" xfId="4" applyNumberFormat="1" applyFont="1" applyFill="1" applyBorder="1" applyAlignment="1">
      <alignment horizontal="center"/>
    </xf>
    <xf numFmtId="168" fontId="28" fillId="7" borderId="1" xfId="1" applyNumberFormat="1" applyFont="1" applyFill="1" applyBorder="1" applyAlignment="1">
      <alignment horizontal="center"/>
    </xf>
    <xf numFmtId="10" fontId="28" fillId="7" borderId="6" xfId="0" applyNumberFormat="1" applyFont="1" applyFill="1" applyBorder="1" applyAlignment="1">
      <alignment horizontal="center"/>
    </xf>
    <xf numFmtId="10" fontId="28" fillId="0" borderId="1" xfId="1" applyNumberFormat="1" applyFont="1" applyFill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19" fillId="0" borderId="45" xfId="0" applyFont="1" applyBorder="1" applyAlignment="1">
      <alignment horizontal="left" vertical="center"/>
    </xf>
    <xf numFmtId="1" fontId="28" fillId="0" borderId="7" xfId="4" applyNumberFormat="1" applyFont="1" applyFill="1" applyBorder="1" applyAlignment="1">
      <alignment horizontal="center" vertical="center"/>
    </xf>
    <xf numFmtId="43" fontId="28" fillId="0" borderId="7" xfId="1" applyFont="1" applyFill="1" applyBorder="1" applyAlignment="1" applyProtection="1">
      <alignment horizontal="center"/>
      <protection locked="0"/>
    </xf>
    <xf numFmtId="168" fontId="28" fillId="7" borderId="7" xfId="0" applyNumberFormat="1" applyFont="1" applyFill="1" applyBorder="1" applyAlignment="1">
      <alignment horizontal="center"/>
    </xf>
    <xf numFmtId="43" fontId="28" fillId="7" borderId="7" xfId="1" applyFont="1" applyFill="1" applyBorder="1" applyAlignment="1">
      <alignment horizontal="center"/>
    </xf>
    <xf numFmtId="1" fontId="28" fillId="5" borderId="7" xfId="0" applyNumberFormat="1" applyFont="1" applyFill="1" applyBorder="1" applyAlignment="1">
      <alignment horizontal="center"/>
    </xf>
    <xf numFmtId="43" fontId="28" fillId="0" borderId="7" xfId="1" applyFont="1" applyFill="1" applyBorder="1" applyAlignment="1">
      <alignment horizontal="center"/>
    </xf>
    <xf numFmtId="1" fontId="28" fillId="0" borderId="7" xfId="4" applyNumberFormat="1" applyFont="1" applyFill="1" applyBorder="1" applyAlignment="1">
      <alignment horizontal="center"/>
    </xf>
    <xf numFmtId="168" fontId="28" fillId="7" borderId="7" xfId="1" applyNumberFormat="1" applyFont="1" applyFill="1" applyBorder="1" applyAlignment="1">
      <alignment horizontal="center"/>
    </xf>
    <xf numFmtId="10" fontId="28" fillId="7" borderId="46" xfId="0" applyNumberFormat="1" applyFont="1" applyFill="1" applyBorder="1" applyAlignment="1">
      <alignment horizontal="center"/>
    </xf>
    <xf numFmtId="10" fontId="28" fillId="0" borderId="7" xfId="1" applyNumberFormat="1" applyFont="1" applyFill="1" applyBorder="1" applyAlignment="1">
      <alignment horizontal="center"/>
    </xf>
    <xf numFmtId="168" fontId="29" fillId="7" borderId="1" xfId="0" applyNumberFormat="1" applyFont="1" applyFill="1" applyBorder="1" applyAlignment="1">
      <alignment horizontal="center"/>
    </xf>
    <xf numFmtId="43" fontId="29" fillId="7" borderId="1" xfId="1" applyFont="1" applyFill="1" applyBorder="1" applyAlignment="1">
      <alignment horizontal="center"/>
    </xf>
    <xf numFmtId="1" fontId="29" fillId="5" borderId="1" xfId="0" applyNumberFormat="1" applyFont="1" applyFill="1" applyBorder="1" applyAlignment="1">
      <alignment horizontal="center"/>
    </xf>
    <xf numFmtId="43" fontId="29" fillId="0" borderId="1" xfId="1" applyFont="1" applyFill="1" applyBorder="1" applyAlignment="1">
      <alignment horizontal="center"/>
    </xf>
    <xf numFmtId="1" fontId="29" fillId="0" borderId="1" xfId="4" applyNumberFormat="1" applyFont="1" applyFill="1" applyBorder="1" applyAlignment="1">
      <alignment horizontal="center"/>
    </xf>
    <xf numFmtId="168" fontId="29" fillId="7" borderId="1" xfId="1" applyNumberFormat="1" applyFont="1" applyFill="1" applyBorder="1" applyAlignment="1">
      <alignment horizontal="center"/>
    </xf>
    <xf numFmtId="10" fontId="29" fillId="7" borderId="6" xfId="0" applyNumberFormat="1" applyFont="1" applyFill="1" applyBorder="1" applyAlignment="1">
      <alignment horizontal="center"/>
    </xf>
    <xf numFmtId="10" fontId="29" fillId="0" borderId="1" xfId="1" applyNumberFormat="1" applyFont="1" applyFill="1" applyBorder="1" applyAlignment="1">
      <alignment horizontal="center"/>
    </xf>
    <xf numFmtId="168" fontId="30" fillId="7" borderId="7" xfId="0" applyNumberFormat="1" applyFont="1" applyFill="1" applyBorder="1" applyAlignment="1">
      <alignment horizontal="center"/>
    </xf>
    <xf numFmtId="43" fontId="30" fillId="7" borderId="7" xfId="1" applyFont="1" applyFill="1" applyBorder="1" applyAlignment="1">
      <alignment horizontal="center"/>
    </xf>
    <xf numFmtId="1" fontId="30" fillId="5" borderId="7" xfId="0" applyNumberFormat="1" applyFont="1" applyFill="1" applyBorder="1" applyAlignment="1">
      <alignment horizontal="center"/>
    </xf>
    <xf numFmtId="43" fontId="30" fillId="0" borderId="7" xfId="1" applyFont="1" applyFill="1" applyBorder="1" applyAlignment="1">
      <alignment horizontal="center"/>
    </xf>
    <xf numFmtId="1" fontId="30" fillId="0" borderId="7" xfId="4" applyNumberFormat="1" applyFont="1" applyFill="1" applyBorder="1" applyAlignment="1">
      <alignment horizontal="center"/>
    </xf>
    <xf numFmtId="168" fontId="30" fillId="7" borderId="7" xfId="1" applyNumberFormat="1" applyFont="1" applyFill="1" applyBorder="1" applyAlignment="1">
      <alignment horizontal="center"/>
    </xf>
    <xf numFmtId="10" fontId="30" fillId="7" borderId="46" xfId="0" applyNumberFormat="1" applyFont="1" applyFill="1" applyBorder="1" applyAlignment="1">
      <alignment horizontal="center"/>
    </xf>
    <xf numFmtId="10" fontId="30" fillId="0" borderId="7" xfId="1" applyNumberFormat="1" applyFont="1" applyFill="1" applyBorder="1" applyAlignment="1">
      <alignment horizontal="center"/>
    </xf>
    <xf numFmtId="15" fontId="31" fillId="0" borderId="0" xfId="26" applyNumberFormat="1" applyFont="1" applyAlignment="1">
      <alignment horizontal="center" vertical="center"/>
    </xf>
    <xf numFmtId="15" fontId="1" fillId="0" borderId="0" xfId="26" applyNumberFormat="1" applyAlignment="1">
      <alignment horizontal="center" vertical="center"/>
    </xf>
    <xf numFmtId="15" fontId="23" fillId="0" borderId="0" xfId="0" applyNumberFormat="1" applyFont="1" applyAlignment="1">
      <alignment horizontal="center" vertical="center"/>
    </xf>
    <xf numFmtId="15" fontId="31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/>
    </xf>
    <xf numFmtId="15" fontId="22" fillId="0" borderId="0" xfId="0" applyNumberFormat="1" applyFont="1" applyAlignment="1">
      <alignment horizontal="center"/>
    </xf>
    <xf numFmtId="168" fontId="30" fillId="7" borderId="1" xfId="0" applyNumberFormat="1" applyFont="1" applyFill="1" applyBorder="1" applyAlignment="1">
      <alignment horizontal="center"/>
    </xf>
    <xf numFmtId="43" fontId="30" fillId="7" borderId="1" xfId="1" applyFont="1" applyFill="1" applyBorder="1" applyAlignment="1">
      <alignment horizontal="center"/>
    </xf>
    <xf numFmtId="1" fontId="30" fillId="5" borderId="1" xfId="0" applyNumberFormat="1" applyFont="1" applyFill="1" applyBorder="1" applyAlignment="1">
      <alignment horizontal="center"/>
    </xf>
    <xf numFmtId="43" fontId="30" fillId="0" borderId="1" xfId="1" applyFont="1" applyFill="1" applyBorder="1" applyAlignment="1">
      <alignment horizontal="center"/>
    </xf>
    <xf numFmtId="1" fontId="30" fillId="0" borderId="1" xfId="4" applyNumberFormat="1" applyFont="1" applyFill="1" applyBorder="1" applyAlignment="1">
      <alignment horizontal="center"/>
    </xf>
    <xf numFmtId="168" fontId="30" fillId="7" borderId="1" xfId="1" applyNumberFormat="1" applyFont="1" applyFill="1" applyBorder="1" applyAlignment="1">
      <alignment horizontal="center"/>
    </xf>
    <xf numFmtId="10" fontId="30" fillId="7" borderId="6" xfId="0" applyNumberFormat="1" applyFont="1" applyFill="1" applyBorder="1" applyAlignment="1">
      <alignment horizontal="center"/>
    </xf>
    <xf numFmtId="10" fontId="30" fillId="0" borderId="1" xfId="1" applyNumberFormat="1" applyFont="1" applyFill="1" applyBorder="1" applyAlignment="1">
      <alignment horizontal="center"/>
    </xf>
    <xf numFmtId="168" fontId="32" fillId="7" borderId="1" xfId="0" applyNumberFormat="1" applyFont="1" applyFill="1" applyBorder="1" applyAlignment="1">
      <alignment horizontal="center"/>
    </xf>
    <xf numFmtId="43" fontId="32" fillId="7" borderId="1" xfId="1" applyFont="1" applyFill="1" applyBorder="1" applyAlignment="1">
      <alignment horizontal="center"/>
    </xf>
    <xf numFmtId="1" fontId="32" fillId="5" borderId="1" xfId="0" applyNumberFormat="1" applyFont="1" applyFill="1" applyBorder="1" applyAlignment="1">
      <alignment horizontal="center"/>
    </xf>
    <xf numFmtId="43" fontId="32" fillId="0" borderId="1" xfId="1" applyFont="1" applyFill="1" applyBorder="1" applyAlignment="1">
      <alignment horizontal="center"/>
    </xf>
    <xf numFmtId="1" fontId="32" fillId="0" borderId="1" xfId="4" applyNumberFormat="1" applyFont="1" applyFill="1" applyBorder="1" applyAlignment="1">
      <alignment horizontal="center"/>
    </xf>
    <xf numFmtId="168" fontId="32" fillId="7" borderId="1" xfId="1" applyNumberFormat="1" applyFont="1" applyFill="1" applyBorder="1" applyAlignment="1">
      <alignment horizontal="center"/>
    </xf>
    <xf numFmtId="10" fontId="32" fillId="7" borderId="6" xfId="0" applyNumberFormat="1" applyFont="1" applyFill="1" applyBorder="1" applyAlignment="1">
      <alignment horizontal="center"/>
    </xf>
    <xf numFmtId="10" fontId="32" fillId="0" borderId="1" xfId="1" applyNumberFormat="1" applyFont="1" applyFill="1" applyBorder="1" applyAlignment="1">
      <alignment horizontal="center"/>
    </xf>
    <xf numFmtId="168" fontId="33" fillId="7" borderId="1" xfId="0" applyNumberFormat="1" applyFont="1" applyFill="1" applyBorder="1" applyAlignment="1">
      <alignment horizontal="center"/>
    </xf>
    <xf numFmtId="43" fontId="33" fillId="7" borderId="1" xfId="1" applyFont="1" applyFill="1" applyBorder="1" applyAlignment="1">
      <alignment horizontal="center"/>
    </xf>
    <xf numFmtId="1" fontId="33" fillId="5" borderId="1" xfId="0" applyNumberFormat="1" applyFont="1" applyFill="1" applyBorder="1" applyAlignment="1">
      <alignment horizontal="center"/>
    </xf>
    <xf numFmtId="43" fontId="33" fillId="0" borderId="1" xfId="1" applyFont="1" applyFill="1" applyBorder="1" applyAlignment="1">
      <alignment horizontal="center"/>
    </xf>
    <xf numFmtId="1" fontId="33" fillId="0" borderId="1" xfId="4" applyNumberFormat="1" applyFont="1" applyFill="1" applyBorder="1" applyAlignment="1">
      <alignment horizontal="center"/>
    </xf>
    <xf numFmtId="168" fontId="33" fillId="7" borderId="1" xfId="1" applyNumberFormat="1" applyFont="1" applyFill="1" applyBorder="1" applyAlignment="1">
      <alignment horizontal="center"/>
    </xf>
    <xf numFmtId="10" fontId="33" fillId="7" borderId="6" xfId="0" applyNumberFormat="1" applyFont="1" applyFill="1" applyBorder="1" applyAlignment="1">
      <alignment horizontal="center"/>
    </xf>
    <xf numFmtId="10" fontId="33" fillId="0" borderId="1" xfId="1" applyNumberFormat="1" applyFont="1" applyFill="1" applyBorder="1" applyAlignment="1">
      <alignment horizontal="center"/>
    </xf>
    <xf numFmtId="2" fontId="0" fillId="0" borderId="45" xfId="0" applyNumberFormat="1" applyBorder="1"/>
    <xf numFmtId="0" fontId="2" fillId="0" borderId="0" xfId="1567" applyAlignment="1">
      <alignment horizontal="center" vertical="center"/>
    </xf>
    <xf numFmtId="0" fontId="25" fillId="18" borderId="44" xfId="0" applyFont="1" applyFill="1" applyBorder="1" applyAlignment="1" applyProtection="1">
      <alignment vertical="center" wrapText="1" readingOrder="1"/>
      <protection locked="0"/>
    </xf>
    <xf numFmtId="0" fontId="25" fillId="18" borderId="44" xfId="0" applyFont="1" applyFill="1" applyBorder="1" applyAlignment="1" applyProtection="1">
      <alignment vertical="top" wrapText="1" readingOrder="1"/>
      <protection locked="0"/>
    </xf>
    <xf numFmtId="168" fontId="34" fillId="7" borderId="1" xfId="0" applyNumberFormat="1" applyFont="1" applyFill="1" applyBorder="1" applyAlignment="1">
      <alignment horizontal="center"/>
    </xf>
    <xf numFmtId="43" fontId="34" fillId="7" borderId="1" xfId="1" applyFont="1" applyFill="1" applyBorder="1" applyAlignment="1">
      <alignment horizontal="center"/>
    </xf>
    <xf numFmtId="1" fontId="34" fillId="5" borderId="1" xfId="0" applyNumberFormat="1" applyFont="1" applyFill="1" applyBorder="1" applyAlignment="1">
      <alignment horizontal="center"/>
    </xf>
    <xf numFmtId="43" fontId="34" fillId="0" borderId="1" xfId="1" applyFont="1" applyFill="1" applyBorder="1" applyAlignment="1">
      <alignment horizontal="center"/>
    </xf>
    <xf numFmtId="1" fontId="34" fillId="0" borderId="1" xfId="4" applyNumberFormat="1" applyFont="1" applyFill="1" applyBorder="1" applyAlignment="1">
      <alignment horizontal="center"/>
    </xf>
    <xf numFmtId="168" fontId="34" fillId="7" borderId="1" xfId="1" applyNumberFormat="1" applyFont="1" applyFill="1" applyBorder="1" applyAlignment="1">
      <alignment horizontal="center"/>
    </xf>
    <xf numFmtId="10" fontId="34" fillId="7" borderId="6" xfId="0" applyNumberFormat="1" applyFont="1" applyFill="1" applyBorder="1" applyAlignment="1">
      <alignment horizontal="center"/>
    </xf>
    <xf numFmtId="10" fontId="34" fillId="0" borderId="1" xfId="1" applyNumberFormat="1" applyFont="1" applyFill="1" applyBorder="1" applyAlignment="1">
      <alignment horizontal="center"/>
    </xf>
    <xf numFmtId="0" fontId="4" fillId="3" borderId="0" xfId="3" applyFont="1" applyFill="1" applyAlignment="1">
      <alignment horizontal="center" vertical="center" wrapText="1"/>
    </xf>
    <xf numFmtId="165" fontId="4" fillId="3" borderId="0" xfId="3" applyNumberFormat="1" applyFont="1" applyFill="1" applyAlignment="1">
      <alignment horizontal="center" vertical="center" wrapText="1"/>
    </xf>
    <xf numFmtId="43" fontId="4" fillId="3" borderId="0" xfId="1" applyFont="1" applyFill="1" applyAlignment="1">
      <alignment horizontal="center" vertical="center" wrapText="1"/>
    </xf>
    <xf numFmtId="0" fontId="4" fillId="3" borderId="43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20" fontId="26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5" fillId="0" borderId="0" xfId="0" applyFont="1"/>
    <xf numFmtId="0" fontId="4" fillId="3" borderId="56" xfId="3" applyFont="1" applyFill="1" applyBorder="1" applyAlignment="1">
      <alignment horizontal="center" vertical="center" wrapText="1"/>
    </xf>
    <xf numFmtId="0" fontId="4" fillId="3" borderId="57" xfId="3" applyFont="1" applyFill="1" applyBorder="1" applyAlignment="1">
      <alignment horizontal="center" vertical="center" wrapText="1"/>
    </xf>
    <xf numFmtId="165" fontId="4" fillId="3" borderId="57" xfId="3" applyNumberFormat="1" applyFont="1" applyFill="1" applyBorder="1" applyAlignment="1">
      <alignment horizontal="center" vertical="center" wrapText="1"/>
    </xf>
    <xf numFmtId="10" fontId="0" fillId="0" borderId="0" xfId="2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17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10" fillId="0" borderId="0" xfId="0" applyFont="1" applyAlignment="1">
      <alignment horizontal="left"/>
    </xf>
    <xf numFmtId="43" fontId="0" fillId="0" borderId="0" xfId="1" applyFont="1" applyAlignment="1">
      <alignment horizontal="center"/>
    </xf>
    <xf numFmtId="169" fontId="0" fillId="0" borderId="0" xfId="2" applyNumberFormat="1" applyFont="1" applyFill="1" applyAlignment="1">
      <alignment horizontal="center"/>
    </xf>
    <xf numFmtId="0" fontId="4" fillId="3" borderId="42" xfId="3" applyFont="1" applyFill="1" applyBorder="1" applyAlignment="1">
      <alignment horizontal="center" vertical="center" wrapText="1"/>
    </xf>
    <xf numFmtId="2" fontId="0" fillId="7" borderId="0" xfId="0" applyNumberFormat="1" applyFill="1" applyAlignment="1">
      <alignment horizontal="center" vertical="center"/>
    </xf>
    <xf numFmtId="20" fontId="36" fillId="0" borderId="0" xfId="0" applyNumberFormat="1" applyFont="1" applyAlignment="1">
      <alignment horizontal="center" vertical="center"/>
    </xf>
    <xf numFmtId="2" fontId="37" fillId="7" borderId="0" xfId="0" applyNumberFormat="1" applyFont="1" applyFill="1" applyAlignment="1">
      <alignment horizontal="center" vertical="center"/>
    </xf>
    <xf numFmtId="43" fontId="38" fillId="0" borderId="0" xfId="1" applyFont="1" applyFill="1" applyAlignment="1">
      <alignment horizontal="center" vertical="center"/>
    </xf>
    <xf numFmtId="168" fontId="39" fillId="7" borderId="1" xfId="0" applyNumberFormat="1" applyFont="1" applyFill="1" applyBorder="1" applyAlignment="1">
      <alignment horizontal="center"/>
    </xf>
    <xf numFmtId="43" fontId="39" fillId="7" borderId="1" xfId="1" applyFont="1" applyFill="1" applyBorder="1" applyAlignment="1">
      <alignment horizontal="center"/>
    </xf>
    <xf numFmtId="1" fontId="39" fillId="5" borderId="1" xfId="0" applyNumberFormat="1" applyFont="1" applyFill="1" applyBorder="1" applyAlignment="1">
      <alignment horizontal="center"/>
    </xf>
    <xf numFmtId="43" fontId="39" fillId="0" borderId="1" xfId="1" applyFont="1" applyFill="1" applyBorder="1" applyAlignment="1">
      <alignment horizontal="center"/>
    </xf>
    <xf numFmtId="1" fontId="39" fillId="0" borderId="1" xfId="4" applyNumberFormat="1" applyFont="1" applyFill="1" applyBorder="1" applyAlignment="1">
      <alignment horizontal="center"/>
    </xf>
    <xf numFmtId="168" fontId="39" fillId="7" borderId="1" xfId="1" applyNumberFormat="1" applyFont="1" applyFill="1" applyBorder="1" applyAlignment="1">
      <alignment horizontal="center"/>
    </xf>
    <xf numFmtId="10" fontId="39" fillId="7" borderId="6" xfId="0" applyNumberFormat="1" applyFont="1" applyFill="1" applyBorder="1" applyAlignment="1">
      <alignment horizontal="center"/>
    </xf>
    <xf numFmtId="10" fontId="39" fillId="0" borderId="1" xfId="1" applyNumberFormat="1" applyFont="1" applyFill="1" applyBorder="1" applyAlignment="1">
      <alignment horizontal="center"/>
    </xf>
    <xf numFmtId="2" fontId="37" fillId="0" borderId="0" xfId="0" applyNumberFormat="1" applyFont="1" applyAlignment="1">
      <alignment horizontal="center" vertical="center"/>
    </xf>
    <xf numFmtId="20" fontId="40" fillId="0" borderId="0" xfId="0" applyNumberFormat="1" applyFont="1" applyAlignment="1">
      <alignment horizontal="center" vertical="center"/>
    </xf>
    <xf numFmtId="2" fontId="41" fillId="0" borderId="0" xfId="0" applyNumberFormat="1" applyFont="1" applyAlignment="1">
      <alignment horizontal="center" vertical="center"/>
    </xf>
    <xf numFmtId="43" fontId="42" fillId="0" borderId="0" xfId="1" applyFont="1" applyFill="1" applyAlignment="1">
      <alignment horizontal="center" vertical="center"/>
    </xf>
    <xf numFmtId="168" fontId="43" fillId="7" borderId="1" xfId="0" applyNumberFormat="1" applyFont="1" applyFill="1" applyBorder="1" applyAlignment="1">
      <alignment horizontal="center"/>
    </xf>
    <xf numFmtId="43" fontId="43" fillId="7" borderId="1" xfId="1" applyFont="1" applyFill="1" applyBorder="1" applyAlignment="1">
      <alignment horizontal="center"/>
    </xf>
    <xf numFmtId="1" fontId="43" fillId="5" borderId="1" xfId="0" applyNumberFormat="1" applyFont="1" applyFill="1" applyBorder="1" applyAlignment="1">
      <alignment horizontal="center"/>
    </xf>
    <xf numFmtId="43" fontId="43" fillId="0" borderId="1" xfId="1" applyFont="1" applyFill="1" applyBorder="1" applyAlignment="1">
      <alignment horizontal="center"/>
    </xf>
    <xf numFmtId="1" fontId="43" fillId="0" borderId="1" xfId="4" applyNumberFormat="1" applyFont="1" applyFill="1" applyBorder="1" applyAlignment="1">
      <alignment horizontal="center"/>
    </xf>
    <xf numFmtId="168" fontId="43" fillId="7" borderId="1" xfId="1" applyNumberFormat="1" applyFont="1" applyFill="1" applyBorder="1" applyAlignment="1">
      <alignment horizontal="center"/>
    </xf>
    <xf numFmtId="10" fontId="43" fillId="7" borderId="6" xfId="0" applyNumberFormat="1" applyFont="1" applyFill="1" applyBorder="1" applyAlignment="1">
      <alignment horizontal="center"/>
    </xf>
    <xf numFmtId="10" fontId="43" fillId="0" borderId="1" xfId="1" applyNumberFormat="1" applyFont="1" applyFill="1" applyBorder="1" applyAlignment="1">
      <alignment horizontal="center"/>
    </xf>
    <xf numFmtId="2" fontId="10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" fontId="44" fillId="0" borderId="0" xfId="0" applyNumberFormat="1" applyFont="1" applyAlignment="1">
      <alignment horizontal="center" vertical="center"/>
    </xf>
    <xf numFmtId="43" fontId="45" fillId="0" borderId="0" xfId="1" applyFont="1" applyFill="1" applyAlignment="1">
      <alignment horizontal="center" vertical="center"/>
    </xf>
    <xf numFmtId="168" fontId="46" fillId="7" borderId="1" xfId="0" applyNumberFormat="1" applyFont="1" applyFill="1" applyBorder="1" applyAlignment="1">
      <alignment horizontal="center"/>
    </xf>
    <xf numFmtId="43" fontId="46" fillId="7" borderId="1" xfId="1" applyFont="1" applyFill="1" applyBorder="1" applyAlignment="1">
      <alignment horizontal="center"/>
    </xf>
    <xf numFmtId="1" fontId="46" fillId="5" borderId="1" xfId="0" applyNumberFormat="1" applyFont="1" applyFill="1" applyBorder="1" applyAlignment="1">
      <alignment horizontal="center"/>
    </xf>
    <xf numFmtId="43" fontId="46" fillId="0" borderId="1" xfId="1" applyFont="1" applyFill="1" applyBorder="1" applyAlignment="1">
      <alignment horizontal="center"/>
    </xf>
    <xf numFmtId="1" fontId="46" fillId="0" borderId="1" xfId="4" applyNumberFormat="1" applyFont="1" applyFill="1" applyBorder="1" applyAlignment="1">
      <alignment horizontal="center"/>
    </xf>
    <xf numFmtId="168" fontId="46" fillId="7" borderId="1" xfId="1" applyNumberFormat="1" applyFont="1" applyFill="1" applyBorder="1" applyAlignment="1">
      <alignment horizontal="center"/>
    </xf>
    <xf numFmtId="10" fontId="46" fillId="7" borderId="6" xfId="0" applyNumberFormat="1" applyFont="1" applyFill="1" applyBorder="1" applyAlignment="1">
      <alignment horizontal="center"/>
    </xf>
    <xf numFmtId="10" fontId="46" fillId="0" borderId="1" xfId="1" applyNumberFormat="1" applyFont="1" applyFill="1" applyBorder="1" applyAlignment="1">
      <alignment horizontal="center"/>
    </xf>
    <xf numFmtId="173" fontId="0" fillId="0" borderId="0" xfId="0" applyNumberFormat="1" applyAlignment="1">
      <alignment horizontal="center" vertical="center"/>
    </xf>
    <xf numFmtId="2" fontId="47" fillId="0" borderId="0" xfId="0" applyNumberFormat="1" applyFont="1" applyAlignment="1">
      <alignment horizontal="center" vertical="center"/>
    </xf>
    <xf numFmtId="43" fontId="48" fillId="0" borderId="0" xfId="1" applyFont="1" applyFill="1" applyAlignment="1">
      <alignment horizontal="center" vertical="center"/>
    </xf>
    <xf numFmtId="20" fontId="49" fillId="0" borderId="0" xfId="0" applyNumberFormat="1" applyFont="1" applyAlignment="1">
      <alignment horizontal="center" vertical="center"/>
    </xf>
    <xf numFmtId="168" fontId="50" fillId="7" borderId="1" xfId="0" applyNumberFormat="1" applyFont="1" applyFill="1" applyBorder="1" applyAlignment="1">
      <alignment horizontal="center"/>
    </xf>
    <xf numFmtId="43" fontId="50" fillId="7" borderId="1" xfId="1" applyFont="1" applyFill="1" applyBorder="1" applyAlignment="1">
      <alignment horizontal="center"/>
    </xf>
    <xf numFmtId="1" fontId="50" fillId="5" borderId="1" xfId="0" applyNumberFormat="1" applyFont="1" applyFill="1" applyBorder="1" applyAlignment="1">
      <alignment horizontal="center"/>
    </xf>
    <xf numFmtId="43" fontId="50" fillId="0" borderId="1" xfId="1" applyFont="1" applyFill="1" applyBorder="1" applyAlignment="1">
      <alignment horizontal="center"/>
    </xf>
    <xf numFmtId="1" fontId="50" fillId="0" borderId="1" xfId="4" applyNumberFormat="1" applyFont="1" applyFill="1" applyBorder="1" applyAlignment="1">
      <alignment horizontal="center"/>
    </xf>
    <xf numFmtId="168" fontId="50" fillId="7" borderId="1" xfId="1" applyNumberFormat="1" applyFont="1" applyFill="1" applyBorder="1" applyAlignment="1">
      <alignment horizontal="center"/>
    </xf>
    <xf numFmtId="10" fontId="50" fillId="7" borderId="6" xfId="0" applyNumberFormat="1" applyFont="1" applyFill="1" applyBorder="1" applyAlignment="1">
      <alignment horizontal="center"/>
    </xf>
    <xf numFmtId="10" fontId="50" fillId="0" borderId="1" xfId="1" applyNumberFormat="1" applyFont="1" applyFill="1" applyBorder="1" applyAlignment="1">
      <alignment horizontal="center"/>
    </xf>
    <xf numFmtId="2" fontId="51" fillId="0" borderId="0" xfId="0" applyNumberFormat="1" applyFont="1" applyAlignment="1">
      <alignment horizontal="center" vertical="center"/>
    </xf>
    <xf numFmtId="43" fontId="52" fillId="0" borderId="0" xfId="1" applyFont="1" applyFill="1" applyAlignment="1">
      <alignment horizontal="center" vertical="center"/>
    </xf>
    <xf numFmtId="20" fontId="53" fillId="0" borderId="0" xfId="0" applyNumberFormat="1" applyFont="1" applyAlignment="1">
      <alignment horizontal="center" vertical="center"/>
    </xf>
    <xf numFmtId="0" fontId="17" fillId="5" borderId="35" xfId="0" applyFont="1" applyFill="1" applyBorder="1" applyAlignment="1">
      <alignment horizontal="center" vertical="center"/>
    </xf>
    <xf numFmtId="0" fontId="17" fillId="5" borderId="36" xfId="0" applyFont="1" applyFill="1" applyBorder="1" applyAlignment="1">
      <alignment horizontal="center" vertical="center"/>
    </xf>
    <xf numFmtId="0" fontId="17" fillId="5" borderId="37" xfId="0" applyFont="1" applyFill="1" applyBorder="1" applyAlignment="1">
      <alignment horizontal="center" vertical="center"/>
    </xf>
    <xf numFmtId="0" fontId="13" fillId="15" borderId="12" xfId="0" applyFont="1" applyFill="1" applyBorder="1" applyAlignment="1">
      <alignment horizontal="center" vertical="center"/>
    </xf>
    <xf numFmtId="0" fontId="13" fillId="15" borderId="13" xfId="0" applyFont="1" applyFill="1" applyBorder="1" applyAlignment="1">
      <alignment horizontal="center" vertical="center"/>
    </xf>
    <xf numFmtId="0" fontId="13" fillId="15" borderId="14" xfId="0" applyFont="1" applyFill="1" applyBorder="1" applyAlignment="1">
      <alignment horizontal="center" vertical="center"/>
    </xf>
    <xf numFmtId="0" fontId="17" fillId="5" borderId="26" xfId="0" applyFont="1" applyFill="1" applyBorder="1" applyAlignment="1">
      <alignment horizontal="center" vertical="center"/>
    </xf>
    <xf numFmtId="0" fontId="17" fillId="5" borderId="29" xfId="0" applyFont="1" applyFill="1" applyBorder="1" applyAlignment="1">
      <alignment horizontal="center" vertical="center"/>
    </xf>
    <xf numFmtId="0" fontId="17" fillId="5" borderId="32" xfId="0" applyFont="1" applyFill="1" applyBorder="1" applyAlignment="1">
      <alignment horizontal="center" vertical="center"/>
    </xf>
    <xf numFmtId="0" fontId="12" fillId="11" borderId="55" xfId="0" applyFont="1" applyFill="1" applyBorder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12" fillId="11" borderId="10" xfId="0" applyFont="1" applyFill="1" applyBorder="1" applyAlignment="1">
      <alignment horizontal="center" vertical="center"/>
    </xf>
    <xf numFmtId="0" fontId="12" fillId="11" borderId="11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21" fillId="0" borderId="45" xfId="0" applyFont="1" applyBorder="1" applyAlignment="1">
      <alignment horizontal="center" vertical="center"/>
    </xf>
  </cellXfs>
  <cellStyles count="1570">
    <cellStyle name="Comma" xfId="1" builtinId="3"/>
    <cellStyle name="Comma 10" xfId="218" xr:uid="{00000000-0005-0000-0000-000001000000}"/>
    <cellStyle name="Comma 10 2" xfId="602" xr:uid="{00000000-0005-0000-0000-000002000000}"/>
    <cellStyle name="Comma 10 2 2" xfId="1375" xr:uid="{00000000-0005-0000-0000-000003000000}"/>
    <cellStyle name="Comma 10 3" xfId="991" xr:uid="{00000000-0005-0000-0000-000004000000}"/>
    <cellStyle name="Comma 11" xfId="410" xr:uid="{00000000-0005-0000-0000-000005000000}"/>
    <cellStyle name="Comma 11 2" xfId="1183" xr:uid="{00000000-0005-0000-0000-000006000000}"/>
    <cellStyle name="Comma 12" xfId="798" xr:uid="{00000000-0005-0000-0000-000007000000}"/>
    <cellStyle name="Comma 12 2" xfId="1569" xr:uid="{00000000-0005-0000-0000-000008000000}"/>
    <cellStyle name="Comma 13" xfId="799" xr:uid="{00000000-0005-0000-0000-000009000000}"/>
    <cellStyle name="Comma 2" xfId="27" xr:uid="{00000000-0005-0000-0000-00000A000000}"/>
    <cellStyle name="Comma 2 10" xfId="411" xr:uid="{00000000-0005-0000-0000-00000B000000}"/>
    <cellStyle name="Comma 2 10 2" xfId="1184" xr:uid="{00000000-0005-0000-0000-00000C000000}"/>
    <cellStyle name="Comma 2 11" xfId="800" xr:uid="{00000000-0005-0000-0000-00000D000000}"/>
    <cellStyle name="Comma 2 2" xfId="29" xr:uid="{00000000-0005-0000-0000-00000E000000}"/>
    <cellStyle name="Comma 2 2 10" xfId="802" xr:uid="{00000000-0005-0000-0000-00000F000000}"/>
    <cellStyle name="Comma 2 2 2" xfId="33" xr:uid="{00000000-0005-0000-0000-000010000000}"/>
    <cellStyle name="Comma 2 2 2 2" xfId="41" xr:uid="{00000000-0005-0000-0000-000011000000}"/>
    <cellStyle name="Comma 2 2 2 2 2" xfId="65" xr:uid="{00000000-0005-0000-0000-000012000000}"/>
    <cellStyle name="Comma 2 2 2 2 2 2" xfId="113" xr:uid="{00000000-0005-0000-0000-000013000000}"/>
    <cellStyle name="Comma 2 2 2 2 2 2 2" xfId="209" xr:uid="{00000000-0005-0000-0000-000014000000}"/>
    <cellStyle name="Comma 2 2 2 2 2 2 2 2" xfId="401" xr:uid="{00000000-0005-0000-0000-000015000000}"/>
    <cellStyle name="Comma 2 2 2 2 2 2 2 2 2" xfId="785" xr:uid="{00000000-0005-0000-0000-000016000000}"/>
    <cellStyle name="Comma 2 2 2 2 2 2 2 2 2 2" xfId="1558" xr:uid="{00000000-0005-0000-0000-000017000000}"/>
    <cellStyle name="Comma 2 2 2 2 2 2 2 2 3" xfId="1174" xr:uid="{00000000-0005-0000-0000-000018000000}"/>
    <cellStyle name="Comma 2 2 2 2 2 2 2 3" xfId="593" xr:uid="{00000000-0005-0000-0000-000019000000}"/>
    <cellStyle name="Comma 2 2 2 2 2 2 2 3 2" xfId="1366" xr:uid="{00000000-0005-0000-0000-00001A000000}"/>
    <cellStyle name="Comma 2 2 2 2 2 2 2 4" xfId="982" xr:uid="{00000000-0005-0000-0000-00001B000000}"/>
    <cellStyle name="Comma 2 2 2 2 2 2 3" xfId="305" xr:uid="{00000000-0005-0000-0000-00001C000000}"/>
    <cellStyle name="Comma 2 2 2 2 2 2 3 2" xfId="689" xr:uid="{00000000-0005-0000-0000-00001D000000}"/>
    <cellStyle name="Comma 2 2 2 2 2 2 3 2 2" xfId="1462" xr:uid="{00000000-0005-0000-0000-00001E000000}"/>
    <cellStyle name="Comma 2 2 2 2 2 2 3 3" xfId="1078" xr:uid="{00000000-0005-0000-0000-00001F000000}"/>
    <cellStyle name="Comma 2 2 2 2 2 2 4" xfId="497" xr:uid="{00000000-0005-0000-0000-000020000000}"/>
    <cellStyle name="Comma 2 2 2 2 2 2 4 2" xfId="1270" xr:uid="{00000000-0005-0000-0000-000021000000}"/>
    <cellStyle name="Comma 2 2 2 2 2 2 5" xfId="886" xr:uid="{00000000-0005-0000-0000-000022000000}"/>
    <cellStyle name="Comma 2 2 2 2 2 3" xfId="161" xr:uid="{00000000-0005-0000-0000-000023000000}"/>
    <cellStyle name="Comma 2 2 2 2 2 3 2" xfId="353" xr:uid="{00000000-0005-0000-0000-000024000000}"/>
    <cellStyle name="Comma 2 2 2 2 2 3 2 2" xfId="737" xr:uid="{00000000-0005-0000-0000-000025000000}"/>
    <cellStyle name="Comma 2 2 2 2 2 3 2 2 2" xfId="1510" xr:uid="{00000000-0005-0000-0000-000026000000}"/>
    <cellStyle name="Comma 2 2 2 2 2 3 2 3" xfId="1126" xr:uid="{00000000-0005-0000-0000-000027000000}"/>
    <cellStyle name="Comma 2 2 2 2 2 3 3" xfId="545" xr:uid="{00000000-0005-0000-0000-000028000000}"/>
    <cellStyle name="Comma 2 2 2 2 2 3 3 2" xfId="1318" xr:uid="{00000000-0005-0000-0000-000029000000}"/>
    <cellStyle name="Comma 2 2 2 2 2 3 4" xfId="934" xr:uid="{00000000-0005-0000-0000-00002A000000}"/>
    <cellStyle name="Comma 2 2 2 2 2 4" xfId="257" xr:uid="{00000000-0005-0000-0000-00002B000000}"/>
    <cellStyle name="Comma 2 2 2 2 2 4 2" xfId="641" xr:uid="{00000000-0005-0000-0000-00002C000000}"/>
    <cellStyle name="Comma 2 2 2 2 2 4 2 2" xfId="1414" xr:uid="{00000000-0005-0000-0000-00002D000000}"/>
    <cellStyle name="Comma 2 2 2 2 2 4 3" xfId="1030" xr:uid="{00000000-0005-0000-0000-00002E000000}"/>
    <cellStyle name="Comma 2 2 2 2 2 5" xfId="449" xr:uid="{00000000-0005-0000-0000-00002F000000}"/>
    <cellStyle name="Comma 2 2 2 2 2 5 2" xfId="1222" xr:uid="{00000000-0005-0000-0000-000030000000}"/>
    <cellStyle name="Comma 2 2 2 2 2 6" xfId="838" xr:uid="{00000000-0005-0000-0000-000031000000}"/>
    <cellStyle name="Comma 2 2 2 2 3" xfId="89" xr:uid="{00000000-0005-0000-0000-000032000000}"/>
    <cellStyle name="Comma 2 2 2 2 3 2" xfId="185" xr:uid="{00000000-0005-0000-0000-000033000000}"/>
    <cellStyle name="Comma 2 2 2 2 3 2 2" xfId="377" xr:uid="{00000000-0005-0000-0000-000034000000}"/>
    <cellStyle name="Comma 2 2 2 2 3 2 2 2" xfId="761" xr:uid="{00000000-0005-0000-0000-000035000000}"/>
    <cellStyle name="Comma 2 2 2 2 3 2 2 2 2" xfId="1534" xr:uid="{00000000-0005-0000-0000-000036000000}"/>
    <cellStyle name="Comma 2 2 2 2 3 2 2 3" xfId="1150" xr:uid="{00000000-0005-0000-0000-000037000000}"/>
    <cellStyle name="Comma 2 2 2 2 3 2 3" xfId="569" xr:uid="{00000000-0005-0000-0000-000038000000}"/>
    <cellStyle name="Comma 2 2 2 2 3 2 3 2" xfId="1342" xr:uid="{00000000-0005-0000-0000-000039000000}"/>
    <cellStyle name="Comma 2 2 2 2 3 2 4" xfId="958" xr:uid="{00000000-0005-0000-0000-00003A000000}"/>
    <cellStyle name="Comma 2 2 2 2 3 3" xfId="281" xr:uid="{00000000-0005-0000-0000-00003B000000}"/>
    <cellStyle name="Comma 2 2 2 2 3 3 2" xfId="665" xr:uid="{00000000-0005-0000-0000-00003C000000}"/>
    <cellStyle name="Comma 2 2 2 2 3 3 2 2" xfId="1438" xr:uid="{00000000-0005-0000-0000-00003D000000}"/>
    <cellStyle name="Comma 2 2 2 2 3 3 3" xfId="1054" xr:uid="{00000000-0005-0000-0000-00003E000000}"/>
    <cellStyle name="Comma 2 2 2 2 3 4" xfId="473" xr:uid="{00000000-0005-0000-0000-00003F000000}"/>
    <cellStyle name="Comma 2 2 2 2 3 4 2" xfId="1246" xr:uid="{00000000-0005-0000-0000-000040000000}"/>
    <cellStyle name="Comma 2 2 2 2 3 5" xfId="862" xr:uid="{00000000-0005-0000-0000-000041000000}"/>
    <cellStyle name="Comma 2 2 2 2 4" xfId="137" xr:uid="{00000000-0005-0000-0000-000042000000}"/>
    <cellStyle name="Comma 2 2 2 2 4 2" xfId="329" xr:uid="{00000000-0005-0000-0000-000043000000}"/>
    <cellStyle name="Comma 2 2 2 2 4 2 2" xfId="713" xr:uid="{00000000-0005-0000-0000-000044000000}"/>
    <cellStyle name="Comma 2 2 2 2 4 2 2 2" xfId="1486" xr:uid="{00000000-0005-0000-0000-000045000000}"/>
    <cellStyle name="Comma 2 2 2 2 4 2 3" xfId="1102" xr:uid="{00000000-0005-0000-0000-000046000000}"/>
    <cellStyle name="Comma 2 2 2 2 4 3" xfId="521" xr:uid="{00000000-0005-0000-0000-000047000000}"/>
    <cellStyle name="Comma 2 2 2 2 4 3 2" xfId="1294" xr:uid="{00000000-0005-0000-0000-000048000000}"/>
    <cellStyle name="Comma 2 2 2 2 4 4" xfId="910" xr:uid="{00000000-0005-0000-0000-000049000000}"/>
    <cellStyle name="Comma 2 2 2 2 5" xfId="233" xr:uid="{00000000-0005-0000-0000-00004A000000}"/>
    <cellStyle name="Comma 2 2 2 2 5 2" xfId="617" xr:uid="{00000000-0005-0000-0000-00004B000000}"/>
    <cellStyle name="Comma 2 2 2 2 5 2 2" xfId="1390" xr:uid="{00000000-0005-0000-0000-00004C000000}"/>
    <cellStyle name="Comma 2 2 2 2 5 3" xfId="1006" xr:uid="{00000000-0005-0000-0000-00004D000000}"/>
    <cellStyle name="Comma 2 2 2 2 6" xfId="425" xr:uid="{00000000-0005-0000-0000-00004E000000}"/>
    <cellStyle name="Comma 2 2 2 2 6 2" xfId="1198" xr:uid="{00000000-0005-0000-0000-00004F000000}"/>
    <cellStyle name="Comma 2 2 2 2 7" xfId="814" xr:uid="{00000000-0005-0000-0000-000050000000}"/>
    <cellStyle name="Comma 2 2 2 3" xfId="49" xr:uid="{00000000-0005-0000-0000-000051000000}"/>
    <cellStyle name="Comma 2 2 2 3 2" xfId="73" xr:uid="{00000000-0005-0000-0000-000052000000}"/>
    <cellStyle name="Comma 2 2 2 3 2 2" xfId="121" xr:uid="{00000000-0005-0000-0000-000053000000}"/>
    <cellStyle name="Comma 2 2 2 3 2 2 2" xfId="217" xr:uid="{00000000-0005-0000-0000-000054000000}"/>
    <cellStyle name="Comma 2 2 2 3 2 2 2 2" xfId="409" xr:uid="{00000000-0005-0000-0000-000055000000}"/>
    <cellStyle name="Comma 2 2 2 3 2 2 2 2 2" xfId="793" xr:uid="{00000000-0005-0000-0000-000056000000}"/>
    <cellStyle name="Comma 2 2 2 3 2 2 2 2 2 2" xfId="1566" xr:uid="{00000000-0005-0000-0000-000057000000}"/>
    <cellStyle name="Comma 2 2 2 3 2 2 2 2 3" xfId="1182" xr:uid="{00000000-0005-0000-0000-000058000000}"/>
    <cellStyle name="Comma 2 2 2 3 2 2 2 3" xfId="601" xr:uid="{00000000-0005-0000-0000-000059000000}"/>
    <cellStyle name="Comma 2 2 2 3 2 2 2 3 2" xfId="1374" xr:uid="{00000000-0005-0000-0000-00005A000000}"/>
    <cellStyle name="Comma 2 2 2 3 2 2 2 4" xfId="990" xr:uid="{00000000-0005-0000-0000-00005B000000}"/>
    <cellStyle name="Comma 2 2 2 3 2 2 3" xfId="313" xr:uid="{00000000-0005-0000-0000-00005C000000}"/>
    <cellStyle name="Comma 2 2 2 3 2 2 3 2" xfId="697" xr:uid="{00000000-0005-0000-0000-00005D000000}"/>
    <cellStyle name="Comma 2 2 2 3 2 2 3 2 2" xfId="1470" xr:uid="{00000000-0005-0000-0000-00005E000000}"/>
    <cellStyle name="Comma 2 2 2 3 2 2 3 3" xfId="1086" xr:uid="{00000000-0005-0000-0000-00005F000000}"/>
    <cellStyle name="Comma 2 2 2 3 2 2 4" xfId="505" xr:uid="{00000000-0005-0000-0000-000060000000}"/>
    <cellStyle name="Comma 2 2 2 3 2 2 4 2" xfId="1278" xr:uid="{00000000-0005-0000-0000-000061000000}"/>
    <cellStyle name="Comma 2 2 2 3 2 2 5" xfId="894" xr:uid="{00000000-0005-0000-0000-000062000000}"/>
    <cellStyle name="Comma 2 2 2 3 2 3" xfId="169" xr:uid="{00000000-0005-0000-0000-000063000000}"/>
    <cellStyle name="Comma 2 2 2 3 2 3 2" xfId="361" xr:uid="{00000000-0005-0000-0000-000064000000}"/>
    <cellStyle name="Comma 2 2 2 3 2 3 2 2" xfId="745" xr:uid="{00000000-0005-0000-0000-000065000000}"/>
    <cellStyle name="Comma 2 2 2 3 2 3 2 2 2" xfId="1518" xr:uid="{00000000-0005-0000-0000-000066000000}"/>
    <cellStyle name="Comma 2 2 2 3 2 3 2 3" xfId="1134" xr:uid="{00000000-0005-0000-0000-000067000000}"/>
    <cellStyle name="Comma 2 2 2 3 2 3 3" xfId="553" xr:uid="{00000000-0005-0000-0000-000068000000}"/>
    <cellStyle name="Comma 2 2 2 3 2 3 3 2" xfId="1326" xr:uid="{00000000-0005-0000-0000-000069000000}"/>
    <cellStyle name="Comma 2 2 2 3 2 3 4" xfId="942" xr:uid="{00000000-0005-0000-0000-00006A000000}"/>
    <cellStyle name="Comma 2 2 2 3 2 4" xfId="265" xr:uid="{00000000-0005-0000-0000-00006B000000}"/>
    <cellStyle name="Comma 2 2 2 3 2 4 2" xfId="649" xr:uid="{00000000-0005-0000-0000-00006C000000}"/>
    <cellStyle name="Comma 2 2 2 3 2 4 2 2" xfId="1422" xr:uid="{00000000-0005-0000-0000-00006D000000}"/>
    <cellStyle name="Comma 2 2 2 3 2 4 3" xfId="1038" xr:uid="{00000000-0005-0000-0000-00006E000000}"/>
    <cellStyle name="Comma 2 2 2 3 2 5" xfId="457" xr:uid="{00000000-0005-0000-0000-00006F000000}"/>
    <cellStyle name="Comma 2 2 2 3 2 5 2" xfId="1230" xr:uid="{00000000-0005-0000-0000-000070000000}"/>
    <cellStyle name="Comma 2 2 2 3 2 6" xfId="846" xr:uid="{00000000-0005-0000-0000-000071000000}"/>
    <cellStyle name="Comma 2 2 2 3 3" xfId="97" xr:uid="{00000000-0005-0000-0000-000072000000}"/>
    <cellStyle name="Comma 2 2 2 3 3 2" xfId="193" xr:uid="{00000000-0005-0000-0000-000073000000}"/>
    <cellStyle name="Comma 2 2 2 3 3 2 2" xfId="385" xr:uid="{00000000-0005-0000-0000-000074000000}"/>
    <cellStyle name="Comma 2 2 2 3 3 2 2 2" xfId="769" xr:uid="{00000000-0005-0000-0000-000075000000}"/>
    <cellStyle name="Comma 2 2 2 3 3 2 2 2 2" xfId="1542" xr:uid="{00000000-0005-0000-0000-000076000000}"/>
    <cellStyle name="Comma 2 2 2 3 3 2 2 3" xfId="1158" xr:uid="{00000000-0005-0000-0000-000077000000}"/>
    <cellStyle name="Comma 2 2 2 3 3 2 3" xfId="577" xr:uid="{00000000-0005-0000-0000-000078000000}"/>
    <cellStyle name="Comma 2 2 2 3 3 2 3 2" xfId="1350" xr:uid="{00000000-0005-0000-0000-000079000000}"/>
    <cellStyle name="Comma 2 2 2 3 3 2 4" xfId="966" xr:uid="{00000000-0005-0000-0000-00007A000000}"/>
    <cellStyle name="Comma 2 2 2 3 3 3" xfId="289" xr:uid="{00000000-0005-0000-0000-00007B000000}"/>
    <cellStyle name="Comma 2 2 2 3 3 3 2" xfId="673" xr:uid="{00000000-0005-0000-0000-00007C000000}"/>
    <cellStyle name="Comma 2 2 2 3 3 3 2 2" xfId="1446" xr:uid="{00000000-0005-0000-0000-00007D000000}"/>
    <cellStyle name="Comma 2 2 2 3 3 3 3" xfId="1062" xr:uid="{00000000-0005-0000-0000-00007E000000}"/>
    <cellStyle name="Comma 2 2 2 3 3 4" xfId="481" xr:uid="{00000000-0005-0000-0000-00007F000000}"/>
    <cellStyle name="Comma 2 2 2 3 3 4 2" xfId="1254" xr:uid="{00000000-0005-0000-0000-000080000000}"/>
    <cellStyle name="Comma 2 2 2 3 3 5" xfId="870" xr:uid="{00000000-0005-0000-0000-000081000000}"/>
    <cellStyle name="Comma 2 2 2 3 4" xfId="145" xr:uid="{00000000-0005-0000-0000-000082000000}"/>
    <cellStyle name="Comma 2 2 2 3 4 2" xfId="337" xr:uid="{00000000-0005-0000-0000-000083000000}"/>
    <cellStyle name="Comma 2 2 2 3 4 2 2" xfId="721" xr:uid="{00000000-0005-0000-0000-000084000000}"/>
    <cellStyle name="Comma 2 2 2 3 4 2 2 2" xfId="1494" xr:uid="{00000000-0005-0000-0000-000085000000}"/>
    <cellStyle name="Comma 2 2 2 3 4 2 3" xfId="1110" xr:uid="{00000000-0005-0000-0000-000086000000}"/>
    <cellStyle name="Comma 2 2 2 3 4 3" xfId="529" xr:uid="{00000000-0005-0000-0000-000087000000}"/>
    <cellStyle name="Comma 2 2 2 3 4 3 2" xfId="1302" xr:uid="{00000000-0005-0000-0000-000088000000}"/>
    <cellStyle name="Comma 2 2 2 3 4 4" xfId="918" xr:uid="{00000000-0005-0000-0000-000089000000}"/>
    <cellStyle name="Comma 2 2 2 3 5" xfId="241" xr:uid="{00000000-0005-0000-0000-00008A000000}"/>
    <cellStyle name="Comma 2 2 2 3 5 2" xfId="625" xr:uid="{00000000-0005-0000-0000-00008B000000}"/>
    <cellStyle name="Comma 2 2 2 3 5 2 2" xfId="1398" xr:uid="{00000000-0005-0000-0000-00008C000000}"/>
    <cellStyle name="Comma 2 2 2 3 5 3" xfId="1014" xr:uid="{00000000-0005-0000-0000-00008D000000}"/>
    <cellStyle name="Comma 2 2 2 3 6" xfId="433" xr:uid="{00000000-0005-0000-0000-00008E000000}"/>
    <cellStyle name="Comma 2 2 2 3 6 2" xfId="1206" xr:uid="{00000000-0005-0000-0000-00008F000000}"/>
    <cellStyle name="Comma 2 2 2 3 7" xfId="822" xr:uid="{00000000-0005-0000-0000-000090000000}"/>
    <cellStyle name="Comma 2 2 2 4" xfId="57" xr:uid="{00000000-0005-0000-0000-000091000000}"/>
    <cellStyle name="Comma 2 2 2 4 2" xfId="105" xr:uid="{00000000-0005-0000-0000-000092000000}"/>
    <cellStyle name="Comma 2 2 2 4 2 2" xfId="201" xr:uid="{00000000-0005-0000-0000-000093000000}"/>
    <cellStyle name="Comma 2 2 2 4 2 2 2" xfId="393" xr:uid="{00000000-0005-0000-0000-000094000000}"/>
    <cellStyle name="Comma 2 2 2 4 2 2 2 2" xfId="777" xr:uid="{00000000-0005-0000-0000-000095000000}"/>
    <cellStyle name="Comma 2 2 2 4 2 2 2 2 2" xfId="1550" xr:uid="{00000000-0005-0000-0000-000096000000}"/>
    <cellStyle name="Comma 2 2 2 4 2 2 2 3" xfId="1166" xr:uid="{00000000-0005-0000-0000-000097000000}"/>
    <cellStyle name="Comma 2 2 2 4 2 2 3" xfId="585" xr:uid="{00000000-0005-0000-0000-000098000000}"/>
    <cellStyle name="Comma 2 2 2 4 2 2 3 2" xfId="1358" xr:uid="{00000000-0005-0000-0000-000099000000}"/>
    <cellStyle name="Comma 2 2 2 4 2 2 4" xfId="974" xr:uid="{00000000-0005-0000-0000-00009A000000}"/>
    <cellStyle name="Comma 2 2 2 4 2 3" xfId="297" xr:uid="{00000000-0005-0000-0000-00009B000000}"/>
    <cellStyle name="Comma 2 2 2 4 2 3 2" xfId="681" xr:uid="{00000000-0005-0000-0000-00009C000000}"/>
    <cellStyle name="Comma 2 2 2 4 2 3 2 2" xfId="1454" xr:uid="{00000000-0005-0000-0000-00009D000000}"/>
    <cellStyle name="Comma 2 2 2 4 2 3 3" xfId="1070" xr:uid="{00000000-0005-0000-0000-00009E000000}"/>
    <cellStyle name="Comma 2 2 2 4 2 4" xfId="489" xr:uid="{00000000-0005-0000-0000-00009F000000}"/>
    <cellStyle name="Comma 2 2 2 4 2 4 2" xfId="1262" xr:uid="{00000000-0005-0000-0000-0000A0000000}"/>
    <cellStyle name="Comma 2 2 2 4 2 5" xfId="878" xr:uid="{00000000-0005-0000-0000-0000A1000000}"/>
    <cellStyle name="Comma 2 2 2 4 3" xfId="153" xr:uid="{00000000-0005-0000-0000-0000A2000000}"/>
    <cellStyle name="Comma 2 2 2 4 3 2" xfId="345" xr:uid="{00000000-0005-0000-0000-0000A3000000}"/>
    <cellStyle name="Comma 2 2 2 4 3 2 2" xfId="729" xr:uid="{00000000-0005-0000-0000-0000A4000000}"/>
    <cellStyle name="Comma 2 2 2 4 3 2 2 2" xfId="1502" xr:uid="{00000000-0005-0000-0000-0000A5000000}"/>
    <cellStyle name="Comma 2 2 2 4 3 2 3" xfId="1118" xr:uid="{00000000-0005-0000-0000-0000A6000000}"/>
    <cellStyle name="Comma 2 2 2 4 3 3" xfId="537" xr:uid="{00000000-0005-0000-0000-0000A7000000}"/>
    <cellStyle name="Comma 2 2 2 4 3 3 2" xfId="1310" xr:uid="{00000000-0005-0000-0000-0000A8000000}"/>
    <cellStyle name="Comma 2 2 2 4 3 4" xfId="926" xr:uid="{00000000-0005-0000-0000-0000A9000000}"/>
    <cellStyle name="Comma 2 2 2 4 4" xfId="249" xr:uid="{00000000-0005-0000-0000-0000AA000000}"/>
    <cellStyle name="Comma 2 2 2 4 4 2" xfId="633" xr:uid="{00000000-0005-0000-0000-0000AB000000}"/>
    <cellStyle name="Comma 2 2 2 4 4 2 2" xfId="1406" xr:uid="{00000000-0005-0000-0000-0000AC000000}"/>
    <cellStyle name="Comma 2 2 2 4 4 3" xfId="1022" xr:uid="{00000000-0005-0000-0000-0000AD000000}"/>
    <cellStyle name="Comma 2 2 2 4 5" xfId="441" xr:uid="{00000000-0005-0000-0000-0000AE000000}"/>
    <cellStyle name="Comma 2 2 2 4 5 2" xfId="1214" xr:uid="{00000000-0005-0000-0000-0000AF000000}"/>
    <cellStyle name="Comma 2 2 2 4 6" xfId="830" xr:uid="{00000000-0005-0000-0000-0000B0000000}"/>
    <cellStyle name="Comma 2 2 2 5" xfId="81" xr:uid="{00000000-0005-0000-0000-0000B1000000}"/>
    <cellStyle name="Comma 2 2 2 5 2" xfId="177" xr:uid="{00000000-0005-0000-0000-0000B2000000}"/>
    <cellStyle name="Comma 2 2 2 5 2 2" xfId="369" xr:uid="{00000000-0005-0000-0000-0000B3000000}"/>
    <cellStyle name="Comma 2 2 2 5 2 2 2" xfId="753" xr:uid="{00000000-0005-0000-0000-0000B4000000}"/>
    <cellStyle name="Comma 2 2 2 5 2 2 2 2" xfId="1526" xr:uid="{00000000-0005-0000-0000-0000B5000000}"/>
    <cellStyle name="Comma 2 2 2 5 2 2 3" xfId="1142" xr:uid="{00000000-0005-0000-0000-0000B6000000}"/>
    <cellStyle name="Comma 2 2 2 5 2 3" xfId="561" xr:uid="{00000000-0005-0000-0000-0000B7000000}"/>
    <cellStyle name="Comma 2 2 2 5 2 3 2" xfId="1334" xr:uid="{00000000-0005-0000-0000-0000B8000000}"/>
    <cellStyle name="Comma 2 2 2 5 2 4" xfId="950" xr:uid="{00000000-0005-0000-0000-0000B9000000}"/>
    <cellStyle name="Comma 2 2 2 5 3" xfId="273" xr:uid="{00000000-0005-0000-0000-0000BA000000}"/>
    <cellStyle name="Comma 2 2 2 5 3 2" xfId="657" xr:uid="{00000000-0005-0000-0000-0000BB000000}"/>
    <cellStyle name="Comma 2 2 2 5 3 2 2" xfId="1430" xr:uid="{00000000-0005-0000-0000-0000BC000000}"/>
    <cellStyle name="Comma 2 2 2 5 3 3" xfId="1046" xr:uid="{00000000-0005-0000-0000-0000BD000000}"/>
    <cellStyle name="Comma 2 2 2 5 4" xfId="465" xr:uid="{00000000-0005-0000-0000-0000BE000000}"/>
    <cellStyle name="Comma 2 2 2 5 4 2" xfId="1238" xr:uid="{00000000-0005-0000-0000-0000BF000000}"/>
    <cellStyle name="Comma 2 2 2 5 5" xfId="854" xr:uid="{00000000-0005-0000-0000-0000C0000000}"/>
    <cellStyle name="Comma 2 2 2 6" xfId="129" xr:uid="{00000000-0005-0000-0000-0000C1000000}"/>
    <cellStyle name="Comma 2 2 2 6 2" xfId="321" xr:uid="{00000000-0005-0000-0000-0000C2000000}"/>
    <cellStyle name="Comma 2 2 2 6 2 2" xfId="705" xr:uid="{00000000-0005-0000-0000-0000C3000000}"/>
    <cellStyle name="Comma 2 2 2 6 2 2 2" xfId="1478" xr:uid="{00000000-0005-0000-0000-0000C4000000}"/>
    <cellStyle name="Comma 2 2 2 6 2 3" xfId="1094" xr:uid="{00000000-0005-0000-0000-0000C5000000}"/>
    <cellStyle name="Comma 2 2 2 6 3" xfId="513" xr:uid="{00000000-0005-0000-0000-0000C6000000}"/>
    <cellStyle name="Comma 2 2 2 6 3 2" xfId="1286" xr:uid="{00000000-0005-0000-0000-0000C7000000}"/>
    <cellStyle name="Comma 2 2 2 6 4" xfId="902" xr:uid="{00000000-0005-0000-0000-0000C8000000}"/>
    <cellStyle name="Comma 2 2 2 7" xfId="225" xr:uid="{00000000-0005-0000-0000-0000C9000000}"/>
    <cellStyle name="Comma 2 2 2 7 2" xfId="609" xr:uid="{00000000-0005-0000-0000-0000CA000000}"/>
    <cellStyle name="Comma 2 2 2 7 2 2" xfId="1382" xr:uid="{00000000-0005-0000-0000-0000CB000000}"/>
    <cellStyle name="Comma 2 2 2 7 3" xfId="998" xr:uid="{00000000-0005-0000-0000-0000CC000000}"/>
    <cellStyle name="Comma 2 2 2 8" xfId="417" xr:uid="{00000000-0005-0000-0000-0000CD000000}"/>
    <cellStyle name="Comma 2 2 2 8 2" xfId="1190" xr:uid="{00000000-0005-0000-0000-0000CE000000}"/>
    <cellStyle name="Comma 2 2 2 9" xfId="806" xr:uid="{00000000-0005-0000-0000-0000CF000000}"/>
    <cellStyle name="Comma 2 2 3" xfId="37" xr:uid="{00000000-0005-0000-0000-0000D0000000}"/>
    <cellStyle name="Comma 2 2 3 2" xfId="61" xr:uid="{00000000-0005-0000-0000-0000D1000000}"/>
    <cellStyle name="Comma 2 2 3 2 2" xfId="109" xr:uid="{00000000-0005-0000-0000-0000D2000000}"/>
    <cellStyle name="Comma 2 2 3 2 2 2" xfId="205" xr:uid="{00000000-0005-0000-0000-0000D3000000}"/>
    <cellStyle name="Comma 2 2 3 2 2 2 2" xfId="397" xr:uid="{00000000-0005-0000-0000-0000D4000000}"/>
    <cellStyle name="Comma 2 2 3 2 2 2 2 2" xfId="781" xr:uid="{00000000-0005-0000-0000-0000D5000000}"/>
    <cellStyle name="Comma 2 2 3 2 2 2 2 2 2" xfId="1554" xr:uid="{00000000-0005-0000-0000-0000D6000000}"/>
    <cellStyle name="Comma 2 2 3 2 2 2 2 3" xfId="1170" xr:uid="{00000000-0005-0000-0000-0000D7000000}"/>
    <cellStyle name="Comma 2 2 3 2 2 2 3" xfId="589" xr:uid="{00000000-0005-0000-0000-0000D8000000}"/>
    <cellStyle name="Comma 2 2 3 2 2 2 3 2" xfId="1362" xr:uid="{00000000-0005-0000-0000-0000D9000000}"/>
    <cellStyle name="Comma 2 2 3 2 2 2 4" xfId="978" xr:uid="{00000000-0005-0000-0000-0000DA000000}"/>
    <cellStyle name="Comma 2 2 3 2 2 3" xfId="301" xr:uid="{00000000-0005-0000-0000-0000DB000000}"/>
    <cellStyle name="Comma 2 2 3 2 2 3 2" xfId="685" xr:uid="{00000000-0005-0000-0000-0000DC000000}"/>
    <cellStyle name="Comma 2 2 3 2 2 3 2 2" xfId="1458" xr:uid="{00000000-0005-0000-0000-0000DD000000}"/>
    <cellStyle name="Comma 2 2 3 2 2 3 3" xfId="1074" xr:uid="{00000000-0005-0000-0000-0000DE000000}"/>
    <cellStyle name="Comma 2 2 3 2 2 4" xfId="493" xr:uid="{00000000-0005-0000-0000-0000DF000000}"/>
    <cellStyle name="Comma 2 2 3 2 2 4 2" xfId="1266" xr:uid="{00000000-0005-0000-0000-0000E0000000}"/>
    <cellStyle name="Comma 2 2 3 2 2 5" xfId="882" xr:uid="{00000000-0005-0000-0000-0000E1000000}"/>
    <cellStyle name="Comma 2 2 3 2 3" xfId="157" xr:uid="{00000000-0005-0000-0000-0000E2000000}"/>
    <cellStyle name="Comma 2 2 3 2 3 2" xfId="349" xr:uid="{00000000-0005-0000-0000-0000E3000000}"/>
    <cellStyle name="Comma 2 2 3 2 3 2 2" xfId="733" xr:uid="{00000000-0005-0000-0000-0000E4000000}"/>
    <cellStyle name="Comma 2 2 3 2 3 2 2 2" xfId="1506" xr:uid="{00000000-0005-0000-0000-0000E5000000}"/>
    <cellStyle name="Comma 2 2 3 2 3 2 3" xfId="1122" xr:uid="{00000000-0005-0000-0000-0000E6000000}"/>
    <cellStyle name="Comma 2 2 3 2 3 3" xfId="541" xr:uid="{00000000-0005-0000-0000-0000E7000000}"/>
    <cellStyle name="Comma 2 2 3 2 3 3 2" xfId="1314" xr:uid="{00000000-0005-0000-0000-0000E8000000}"/>
    <cellStyle name="Comma 2 2 3 2 3 4" xfId="930" xr:uid="{00000000-0005-0000-0000-0000E9000000}"/>
    <cellStyle name="Comma 2 2 3 2 4" xfId="253" xr:uid="{00000000-0005-0000-0000-0000EA000000}"/>
    <cellStyle name="Comma 2 2 3 2 4 2" xfId="637" xr:uid="{00000000-0005-0000-0000-0000EB000000}"/>
    <cellStyle name="Comma 2 2 3 2 4 2 2" xfId="1410" xr:uid="{00000000-0005-0000-0000-0000EC000000}"/>
    <cellStyle name="Comma 2 2 3 2 4 3" xfId="1026" xr:uid="{00000000-0005-0000-0000-0000ED000000}"/>
    <cellStyle name="Comma 2 2 3 2 5" xfId="445" xr:uid="{00000000-0005-0000-0000-0000EE000000}"/>
    <cellStyle name="Comma 2 2 3 2 5 2" xfId="1218" xr:uid="{00000000-0005-0000-0000-0000EF000000}"/>
    <cellStyle name="Comma 2 2 3 2 6" xfId="834" xr:uid="{00000000-0005-0000-0000-0000F0000000}"/>
    <cellStyle name="Comma 2 2 3 3" xfId="85" xr:uid="{00000000-0005-0000-0000-0000F1000000}"/>
    <cellStyle name="Comma 2 2 3 3 2" xfId="181" xr:uid="{00000000-0005-0000-0000-0000F2000000}"/>
    <cellStyle name="Comma 2 2 3 3 2 2" xfId="373" xr:uid="{00000000-0005-0000-0000-0000F3000000}"/>
    <cellStyle name="Comma 2 2 3 3 2 2 2" xfId="757" xr:uid="{00000000-0005-0000-0000-0000F4000000}"/>
    <cellStyle name="Comma 2 2 3 3 2 2 2 2" xfId="1530" xr:uid="{00000000-0005-0000-0000-0000F5000000}"/>
    <cellStyle name="Comma 2 2 3 3 2 2 3" xfId="1146" xr:uid="{00000000-0005-0000-0000-0000F6000000}"/>
    <cellStyle name="Comma 2 2 3 3 2 3" xfId="565" xr:uid="{00000000-0005-0000-0000-0000F7000000}"/>
    <cellStyle name="Comma 2 2 3 3 2 3 2" xfId="1338" xr:uid="{00000000-0005-0000-0000-0000F8000000}"/>
    <cellStyle name="Comma 2 2 3 3 2 4" xfId="954" xr:uid="{00000000-0005-0000-0000-0000F9000000}"/>
    <cellStyle name="Comma 2 2 3 3 3" xfId="277" xr:uid="{00000000-0005-0000-0000-0000FA000000}"/>
    <cellStyle name="Comma 2 2 3 3 3 2" xfId="661" xr:uid="{00000000-0005-0000-0000-0000FB000000}"/>
    <cellStyle name="Comma 2 2 3 3 3 2 2" xfId="1434" xr:uid="{00000000-0005-0000-0000-0000FC000000}"/>
    <cellStyle name="Comma 2 2 3 3 3 3" xfId="1050" xr:uid="{00000000-0005-0000-0000-0000FD000000}"/>
    <cellStyle name="Comma 2 2 3 3 4" xfId="469" xr:uid="{00000000-0005-0000-0000-0000FE000000}"/>
    <cellStyle name="Comma 2 2 3 3 4 2" xfId="1242" xr:uid="{00000000-0005-0000-0000-0000FF000000}"/>
    <cellStyle name="Comma 2 2 3 3 5" xfId="858" xr:uid="{00000000-0005-0000-0000-000000010000}"/>
    <cellStyle name="Comma 2 2 3 4" xfId="133" xr:uid="{00000000-0005-0000-0000-000001010000}"/>
    <cellStyle name="Comma 2 2 3 4 2" xfId="325" xr:uid="{00000000-0005-0000-0000-000002010000}"/>
    <cellStyle name="Comma 2 2 3 4 2 2" xfId="709" xr:uid="{00000000-0005-0000-0000-000003010000}"/>
    <cellStyle name="Comma 2 2 3 4 2 2 2" xfId="1482" xr:uid="{00000000-0005-0000-0000-000004010000}"/>
    <cellStyle name="Comma 2 2 3 4 2 3" xfId="1098" xr:uid="{00000000-0005-0000-0000-000005010000}"/>
    <cellStyle name="Comma 2 2 3 4 3" xfId="517" xr:uid="{00000000-0005-0000-0000-000006010000}"/>
    <cellStyle name="Comma 2 2 3 4 3 2" xfId="1290" xr:uid="{00000000-0005-0000-0000-000007010000}"/>
    <cellStyle name="Comma 2 2 3 4 4" xfId="906" xr:uid="{00000000-0005-0000-0000-000008010000}"/>
    <cellStyle name="Comma 2 2 3 5" xfId="229" xr:uid="{00000000-0005-0000-0000-000009010000}"/>
    <cellStyle name="Comma 2 2 3 5 2" xfId="613" xr:uid="{00000000-0005-0000-0000-00000A010000}"/>
    <cellStyle name="Comma 2 2 3 5 2 2" xfId="1386" xr:uid="{00000000-0005-0000-0000-00000B010000}"/>
    <cellStyle name="Comma 2 2 3 5 3" xfId="1002" xr:uid="{00000000-0005-0000-0000-00000C010000}"/>
    <cellStyle name="Comma 2 2 3 6" xfId="421" xr:uid="{00000000-0005-0000-0000-00000D010000}"/>
    <cellStyle name="Comma 2 2 3 6 2" xfId="1194" xr:uid="{00000000-0005-0000-0000-00000E010000}"/>
    <cellStyle name="Comma 2 2 3 7" xfId="810" xr:uid="{00000000-0005-0000-0000-00000F010000}"/>
    <cellStyle name="Comma 2 2 4" xfId="45" xr:uid="{00000000-0005-0000-0000-000010010000}"/>
    <cellStyle name="Comma 2 2 4 2" xfId="69" xr:uid="{00000000-0005-0000-0000-000011010000}"/>
    <cellStyle name="Comma 2 2 4 2 2" xfId="117" xr:uid="{00000000-0005-0000-0000-000012010000}"/>
    <cellStyle name="Comma 2 2 4 2 2 2" xfId="213" xr:uid="{00000000-0005-0000-0000-000013010000}"/>
    <cellStyle name="Comma 2 2 4 2 2 2 2" xfId="405" xr:uid="{00000000-0005-0000-0000-000014010000}"/>
    <cellStyle name="Comma 2 2 4 2 2 2 2 2" xfId="789" xr:uid="{00000000-0005-0000-0000-000015010000}"/>
    <cellStyle name="Comma 2 2 4 2 2 2 2 2 2" xfId="1562" xr:uid="{00000000-0005-0000-0000-000016010000}"/>
    <cellStyle name="Comma 2 2 4 2 2 2 2 3" xfId="1178" xr:uid="{00000000-0005-0000-0000-000017010000}"/>
    <cellStyle name="Comma 2 2 4 2 2 2 3" xfId="597" xr:uid="{00000000-0005-0000-0000-000018010000}"/>
    <cellStyle name="Comma 2 2 4 2 2 2 3 2" xfId="1370" xr:uid="{00000000-0005-0000-0000-000019010000}"/>
    <cellStyle name="Comma 2 2 4 2 2 2 4" xfId="986" xr:uid="{00000000-0005-0000-0000-00001A010000}"/>
    <cellStyle name="Comma 2 2 4 2 2 3" xfId="309" xr:uid="{00000000-0005-0000-0000-00001B010000}"/>
    <cellStyle name="Comma 2 2 4 2 2 3 2" xfId="693" xr:uid="{00000000-0005-0000-0000-00001C010000}"/>
    <cellStyle name="Comma 2 2 4 2 2 3 2 2" xfId="1466" xr:uid="{00000000-0005-0000-0000-00001D010000}"/>
    <cellStyle name="Comma 2 2 4 2 2 3 3" xfId="1082" xr:uid="{00000000-0005-0000-0000-00001E010000}"/>
    <cellStyle name="Comma 2 2 4 2 2 4" xfId="501" xr:uid="{00000000-0005-0000-0000-00001F010000}"/>
    <cellStyle name="Comma 2 2 4 2 2 4 2" xfId="1274" xr:uid="{00000000-0005-0000-0000-000020010000}"/>
    <cellStyle name="Comma 2 2 4 2 2 5" xfId="890" xr:uid="{00000000-0005-0000-0000-000021010000}"/>
    <cellStyle name="Comma 2 2 4 2 3" xfId="165" xr:uid="{00000000-0005-0000-0000-000022010000}"/>
    <cellStyle name="Comma 2 2 4 2 3 2" xfId="357" xr:uid="{00000000-0005-0000-0000-000023010000}"/>
    <cellStyle name="Comma 2 2 4 2 3 2 2" xfId="741" xr:uid="{00000000-0005-0000-0000-000024010000}"/>
    <cellStyle name="Comma 2 2 4 2 3 2 2 2" xfId="1514" xr:uid="{00000000-0005-0000-0000-000025010000}"/>
    <cellStyle name="Comma 2 2 4 2 3 2 3" xfId="1130" xr:uid="{00000000-0005-0000-0000-000026010000}"/>
    <cellStyle name="Comma 2 2 4 2 3 3" xfId="549" xr:uid="{00000000-0005-0000-0000-000027010000}"/>
    <cellStyle name="Comma 2 2 4 2 3 3 2" xfId="1322" xr:uid="{00000000-0005-0000-0000-000028010000}"/>
    <cellStyle name="Comma 2 2 4 2 3 4" xfId="938" xr:uid="{00000000-0005-0000-0000-000029010000}"/>
    <cellStyle name="Comma 2 2 4 2 4" xfId="261" xr:uid="{00000000-0005-0000-0000-00002A010000}"/>
    <cellStyle name="Comma 2 2 4 2 4 2" xfId="645" xr:uid="{00000000-0005-0000-0000-00002B010000}"/>
    <cellStyle name="Comma 2 2 4 2 4 2 2" xfId="1418" xr:uid="{00000000-0005-0000-0000-00002C010000}"/>
    <cellStyle name="Comma 2 2 4 2 4 3" xfId="1034" xr:uid="{00000000-0005-0000-0000-00002D010000}"/>
    <cellStyle name="Comma 2 2 4 2 5" xfId="453" xr:uid="{00000000-0005-0000-0000-00002E010000}"/>
    <cellStyle name="Comma 2 2 4 2 5 2" xfId="1226" xr:uid="{00000000-0005-0000-0000-00002F010000}"/>
    <cellStyle name="Comma 2 2 4 2 6" xfId="842" xr:uid="{00000000-0005-0000-0000-000030010000}"/>
    <cellStyle name="Comma 2 2 4 3" xfId="93" xr:uid="{00000000-0005-0000-0000-000031010000}"/>
    <cellStyle name="Comma 2 2 4 3 2" xfId="189" xr:uid="{00000000-0005-0000-0000-000032010000}"/>
    <cellStyle name="Comma 2 2 4 3 2 2" xfId="381" xr:uid="{00000000-0005-0000-0000-000033010000}"/>
    <cellStyle name="Comma 2 2 4 3 2 2 2" xfId="765" xr:uid="{00000000-0005-0000-0000-000034010000}"/>
    <cellStyle name="Comma 2 2 4 3 2 2 2 2" xfId="1538" xr:uid="{00000000-0005-0000-0000-000035010000}"/>
    <cellStyle name="Comma 2 2 4 3 2 2 3" xfId="1154" xr:uid="{00000000-0005-0000-0000-000036010000}"/>
    <cellStyle name="Comma 2 2 4 3 2 3" xfId="573" xr:uid="{00000000-0005-0000-0000-000037010000}"/>
    <cellStyle name="Comma 2 2 4 3 2 3 2" xfId="1346" xr:uid="{00000000-0005-0000-0000-000038010000}"/>
    <cellStyle name="Comma 2 2 4 3 2 4" xfId="962" xr:uid="{00000000-0005-0000-0000-000039010000}"/>
    <cellStyle name="Comma 2 2 4 3 3" xfId="285" xr:uid="{00000000-0005-0000-0000-00003A010000}"/>
    <cellStyle name="Comma 2 2 4 3 3 2" xfId="669" xr:uid="{00000000-0005-0000-0000-00003B010000}"/>
    <cellStyle name="Comma 2 2 4 3 3 2 2" xfId="1442" xr:uid="{00000000-0005-0000-0000-00003C010000}"/>
    <cellStyle name="Comma 2 2 4 3 3 3" xfId="1058" xr:uid="{00000000-0005-0000-0000-00003D010000}"/>
    <cellStyle name="Comma 2 2 4 3 4" xfId="477" xr:uid="{00000000-0005-0000-0000-00003E010000}"/>
    <cellStyle name="Comma 2 2 4 3 4 2" xfId="1250" xr:uid="{00000000-0005-0000-0000-00003F010000}"/>
    <cellStyle name="Comma 2 2 4 3 5" xfId="866" xr:uid="{00000000-0005-0000-0000-000040010000}"/>
    <cellStyle name="Comma 2 2 4 4" xfId="141" xr:uid="{00000000-0005-0000-0000-000041010000}"/>
    <cellStyle name="Comma 2 2 4 4 2" xfId="333" xr:uid="{00000000-0005-0000-0000-000042010000}"/>
    <cellStyle name="Comma 2 2 4 4 2 2" xfId="717" xr:uid="{00000000-0005-0000-0000-000043010000}"/>
    <cellStyle name="Comma 2 2 4 4 2 2 2" xfId="1490" xr:uid="{00000000-0005-0000-0000-000044010000}"/>
    <cellStyle name="Comma 2 2 4 4 2 3" xfId="1106" xr:uid="{00000000-0005-0000-0000-000045010000}"/>
    <cellStyle name="Comma 2 2 4 4 3" xfId="525" xr:uid="{00000000-0005-0000-0000-000046010000}"/>
    <cellStyle name="Comma 2 2 4 4 3 2" xfId="1298" xr:uid="{00000000-0005-0000-0000-000047010000}"/>
    <cellStyle name="Comma 2 2 4 4 4" xfId="914" xr:uid="{00000000-0005-0000-0000-000048010000}"/>
    <cellStyle name="Comma 2 2 4 5" xfId="237" xr:uid="{00000000-0005-0000-0000-000049010000}"/>
    <cellStyle name="Comma 2 2 4 5 2" xfId="621" xr:uid="{00000000-0005-0000-0000-00004A010000}"/>
    <cellStyle name="Comma 2 2 4 5 2 2" xfId="1394" xr:uid="{00000000-0005-0000-0000-00004B010000}"/>
    <cellStyle name="Comma 2 2 4 5 3" xfId="1010" xr:uid="{00000000-0005-0000-0000-00004C010000}"/>
    <cellStyle name="Comma 2 2 4 6" xfId="429" xr:uid="{00000000-0005-0000-0000-00004D010000}"/>
    <cellStyle name="Comma 2 2 4 6 2" xfId="1202" xr:uid="{00000000-0005-0000-0000-00004E010000}"/>
    <cellStyle name="Comma 2 2 4 7" xfId="818" xr:uid="{00000000-0005-0000-0000-00004F010000}"/>
    <cellStyle name="Comma 2 2 5" xfId="53" xr:uid="{00000000-0005-0000-0000-000050010000}"/>
    <cellStyle name="Comma 2 2 5 2" xfId="101" xr:uid="{00000000-0005-0000-0000-000051010000}"/>
    <cellStyle name="Comma 2 2 5 2 2" xfId="197" xr:uid="{00000000-0005-0000-0000-000052010000}"/>
    <cellStyle name="Comma 2 2 5 2 2 2" xfId="389" xr:uid="{00000000-0005-0000-0000-000053010000}"/>
    <cellStyle name="Comma 2 2 5 2 2 2 2" xfId="773" xr:uid="{00000000-0005-0000-0000-000054010000}"/>
    <cellStyle name="Comma 2 2 5 2 2 2 2 2" xfId="1546" xr:uid="{00000000-0005-0000-0000-000055010000}"/>
    <cellStyle name="Comma 2 2 5 2 2 2 3" xfId="1162" xr:uid="{00000000-0005-0000-0000-000056010000}"/>
    <cellStyle name="Comma 2 2 5 2 2 3" xfId="581" xr:uid="{00000000-0005-0000-0000-000057010000}"/>
    <cellStyle name="Comma 2 2 5 2 2 3 2" xfId="1354" xr:uid="{00000000-0005-0000-0000-000058010000}"/>
    <cellStyle name="Comma 2 2 5 2 2 4" xfId="970" xr:uid="{00000000-0005-0000-0000-000059010000}"/>
    <cellStyle name="Comma 2 2 5 2 3" xfId="293" xr:uid="{00000000-0005-0000-0000-00005A010000}"/>
    <cellStyle name="Comma 2 2 5 2 3 2" xfId="677" xr:uid="{00000000-0005-0000-0000-00005B010000}"/>
    <cellStyle name="Comma 2 2 5 2 3 2 2" xfId="1450" xr:uid="{00000000-0005-0000-0000-00005C010000}"/>
    <cellStyle name="Comma 2 2 5 2 3 3" xfId="1066" xr:uid="{00000000-0005-0000-0000-00005D010000}"/>
    <cellStyle name="Comma 2 2 5 2 4" xfId="485" xr:uid="{00000000-0005-0000-0000-00005E010000}"/>
    <cellStyle name="Comma 2 2 5 2 4 2" xfId="1258" xr:uid="{00000000-0005-0000-0000-00005F010000}"/>
    <cellStyle name="Comma 2 2 5 2 5" xfId="874" xr:uid="{00000000-0005-0000-0000-000060010000}"/>
    <cellStyle name="Comma 2 2 5 3" xfId="149" xr:uid="{00000000-0005-0000-0000-000061010000}"/>
    <cellStyle name="Comma 2 2 5 3 2" xfId="341" xr:uid="{00000000-0005-0000-0000-000062010000}"/>
    <cellStyle name="Comma 2 2 5 3 2 2" xfId="725" xr:uid="{00000000-0005-0000-0000-000063010000}"/>
    <cellStyle name="Comma 2 2 5 3 2 2 2" xfId="1498" xr:uid="{00000000-0005-0000-0000-000064010000}"/>
    <cellStyle name="Comma 2 2 5 3 2 3" xfId="1114" xr:uid="{00000000-0005-0000-0000-000065010000}"/>
    <cellStyle name="Comma 2 2 5 3 3" xfId="533" xr:uid="{00000000-0005-0000-0000-000066010000}"/>
    <cellStyle name="Comma 2 2 5 3 3 2" xfId="1306" xr:uid="{00000000-0005-0000-0000-000067010000}"/>
    <cellStyle name="Comma 2 2 5 3 4" xfId="922" xr:uid="{00000000-0005-0000-0000-000068010000}"/>
    <cellStyle name="Comma 2 2 5 4" xfId="245" xr:uid="{00000000-0005-0000-0000-000069010000}"/>
    <cellStyle name="Comma 2 2 5 4 2" xfId="629" xr:uid="{00000000-0005-0000-0000-00006A010000}"/>
    <cellStyle name="Comma 2 2 5 4 2 2" xfId="1402" xr:uid="{00000000-0005-0000-0000-00006B010000}"/>
    <cellStyle name="Comma 2 2 5 4 3" xfId="1018" xr:uid="{00000000-0005-0000-0000-00006C010000}"/>
    <cellStyle name="Comma 2 2 5 5" xfId="437" xr:uid="{00000000-0005-0000-0000-00006D010000}"/>
    <cellStyle name="Comma 2 2 5 5 2" xfId="1210" xr:uid="{00000000-0005-0000-0000-00006E010000}"/>
    <cellStyle name="Comma 2 2 5 6" xfId="826" xr:uid="{00000000-0005-0000-0000-00006F010000}"/>
    <cellStyle name="Comma 2 2 6" xfId="77" xr:uid="{00000000-0005-0000-0000-000070010000}"/>
    <cellStyle name="Comma 2 2 6 2" xfId="173" xr:uid="{00000000-0005-0000-0000-000071010000}"/>
    <cellStyle name="Comma 2 2 6 2 2" xfId="365" xr:uid="{00000000-0005-0000-0000-000072010000}"/>
    <cellStyle name="Comma 2 2 6 2 2 2" xfId="749" xr:uid="{00000000-0005-0000-0000-000073010000}"/>
    <cellStyle name="Comma 2 2 6 2 2 2 2" xfId="1522" xr:uid="{00000000-0005-0000-0000-000074010000}"/>
    <cellStyle name="Comma 2 2 6 2 2 3" xfId="1138" xr:uid="{00000000-0005-0000-0000-000075010000}"/>
    <cellStyle name="Comma 2 2 6 2 3" xfId="557" xr:uid="{00000000-0005-0000-0000-000076010000}"/>
    <cellStyle name="Comma 2 2 6 2 3 2" xfId="1330" xr:uid="{00000000-0005-0000-0000-000077010000}"/>
    <cellStyle name="Comma 2 2 6 2 4" xfId="946" xr:uid="{00000000-0005-0000-0000-000078010000}"/>
    <cellStyle name="Comma 2 2 6 3" xfId="269" xr:uid="{00000000-0005-0000-0000-000079010000}"/>
    <cellStyle name="Comma 2 2 6 3 2" xfId="653" xr:uid="{00000000-0005-0000-0000-00007A010000}"/>
    <cellStyle name="Comma 2 2 6 3 2 2" xfId="1426" xr:uid="{00000000-0005-0000-0000-00007B010000}"/>
    <cellStyle name="Comma 2 2 6 3 3" xfId="1042" xr:uid="{00000000-0005-0000-0000-00007C010000}"/>
    <cellStyle name="Comma 2 2 6 4" xfId="461" xr:uid="{00000000-0005-0000-0000-00007D010000}"/>
    <cellStyle name="Comma 2 2 6 4 2" xfId="1234" xr:uid="{00000000-0005-0000-0000-00007E010000}"/>
    <cellStyle name="Comma 2 2 6 5" xfId="850" xr:uid="{00000000-0005-0000-0000-00007F010000}"/>
    <cellStyle name="Comma 2 2 7" xfId="125" xr:uid="{00000000-0005-0000-0000-000080010000}"/>
    <cellStyle name="Comma 2 2 7 2" xfId="317" xr:uid="{00000000-0005-0000-0000-000081010000}"/>
    <cellStyle name="Comma 2 2 7 2 2" xfId="701" xr:uid="{00000000-0005-0000-0000-000082010000}"/>
    <cellStyle name="Comma 2 2 7 2 2 2" xfId="1474" xr:uid="{00000000-0005-0000-0000-000083010000}"/>
    <cellStyle name="Comma 2 2 7 2 3" xfId="1090" xr:uid="{00000000-0005-0000-0000-000084010000}"/>
    <cellStyle name="Comma 2 2 7 3" xfId="509" xr:uid="{00000000-0005-0000-0000-000085010000}"/>
    <cellStyle name="Comma 2 2 7 3 2" xfId="1282" xr:uid="{00000000-0005-0000-0000-000086010000}"/>
    <cellStyle name="Comma 2 2 7 4" xfId="898" xr:uid="{00000000-0005-0000-0000-000087010000}"/>
    <cellStyle name="Comma 2 2 8" xfId="221" xr:uid="{00000000-0005-0000-0000-000088010000}"/>
    <cellStyle name="Comma 2 2 8 2" xfId="605" xr:uid="{00000000-0005-0000-0000-000089010000}"/>
    <cellStyle name="Comma 2 2 8 2 2" xfId="1378" xr:uid="{00000000-0005-0000-0000-00008A010000}"/>
    <cellStyle name="Comma 2 2 8 3" xfId="994" xr:uid="{00000000-0005-0000-0000-00008B010000}"/>
    <cellStyle name="Comma 2 2 9" xfId="413" xr:uid="{00000000-0005-0000-0000-00008C010000}"/>
    <cellStyle name="Comma 2 2 9 2" xfId="1186" xr:uid="{00000000-0005-0000-0000-00008D010000}"/>
    <cellStyle name="Comma 2 3" xfId="31" xr:uid="{00000000-0005-0000-0000-00008E010000}"/>
    <cellStyle name="Comma 2 3 2" xfId="39" xr:uid="{00000000-0005-0000-0000-00008F010000}"/>
    <cellStyle name="Comma 2 3 2 2" xfId="63" xr:uid="{00000000-0005-0000-0000-000090010000}"/>
    <cellStyle name="Comma 2 3 2 2 2" xfId="111" xr:uid="{00000000-0005-0000-0000-000091010000}"/>
    <cellStyle name="Comma 2 3 2 2 2 2" xfId="207" xr:uid="{00000000-0005-0000-0000-000092010000}"/>
    <cellStyle name="Comma 2 3 2 2 2 2 2" xfId="399" xr:uid="{00000000-0005-0000-0000-000093010000}"/>
    <cellStyle name="Comma 2 3 2 2 2 2 2 2" xfId="783" xr:uid="{00000000-0005-0000-0000-000094010000}"/>
    <cellStyle name="Comma 2 3 2 2 2 2 2 2 2" xfId="1556" xr:uid="{00000000-0005-0000-0000-000095010000}"/>
    <cellStyle name="Comma 2 3 2 2 2 2 2 3" xfId="1172" xr:uid="{00000000-0005-0000-0000-000096010000}"/>
    <cellStyle name="Comma 2 3 2 2 2 2 3" xfId="591" xr:uid="{00000000-0005-0000-0000-000097010000}"/>
    <cellStyle name="Comma 2 3 2 2 2 2 3 2" xfId="1364" xr:uid="{00000000-0005-0000-0000-000098010000}"/>
    <cellStyle name="Comma 2 3 2 2 2 2 4" xfId="980" xr:uid="{00000000-0005-0000-0000-000099010000}"/>
    <cellStyle name="Comma 2 3 2 2 2 3" xfId="303" xr:uid="{00000000-0005-0000-0000-00009A010000}"/>
    <cellStyle name="Comma 2 3 2 2 2 3 2" xfId="687" xr:uid="{00000000-0005-0000-0000-00009B010000}"/>
    <cellStyle name="Comma 2 3 2 2 2 3 2 2" xfId="1460" xr:uid="{00000000-0005-0000-0000-00009C010000}"/>
    <cellStyle name="Comma 2 3 2 2 2 3 3" xfId="1076" xr:uid="{00000000-0005-0000-0000-00009D010000}"/>
    <cellStyle name="Comma 2 3 2 2 2 4" xfId="495" xr:uid="{00000000-0005-0000-0000-00009E010000}"/>
    <cellStyle name="Comma 2 3 2 2 2 4 2" xfId="1268" xr:uid="{00000000-0005-0000-0000-00009F010000}"/>
    <cellStyle name="Comma 2 3 2 2 2 5" xfId="884" xr:uid="{00000000-0005-0000-0000-0000A0010000}"/>
    <cellStyle name="Comma 2 3 2 2 3" xfId="159" xr:uid="{00000000-0005-0000-0000-0000A1010000}"/>
    <cellStyle name="Comma 2 3 2 2 3 2" xfId="351" xr:uid="{00000000-0005-0000-0000-0000A2010000}"/>
    <cellStyle name="Comma 2 3 2 2 3 2 2" xfId="735" xr:uid="{00000000-0005-0000-0000-0000A3010000}"/>
    <cellStyle name="Comma 2 3 2 2 3 2 2 2" xfId="1508" xr:uid="{00000000-0005-0000-0000-0000A4010000}"/>
    <cellStyle name="Comma 2 3 2 2 3 2 3" xfId="1124" xr:uid="{00000000-0005-0000-0000-0000A5010000}"/>
    <cellStyle name="Comma 2 3 2 2 3 3" xfId="543" xr:uid="{00000000-0005-0000-0000-0000A6010000}"/>
    <cellStyle name="Comma 2 3 2 2 3 3 2" xfId="1316" xr:uid="{00000000-0005-0000-0000-0000A7010000}"/>
    <cellStyle name="Comma 2 3 2 2 3 4" xfId="932" xr:uid="{00000000-0005-0000-0000-0000A8010000}"/>
    <cellStyle name="Comma 2 3 2 2 4" xfId="255" xr:uid="{00000000-0005-0000-0000-0000A9010000}"/>
    <cellStyle name="Comma 2 3 2 2 4 2" xfId="639" xr:uid="{00000000-0005-0000-0000-0000AA010000}"/>
    <cellStyle name="Comma 2 3 2 2 4 2 2" xfId="1412" xr:uid="{00000000-0005-0000-0000-0000AB010000}"/>
    <cellStyle name="Comma 2 3 2 2 4 3" xfId="1028" xr:uid="{00000000-0005-0000-0000-0000AC010000}"/>
    <cellStyle name="Comma 2 3 2 2 5" xfId="447" xr:uid="{00000000-0005-0000-0000-0000AD010000}"/>
    <cellStyle name="Comma 2 3 2 2 5 2" xfId="1220" xr:uid="{00000000-0005-0000-0000-0000AE010000}"/>
    <cellStyle name="Comma 2 3 2 2 6" xfId="836" xr:uid="{00000000-0005-0000-0000-0000AF010000}"/>
    <cellStyle name="Comma 2 3 2 3" xfId="87" xr:uid="{00000000-0005-0000-0000-0000B0010000}"/>
    <cellStyle name="Comma 2 3 2 3 2" xfId="183" xr:uid="{00000000-0005-0000-0000-0000B1010000}"/>
    <cellStyle name="Comma 2 3 2 3 2 2" xfId="375" xr:uid="{00000000-0005-0000-0000-0000B2010000}"/>
    <cellStyle name="Comma 2 3 2 3 2 2 2" xfId="759" xr:uid="{00000000-0005-0000-0000-0000B3010000}"/>
    <cellStyle name="Comma 2 3 2 3 2 2 2 2" xfId="1532" xr:uid="{00000000-0005-0000-0000-0000B4010000}"/>
    <cellStyle name="Comma 2 3 2 3 2 2 3" xfId="1148" xr:uid="{00000000-0005-0000-0000-0000B5010000}"/>
    <cellStyle name="Comma 2 3 2 3 2 3" xfId="567" xr:uid="{00000000-0005-0000-0000-0000B6010000}"/>
    <cellStyle name="Comma 2 3 2 3 2 3 2" xfId="1340" xr:uid="{00000000-0005-0000-0000-0000B7010000}"/>
    <cellStyle name="Comma 2 3 2 3 2 4" xfId="956" xr:uid="{00000000-0005-0000-0000-0000B8010000}"/>
    <cellStyle name="Comma 2 3 2 3 3" xfId="279" xr:uid="{00000000-0005-0000-0000-0000B9010000}"/>
    <cellStyle name="Comma 2 3 2 3 3 2" xfId="663" xr:uid="{00000000-0005-0000-0000-0000BA010000}"/>
    <cellStyle name="Comma 2 3 2 3 3 2 2" xfId="1436" xr:uid="{00000000-0005-0000-0000-0000BB010000}"/>
    <cellStyle name="Comma 2 3 2 3 3 3" xfId="1052" xr:uid="{00000000-0005-0000-0000-0000BC010000}"/>
    <cellStyle name="Comma 2 3 2 3 4" xfId="471" xr:uid="{00000000-0005-0000-0000-0000BD010000}"/>
    <cellStyle name="Comma 2 3 2 3 4 2" xfId="1244" xr:uid="{00000000-0005-0000-0000-0000BE010000}"/>
    <cellStyle name="Comma 2 3 2 3 5" xfId="860" xr:uid="{00000000-0005-0000-0000-0000BF010000}"/>
    <cellStyle name="Comma 2 3 2 4" xfId="135" xr:uid="{00000000-0005-0000-0000-0000C0010000}"/>
    <cellStyle name="Comma 2 3 2 4 2" xfId="327" xr:uid="{00000000-0005-0000-0000-0000C1010000}"/>
    <cellStyle name="Comma 2 3 2 4 2 2" xfId="711" xr:uid="{00000000-0005-0000-0000-0000C2010000}"/>
    <cellStyle name="Comma 2 3 2 4 2 2 2" xfId="1484" xr:uid="{00000000-0005-0000-0000-0000C3010000}"/>
    <cellStyle name="Comma 2 3 2 4 2 3" xfId="1100" xr:uid="{00000000-0005-0000-0000-0000C4010000}"/>
    <cellStyle name="Comma 2 3 2 4 3" xfId="519" xr:uid="{00000000-0005-0000-0000-0000C5010000}"/>
    <cellStyle name="Comma 2 3 2 4 3 2" xfId="1292" xr:uid="{00000000-0005-0000-0000-0000C6010000}"/>
    <cellStyle name="Comma 2 3 2 4 4" xfId="908" xr:uid="{00000000-0005-0000-0000-0000C7010000}"/>
    <cellStyle name="Comma 2 3 2 5" xfId="231" xr:uid="{00000000-0005-0000-0000-0000C8010000}"/>
    <cellStyle name="Comma 2 3 2 5 2" xfId="615" xr:uid="{00000000-0005-0000-0000-0000C9010000}"/>
    <cellStyle name="Comma 2 3 2 5 2 2" xfId="1388" xr:uid="{00000000-0005-0000-0000-0000CA010000}"/>
    <cellStyle name="Comma 2 3 2 5 3" xfId="1004" xr:uid="{00000000-0005-0000-0000-0000CB010000}"/>
    <cellStyle name="Comma 2 3 2 6" xfId="423" xr:uid="{00000000-0005-0000-0000-0000CC010000}"/>
    <cellStyle name="Comma 2 3 2 6 2" xfId="1196" xr:uid="{00000000-0005-0000-0000-0000CD010000}"/>
    <cellStyle name="Comma 2 3 2 7" xfId="812" xr:uid="{00000000-0005-0000-0000-0000CE010000}"/>
    <cellStyle name="Comma 2 3 3" xfId="47" xr:uid="{00000000-0005-0000-0000-0000CF010000}"/>
    <cellStyle name="Comma 2 3 3 2" xfId="71" xr:uid="{00000000-0005-0000-0000-0000D0010000}"/>
    <cellStyle name="Comma 2 3 3 2 2" xfId="119" xr:uid="{00000000-0005-0000-0000-0000D1010000}"/>
    <cellStyle name="Comma 2 3 3 2 2 2" xfId="215" xr:uid="{00000000-0005-0000-0000-0000D2010000}"/>
    <cellStyle name="Comma 2 3 3 2 2 2 2" xfId="407" xr:uid="{00000000-0005-0000-0000-0000D3010000}"/>
    <cellStyle name="Comma 2 3 3 2 2 2 2 2" xfId="791" xr:uid="{00000000-0005-0000-0000-0000D4010000}"/>
    <cellStyle name="Comma 2 3 3 2 2 2 2 2 2" xfId="1564" xr:uid="{00000000-0005-0000-0000-0000D5010000}"/>
    <cellStyle name="Comma 2 3 3 2 2 2 2 3" xfId="1180" xr:uid="{00000000-0005-0000-0000-0000D6010000}"/>
    <cellStyle name="Comma 2 3 3 2 2 2 3" xfId="599" xr:uid="{00000000-0005-0000-0000-0000D7010000}"/>
    <cellStyle name="Comma 2 3 3 2 2 2 3 2" xfId="1372" xr:uid="{00000000-0005-0000-0000-0000D8010000}"/>
    <cellStyle name="Comma 2 3 3 2 2 2 4" xfId="988" xr:uid="{00000000-0005-0000-0000-0000D9010000}"/>
    <cellStyle name="Comma 2 3 3 2 2 3" xfId="311" xr:uid="{00000000-0005-0000-0000-0000DA010000}"/>
    <cellStyle name="Comma 2 3 3 2 2 3 2" xfId="695" xr:uid="{00000000-0005-0000-0000-0000DB010000}"/>
    <cellStyle name="Comma 2 3 3 2 2 3 2 2" xfId="1468" xr:uid="{00000000-0005-0000-0000-0000DC010000}"/>
    <cellStyle name="Comma 2 3 3 2 2 3 3" xfId="1084" xr:uid="{00000000-0005-0000-0000-0000DD010000}"/>
    <cellStyle name="Comma 2 3 3 2 2 4" xfId="503" xr:uid="{00000000-0005-0000-0000-0000DE010000}"/>
    <cellStyle name="Comma 2 3 3 2 2 4 2" xfId="1276" xr:uid="{00000000-0005-0000-0000-0000DF010000}"/>
    <cellStyle name="Comma 2 3 3 2 2 5" xfId="892" xr:uid="{00000000-0005-0000-0000-0000E0010000}"/>
    <cellStyle name="Comma 2 3 3 2 3" xfId="167" xr:uid="{00000000-0005-0000-0000-0000E1010000}"/>
    <cellStyle name="Comma 2 3 3 2 3 2" xfId="359" xr:uid="{00000000-0005-0000-0000-0000E2010000}"/>
    <cellStyle name="Comma 2 3 3 2 3 2 2" xfId="743" xr:uid="{00000000-0005-0000-0000-0000E3010000}"/>
    <cellStyle name="Comma 2 3 3 2 3 2 2 2" xfId="1516" xr:uid="{00000000-0005-0000-0000-0000E4010000}"/>
    <cellStyle name="Comma 2 3 3 2 3 2 3" xfId="1132" xr:uid="{00000000-0005-0000-0000-0000E5010000}"/>
    <cellStyle name="Comma 2 3 3 2 3 3" xfId="551" xr:uid="{00000000-0005-0000-0000-0000E6010000}"/>
    <cellStyle name="Comma 2 3 3 2 3 3 2" xfId="1324" xr:uid="{00000000-0005-0000-0000-0000E7010000}"/>
    <cellStyle name="Comma 2 3 3 2 3 4" xfId="940" xr:uid="{00000000-0005-0000-0000-0000E8010000}"/>
    <cellStyle name="Comma 2 3 3 2 4" xfId="263" xr:uid="{00000000-0005-0000-0000-0000E9010000}"/>
    <cellStyle name="Comma 2 3 3 2 4 2" xfId="647" xr:uid="{00000000-0005-0000-0000-0000EA010000}"/>
    <cellStyle name="Comma 2 3 3 2 4 2 2" xfId="1420" xr:uid="{00000000-0005-0000-0000-0000EB010000}"/>
    <cellStyle name="Comma 2 3 3 2 4 3" xfId="1036" xr:uid="{00000000-0005-0000-0000-0000EC010000}"/>
    <cellStyle name="Comma 2 3 3 2 5" xfId="455" xr:uid="{00000000-0005-0000-0000-0000ED010000}"/>
    <cellStyle name="Comma 2 3 3 2 5 2" xfId="1228" xr:uid="{00000000-0005-0000-0000-0000EE010000}"/>
    <cellStyle name="Comma 2 3 3 2 6" xfId="844" xr:uid="{00000000-0005-0000-0000-0000EF010000}"/>
    <cellStyle name="Comma 2 3 3 3" xfId="95" xr:uid="{00000000-0005-0000-0000-0000F0010000}"/>
    <cellStyle name="Comma 2 3 3 3 2" xfId="191" xr:uid="{00000000-0005-0000-0000-0000F1010000}"/>
    <cellStyle name="Comma 2 3 3 3 2 2" xfId="383" xr:uid="{00000000-0005-0000-0000-0000F2010000}"/>
    <cellStyle name="Comma 2 3 3 3 2 2 2" xfId="767" xr:uid="{00000000-0005-0000-0000-0000F3010000}"/>
    <cellStyle name="Comma 2 3 3 3 2 2 2 2" xfId="1540" xr:uid="{00000000-0005-0000-0000-0000F4010000}"/>
    <cellStyle name="Comma 2 3 3 3 2 2 3" xfId="1156" xr:uid="{00000000-0005-0000-0000-0000F5010000}"/>
    <cellStyle name="Comma 2 3 3 3 2 3" xfId="575" xr:uid="{00000000-0005-0000-0000-0000F6010000}"/>
    <cellStyle name="Comma 2 3 3 3 2 3 2" xfId="1348" xr:uid="{00000000-0005-0000-0000-0000F7010000}"/>
    <cellStyle name="Comma 2 3 3 3 2 4" xfId="964" xr:uid="{00000000-0005-0000-0000-0000F8010000}"/>
    <cellStyle name="Comma 2 3 3 3 3" xfId="287" xr:uid="{00000000-0005-0000-0000-0000F9010000}"/>
    <cellStyle name="Comma 2 3 3 3 3 2" xfId="671" xr:uid="{00000000-0005-0000-0000-0000FA010000}"/>
    <cellStyle name="Comma 2 3 3 3 3 2 2" xfId="1444" xr:uid="{00000000-0005-0000-0000-0000FB010000}"/>
    <cellStyle name="Comma 2 3 3 3 3 3" xfId="1060" xr:uid="{00000000-0005-0000-0000-0000FC010000}"/>
    <cellStyle name="Comma 2 3 3 3 4" xfId="479" xr:uid="{00000000-0005-0000-0000-0000FD010000}"/>
    <cellStyle name="Comma 2 3 3 3 4 2" xfId="1252" xr:uid="{00000000-0005-0000-0000-0000FE010000}"/>
    <cellStyle name="Comma 2 3 3 3 5" xfId="868" xr:uid="{00000000-0005-0000-0000-0000FF010000}"/>
    <cellStyle name="Comma 2 3 3 4" xfId="143" xr:uid="{00000000-0005-0000-0000-000000020000}"/>
    <cellStyle name="Comma 2 3 3 4 2" xfId="335" xr:uid="{00000000-0005-0000-0000-000001020000}"/>
    <cellStyle name="Comma 2 3 3 4 2 2" xfId="719" xr:uid="{00000000-0005-0000-0000-000002020000}"/>
    <cellStyle name="Comma 2 3 3 4 2 2 2" xfId="1492" xr:uid="{00000000-0005-0000-0000-000003020000}"/>
    <cellStyle name="Comma 2 3 3 4 2 3" xfId="1108" xr:uid="{00000000-0005-0000-0000-000004020000}"/>
    <cellStyle name="Comma 2 3 3 4 3" xfId="527" xr:uid="{00000000-0005-0000-0000-000005020000}"/>
    <cellStyle name="Comma 2 3 3 4 3 2" xfId="1300" xr:uid="{00000000-0005-0000-0000-000006020000}"/>
    <cellStyle name="Comma 2 3 3 4 4" xfId="916" xr:uid="{00000000-0005-0000-0000-000007020000}"/>
    <cellStyle name="Comma 2 3 3 5" xfId="239" xr:uid="{00000000-0005-0000-0000-000008020000}"/>
    <cellStyle name="Comma 2 3 3 5 2" xfId="623" xr:uid="{00000000-0005-0000-0000-000009020000}"/>
    <cellStyle name="Comma 2 3 3 5 2 2" xfId="1396" xr:uid="{00000000-0005-0000-0000-00000A020000}"/>
    <cellStyle name="Comma 2 3 3 5 3" xfId="1012" xr:uid="{00000000-0005-0000-0000-00000B020000}"/>
    <cellStyle name="Comma 2 3 3 6" xfId="431" xr:uid="{00000000-0005-0000-0000-00000C020000}"/>
    <cellStyle name="Comma 2 3 3 6 2" xfId="1204" xr:uid="{00000000-0005-0000-0000-00000D020000}"/>
    <cellStyle name="Comma 2 3 3 7" xfId="820" xr:uid="{00000000-0005-0000-0000-00000E020000}"/>
    <cellStyle name="Comma 2 3 4" xfId="55" xr:uid="{00000000-0005-0000-0000-00000F020000}"/>
    <cellStyle name="Comma 2 3 4 2" xfId="103" xr:uid="{00000000-0005-0000-0000-000010020000}"/>
    <cellStyle name="Comma 2 3 4 2 2" xfId="199" xr:uid="{00000000-0005-0000-0000-000011020000}"/>
    <cellStyle name="Comma 2 3 4 2 2 2" xfId="391" xr:uid="{00000000-0005-0000-0000-000012020000}"/>
    <cellStyle name="Comma 2 3 4 2 2 2 2" xfId="775" xr:uid="{00000000-0005-0000-0000-000013020000}"/>
    <cellStyle name="Comma 2 3 4 2 2 2 2 2" xfId="1548" xr:uid="{00000000-0005-0000-0000-000014020000}"/>
    <cellStyle name="Comma 2 3 4 2 2 2 3" xfId="1164" xr:uid="{00000000-0005-0000-0000-000015020000}"/>
    <cellStyle name="Comma 2 3 4 2 2 3" xfId="583" xr:uid="{00000000-0005-0000-0000-000016020000}"/>
    <cellStyle name="Comma 2 3 4 2 2 3 2" xfId="1356" xr:uid="{00000000-0005-0000-0000-000017020000}"/>
    <cellStyle name="Comma 2 3 4 2 2 4" xfId="972" xr:uid="{00000000-0005-0000-0000-000018020000}"/>
    <cellStyle name="Comma 2 3 4 2 3" xfId="295" xr:uid="{00000000-0005-0000-0000-000019020000}"/>
    <cellStyle name="Comma 2 3 4 2 3 2" xfId="679" xr:uid="{00000000-0005-0000-0000-00001A020000}"/>
    <cellStyle name="Comma 2 3 4 2 3 2 2" xfId="1452" xr:uid="{00000000-0005-0000-0000-00001B020000}"/>
    <cellStyle name="Comma 2 3 4 2 3 3" xfId="1068" xr:uid="{00000000-0005-0000-0000-00001C020000}"/>
    <cellStyle name="Comma 2 3 4 2 4" xfId="487" xr:uid="{00000000-0005-0000-0000-00001D020000}"/>
    <cellStyle name="Comma 2 3 4 2 4 2" xfId="1260" xr:uid="{00000000-0005-0000-0000-00001E020000}"/>
    <cellStyle name="Comma 2 3 4 2 5" xfId="876" xr:uid="{00000000-0005-0000-0000-00001F020000}"/>
    <cellStyle name="Comma 2 3 4 3" xfId="151" xr:uid="{00000000-0005-0000-0000-000020020000}"/>
    <cellStyle name="Comma 2 3 4 3 2" xfId="343" xr:uid="{00000000-0005-0000-0000-000021020000}"/>
    <cellStyle name="Comma 2 3 4 3 2 2" xfId="727" xr:uid="{00000000-0005-0000-0000-000022020000}"/>
    <cellStyle name="Comma 2 3 4 3 2 2 2" xfId="1500" xr:uid="{00000000-0005-0000-0000-000023020000}"/>
    <cellStyle name="Comma 2 3 4 3 2 3" xfId="1116" xr:uid="{00000000-0005-0000-0000-000024020000}"/>
    <cellStyle name="Comma 2 3 4 3 3" xfId="535" xr:uid="{00000000-0005-0000-0000-000025020000}"/>
    <cellStyle name="Comma 2 3 4 3 3 2" xfId="1308" xr:uid="{00000000-0005-0000-0000-000026020000}"/>
    <cellStyle name="Comma 2 3 4 3 4" xfId="924" xr:uid="{00000000-0005-0000-0000-000027020000}"/>
    <cellStyle name="Comma 2 3 4 4" xfId="247" xr:uid="{00000000-0005-0000-0000-000028020000}"/>
    <cellStyle name="Comma 2 3 4 4 2" xfId="631" xr:uid="{00000000-0005-0000-0000-000029020000}"/>
    <cellStyle name="Comma 2 3 4 4 2 2" xfId="1404" xr:uid="{00000000-0005-0000-0000-00002A020000}"/>
    <cellStyle name="Comma 2 3 4 4 3" xfId="1020" xr:uid="{00000000-0005-0000-0000-00002B020000}"/>
    <cellStyle name="Comma 2 3 4 5" xfId="439" xr:uid="{00000000-0005-0000-0000-00002C020000}"/>
    <cellStyle name="Comma 2 3 4 5 2" xfId="1212" xr:uid="{00000000-0005-0000-0000-00002D020000}"/>
    <cellStyle name="Comma 2 3 4 6" xfId="828" xr:uid="{00000000-0005-0000-0000-00002E020000}"/>
    <cellStyle name="Comma 2 3 5" xfId="79" xr:uid="{00000000-0005-0000-0000-00002F020000}"/>
    <cellStyle name="Comma 2 3 5 2" xfId="175" xr:uid="{00000000-0005-0000-0000-000030020000}"/>
    <cellStyle name="Comma 2 3 5 2 2" xfId="367" xr:uid="{00000000-0005-0000-0000-000031020000}"/>
    <cellStyle name="Comma 2 3 5 2 2 2" xfId="751" xr:uid="{00000000-0005-0000-0000-000032020000}"/>
    <cellStyle name="Comma 2 3 5 2 2 2 2" xfId="1524" xr:uid="{00000000-0005-0000-0000-000033020000}"/>
    <cellStyle name="Comma 2 3 5 2 2 3" xfId="1140" xr:uid="{00000000-0005-0000-0000-000034020000}"/>
    <cellStyle name="Comma 2 3 5 2 3" xfId="559" xr:uid="{00000000-0005-0000-0000-000035020000}"/>
    <cellStyle name="Comma 2 3 5 2 3 2" xfId="1332" xr:uid="{00000000-0005-0000-0000-000036020000}"/>
    <cellStyle name="Comma 2 3 5 2 4" xfId="948" xr:uid="{00000000-0005-0000-0000-000037020000}"/>
    <cellStyle name="Comma 2 3 5 3" xfId="271" xr:uid="{00000000-0005-0000-0000-000038020000}"/>
    <cellStyle name="Comma 2 3 5 3 2" xfId="655" xr:uid="{00000000-0005-0000-0000-000039020000}"/>
    <cellStyle name="Comma 2 3 5 3 2 2" xfId="1428" xr:uid="{00000000-0005-0000-0000-00003A020000}"/>
    <cellStyle name="Comma 2 3 5 3 3" xfId="1044" xr:uid="{00000000-0005-0000-0000-00003B020000}"/>
    <cellStyle name="Comma 2 3 5 4" xfId="463" xr:uid="{00000000-0005-0000-0000-00003C020000}"/>
    <cellStyle name="Comma 2 3 5 4 2" xfId="1236" xr:uid="{00000000-0005-0000-0000-00003D020000}"/>
    <cellStyle name="Comma 2 3 5 5" xfId="852" xr:uid="{00000000-0005-0000-0000-00003E020000}"/>
    <cellStyle name="Comma 2 3 6" xfId="127" xr:uid="{00000000-0005-0000-0000-00003F020000}"/>
    <cellStyle name="Comma 2 3 6 2" xfId="319" xr:uid="{00000000-0005-0000-0000-000040020000}"/>
    <cellStyle name="Comma 2 3 6 2 2" xfId="703" xr:uid="{00000000-0005-0000-0000-000041020000}"/>
    <cellStyle name="Comma 2 3 6 2 2 2" xfId="1476" xr:uid="{00000000-0005-0000-0000-000042020000}"/>
    <cellStyle name="Comma 2 3 6 2 3" xfId="1092" xr:uid="{00000000-0005-0000-0000-000043020000}"/>
    <cellStyle name="Comma 2 3 6 3" xfId="511" xr:uid="{00000000-0005-0000-0000-000044020000}"/>
    <cellStyle name="Comma 2 3 6 3 2" xfId="1284" xr:uid="{00000000-0005-0000-0000-000045020000}"/>
    <cellStyle name="Comma 2 3 6 4" xfId="900" xr:uid="{00000000-0005-0000-0000-000046020000}"/>
    <cellStyle name="Comma 2 3 7" xfId="223" xr:uid="{00000000-0005-0000-0000-000047020000}"/>
    <cellStyle name="Comma 2 3 7 2" xfId="607" xr:uid="{00000000-0005-0000-0000-000048020000}"/>
    <cellStyle name="Comma 2 3 7 2 2" xfId="1380" xr:uid="{00000000-0005-0000-0000-000049020000}"/>
    <cellStyle name="Comma 2 3 7 3" xfId="996" xr:uid="{00000000-0005-0000-0000-00004A020000}"/>
    <cellStyle name="Comma 2 3 8" xfId="415" xr:uid="{00000000-0005-0000-0000-00004B020000}"/>
    <cellStyle name="Comma 2 3 8 2" xfId="1188" xr:uid="{00000000-0005-0000-0000-00004C020000}"/>
    <cellStyle name="Comma 2 3 9" xfId="804" xr:uid="{00000000-0005-0000-0000-00004D020000}"/>
    <cellStyle name="Comma 2 4" xfId="35" xr:uid="{00000000-0005-0000-0000-00004E020000}"/>
    <cellStyle name="Comma 2 4 2" xfId="59" xr:uid="{00000000-0005-0000-0000-00004F020000}"/>
    <cellStyle name="Comma 2 4 2 2" xfId="107" xr:uid="{00000000-0005-0000-0000-000050020000}"/>
    <cellStyle name="Comma 2 4 2 2 2" xfId="203" xr:uid="{00000000-0005-0000-0000-000051020000}"/>
    <cellStyle name="Comma 2 4 2 2 2 2" xfId="395" xr:uid="{00000000-0005-0000-0000-000052020000}"/>
    <cellStyle name="Comma 2 4 2 2 2 2 2" xfId="779" xr:uid="{00000000-0005-0000-0000-000053020000}"/>
    <cellStyle name="Comma 2 4 2 2 2 2 2 2" xfId="1552" xr:uid="{00000000-0005-0000-0000-000054020000}"/>
    <cellStyle name="Comma 2 4 2 2 2 2 3" xfId="1168" xr:uid="{00000000-0005-0000-0000-000055020000}"/>
    <cellStyle name="Comma 2 4 2 2 2 3" xfId="587" xr:uid="{00000000-0005-0000-0000-000056020000}"/>
    <cellStyle name="Comma 2 4 2 2 2 3 2" xfId="1360" xr:uid="{00000000-0005-0000-0000-000057020000}"/>
    <cellStyle name="Comma 2 4 2 2 2 4" xfId="976" xr:uid="{00000000-0005-0000-0000-000058020000}"/>
    <cellStyle name="Comma 2 4 2 2 3" xfId="299" xr:uid="{00000000-0005-0000-0000-000059020000}"/>
    <cellStyle name="Comma 2 4 2 2 3 2" xfId="683" xr:uid="{00000000-0005-0000-0000-00005A020000}"/>
    <cellStyle name="Comma 2 4 2 2 3 2 2" xfId="1456" xr:uid="{00000000-0005-0000-0000-00005B020000}"/>
    <cellStyle name="Comma 2 4 2 2 3 3" xfId="1072" xr:uid="{00000000-0005-0000-0000-00005C020000}"/>
    <cellStyle name="Comma 2 4 2 2 4" xfId="491" xr:uid="{00000000-0005-0000-0000-00005D020000}"/>
    <cellStyle name="Comma 2 4 2 2 4 2" xfId="1264" xr:uid="{00000000-0005-0000-0000-00005E020000}"/>
    <cellStyle name="Comma 2 4 2 2 5" xfId="880" xr:uid="{00000000-0005-0000-0000-00005F020000}"/>
    <cellStyle name="Comma 2 4 2 3" xfId="155" xr:uid="{00000000-0005-0000-0000-000060020000}"/>
    <cellStyle name="Comma 2 4 2 3 2" xfId="347" xr:uid="{00000000-0005-0000-0000-000061020000}"/>
    <cellStyle name="Comma 2 4 2 3 2 2" xfId="731" xr:uid="{00000000-0005-0000-0000-000062020000}"/>
    <cellStyle name="Comma 2 4 2 3 2 2 2" xfId="1504" xr:uid="{00000000-0005-0000-0000-000063020000}"/>
    <cellStyle name="Comma 2 4 2 3 2 3" xfId="1120" xr:uid="{00000000-0005-0000-0000-000064020000}"/>
    <cellStyle name="Comma 2 4 2 3 3" xfId="539" xr:uid="{00000000-0005-0000-0000-000065020000}"/>
    <cellStyle name="Comma 2 4 2 3 3 2" xfId="1312" xr:uid="{00000000-0005-0000-0000-000066020000}"/>
    <cellStyle name="Comma 2 4 2 3 4" xfId="928" xr:uid="{00000000-0005-0000-0000-000067020000}"/>
    <cellStyle name="Comma 2 4 2 4" xfId="251" xr:uid="{00000000-0005-0000-0000-000068020000}"/>
    <cellStyle name="Comma 2 4 2 4 2" xfId="635" xr:uid="{00000000-0005-0000-0000-000069020000}"/>
    <cellStyle name="Comma 2 4 2 4 2 2" xfId="1408" xr:uid="{00000000-0005-0000-0000-00006A020000}"/>
    <cellStyle name="Comma 2 4 2 4 3" xfId="1024" xr:uid="{00000000-0005-0000-0000-00006B020000}"/>
    <cellStyle name="Comma 2 4 2 5" xfId="443" xr:uid="{00000000-0005-0000-0000-00006C020000}"/>
    <cellStyle name="Comma 2 4 2 5 2" xfId="1216" xr:uid="{00000000-0005-0000-0000-00006D020000}"/>
    <cellStyle name="Comma 2 4 2 6" xfId="832" xr:uid="{00000000-0005-0000-0000-00006E020000}"/>
    <cellStyle name="Comma 2 4 3" xfId="83" xr:uid="{00000000-0005-0000-0000-00006F020000}"/>
    <cellStyle name="Comma 2 4 3 2" xfId="179" xr:uid="{00000000-0005-0000-0000-000070020000}"/>
    <cellStyle name="Comma 2 4 3 2 2" xfId="371" xr:uid="{00000000-0005-0000-0000-000071020000}"/>
    <cellStyle name="Comma 2 4 3 2 2 2" xfId="755" xr:uid="{00000000-0005-0000-0000-000072020000}"/>
    <cellStyle name="Comma 2 4 3 2 2 2 2" xfId="1528" xr:uid="{00000000-0005-0000-0000-000073020000}"/>
    <cellStyle name="Comma 2 4 3 2 2 3" xfId="1144" xr:uid="{00000000-0005-0000-0000-000074020000}"/>
    <cellStyle name="Comma 2 4 3 2 3" xfId="563" xr:uid="{00000000-0005-0000-0000-000075020000}"/>
    <cellStyle name="Comma 2 4 3 2 3 2" xfId="1336" xr:uid="{00000000-0005-0000-0000-000076020000}"/>
    <cellStyle name="Comma 2 4 3 2 4" xfId="952" xr:uid="{00000000-0005-0000-0000-000077020000}"/>
    <cellStyle name="Comma 2 4 3 3" xfId="275" xr:uid="{00000000-0005-0000-0000-000078020000}"/>
    <cellStyle name="Comma 2 4 3 3 2" xfId="659" xr:uid="{00000000-0005-0000-0000-000079020000}"/>
    <cellStyle name="Comma 2 4 3 3 2 2" xfId="1432" xr:uid="{00000000-0005-0000-0000-00007A020000}"/>
    <cellStyle name="Comma 2 4 3 3 3" xfId="1048" xr:uid="{00000000-0005-0000-0000-00007B020000}"/>
    <cellStyle name="Comma 2 4 3 4" xfId="467" xr:uid="{00000000-0005-0000-0000-00007C020000}"/>
    <cellStyle name="Comma 2 4 3 4 2" xfId="1240" xr:uid="{00000000-0005-0000-0000-00007D020000}"/>
    <cellStyle name="Comma 2 4 3 5" xfId="856" xr:uid="{00000000-0005-0000-0000-00007E020000}"/>
    <cellStyle name="Comma 2 4 4" xfId="131" xr:uid="{00000000-0005-0000-0000-00007F020000}"/>
    <cellStyle name="Comma 2 4 4 2" xfId="323" xr:uid="{00000000-0005-0000-0000-000080020000}"/>
    <cellStyle name="Comma 2 4 4 2 2" xfId="707" xr:uid="{00000000-0005-0000-0000-000081020000}"/>
    <cellStyle name="Comma 2 4 4 2 2 2" xfId="1480" xr:uid="{00000000-0005-0000-0000-000082020000}"/>
    <cellStyle name="Comma 2 4 4 2 3" xfId="1096" xr:uid="{00000000-0005-0000-0000-000083020000}"/>
    <cellStyle name="Comma 2 4 4 3" xfId="515" xr:uid="{00000000-0005-0000-0000-000084020000}"/>
    <cellStyle name="Comma 2 4 4 3 2" xfId="1288" xr:uid="{00000000-0005-0000-0000-000085020000}"/>
    <cellStyle name="Comma 2 4 4 4" xfId="904" xr:uid="{00000000-0005-0000-0000-000086020000}"/>
    <cellStyle name="Comma 2 4 5" xfId="227" xr:uid="{00000000-0005-0000-0000-000087020000}"/>
    <cellStyle name="Comma 2 4 5 2" xfId="611" xr:uid="{00000000-0005-0000-0000-000088020000}"/>
    <cellStyle name="Comma 2 4 5 2 2" xfId="1384" xr:uid="{00000000-0005-0000-0000-000089020000}"/>
    <cellStyle name="Comma 2 4 5 3" xfId="1000" xr:uid="{00000000-0005-0000-0000-00008A020000}"/>
    <cellStyle name="Comma 2 4 6" xfId="419" xr:uid="{00000000-0005-0000-0000-00008B020000}"/>
    <cellStyle name="Comma 2 4 6 2" xfId="1192" xr:uid="{00000000-0005-0000-0000-00008C020000}"/>
    <cellStyle name="Comma 2 4 7" xfId="808" xr:uid="{00000000-0005-0000-0000-00008D020000}"/>
    <cellStyle name="Comma 2 5" xfId="43" xr:uid="{00000000-0005-0000-0000-00008E020000}"/>
    <cellStyle name="Comma 2 5 2" xfId="67" xr:uid="{00000000-0005-0000-0000-00008F020000}"/>
    <cellStyle name="Comma 2 5 2 2" xfId="115" xr:uid="{00000000-0005-0000-0000-000090020000}"/>
    <cellStyle name="Comma 2 5 2 2 2" xfId="211" xr:uid="{00000000-0005-0000-0000-000091020000}"/>
    <cellStyle name="Comma 2 5 2 2 2 2" xfId="403" xr:uid="{00000000-0005-0000-0000-000092020000}"/>
    <cellStyle name="Comma 2 5 2 2 2 2 2" xfId="787" xr:uid="{00000000-0005-0000-0000-000093020000}"/>
    <cellStyle name="Comma 2 5 2 2 2 2 2 2" xfId="1560" xr:uid="{00000000-0005-0000-0000-000094020000}"/>
    <cellStyle name="Comma 2 5 2 2 2 2 3" xfId="1176" xr:uid="{00000000-0005-0000-0000-000095020000}"/>
    <cellStyle name="Comma 2 5 2 2 2 3" xfId="595" xr:uid="{00000000-0005-0000-0000-000096020000}"/>
    <cellStyle name="Comma 2 5 2 2 2 3 2" xfId="1368" xr:uid="{00000000-0005-0000-0000-000097020000}"/>
    <cellStyle name="Comma 2 5 2 2 2 4" xfId="984" xr:uid="{00000000-0005-0000-0000-000098020000}"/>
    <cellStyle name="Comma 2 5 2 2 3" xfId="307" xr:uid="{00000000-0005-0000-0000-000099020000}"/>
    <cellStyle name="Comma 2 5 2 2 3 2" xfId="691" xr:uid="{00000000-0005-0000-0000-00009A020000}"/>
    <cellStyle name="Comma 2 5 2 2 3 2 2" xfId="1464" xr:uid="{00000000-0005-0000-0000-00009B020000}"/>
    <cellStyle name="Comma 2 5 2 2 3 3" xfId="1080" xr:uid="{00000000-0005-0000-0000-00009C020000}"/>
    <cellStyle name="Comma 2 5 2 2 4" xfId="499" xr:uid="{00000000-0005-0000-0000-00009D020000}"/>
    <cellStyle name="Comma 2 5 2 2 4 2" xfId="1272" xr:uid="{00000000-0005-0000-0000-00009E020000}"/>
    <cellStyle name="Comma 2 5 2 2 5" xfId="888" xr:uid="{00000000-0005-0000-0000-00009F020000}"/>
    <cellStyle name="Comma 2 5 2 3" xfId="163" xr:uid="{00000000-0005-0000-0000-0000A0020000}"/>
    <cellStyle name="Comma 2 5 2 3 2" xfId="355" xr:uid="{00000000-0005-0000-0000-0000A1020000}"/>
    <cellStyle name="Comma 2 5 2 3 2 2" xfId="739" xr:uid="{00000000-0005-0000-0000-0000A2020000}"/>
    <cellStyle name="Comma 2 5 2 3 2 2 2" xfId="1512" xr:uid="{00000000-0005-0000-0000-0000A3020000}"/>
    <cellStyle name="Comma 2 5 2 3 2 3" xfId="1128" xr:uid="{00000000-0005-0000-0000-0000A4020000}"/>
    <cellStyle name="Comma 2 5 2 3 3" xfId="547" xr:uid="{00000000-0005-0000-0000-0000A5020000}"/>
    <cellStyle name="Comma 2 5 2 3 3 2" xfId="1320" xr:uid="{00000000-0005-0000-0000-0000A6020000}"/>
    <cellStyle name="Comma 2 5 2 3 4" xfId="936" xr:uid="{00000000-0005-0000-0000-0000A7020000}"/>
    <cellStyle name="Comma 2 5 2 4" xfId="259" xr:uid="{00000000-0005-0000-0000-0000A8020000}"/>
    <cellStyle name="Comma 2 5 2 4 2" xfId="643" xr:uid="{00000000-0005-0000-0000-0000A9020000}"/>
    <cellStyle name="Comma 2 5 2 4 2 2" xfId="1416" xr:uid="{00000000-0005-0000-0000-0000AA020000}"/>
    <cellStyle name="Comma 2 5 2 4 3" xfId="1032" xr:uid="{00000000-0005-0000-0000-0000AB020000}"/>
    <cellStyle name="Comma 2 5 2 5" xfId="451" xr:uid="{00000000-0005-0000-0000-0000AC020000}"/>
    <cellStyle name="Comma 2 5 2 5 2" xfId="1224" xr:uid="{00000000-0005-0000-0000-0000AD020000}"/>
    <cellStyle name="Comma 2 5 2 6" xfId="840" xr:uid="{00000000-0005-0000-0000-0000AE020000}"/>
    <cellStyle name="Comma 2 5 3" xfId="91" xr:uid="{00000000-0005-0000-0000-0000AF020000}"/>
    <cellStyle name="Comma 2 5 3 2" xfId="187" xr:uid="{00000000-0005-0000-0000-0000B0020000}"/>
    <cellStyle name="Comma 2 5 3 2 2" xfId="379" xr:uid="{00000000-0005-0000-0000-0000B1020000}"/>
    <cellStyle name="Comma 2 5 3 2 2 2" xfId="763" xr:uid="{00000000-0005-0000-0000-0000B2020000}"/>
    <cellStyle name="Comma 2 5 3 2 2 2 2" xfId="1536" xr:uid="{00000000-0005-0000-0000-0000B3020000}"/>
    <cellStyle name="Comma 2 5 3 2 2 3" xfId="1152" xr:uid="{00000000-0005-0000-0000-0000B4020000}"/>
    <cellStyle name="Comma 2 5 3 2 3" xfId="571" xr:uid="{00000000-0005-0000-0000-0000B5020000}"/>
    <cellStyle name="Comma 2 5 3 2 3 2" xfId="1344" xr:uid="{00000000-0005-0000-0000-0000B6020000}"/>
    <cellStyle name="Comma 2 5 3 2 4" xfId="960" xr:uid="{00000000-0005-0000-0000-0000B7020000}"/>
    <cellStyle name="Comma 2 5 3 3" xfId="283" xr:uid="{00000000-0005-0000-0000-0000B8020000}"/>
    <cellStyle name="Comma 2 5 3 3 2" xfId="667" xr:uid="{00000000-0005-0000-0000-0000B9020000}"/>
    <cellStyle name="Comma 2 5 3 3 2 2" xfId="1440" xr:uid="{00000000-0005-0000-0000-0000BA020000}"/>
    <cellStyle name="Comma 2 5 3 3 3" xfId="1056" xr:uid="{00000000-0005-0000-0000-0000BB020000}"/>
    <cellStyle name="Comma 2 5 3 4" xfId="475" xr:uid="{00000000-0005-0000-0000-0000BC020000}"/>
    <cellStyle name="Comma 2 5 3 4 2" xfId="1248" xr:uid="{00000000-0005-0000-0000-0000BD020000}"/>
    <cellStyle name="Comma 2 5 3 5" xfId="864" xr:uid="{00000000-0005-0000-0000-0000BE020000}"/>
    <cellStyle name="Comma 2 5 4" xfId="139" xr:uid="{00000000-0005-0000-0000-0000BF020000}"/>
    <cellStyle name="Comma 2 5 4 2" xfId="331" xr:uid="{00000000-0005-0000-0000-0000C0020000}"/>
    <cellStyle name="Comma 2 5 4 2 2" xfId="715" xr:uid="{00000000-0005-0000-0000-0000C1020000}"/>
    <cellStyle name="Comma 2 5 4 2 2 2" xfId="1488" xr:uid="{00000000-0005-0000-0000-0000C2020000}"/>
    <cellStyle name="Comma 2 5 4 2 3" xfId="1104" xr:uid="{00000000-0005-0000-0000-0000C3020000}"/>
    <cellStyle name="Comma 2 5 4 3" xfId="523" xr:uid="{00000000-0005-0000-0000-0000C4020000}"/>
    <cellStyle name="Comma 2 5 4 3 2" xfId="1296" xr:uid="{00000000-0005-0000-0000-0000C5020000}"/>
    <cellStyle name="Comma 2 5 4 4" xfId="912" xr:uid="{00000000-0005-0000-0000-0000C6020000}"/>
    <cellStyle name="Comma 2 5 5" xfId="235" xr:uid="{00000000-0005-0000-0000-0000C7020000}"/>
    <cellStyle name="Comma 2 5 5 2" xfId="619" xr:uid="{00000000-0005-0000-0000-0000C8020000}"/>
    <cellStyle name="Comma 2 5 5 2 2" xfId="1392" xr:uid="{00000000-0005-0000-0000-0000C9020000}"/>
    <cellStyle name="Comma 2 5 5 3" xfId="1008" xr:uid="{00000000-0005-0000-0000-0000CA020000}"/>
    <cellStyle name="Comma 2 5 6" xfId="427" xr:uid="{00000000-0005-0000-0000-0000CB020000}"/>
    <cellStyle name="Comma 2 5 6 2" xfId="1200" xr:uid="{00000000-0005-0000-0000-0000CC020000}"/>
    <cellStyle name="Comma 2 5 7" xfId="816" xr:uid="{00000000-0005-0000-0000-0000CD020000}"/>
    <cellStyle name="Comma 2 6" xfId="51" xr:uid="{00000000-0005-0000-0000-0000CE020000}"/>
    <cellStyle name="Comma 2 6 2" xfId="99" xr:uid="{00000000-0005-0000-0000-0000CF020000}"/>
    <cellStyle name="Comma 2 6 2 2" xfId="195" xr:uid="{00000000-0005-0000-0000-0000D0020000}"/>
    <cellStyle name="Comma 2 6 2 2 2" xfId="387" xr:uid="{00000000-0005-0000-0000-0000D1020000}"/>
    <cellStyle name="Comma 2 6 2 2 2 2" xfId="771" xr:uid="{00000000-0005-0000-0000-0000D2020000}"/>
    <cellStyle name="Comma 2 6 2 2 2 2 2" xfId="1544" xr:uid="{00000000-0005-0000-0000-0000D3020000}"/>
    <cellStyle name="Comma 2 6 2 2 2 3" xfId="1160" xr:uid="{00000000-0005-0000-0000-0000D4020000}"/>
    <cellStyle name="Comma 2 6 2 2 3" xfId="579" xr:uid="{00000000-0005-0000-0000-0000D5020000}"/>
    <cellStyle name="Comma 2 6 2 2 3 2" xfId="1352" xr:uid="{00000000-0005-0000-0000-0000D6020000}"/>
    <cellStyle name="Comma 2 6 2 2 4" xfId="968" xr:uid="{00000000-0005-0000-0000-0000D7020000}"/>
    <cellStyle name="Comma 2 6 2 3" xfId="291" xr:uid="{00000000-0005-0000-0000-0000D8020000}"/>
    <cellStyle name="Comma 2 6 2 3 2" xfId="675" xr:uid="{00000000-0005-0000-0000-0000D9020000}"/>
    <cellStyle name="Comma 2 6 2 3 2 2" xfId="1448" xr:uid="{00000000-0005-0000-0000-0000DA020000}"/>
    <cellStyle name="Comma 2 6 2 3 3" xfId="1064" xr:uid="{00000000-0005-0000-0000-0000DB020000}"/>
    <cellStyle name="Comma 2 6 2 4" xfId="483" xr:uid="{00000000-0005-0000-0000-0000DC020000}"/>
    <cellStyle name="Comma 2 6 2 4 2" xfId="1256" xr:uid="{00000000-0005-0000-0000-0000DD020000}"/>
    <cellStyle name="Comma 2 6 2 5" xfId="872" xr:uid="{00000000-0005-0000-0000-0000DE020000}"/>
    <cellStyle name="Comma 2 6 3" xfId="147" xr:uid="{00000000-0005-0000-0000-0000DF020000}"/>
    <cellStyle name="Comma 2 6 3 2" xfId="339" xr:uid="{00000000-0005-0000-0000-0000E0020000}"/>
    <cellStyle name="Comma 2 6 3 2 2" xfId="723" xr:uid="{00000000-0005-0000-0000-0000E1020000}"/>
    <cellStyle name="Comma 2 6 3 2 2 2" xfId="1496" xr:uid="{00000000-0005-0000-0000-0000E2020000}"/>
    <cellStyle name="Comma 2 6 3 2 3" xfId="1112" xr:uid="{00000000-0005-0000-0000-0000E3020000}"/>
    <cellStyle name="Comma 2 6 3 3" xfId="531" xr:uid="{00000000-0005-0000-0000-0000E4020000}"/>
    <cellStyle name="Comma 2 6 3 3 2" xfId="1304" xr:uid="{00000000-0005-0000-0000-0000E5020000}"/>
    <cellStyle name="Comma 2 6 3 4" xfId="920" xr:uid="{00000000-0005-0000-0000-0000E6020000}"/>
    <cellStyle name="Comma 2 6 4" xfId="243" xr:uid="{00000000-0005-0000-0000-0000E7020000}"/>
    <cellStyle name="Comma 2 6 4 2" xfId="627" xr:uid="{00000000-0005-0000-0000-0000E8020000}"/>
    <cellStyle name="Comma 2 6 4 2 2" xfId="1400" xr:uid="{00000000-0005-0000-0000-0000E9020000}"/>
    <cellStyle name="Comma 2 6 4 3" xfId="1016" xr:uid="{00000000-0005-0000-0000-0000EA020000}"/>
    <cellStyle name="Comma 2 6 5" xfId="435" xr:uid="{00000000-0005-0000-0000-0000EB020000}"/>
    <cellStyle name="Comma 2 6 5 2" xfId="1208" xr:uid="{00000000-0005-0000-0000-0000EC020000}"/>
    <cellStyle name="Comma 2 6 6" xfId="824" xr:uid="{00000000-0005-0000-0000-0000ED020000}"/>
    <cellStyle name="Comma 2 7" xfId="75" xr:uid="{00000000-0005-0000-0000-0000EE020000}"/>
    <cellStyle name="Comma 2 7 2" xfId="171" xr:uid="{00000000-0005-0000-0000-0000EF020000}"/>
    <cellStyle name="Comma 2 7 2 2" xfId="363" xr:uid="{00000000-0005-0000-0000-0000F0020000}"/>
    <cellStyle name="Comma 2 7 2 2 2" xfId="747" xr:uid="{00000000-0005-0000-0000-0000F1020000}"/>
    <cellStyle name="Comma 2 7 2 2 2 2" xfId="1520" xr:uid="{00000000-0005-0000-0000-0000F2020000}"/>
    <cellStyle name="Comma 2 7 2 2 3" xfId="1136" xr:uid="{00000000-0005-0000-0000-0000F3020000}"/>
    <cellStyle name="Comma 2 7 2 3" xfId="555" xr:uid="{00000000-0005-0000-0000-0000F4020000}"/>
    <cellStyle name="Comma 2 7 2 3 2" xfId="1328" xr:uid="{00000000-0005-0000-0000-0000F5020000}"/>
    <cellStyle name="Comma 2 7 2 4" xfId="944" xr:uid="{00000000-0005-0000-0000-0000F6020000}"/>
    <cellStyle name="Comma 2 7 3" xfId="267" xr:uid="{00000000-0005-0000-0000-0000F7020000}"/>
    <cellStyle name="Comma 2 7 3 2" xfId="651" xr:uid="{00000000-0005-0000-0000-0000F8020000}"/>
    <cellStyle name="Comma 2 7 3 2 2" xfId="1424" xr:uid="{00000000-0005-0000-0000-0000F9020000}"/>
    <cellStyle name="Comma 2 7 3 3" xfId="1040" xr:uid="{00000000-0005-0000-0000-0000FA020000}"/>
    <cellStyle name="Comma 2 7 4" xfId="459" xr:uid="{00000000-0005-0000-0000-0000FB020000}"/>
    <cellStyle name="Comma 2 7 4 2" xfId="1232" xr:uid="{00000000-0005-0000-0000-0000FC020000}"/>
    <cellStyle name="Comma 2 7 5" xfId="848" xr:uid="{00000000-0005-0000-0000-0000FD020000}"/>
    <cellStyle name="Comma 2 8" xfId="123" xr:uid="{00000000-0005-0000-0000-0000FE020000}"/>
    <cellStyle name="Comma 2 8 2" xfId="315" xr:uid="{00000000-0005-0000-0000-0000FF020000}"/>
    <cellStyle name="Comma 2 8 2 2" xfId="699" xr:uid="{00000000-0005-0000-0000-000000030000}"/>
    <cellStyle name="Comma 2 8 2 2 2" xfId="1472" xr:uid="{00000000-0005-0000-0000-000001030000}"/>
    <cellStyle name="Comma 2 8 2 3" xfId="1088" xr:uid="{00000000-0005-0000-0000-000002030000}"/>
    <cellStyle name="Comma 2 8 3" xfId="507" xr:uid="{00000000-0005-0000-0000-000003030000}"/>
    <cellStyle name="Comma 2 8 3 2" xfId="1280" xr:uid="{00000000-0005-0000-0000-000004030000}"/>
    <cellStyle name="Comma 2 8 4" xfId="896" xr:uid="{00000000-0005-0000-0000-000005030000}"/>
    <cellStyle name="Comma 2 9" xfId="219" xr:uid="{00000000-0005-0000-0000-000006030000}"/>
    <cellStyle name="Comma 2 9 2" xfId="603" xr:uid="{00000000-0005-0000-0000-000007030000}"/>
    <cellStyle name="Comma 2 9 2 2" xfId="1376" xr:uid="{00000000-0005-0000-0000-000008030000}"/>
    <cellStyle name="Comma 2 9 3" xfId="992" xr:uid="{00000000-0005-0000-0000-000009030000}"/>
    <cellStyle name="Comma 3" xfId="28" xr:uid="{00000000-0005-0000-0000-00000A030000}"/>
    <cellStyle name="Comma 3 10" xfId="801" xr:uid="{00000000-0005-0000-0000-00000B030000}"/>
    <cellStyle name="Comma 3 2" xfId="32" xr:uid="{00000000-0005-0000-0000-00000C030000}"/>
    <cellStyle name="Comma 3 2 2" xfId="40" xr:uid="{00000000-0005-0000-0000-00000D030000}"/>
    <cellStyle name="Comma 3 2 2 2" xfId="64" xr:uid="{00000000-0005-0000-0000-00000E030000}"/>
    <cellStyle name="Comma 3 2 2 2 2" xfId="112" xr:uid="{00000000-0005-0000-0000-00000F030000}"/>
    <cellStyle name="Comma 3 2 2 2 2 2" xfId="208" xr:uid="{00000000-0005-0000-0000-000010030000}"/>
    <cellStyle name="Comma 3 2 2 2 2 2 2" xfId="400" xr:uid="{00000000-0005-0000-0000-000011030000}"/>
    <cellStyle name="Comma 3 2 2 2 2 2 2 2" xfId="784" xr:uid="{00000000-0005-0000-0000-000012030000}"/>
    <cellStyle name="Comma 3 2 2 2 2 2 2 2 2" xfId="1557" xr:uid="{00000000-0005-0000-0000-000013030000}"/>
    <cellStyle name="Comma 3 2 2 2 2 2 2 3" xfId="1173" xr:uid="{00000000-0005-0000-0000-000014030000}"/>
    <cellStyle name="Comma 3 2 2 2 2 2 3" xfId="592" xr:uid="{00000000-0005-0000-0000-000015030000}"/>
    <cellStyle name="Comma 3 2 2 2 2 2 3 2" xfId="1365" xr:uid="{00000000-0005-0000-0000-000016030000}"/>
    <cellStyle name="Comma 3 2 2 2 2 2 4" xfId="981" xr:uid="{00000000-0005-0000-0000-000017030000}"/>
    <cellStyle name="Comma 3 2 2 2 2 3" xfId="304" xr:uid="{00000000-0005-0000-0000-000018030000}"/>
    <cellStyle name="Comma 3 2 2 2 2 3 2" xfId="688" xr:uid="{00000000-0005-0000-0000-000019030000}"/>
    <cellStyle name="Comma 3 2 2 2 2 3 2 2" xfId="1461" xr:uid="{00000000-0005-0000-0000-00001A030000}"/>
    <cellStyle name="Comma 3 2 2 2 2 3 3" xfId="1077" xr:uid="{00000000-0005-0000-0000-00001B030000}"/>
    <cellStyle name="Comma 3 2 2 2 2 4" xfId="496" xr:uid="{00000000-0005-0000-0000-00001C030000}"/>
    <cellStyle name="Comma 3 2 2 2 2 4 2" xfId="1269" xr:uid="{00000000-0005-0000-0000-00001D030000}"/>
    <cellStyle name="Comma 3 2 2 2 2 5" xfId="885" xr:uid="{00000000-0005-0000-0000-00001E030000}"/>
    <cellStyle name="Comma 3 2 2 2 3" xfId="160" xr:uid="{00000000-0005-0000-0000-00001F030000}"/>
    <cellStyle name="Comma 3 2 2 2 3 2" xfId="352" xr:uid="{00000000-0005-0000-0000-000020030000}"/>
    <cellStyle name="Comma 3 2 2 2 3 2 2" xfId="736" xr:uid="{00000000-0005-0000-0000-000021030000}"/>
    <cellStyle name="Comma 3 2 2 2 3 2 2 2" xfId="1509" xr:uid="{00000000-0005-0000-0000-000022030000}"/>
    <cellStyle name="Comma 3 2 2 2 3 2 3" xfId="1125" xr:uid="{00000000-0005-0000-0000-000023030000}"/>
    <cellStyle name="Comma 3 2 2 2 3 3" xfId="544" xr:uid="{00000000-0005-0000-0000-000024030000}"/>
    <cellStyle name="Comma 3 2 2 2 3 3 2" xfId="1317" xr:uid="{00000000-0005-0000-0000-000025030000}"/>
    <cellStyle name="Comma 3 2 2 2 3 4" xfId="933" xr:uid="{00000000-0005-0000-0000-000026030000}"/>
    <cellStyle name="Comma 3 2 2 2 4" xfId="256" xr:uid="{00000000-0005-0000-0000-000027030000}"/>
    <cellStyle name="Comma 3 2 2 2 4 2" xfId="640" xr:uid="{00000000-0005-0000-0000-000028030000}"/>
    <cellStyle name="Comma 3 2 2 2 4 2 2" xfId="1413" xr:uid="{00000000-0005-0000-0000-000029030000}"/>
    <cellStyle name="Comma 3 2 2 2 4 3" xfId="1029" xr:uid="{00000000-0005-0000-0000-00002A030000}"/>
    <cellStyle name="Comma 3 2 2 2 5" xfId="448" xr:uid="{00000000-0005-0000-0000-00002B030000}"/>
    <cellStyle name="Comma 3 2 2 2 5 2" xfId="1221" xr:uid="{00000000-0005-0000-0000-00002C030000}"/>
    <cellStyle name="Comma 3 2 2 2 6" xfId="837" xr:uid="{00000000-0005-0000-0000-00002D030000}"/>
    <cellStyle name="Comma 3 2 2 3" xfId="88" xr:uid="{00000000-0005-0000-0000-00002E030000}"/>
    <cellStyle name="Comma 3 2 2 3 2" xfId="184" xr:uid="{00000000-0005-0000-0000-00002F030000}"/>
    <cellStyle name="Comma 3 2 2 3 2 2" xfId="376" xr:uid="{00000000-0005-0000-0000-000030030000}"/>
    <cellStyle name="Comma 3 2 2 3 2 2 2" xfId="760" xr:uid="{00000000-0005-0000-0000-000031030000}"/>
    <cellStyle name="Comma 3 2 2 3 2 2 2 2" xfId="1533" xr:uid="{00000000-0005-0000-0000-000032030000}"/>
    <cellStyle name="Comma 3 2 2 3 2 2 3" xfId="1149" xr:uid="{00000000-0005-0000-0000-000033030000}"/>
    <cellStyle name="Comma 3 2 2 3 2 3" xfId="568" xr:uid="{00000000-0005-0000-0000-000034030000}"/>
    <cellStyle name="Comma 3 2 2 3 2 3 2" xfId="1341" xr:uid="{00000000-0005-0000-0000-000035030000}"/>
    <cellStyle name="Comma 3 2 2 3 2 4" xfId="957" xr:uid="{00000000-0005-0000-0000-000036030000}"/>
    <cellStyle name="Comma 3 2 2 3 3" xfId="280" xr:uid="{00000000-0005-0000-0000-000037030000}"/>
    <cellStyle name="Comma 3 2 2 3 3 2" xfId="664" xr:uid="{00000000-0005-0000-0000-000038030000}"/>
    <cellStyle name="Comma 3 2 2 3 3 2 2" xfId="1437" xr:uid="{00000000-0005-0000-0000-000039030000}"/>
    <cellStyle name="Comma 3 2 2 3 3 3" xfId="1053" xr:uid="{00000000-0005-0000-0000-00003A030000}"/>
    <cellStyle name="Comma 3 2 2 3 4" xfId="472" xr:uid="{00000000-0005-0000-0000-00003B030000}"/>
    <cellStyle name="Comma 3 2 2 3 4 2" xfId="1245" xr:uid="{00000000-0005-0000-0000-00003C030000}"/>
    <cellStyle name="Comma 3 2 2 3 5" xfId="861" xr:uid="{00000000-0005-0000-0000-00003D030000}"/>
    <cellStyle name="Comma 3 2 2 4" xfId="136" xr:uid="{00000000-0005-0000-0000-00003E030000}"/>
    <cellStyle name="Comma 3 2 2 4 2" xfId="328" xr:uid="{00000000-0005-0000-0000-00003F030000}"/>
    <cellStyle name="Comma 3 2 2 4 2 2" xfId="712" xr:uid="{00000000-0005-0000-0000-000040030000}"/>
    <cellStyle name="Comma 3 2 2 4 2 2 2" xfId="1485" xr:uid="{00000000-0005-0000-0000-000041030000}"/>
    <cellStyle name="Comma 3 2 2 4 2 3" xfId="1101" xr:uid="{00000000-0005-0000-0000-000042030000}"/>
    <cellStyle name="Comma 3 2 2 4 3" xfId="520" xr:uid="{00000000-0005-0000-0000-000043030000}"/>
    <cellStyle name="Comma 3 2 2 4 3 2" xfId="1293" xr:uid="{00000000-0005-0000-0000-000044030000}"/>
    <cellStyle name="Comma 3 2 2 4 4" xfId="909" xr:uid="{00000000-0005-0000-0000-000045030000}"/>
    <cellStyle name="Comma 3 2 2 5" xfId="232" xr:uid="{00000000-0005-0000-0000-000046030000}"/>
    <cellStyle name="Comma 3 2 2 5 2" xfId="616" xr:uid="{00000000-0005-0000-0000-000047030000}"/>
    <cellStyle name="Comma 3 2 2 5 2 2" xfId="1389" xr:uid="{00000000-0005-0000-0000-000048030000}"/>
    <cellStyle name="Comma 3 2 2 5 3" xfId="1005" xr:uid="{00000000-0005-0000-0000-000049030000}"/>
    <cellStyle name="Comma 3 2 2 6" xfId="424" xr:uid="{00000000-0005-0000-0000-00004A030000}"/>
    <cellStyle name="Comma 3 2 2 6 2" xfId="1197" xr:uid="{00000000-0005-0000-0000-00004B030000}"/>
    <cellStyle name="Comma 3 2 2 7" xfId="813" xr:uid="{00000000-0005-0000-0000-00004C030000}"/>
    <cellStyle name="Comma 3 2 3" xfId="48" xr:uid="{00000000-0005-0000-0000-00004D030000}"/>
    <cellStyle name="Comma 3 2 3 2" xfId="72" xr:uid="{00000000-0005-0000-0000-00004E030000}"/>
    <cellStyle name="Comma 3 2 3 2 2" xfId="120" xr:uid="{00000000-0005-0000-0000-00004F030000}"/>
    <cellStyle name="Comma 3 2 3 2 2 2" xfId="216" xr:uid="{00000000-0005-0000-0000-000050030000}"/>
    <cellStyle name="Comma 3 2 3 2 2 2 2" xfId="408" xr:uid="{00000000-0005-0000-0000-000051030000}"/>
    <cellStyle name="Comma 3 2 3 2 2 2 2 2" xfId="792" xr:uid="{00000000-0005-0000-0000-000052030000}"/>
    <cellStyle name="Comma 3 2 3 2 2 2 2 2 2" xfId="1565" xr:uid="{00000000-0005-0000-0000-000053030000}"/>
    <cellStyle name="Comma 3 2 3 2 2 2 2 3" xfId="1181" xr:uid="{00000000-0005-0000-0000-000054030000}"/>
    <cellStyle name="Comma 3 2 3 2 2 2 3" xfId="600" xr:uid="{00000000-0005-0000-0000-000055030000}"/>
    <cellStyle name="Comma 3 2 3 2 2 2 3 2" xfId="1373" xr:uid="{00000000-0005-0000-0000-000056030000}"/>
    <cellStyle name="Comma 3 2 3 2 2 2 4" xfId="989" xr:uid="{00000000-0005-0000-0000-000057030000}"/>
    <cellStyle name="Comma 3 2 3 2 2 3" xfId="312" xr:uid="{00000000-0005-0000-0000-000058030000}"/>
    <cellStyle name="Comma 3 2 3 2 2 3 2" xfId="696" xr:uid="{00000000-0005-0000-0000-000059030000}"/>
    <cellStyle name="Comma 3 2 3 2 2 3 2 2" xfId="1469" xr:uid="{00000000-0005-0000-0000-00005A030000}"/>
    <cellStyle name="Comma 3 2 3 2 2 3 3" xfId="1085" xr:uid="{00000000-0005-0000-0000-00005B030000}"/>
    <cellStyle name="Comma 3 2 3 2 2 4" xfId="504" xr:uid="{00000000-0005-0000-0000-00005C030000}"/>
    <cellStyle name="Comma 3 2 3 2 2 4 2" xfId="1277" xr:uid="{00000000-0005-0000-0000-00005D030000}"/>
    <cellStyle name="Comma 3 2 3 2 2 5" xfId="893" xr:uid="{00000000-0005-0000-0000-00005E030000}"/>
    <cellStyle name="Comma 3 2 3 2 3" xfId="168" xr:uid="{00000000-0005-0000-0000-00005F030000}"/>
    <cellStyle name="Comma 3 2 3 2 3 2" xfId="360" xr:uid="{00000000-0005-0000-0000-000060030000}"/>
    <cellStyle name="Comma 3 2 3 2 3 2 2" xfId="744" xr:uid="{00000000-0005-0000-0000-000061030000}"/>
    <cellStyle name="Comma 3 2 3 2 3 2 2 2" xfId="1517" xr:uid="{00000000-0005-0000-0000-000062030000}"/>
    <cellStyle name="Comma 3 2 3 2 3 2 3" xfId="1133" xr:uid="{00000000-0005-0000-0000-000063030000}"/>
    <cellStyle name="Comma 3 2 3 2 3 3" xfId="552" xr:uid="{00000000-0005-0000-0000-000064030000}"/>
    <cellStyle name="Comma 3 2 3 2 3 3 2" xfId="1325" xr:uid="{00000000-0005-0000-0000-000065030000}"/>
    <cellStyle name="Comma 3 2 3 2 3 4" xfId="941" xr:uid="{00000000-0005-0000-0000-000066030000}"/>
    <cellStyle name="Comma 3 2 3 2 4" xfId="264" xr:uid="{00000000-0005-0000-0000-000067030000}"/>
    <cellStyle name="Comma 3 2 3 2 4 2" xfId="648" xr:uid="{00000000-0005-0000-0000-000068030000}"/>
    <cellStyle name="Comma 3 2 3 2 4 2 2" xfId="1421" xr:uid="{00000000-0005-0000-0000-000069030000}"/>
    <cellStyle name="Comma 3 2 3 2 4 3" xfId="1037" xr:uid="{00000000-0005-0000-0000-00006A030000}"/>
    <cellStyle name="Comma 3 2 3 2 5" xfId="456" xr:uid="{00000000-0005-0000-0000-00006B030000}"/>
    <cellStyle name="Comma 3 2 3 2 5 2" xfId="1229" xr:uid="{00000000-0005-0000-0000-00006C030000}"/>
    <cellStyle name="Comma 3 2 3 2 6" xfId="845" xr:uid="{00000000-0005-0000-0000-00006D030000}"/>
    <cellStyle name="Comma 3 2 3 3" xfId="96" xr:uid="{00000000-0005-0000-0000-00006E030000}"/>
    <cellStyle name="Comma 3 2 3 3 2" xfId="192" xr:uid="{00000000-0005-0000-0000-00006F030000}"/>
    <cellStyle name="Comma 3 2 3 3 2 2" xfId="384" xr:uid="{00000000-0005-0000-0000-000070030000}"/>
    <cellStyle name="Comma 3 2 3 3 2 2 2" xfId="768" xr:uid="{00000000-0005-0000-0000-000071030000}"/>
    <cellStyle name="Comma 3 2 3 3 2 2 2 2" xfId="1541" xr:uid="{00000000-0005-0000-0000-000072030000}"/>
    <cellStyle name="Comma 3 2 3 3 2 2 3" xfId="1157" xr:uid="{00000000-0005-0000-0000-000073030000}"/>
    <cellStyle name="Comma 3 2 3 3 2 3" xfId="576" xr:uid="{00000000-0005-0000-0000-000074030000}"/>
    <cellStyle name="Comma 3 2 3 3 2 3 2" xfId="1349" xr:uid="{00000000-0005-0000-0000-000075030000}"/>
    <cellStyle name="Comma 3 2 3 3 2 4" xfId="965" xr:uid="{00000000-0005-0000-0000-000076030000}"/>
    <cellStyle name="Comma 3 2 3 3 3" xfId="288" xr:uid="{00000000-0005-0000-0000-000077030000}"/>
    <cellStyle name="Comma 3 2 3 3 3 2" xfId="672" xr:uid="{00000000-0005-0000-0000-000078030000}"/>
    <cellStyle name="Comma 3 2 3 3 3 2 2" xfId="1445" xr:uid="{00000000-0005-0000-0000-000079030000}"/>
    <cellStyle name="Comma 3 2 3 3 3 3" xfId="1061" xr:uid="{00000000-0005-0000-0000-00007A030000}"/>
    <cellStyle name="Comma 3 2 3 3 4" xfId="480" xr:uid="{00000000-0005-0000-0000-00007B030000}"/>
    <cellStyle name="Comma 3 2 3 3 4 2" xfId="1253" xr:uid="{00000000-0005-0000-0000-00007C030000}"/>
    <cellStyle name="Comma 3 2 3 3 5" xfId="869" xr:uid="{00000000-0005-0000-0000-00007D030000}"/>
    <cellStyle name="Comma 3 2 3 4" xfId="144" xr:uid="{00000000-0005-0000-0000-00007E030000}"/>
    <cellStyle name="Comma 3 2 3 4 2" xfId="336" xr:uid="{00000000-0005-0000-0000-00007F030000}"/>
    <cellStyle name="Comma 3 2 3 4 2 2" xfId="720" xr:uid="{00000000-0005-0000-0000-000080030000}"/>
    <cellStyle name="Comma 3 2 3 4 2 2 2" xfId="1493" xr:uid="{00000000-0005-0000-0000-000081030000}"/>
    <cellStyle name="Comma 3 2 3 4 2 3" xfId="1109" xr:uid="{00000000-0005-0000-0000-000082030000}"/>
    <cellStyle name="Comma 3 2 3 4 3" xfId="528" xr:uid="{00000000-0005-0000-0000-000083030000}"/>
    <cellStyle name="Comma 3 2 3 4 3 2" xfId="1301" xr:uid="{00000000-0005-0000-0000-000084030000}"/>
    <cellStyle name="Comma 3 2 3 4 4" xfId="917" xr:uid="{00000000-0005-0000-0000-000085030000}"/>
    <cellStyle name="Comma 3 2 3 5" xfId="240" xr:uid="{00000000-0005-0000-0000-000086030000}"/>
    <cellStyle name="Comma 3 2 3 5 2" xfId="624" xr:uid="{00000000-0005-0000-0000-000087030000}"/>
    <cellStyle name="Comma 3 2 3 5 2 2" xfId="1397" xr:uid="{00000000-0005-0000-0000-000088030000}"/>
    <cellStyle name="Comma 3 2 3 5 3" xfId="1013" xr:uid="{00000000-0005-0000-0000-000089030000}"/>
    <cellStyle name="Comma 3 2 3 6" xfId="432" xr:uid="{00000000-0005-0000-0000-00008A030000}"/>
    <cellStyle name="Comma 3 2 3 6 2" xfId="1205" xr:uid="{00000000-0005-0000-0000-00008B030000}"/>
    <cellStyle name="Comma 3 2 3 7" xfId="821" xr:uid="{00000000-0005-0000-0000-00008C030000}"/>
    <cellStyle name="Comma 3 2 4" xfId="56" xr:uid="{00000000-0005-0000-0000-00008D030000}"/>
    <cellStyle name="Comma 3 2 4 2" xfId="104" xr:uid="{00000000-0005-0000-0000-00008E030000}"/>
    <cellStyle name="Comma 3 2 4 2 2" xfId="200" xr:uid="{00000000-0005-0000-0000-00008F030000}"/>
    <cellStyle name="Comma 3 2 4 2 2 2" xfId="392" xr:uid="{00000000-0005-0000-0000-000090030000}"/>
    <cellStyle name="Comma 3 2 4 2 2 2 2" xfId="776" xr:uid="{00000000-0005-0000-0000-000091030000}"/>
    <cellStyle name="Comma 3 2 4 2 2 2 2 2" xfId="1549" xr:uid="{00000000-0005-0000-0000-000092030000}"/>
    <cellStyle name="Comma 3 2 4 2 2 2 3" xfId="1165" xr:uid="{00000000-0005-0000-0000-000093030000}"/>
    <cellStyle name="Comma 3 2 4 2 2 3" xfId="584" xr:uid="{00000000-0005-0000-0000-000094030000}"/>
    <cellStyle name="Comma 3 2 4 2 2 3 2" xfId="1357" xr:uid="{00000000-0005-0000-0000-000095030000}"/>
    <cellStyle name="Comma 3 2 4 2 2 4" xfId="973" xr:uid="{00000000-0005-0000-0000-000096030000}"/>
    <cellStyle name="Comma 3 2 4 2 3" xfId="296" xr:uid="{00000000-0005-0000-0000-000097030000}"/>
    <cellStyle name="Comma 3 2 4 2 3 2" xfId="680" xr:uid="{00000000-0005-0000-0000-000098030000}"/>
    <cellStyle name="Comma 3 2 4 2 3 2 2" xfId="1453" xr:uid="{00000000-0005-0000-0000-000099030000}"/>
    <cellStyle name="Comma 3 2 4 2 3 3" xfId="1069" xr:uid="{00000000-0005-0000-0000-00009A030000}"/>
    <cellStyle name="Comma 3 2 4 2 4" xfId="488" xr:uid="{00000000-0005-0000-0000-00009B030000}"/>
    <cellStyle name="Comma 3 2 4 2 4 2" xfId="1261" xr:uid="{00000000-0005-0000-0000-00009C030000}"/>
    <cellStyle name="Comma 3 2 4 2 5" xfId="877" xr:uid="{00000000-0005-0000-0000-00009D030000}"/>
    <cellStyle name="Comma 3 2 4 3" xfId="152" xr:uid="{00000000-0005-0000-0000-00009E030000}"/>
    <cellStyle name="Comma 3 2 4 3 2" xfId="344" xr:uid="{00000000-0005-0000-0000-00009F030000}"/>
    <cellStyle name="Comma 3 2 4 3 2 2" xfId="728" xr:uid="{00000000-0005-0000-0000-0000A0030000}"/>
    <cellStyle name="Comma 3 2 4 3 2 2 2" xfId="1501" xr:uid="{00000000-0005-0000-0000-0000A1030000}"/>
    <cellStyle name="Comma 3 2 4 3 2 3" xfId="1117" xr:uid="{00000000-0005-0000-0000-0000A2030000}"/>
    <cellStyle name="Comma 3 2 4 3 3" xfId="536" xr:uid="{00000000-0005-0000-0000-0000A3030000}"/>
    <cellStyle name="Comma 3 2 4 3 3 2" xfId="1309" xr:uid="{00000000-0005-0000-0000-0000A4030000}"/>
    <cellStyle name="Comma 3 2 4 3 4" xfId="925" xr:uid="{00000000-0005-0000-0000-0000A5030000}"/>
    <cellStyle name="Comma 3 2 4 4" xfId="248" xr:uid="{00000000-0005-0000-0000-0000A6030000}"/>
    <cellStyle name="Comma 3 2 4 4 2" xfId="632" xr:uid="{00000000-0005-0000-0000-0000A7030000}"/>
    <cellStyle name="Comma 3 2 4 4 2 2" xfId="1405" xr:uid="{00000000-0005-0000-0000-0000A8030000}"/>
    <cellStyle name="Comma 3 2 4 4 3" xfId="1021" xr:uid="{00000000-0005-0000-0000-0000A9030000}"/>
    <cellStyle name="Comma 3 2 4 5" xfId="440" xr:uid="{00000000-0005-0000-0000-0000AA030000}"/>
    <cellStyle name="Comma 3 2 4 5 2" xfId="1213" xr:uid="{00000000-0005-0000-0000-0000AB030000}"/>
    <cellStyle name="Comma 3 2 4 6" xfId="829" xr:uid="{00000000-0005-0000-0000-0000AC030000}"/>
    <cellStyle name="Comma 3 2 5" xfId="80" xr:uid="{00000000-0005-0000-0000-0000AD030000}"/>
    <cellStyle name="Comma 3 2 5 2" xfId="176" xr:uid="{00000000-0005-0000-0000-0000AE030000}"/>
    <cellStyle name="Comma 3 2 5 2 2" xfId="368" xr:uid="{00000000-0005-0000-0000-0000AF030000}"/>
    <cellStyle name="Comma 3 2 5 2 2 2" xfId="752" xr:uid="{00000000-0005-0000-0000-0000B0030000}"/>
    <cellStyle name="Comma 3 2 5 2 2 2 2" xfId="1525" xr:uid="{00000000-0005-0000-0000-0000B1030000}"/>
    <cellStyle name="Comma 3 2 5 2 2 3" xfId="1141" xr:uid="{00000000-0005-0000-0000-0000B2030000}"/>
    <cellStyle name="Comma 3 2 5 2 3" xfId="560" xr:uid="{00000000-0005-0000-0000-0000B3030000}"/>
    <cellStyle name="Comma 3 2 5 2 3 2" xfId="1333" xr:uid="{00000000-0005-0000-0000-0000B4030000}"/>
    <cellStyle name="Comma 3 2 5 2 4" xfId="949" xr:uid="{00000000-0005-0000-0000-0000B5030000}"/>
    <cellStyle name="Comma 3 2 5 3" xfId="272" xr:uid="{00000000-0005-0000-0000-0000B6030000}"/>
    <cellStyle name="Comma 3 2 5 3 2" xfId="656" xr:uid="{00000000-0005-0000-0000-0000B7030000}"/>
    <cellStyle name="Comma 3 2 5 3 2 2" xfId="1429" xr:uid="{00000000-0005-0000-0000-0000B8030000}"/>
    <cellStyle name="Comma 3 2 5 3 3" xfId="1045" xr:uid="{00000000-0005-0000-0000-0000B9030000}"/>
    <cellStyle name="Comma 3 2 5 4" xfId="464" xr:uid="{00000000-0005-0000-0000-0000BA030000}"/>
    <cellStyle name="Comma 3 2 5 4 2" xfId="1237" xr:uid="{00000000-0005-0000-0000-0000BB030000}"/>
    <cellStyle name="Comma 3 2 5 5" xfId="853" xr:uid="{00000000-0005-0000-0000-0000BC030000}"/>
    <cellStyle name="Comma 3 2 6" xfId="128" xr:uid="{00000000-0005-0000-0000-0000BD030000}"/>
    <cellStyle name="Comma 3 2 6 2" xfId="320" xr:uid="{00000000-0005-0000-0000-0000BE030000}"/>
    <cellStyle name="Comma 3 2 6 2 2" xfId="704" xr:uid="{00000000-0005-0000-0000-0000BF030000}"/>
    <cellStyle name="Comma 3 2 6 2 2 2" xfId="1477" xr:uid="{00000000-0005-0000-0000-0000C0030000}"/>
    <cellStyle name="Comma 3 2 6 2 3" xfId="1093" xr:uid="{00000000-0005-0000-0000-0000C1030000}"/>
    <cellStyle name="Comma 3 2 6 3" xfId="512" xr:uid="{00000000-0005-0000-0000-0000C2030000}"/>
    <cellStyle name="Comma 3 2 6 3 2" xfId="1285" xr:uid="{00000000-0005-0000-0000-0000C3030000}"/>
    <cellStyle name="Comma 3 2 6 4" xfId="901" xr:uid="{00000000-0005-0000-0000-0000C4030000}"/>
    <cellStyle name="Comma 3 2 7" xfId="224" xr:uid="{00000000-0005-0000-0000-0000C5030000}"/>
    <cellStyle name="Comma 3 2 7 2" xfId="608" xr:uid="{00000000-0005-0000-0000-0000C6030000}"/>
    <cellStyle name="Comma 3 2 7 2 2" xfId="1381" xr:uid="{00000000-0005-0000-0000-0000C7030000}"/>
    <cellStyle name="Comma 3 2 7 3" xfId="997" xr:uid="{00000000-0005-0000-0000-0000C8030000}"/>
    <cellStyle name="Comma 3 2 8" xfId="416" xr:uid="{00000000-0005-0000-0000-0000C9030000}"/>
    <cellStyle name="Comma 3 2 8 2" xfId="1189" xr:uid="{00000000-0005-0000-0000-0000CA030000}"/>
    <cellStyle name="Comma 3 2 9" xfId="805" xr:uid="{00000000-0005-0000-0000-0000CB030000}"/>
    <cellStyle name="Comma 3 3" xfId="36" xr:uid="{00000000-0005-0000-0000-0000CC030000}"/>
    <cellStyle name="Comma 3 3 2" xfId="60" xr:uid="{00000000-0005-0000-0000-0000CD030000}"/>
    <cellStyle name="Comma 3 3 2 2" xfId="108" xr:uid="{00000000-0005-0000-0000-0000CE030000}"/>
    <cellStyle name="Comma 3 3 2 2 2" xfId="204" xr:uid="{00000000-0005-0000-0000-0000CF030000}"/>
    <cellStyle name="Comma 3 3 2 2 2 2" xfId="396" xr:uid="{00000000-0005-0000-0000-0000D0030000}"/>
    <cellStyle name="Comma 3 3 2 2 2 2 2" xfId="780" xr:uid="{00000000-0005-0000-0000-0000D1030000}"/>
    <cellStyle name="Comma 3 3 2 2 2 2 2 2" xfId="1553" xr:uid="{00000000-0005-0000-0000-0000D2030000}"/>
    <cellStyle name="Comma 3 3 2 2 2 2 3" xfId="1169" xr:uid="{00000000-0005-0000-0000-0000D3030000}"/>
    <cellStyle name="Comma 3 3 2 2 2 3" xfId="588" xr:uid="{00000000-0005-0000-0000-0000D4030000}"/>
    <cellStyle name="Comma 3 3 2 2 2 3 2" xfId="1361" xr:uid="{00000000-0005-0000-0000-0000D5030000}"/>
    <cellStyle name="Comma 3 3 2 2 2 4" xfId="977" xr:uid="{00000000-0005-0000-0000-0000D6030000}"/>
    <cellStyle name="Comma 3 3 2 2 3" xfId="300" xr:uid="{00000000-0005-0000-0000-0000D7030000}"/>
    <cellStyle name="Comma 3 3 2 2 3 2" xfId="684" xr:uid="{00000000-0005-0000-0000-0000D8030000}"/>
    <cellStyle name="Comma 3 3 2 2 3 2 2" xfId="1457" xr:uid="{00000000-0005-0000-0000-0000D9030000}"/>
    <cellStyle name="Comma 3 3 2 2 3 3" xfId="1073" xr:uid="{00000000-0005-0000-0000-0000DA030000}"/>
    <cellStyle name="Comma 3 3 2 2 4" xfId="492" xr:uid="{00000000-0005-0000-0000-0000DB030000}"/>
    <cellStyle name="Comma 3 3 2 2 4 2" xfId="1265" xr:uid="{00000000-0005-0000-0000-0000DC030000}"/>
    <cellStyle name="Comma 3 3 2 2 5" xfId="881" xr:uid="{00000000-0005-0000-0000-0000DD030000}"/>
    <cellStyle name="Comma 3 3 2 3" xfId="156" xr:uid="{00000000-0005-0000-0000-0000DE030000}"/>
    <cellStyle name="Comma 3 3 2 3 2" xfId="348" xr:uid="{00000000-0005-0000-0000-0000DF030000}"/>
    <cellStyle name="Comma 3 3 2 3 2 2" xfId="732" xr:uid="{00000000-0005-0000-0000-0000E0030000}"/>
    <cellStyle name="Comma 3 3 2 3 2 2 2" xfId="1505" xr:uid="{00000000-0005-0000-0000-0000E1030000}"/>
    <cellStyle name="Comma 3 3 2 3 2 3" xfId="1121" xr:uid="{00000000-0005-0000-0000-0000E2030000}"/>
    <cellStyle name="Comma 3 3 2 3 3" xfId="540" xr:uid="{00000000-0005-0000-0000-0000E3030000}"/>
    <cellStyle name="Comma 3 3 2 3 3 2" xfId="1313" xr:uid="{00000000-0005-0000-0000-0000E4030000}"/>
    <cellStyle name="Comma 3 3 2 3 4" xfId="929" xr:uid="{00000000-0005-0000-0000-0000E5030000}"/>
    <cellStyle name="Comma 3 3 2 4" xfId="252" xr:uid="{00000000-0005-0000-0000-0000E6030000}"/>
    <cellStyle name="Comma 3 3 2 4 2" xfId="636" xr:uid="{00000000-0005-0000-0000-0000E7030000}"/>
    <cellStyle name="Comma 3 3 2 4 2 2" xfId="1409" xr:uid="{00000000-0005-0000-0000-0000E8030000}"/>
    <cellStyle name="Comma 3 3 2 4 3" xfId="1025" xr:uid="{00000000-0005-0000-0000-0000E9030000}"/>
    <cellStyle name="Comma 3 3 2 5" xfId="444" xr:uid="{00000000-0005-0000-0000-0000EA030000}"/>
    <cellStyle name="Comma 3 3 2 5 2" xfId="1217" xr:uid="{00000000-0005-0000-0000-0000EB030000}"/>
    <cellStyle name="Comma 3 3 2 6" xfId="833" xr:uid="{00000000-0005-0000-0000-0000EC030000}"/>
    <cellStyle name="Comma 3 3 3" xfId="84" xr:uid="{00000000-0005-0000-0000-0000ED030000}"/>
    <cellStyle name="Comma 3 3 3 2" xfId="180" xr:uid="{00000000-0005-0000-0000-0000EE030000}"/>
    <cellStyle name="Comma 3 3 3 2 2" xfId="372" xr:uid="{00000000-0005-0000-0000-0000EF030000}"/>
    <cellStyle name="Comma 3 3 3 2 2 2" xfId="756" xr:uid="{00000000-0005-0000-0000-0000F0030000}"/>
    <cellStyle name="Comma 3 3 3 2 2 2 2" xfId="1529" xr:uid="{00000000-0005-0000-0000-0000F1030000}"/>
    <cellStyle name="Comma 3 3 3 2 2 3" xfId="1145" xr:uid="{00000000-0005-0000-0000-0000F2030000}"/>
    <cellStyle name="Comma 3 3 3 2 3" xfId="564" xr:uid="{00000000-0005-0000-0000-0000F3030000}"/>
    <cellStyle name="Comma 3 3 3 2 3 2" xfId="1337" xr:uid="{00000000-0005-0000-0000-0000F4030000}"/>
    <cellStyle name="Comma 3 3 3 2 4" xfId="953" xr:uid="{00000000-0005-0000-0000-0000F5030000}"/>
    <cellStyle name="Comma 3 3 3 3" xfId="276" xr:uid="{00000000-0005-0000-0000-0000F6030000}"/>
    <cellStyle name="Comma 3 3 3 3 2" xfId="660" xr:uid="{00000000-0005-0000-0000-0000F7030000}"/>
    <cellStyle name="Comma 3 3 3 3 2 2" xfId="1433" xr:uid="{00000000-0005-0000-0000-0000F8030000}"/>
    <cellStyle name="Comma 3 3 3 3 3" xfId="1049" xr:uid="{00000000-0005-0000-0000-0000F9030000}"/>
    <cellStyle name="Comma 3 3 3 4" xfId="468" xr:uid="{00000000-0005-0000-0000-0000FA030000}"/>
    <cellStyle name="Comma 3 3 3 4 2" xfId="1241" xr:uid="{00000000-0005-0000-0000-0000FB030000}"/>
    <cellStyle name="Comma 3 3 3 5" xfId="857" xr:uid="{00000000-0005-0000-0000-0000FC030000}"/>
    <cellStyle name="Comma 3 3 4" xfId="132" xr:uid="{00000000-0005-0000-0000-0000FD030000}"/>
    <cellStyle name="Comma 3 3 4 2" xfId="324" xr:uid="{00000000-0005-0000-0000-0000FE030000}"/>
    <cellStyle name="Comma 3 3 4 2 2" xfId="708" xr:uid="{00000000-0005-0000-0000-0000FF030000}"/>
    <cellStyle name="Comma 3 3 4 2 2 2" xfId="1481" xr:uid="{00000000-0005-0000-0000-000000040000}"/>
    <cellStyle name="Comma 3 3 4 2 3" xfId="1097" xr:uid="{00000000-0005-0000-0000-000001040000}"/>
    <cellStyle name="Comma 3 3 4 3" xfId="516" xr:uid="{00000000-0005-0000-0000-000002040000}"/>
    <cellStyle name="Comma 3 3 4 3 2" xfId="1289" xr:uid="{00000000-0005-0000-0000-000003040000}"/>
    <cellStyle name="Comma 3 3 4 4" xfId="905" xr:uid="{00000000-0005-0000-0000-000004040000}"/>
    <cellStyle name="Comma 3 3 5" xfId="228" xr:uid="{00000000-0005-0000-0000-000005040000}"/>
    <cellStyle name="Comma 3 3 5 2" xfId="612" xr:uid="{00000000-0005-0000-0000-000006040000}"/>
    <cellStyle name="Comma 3 3 5 2 2" xfId="1385" xr:uid="{00000000-0005-0000-0000-000007040000}"/>
    <cellStyle name="Comma 3 3 5 3" xfId="1001" xr:uid="{00000000-0005-0000-0000-000008040000}"/>
    <cellStyle name="Comma 3 3 6" xfId="420" xr:uid="{00000000-0005-0000-0000-000009040000}"/>
    <cellStyle name="Comma 3 3 6 2" xfId="1193" xr:uid="{00000000-0005-0000-0000-00000A040000}"/>
    <cellStyle name="Comma 3 3 7" xfId="809" xr:uid="{00000000-0005-0000-0000-00000B040000}"/>
    <cellStyle name="Comma 3 4" xfId="44" xr:uid="{00000000-0005-0000-0000-00000C040000}"/>
    <cellStyle name="Comma 3 4 2" xfId="68" xr:uid="{00000000-0005-0000-0000-00000D040000}"/>
    <cellStyle name="Comma 3 4 2 2" xfId="116" xr:uid="{00000000-0005-0000-0000-00000E040000}"/>
    <cellStyle name="Comma 3 4 2 2 2" xfId="212" xr:uid="{00000000-0005-0000-0000-00000F040000}"/>
    <cellStyle name="Comma 3 4 2 2 2 2" xfId="404" xr:uid="{00000000-0005-0000-0000-000010040000}"/>
    <cellStyle name="Comma 3 4 2 2 2 2 2" xfId="788" xr:uid="{00000000-0005-0000-0000-000011040000}"/>
    <cellStyle name="Comma 3 4 2 2 2 2 2 2" xfId="1561" xr:uid="{00000000-0005-0000-0000-000012040000}"/>
    <cellStyle name="Comma 3 4 2 2 2 2 3" xfId="1177" xr:uid="{00000000-0005-0000-0000-000013040000}"/>
    <cellStyle name="Comma 3 4 2 2 2 3" xfId="596" xr:uid="{00000000-0005-0000-0000-000014040000}"/>
    <cellStyle name="Comma 3 4 2 2 2 3 2" xfId="1369" xr:uid="{00000000-0005-0000-0000-000015040000}"/>
    <cellStyle name="Comma 3 4 2 2 2 4" xfId="985" xr:uid="{00000000-0005-0000-0000-000016040000}"/>
    <cellStyle name="Comma 3 4 2 2 3" xfId="308" xr:uid="{00000000-0005-0000-0000-000017040000}"/>
    <cellStyle name="Comma 3 4 2 2 3 2" xfId="692" xr:uid="{00000000-0005-0000-0000-000018040000}"/>
    <cellStyle name="Comma 3 4 2 2 3 2 2" xfId="1465" xr:uid="{00000000-0005-0000-0000-000019040000}"/>
    <cellStyle name="Comma 3 4 2 2 3 3" xfId="1081" xr:uid="{00000000-0005-0000-0000-00001A040000}"/>
    <cellStyle name="Comma 3 4 2 2 4" xfId="500" xr:uid="{00000000-0005-0000-0000-00001B040000}"/>
    <cellStyle name="Comma 3 4 2 2 4 2" xfId="1273" xr:uid="{00000000-0005-0000-0000-00001C040000}"/>
    <cellStyle name="Comma 3 4 2 2 5" xfId="889" xr:uid="{00000000-0005-0000-0000-00001D040000}"/>
    <cellStyle name="Comma 3 4 2 3" xfId="164" xr:uid="{00000000-0005-0000-0000-00001E040000}"/>
    <cellStyle name="Comma 3 4 2 3 2" xfId="356" xr:uid="{00000000-0005-0000-0000-00001F040000}"/>
    <cellStyle name="Comma 3 4 2 3 2 2" xfId="740" xr:uid="{00000000-0005-0000-0000-000020040000}"/>
    <cellStyle name="Comma 3 4 2 3 2 2 2" xfId="1513" xr:uid="{00000000-0005-0000-0000-000021040000}"/>
    <cellStyle name="Comma 3 4 2 3 2 3" xfId="1129" xr:uid="{00000000-0005-0000-0000-000022040000}"/>
    <cellStyle name="Comma 3 4 2 3 3" xfId="548" xr:uid="{00000000-0005-0000-0000-000023040000}"/>
    <cellStyle name="Comma 3 4 2 3 3 2" xfId="1321" xr:uid="{00000000-0005-0000-0000-000024040000}"/>
    <cellStyle name="Comma 3 4 2 3 4" xfId="937" xr:uid="{00000000-0005-0000-0000-000025040000}"/>
    <cellStyle name="Comma 3 4 2 4" xfId="260" xr:uid="{00000000-0005-0000-0000-000026040000}"/>
    <cellStyle name="Comma 3 4 2 4 2" xfId="644" xr:uid="{00000000-0005-0000-0000-000027040000}"/>
    <cellStyle name="Comma 3 4 2 4 2 2" xfId="1417" xr:uid="{00000000-0005-0000-0000-000028040000}"/>
    <cellStyle name="Comma 3 4 2 4 3" xfId="1033" xr:uid="{00000000-0005-0000-0000-000029040000}"/>
    <cellStyle name="Comma 3 4 2 5" xfId="452" xr:uid="{00000000-0005-0000-0000-00002A040000}"/>
    <cellStyle name="Comma 3 4 2 5 2" xfId="1225" xr:uid="{00000000-0005-0000-0000-00002B040000}"/>
    <cellStyle name="Comma 3 4 2 6" xfId="841" xr:uid="{00000000-0005-0000-0000-00002C040000}"/>
    <cellStyle name="Comma 3 4 3" xfId="92" xr:uid="{00000000-0005-0000-0000-00002D040000}"/>
    <cellStyle name="Comma 3 4 3 2" xfId="188" xr:uid="{00000000-0005-0000-0000-00002E040000}"/>
    <cellStyle name="Comma 3 4 3 2 2" xfId="380" xr:uid="{00000000-0005-0000-0000-00002F040000}"/>
    <cellStyle name="Comma 3 4 3 2 2 2" xfId="764" xr:uid="{00000000-0005-0000-0000-000030040000}"/>
    <cellStyle name="Comma 3 4 3 2 2 2 2" xfId="1537" xr:uid="{00000000-0005-0000-0000-000031040000}"/>
    <cellStyle name="Comma 3 4 3 2 2 3" xfId="1153" xr:uid="{00000000-0005-0000-0000-000032040000}"/>
    <cellStyle name="Comma 3 4 3 2 3" xfId="572" xr:uid="{00000000-0005-0000-0000-000033040000}"/>
    <cellStyle name="Comma 3 4 3 2 3 2" xfId="1345" xr:uid="{00000000-0005-0000-0000-000034040000}"/>
    <cellStyle name="Comma 3 4 3 2 4" xfId="961" xr:uid="{00000000-0005-0000-0000-000035040000}"/>
    <cellStyle name="Comma 3 4 3 3" xfId="284" xr:uid="{00000000-0005-0000-0000-000036040000}"/>
    <cellStyle name="Comma 3 4 3 3 2" xfId="668" xr:uid="{00000000-0005-0000-0000-000037040000}"/>
    <cellStyle name="Comma 3 4 3 3 2 2" xfId="1441" xr:uid="{00000000-0005-0000-0000-000038040000}"/>
    <cellStyle name="Comma 3 4 3 3 3" xfId="1057" xr:uid="{00000000-0005-0000-0000-000039040000}"/>
    <cellStyle name="Comma 3 4 3 4" xfId="476" xr:uid="{00000000-0005-0000-0000-00003A040000}"/>
    <cellStyle name="Comma 3 4 3 4 2" xfId="1249" xr:uid="{00000000-0005-0000-0000-00003B040000}"/>
    <cellStyle name="Comma 3 4 3 5" xfId="865" xr:uid="{00000000-0005-0000-0000-00003C040000}"/>
    <cellStyle name="Comma 3 4 4" xfId="140" xr:uid="{00000000-0005-0000-0000-00003D040000}"/>
    <cellStyle name="Comma 3 4 4 2" xfId="332" xr:uid="{00000000-0005-0000-0000-00003E040000}"/>
    <cellStyle name="Comma 3 4 4 2 2" xfId="716" xr:uid="{00000000-0005-0000-0000-00003F040000}"/>
    <cellStyle name="Comma 3 4 4 2 2 2" xfId="1489" xr:uid="{00000000-0005-0000-0000-000040040000}"/>
    <cellStyle name="Comma 3 4 4 2 3" xfId="1105" xr:uid="{00000000-0005-0000-0000-000041040000}"/>
    <cellStyle name="Comma 3 4 4 3" xfId="524" xr:uid="{00000000-0005-0000-0000-000042040000}"/>
    <cellStyle name="Comma 3 4 4 3 2" xfId="1297" xr:uid="{00000000-0005-0000-0000-000043040000}"/>
    <cellStyle name="Comma 3 4 4 4" xfId="913" xr:uid="{00000000-0005-0000-0000-000044040000}"/>
    <cellStyle name="Comma 3 4 5" xfId="236" xr:uid="{00000000-0005-0000-0000-000045040000}"/>
    <cellStyle name="Comma 3 4 5 2" xfId="620" xr:uid="{00000000-0005-0000-0000-000046040000}"/>
    <cellStyle name="Comma 3 4 5 2 2" xfId="1393" xr:uid="{00000000-0005-0000-0000-000047040000}"/>
    <cellStyle name="Comma 3 4 5 3" xfId="1009" xr:uid="{00000000-0005-0000-0000-000048040000}"/>
    <cellStyle name="Comma 3 4 6" xfId="428" xr:uid="{00000000-0005-0000-0000-000049040000}"/>
    <cellStyle name="Comma 3 4 6 2" xfId="1201" xr:uid="{00000000-0005-0000-0000-00004A040000}"/>
    <cellStyle name="Comma 3 4 7" xfId="817" xr:uid="{00000000-0005-0000-0000-00004B040000}"/>
    <cellStyle name="Comma 3 5" xfId="52" xr:uid="{00000000-0005-0000-0000-00004C040000}"/>
    <cellStyle name="Comma 3 5 2" xfId="100" xr:uid="{00000000-0005-0000-0000-00004D040000}"/>
    <cellStyle name="Comma 3 5 2 2" xfId="196" xr:uid="{00000000-0005-0000-0000-00004E040000}"/>
    <cellStyle name="Comma 3 5 2 2 2" xfId="388" xr:uid="{00000000-0005-0000-0000-00004F040000}"/>
    <cellStyle name="Comma 3 5 2 2 2 2" xfId="772" xr:uid="{00000000-0005-0000-0000-000050040000}"/>
    <cellStyle name="Comma 3 5 2 2 2 2 2" xfId="1545" xr:uid="{00000000-0005-0000-0000-000051040000}"/>
    <cellStyle name="Comma 3 5 2 2 2 3" xfId="1161" xr:uid="{00000000-0005-0000-0000-000052040000}"/>
    <cellStyle name="Comma 3 5 2 2 3" xfId="580" xr:uid="{00000000-0005-0000-0000-000053040000}"/>
    <cellStyle name="Comma 3 5 2 2 3 2" xfId="1353" xr:uid="{00000000-0005-0000-0000-000054040000}"/>
    <cellStyle name="Comma 3 5 2 2 4" xfId="969" xr:uid="{00000000-0005-0000-0000-000055040000}"/>
    <cellStyle name="Comma 3 5 2 3" xfId="292" xr:uid="{00000000-0005-0000-0000-000056040000}"/>
    <cellStyle name="Comma 3 5 2 3 2" xfId="676" xr:uid="{00000000-0005-0000-0000-000057040000}"/>
    <cellStyle name="Comma 3 5 2 3 2 2" xfId="1449" xr:uid="{00000000-0005-0000-0000-000058040000}"/>
    <cellStyle name="Comma 3 5 2 3 3" xfId="1065" xr:uid="{00000000-0005-0000-0000-000059040000}"/>
    <cellStyle name="Comma 3 5 2 4" xfId="484" xr:uid="{00000000-0005-0000-0000-00005A040000}"/>
    <cellStyle name="Comma 3 5 2 4 2" xfId="1257" xr:uid="{00000000-0005-0000-0000-00005B040000}"/>
    <cellStyle name="Comma 3 5 2 5" xfId="873" xr:uid="{00000000-0005-0000-0000-00005C040000}"/>
    <cellStyle name="Comma 3 5 3" xfId="148" xr:uid="{00000000-0005-0000-0000-00005D040000}"/>
    <cellStyle name="Comma 3 5 3 2" xfId="340" xr:uid="{00000000-0005-0000-0000-00005E040000}"/>
    <cellStyle name="Comma 3 5 3 2 2" xfId="724" xr:uid="{00000000-0005-0000-0000-00005F040000}"/>
    <cellStyle name="Comma 3 5 3 2 2 2" xfId="1497" xr:uid="{00000000-0005-0000-0000-000060040000}"/>
    <cellStyle name="Comma 3 5 3 2 3" xfId="1113" xr:uid="{00000000-0005-0000-0000-000061040000}"/>
    <cellStyle name="Comma 3 5 3 3" xfId="532" xr:uid="{00000000-0005-0000-0000-000062040000}"/>
    <cellStyle name="Comma 3 5 3 3 2" xfId="1305" xr:uid="{00000000-0005-0000-0000-000063040000}"/>
    <cellStyle name="Comma 3 5 3 4" xfId="921" xr:uid="{00000000-0005-0000-0000-000064040000}"/>
    <cellStyle name="Comma 3 5 4" xfId="244" xr:uid="{00000000-0005-0000-0000-000065040000}"/>
    <cellStyle name="Comma 3 5 4 2" xfId="628" xr:uid="{00000000-0005-0000-0000-000066040000}"/>
    <cellStyle name="Comma 3 5 4 2 2" xfId="1401" xr:uid="{00000000-0005-0000-0000-000067040000}"/>
    <cellStyle name="Comma 3 5 4 3" xfId="1017" xr:uid="{00000000-0005-0000-0000-000068040000}"/>
    <cellStyle name="Comma 3 5 5" xfId="436" xr:uid="{00000000-0005-0000-0000-000069040000}"/>
    <cellStyle name="Comma 3 5 5 2" xfId="1209" xr:uid="{00000000-0005-0000-0000-00006A040000}"/>
    <cellStyle name="Comma 3 5 6" xfId="825" xr:uid="{00000000-0005-0000-0000-00006B040000}"/>
    <cellStyle name="Comma 3 6" xfId="76" xr:uid="{00000000-0005-0000-0000-00006C040000}"/>
    <cellStyle name="Comma 3 6 2" xfId="172" xr:uid="{00000000-0005-0000-0000-00006D040000}"/>
    <cellStyle name="Comma 3 6 2 2" xfId="364" xr:uid="{00000000-0005-0000-0000-00006E040000}"/>
    <cellStyle name="Comma 3 6 2 2 2" xfId="748" xr:uid="{00000000-0005-0000-0000-00006F040000}"/>
    <cellStyle name="Comma 3 6 2 2 2 2" xfId="1521" xr:uid="{00000000-0005-0000-0000-000070040000}"/>
    <cellStyle name="Comma 3 6 2 2 3" xfId="1137" xr:uid="{00000000-0005-0000-0000-000071040000}"/>
    <cellStyle name="Comma 3 6 2 3" xfId="556" xr:uid="{00000000-0005-0000-0000-000072040000}"/>
    <cellStyle name="Comma 3 6 2 3 2" xfId="1329" xr:uid="{00000000-0005-0000-0000-000073040000}"/>
    <cellStyle name="Comma 3 6 2 4" xfId="945" xr:uid="{00000000-0005-0000-0000-000074040000}"/>
    <cellStyle name="Comma 3 6 3" xfId="268" xr:uid="{00000000-0005-0000-0000-000075040000}"/>
    <cellStyle name="Comma 3 6 3 2" xfId="652" xr:uid="{00000000-0005-0000-0000-000076040000}"/>
    <cellStyle name="Comma 3 6 3 2 2" xfId="1425" xr:uid="{00000000-0005-0000-0000-000077040000}"/>
    <cellStyle name="Comma 3 6 3 3" xfId="1041" xr:uid="{00000000-0005-0000-0000-000078040000}"/>
    <cellStyle name="Comma 3 6 4" xfId="460" xr:uid="{00000000-0005-0000-0000-000079040000}"/>
    <cellStyle name="Comma 3 6 4 2" xfId="1233" xr:uid="{00000000-0005-0000-0000-00007A040000}"/>
    <cellStyle name="Comma 3 6 5" xfId="849" xr:uid="{00000000-0005-0000-0000-00007B040000}"/>
    <cellStyle name="Comma 3 7" xfId="124" xr:uid="{00000000-0005-0000-0000-00007C040000}"/>
    <cellStyle name="Comma 3 7 2" xfId="316" xr:uid="{00000000-0005-0000-0000-00007D040000}"/>
    <cellStyle name="Comma 3 7 2 2" xfId="700" xr:uid="{00000000-0005-0000-0000-00007E040000}"/>
    <cellStyle name="Comma 3 7 2 2 2" xfId="1473" xr:uid="{00000000-0005-0000-0000-00007F040000}"/>
    <cellStyle name="Comma 3 7 2 3" xfId="1089" xr:uid="{00000000-0005-0000-0000-000080040000}"/>
    <cellStyle name="Comma 3 7 3" xfId="508" xr:uid="{00000000-0005-0000-0000-000081040000}"/>
    <cellStyle name="Comma 3 7 3 2" xfId="1281" xr:uid="{00000000-0005-0000-0000-000082040000}"/>
    <cellStyle name="Comma 3 7 4" xfId="897" xr:uid="{00000000-0005-0000-0000-000083040000}"/>
    <cellStyle name="Comma 3 8" xfId="220" xr:uid="{00000000-0005-0000-0000-000084040000}"/>
    <cellStyle name="Comma 3 8 2" xfId="604" xr:uid="{00000000-0005-0000-0000-000085040000}"/>
    <cellStyle name="Comma 3 8 2 2" xfId="1377" xr:uid="{00000000-0005-0000-0000-000086040000}"/>
    <cellStyle name="Comma 3 8 3" xfId="993" xr:uid="{00000000-0005-0000-0000-000087040000}"/>
    <cellStyle name="Comma 3 9" xfId="412" xr:uid="{00000000-0005-0000-0000-000088040000}"/>
    <cellStyle name="Comma 3 9 2" xfId="1185" xr:uid="{00000000-0005-0000-0000-000089040000}"/>
    <cellStyle name="Comma 4" xfId="30" xr:uid="{00000000-0005-0000-0000-00008A040000}"/>
    <cellStyle name="Comma 4 2" xfId="38" xr:uid="{00000000-0005-0000-0000-00008B040000}"/>
    <cellStyle name="Comma 4 2 2" xfId="62" xr:uid="{00000000-0005-0000-0000-00008C040000}"/>
    <cellStyle name="Comma 4 2 2 2" xfId="110" xr:uid="{00000000-0005-0000-0000-00008D040000}"/>
    <cellStyle name="Comma 4 2 2 2 2" xfId="206" xr:uid="{00000000-0005-0000-0000-00008E040000}"/>
    <cellStyle name="Comma 4 2 2 2 2 2" xfId="398" xr:uid="{00000000-0005-0000-0000-00008F040000}"/>
    <cellStyle name="Comma 4 2 2 2 2 2 2" xfId="782" xr:uid="{00000000-0005-0000-0000-000090040000}"/>
    <cellStyle name="Comma 4 2 2 2 2 2 2 2" xfId="1555" xr:uid="{00000000-0005-0000-0000-000091040000}"/>
    <cellStyle name="Comma 4 2 2 2 2 2 3" xfId="1171" xr:uid="{00000000-0005-0000-0000-000092040000}"/>
    <cellStyle name="Comma 4 2 2 2 2 3" xfId="590" xr:uid="{00000000-0005-0000-0000-000093040000}"/>
    <cellStyle name="Comma 4 2 2 2 2 3 2" xfId="1363" xr:uid="{00000000-0005-0000-0000-000094040000}"/>
    <cellStyle name="Comma 4 2 2 2 2 4" xfId="979" xr:uid="{00000000-0005-0000-0000-000095040000}"/>
    <cellStyle name="Comma 4 2 2 2 3" xfId="302" xr:uid="{00000000-0005-0000-0000-000096040000}"/>
    <cellStyle name="Comma 4 2 2 2 3 2" xfId="686" xr:uid="{00000000-0005-0000-0000-000097040000}"/>
    <cellStyle name="Comma 4 2 2 2 3 2 2" xfId="1459" xr:uid="{00000000-0005-0000-0000-000098040000}"/>
    <cellStyle name="Comma 4 2 2 2 3 3" xfId="1075" xr:uid="{00000000-0005-0000-0000-000099040000}"/>
    <cellStyle name="Comma 4 2 2 2 4" xfId="494" xr:uid="{00000000-0005-0000-0000-00009A040000}"/>
    <cellStyle name="Comma 4 2 2 2 4 2" xfId="1267" xr:uid="{00000000-0005-0000-0000-00009B040000}"/>
    <cellStyle name="Comma 4 2 2 2 5" xfId="883" xr:uid="{00000000-0005-0000-0000-00009C040000}"/>
    <cellStyle name="Comma 4 2 2 3" xfId="158" xr:uid="{00000000-0005-0000-0000-00009D040000}"/>
    <cellStyle name="Comma 4 2 2 3 2" xfId="350" xr:uid="{00000000-0005-0000-0000-00009E040000}"/>
    <cellStyle name="Comma 4 2 2 3 2 2" xfId="734" xr:uid="{00000000-0005-0000-0000-00009F040000}"/>
    <cellStyle name="Comma 4 2 2 3 2 2 2" xfId="1507" xr:uid="{00000000-0005-0000-0000-0000A0040000}"/>
    <cellStyle name="Comma 4 2 2 3 2 3" xfId="1123" xr:uid="{00000000-0005-0000-0000-0000A1040000}"/>
    <cellStyle name="Comma 4 2 2 3 3" xfId="542" xr:uid="{00000000-0005-0000-0000-0000A2040000}"/>
    <cellStyle name="Comma 4 2 2 3 3 2" xfId="1315" xr:uid="{00000000-0005-0000-0000-0000A3040000}"/>
    <cellStyle name="Comma 4 2 2 3 4" xfId="931" xr:uid="{00000000-0005-0000-0000-0000A4040000}"/>
    <cellStyle name="Comma 4 2 2 4" xfId="254" xr:uid="{00000000-0005-0000-0000-0000A5040000}"/>
    <cellStyle name="Comma 4 2 2 4 2" xfId="638" xr:uid="{00000000-0005-0000-0000-0000A6040000}"/>
    <cellStyle name="Comma 4 2 2 4 2 2" xfId="1411" xr:uid="{00000000-0005-0000-0000-0000A7040000}"/>
    <cellStyle name="Comma 4 2 2 4 3" xfId="1027" xr:uid="{00000000-0005-0000-0000-0000A8040000}"/>
    <cellStyle name="Comma 4 2 2 5" xfId="446" xr:uid="{00000000-0005-0000-0000-0000A9040000}"/>
    <cellStyle name="Comma 4 2 2 5 2" xfId="1219" xr:uid="{00000000-0005-0000-0000-0000AA040000}"/>
    <cellStyle name="Comma 4 2 2 6" xfId="835" xr:uid="{00000000-0005-0000-0000-0000AB040000}"/>
    <cellStyle name="Comma 4 2 3" xfId="86" xr:uid="{00000000-0005-0000-0000-0000AC040000}"/>
    <cellStyle name="Comma 4 2 3 2" xfId="182" xr:uid="{00000000-0005-0000-0000-0000AD040000}"/>
    <cellStyle name="Comma 4 2 3 2 2" xfId="374" xr:uid="{00000000-0005-0000-0000-0000AE040000}"/>
    <cellStyle name="Comma 4 2 3 2 2 2" xfId="758" xr:uid="{00000000-0005-0000-0000-0000AF040000}"/>
    <cellStyle name="Comma 4 2 3 2 2 2 2" xfId="1531" xr:uid="{00000000-0005-0000-0000-0000B0040000}"/>
    <cellStyle name="Comma 4 2 3 2 2 3" xfId="1147" xr:uid="{00000000-0005-0000-0000-0000B1040000}"/>
    <cellStyle name="Comma 4 2 3 2 3" xfId="566" xr:uid="{00000000-0005-0000-0000-0000B2040000}"/>
    <cellStyle name="Comma 4 2 3 2 3 2" xfId="1339" xr:uid="{00000000-0005-0000-0000-0000B3040000}"/>
    <cellStyle name="Comma 4 2 3 2 4" xfId="955" xr:uid="{00000000-0005-0000-0000-0000B4040000}"/>
    <cellStyle name="Comma 4 2 3 3" xfId="278" xr:uid="{00000000-0005-0000-0000-0000B5040000}"/>
    <cellStyle name="Comma 4 2 3 3 2" xfId="662" xr:uid="{00000000-0005-0000-0000-0000B6040000}"/>
    <cellStyle name="Comma 4 2 3 3 2 2" xfId="1435" xr:uid="{00000000-0005-0000-0000-0000B7040000}"/>
    <cellStyle name="Comma 4 2 3 3 3" xfId="1051" xr:uid="{00000000-0005-0000-0000-0000B8040000}"/>
    <cellStyle name="Comma 4 2 3 4" xfId="470" xr:uid="{00000000-0005-0000-0000-0000B9040000}"/>
    <cellStyle name="Comma 4 2 3 4 2" xfId="1243" xr:uid="{00000000-0005-0000-0000-0000BA040000}"/>
    <cellStyle name="Comma 4 2 3 5" xfId="859" xr:uid="{00000000-0005-0000-0000-0000BB040000}"/>
    <cellStyle name="Comma 4 2 4" xfId="134" xr:uid="{00000000-0005-0000-0000-0000BC040000}"/>
    <cellStyle name="Comma 4 2 4 2" xfId="326" xr:uid="{00000000-0005-0000-0000-0000BD040000}"/>
    <cellStyle name="Comma 4 2 4 2 2" xfId="710" xr:uid="{00000000-0005-0000-0000-0000BE040000}"/>
    <cellStyle name="Comma 4 2 4 2 2 2" xfId="1483" xr:uid="{00000000-0005-0000-0000-0000BF040000}"/>
    <cellStyle name="Comma 4 2 4 2 3" xfId="1099" xr:uid="{00000000-0005-0000-0000-0000C0040000}"/>
    <cellStyle name="Comma 4 2 4 3" xfId="518" xr:uid="{00000000-0005-0000-0000-0000C1040000}"/>
    <cellStyle name="Comma 4 2 4 3 2" xfId="1291" xr:uid="{00000000-0005-0000-0000-0000C2040000}"/>
    <cellStyle name="Comma 4 2 4 4" xfId="907" xr:uid="{00000000-0005-0000-0000-0000C3040000}"/>
    <cellStyle name="Comma 4 2 5" xfId="230" xr:uid="{00000000-0005-0000-0000-0000C4040000}"/>
    <cellStyle name="Comma 4 2 5 2" xfId="614" xr:uid="{00000000-0005-0000-0000-0000C5040000}"/>
    <cellStyle name="Comma 4 2 5 2 2" xfId="1387" xr:uid="{00000000-0005-0000-0000-0000C6040000}"/>
    <cellStyle name="Comma 4 2 5 3" xfId="1003" xr:uid="{00000000-0005-0000-0000-0000C7040000}"/>
    <cellStyle name="Comma 4 2 6" xfId="422" xr:uid="{00000000-0005-0000-0000-0000C8040000}"/>
    <cellStyle name="Comma 4 2 6 2" xfId="1195" xr:uid="{00000000-0005-0000-0000-0000C9040000}"/>
    <cellStyle name="Comma 4 2 7" xfId="811" xr:uid="{00000000-0005-0000-0000-0000CA040000}"/>
    <cellStyle name="Comma 4 3" xfId="46" xr:uid="{00000000-0005-0000-0000-0000CB040000}"/>
    <cellStyle name="Comma 4 3 2" xfId="70" xr:uid="{00000000-0005-0000-0000-0000CC040000}"/>
    <cellStyle name="Comma 4 3 2 2" xfId="118" xr:uid="{00000000-0005-0000-0000-0000CD040000}"/>
    <cellStyle name="Comma 4 3 2 2 2" xfId="214" xr:uid="{00000000-0005-0000-0000-0000CE040000}"/>
    <cellStyle name="Comma 4 3 2 2 2 2" xfId="406" xr:uid="{00000000-0005-0000-0000-0000CF040000}"/>
    <cellStyle name="Comma 4 3 2 2 2 2 2" xfId="790" xr:uid="{00000000-0005-0000-0000-0000D0040000}"/>
    <cellStyle name="Comma 4 3 2 2 2 2 2 2" xfId="1563" xr:uid="{00000000-0005-0000-0000-0000D1040000}"/>
    <cellStyle name="Comma 4 3 2 2 2 2 3" xfId="1179" xr:uid="{00000000-0005-0000-0000-0000D2040000}"/>
    <cellStyle name="Comma 4 3 2 2 2 3" xfId="598" xr:uid="{00000000-0005-0000-0000-0000D3040000}"/>
    <cellStyle name="Comma 4 3 2 2 2 3 2" xfId="1371" xr:uid="{00000000-0005-0000-0000-0000D4040000}"/>
    <cellStyle name="Comma 4 3 2 2 2 4" xfId="987" xr:uid="{00000000-0005-0000-0000-0000D5040000}"/>
    <cellStyle name="Comma 4 3 2 2 3" xfId="310" xr:uid="{00000000-0005-0000-0000-0000D6040000}"/>
    <cellStyle name="Comma 4 3 2 2 3 2" xfId="694" xr:uid="{00000000-0005-0000-0000-0000D7040000}"/>
    <cellStyle name="Comma 4 3 2 2 3 2 2" xfId="1467" xr:uid="{00000000-0005-0000-0000-0000D8040000}"/>
    <cellStyle name="Comma 4 3 2 2 3 3" xfId="1083" xr:uid="{00000000-0005-0000-0000-0000D9040000}"/>
    <cellStyle name="Comma 4 3 2 2 4" xfId="502" xr:uid="{00000000-0005-0000-0000-0000DA040000}"/>
    <cellStyle name="Comma 4 3 2 2 4 2" xfId="1275" xr:uid="{00000000-0005-0000-0000-0000DB040000}"/>
    <cellStyle name="Comma 4 3 2 2 5" xfId="891" xr:uid="{00000000-0005-0000-0000-0000DC040000}"/>
    <cellStyle name="Comma 4 3 2 3" xfId="166" xr:uid="{00000000-0005-0000-0000-0000DD040000}"/>
    <cellStyle name="Comma 4 3 2 3 2" xfId="358" xr:uid="{00000000-0005-0000-0000-0000DE040000}"/>
    <cellStyle name="Comma 4 3 2 3 2 2" xfId="742" xr:uid="{00000000-0005-0000-0000-0000DF040000}"/>
    <cellStyle name="Comma 4 3 2 3 2 2 2" xfId="1515" xr:uid="{00000000-0005-0000-0000-0000E0040000}"/>
    <cellStyle name="Comma 4 3 2 3 2 3" xfId="1131" xr:uid="{00000000-0005-0000-0000-0000E1040000}"/>
    <cellStyle name="Comma 4 3 2 3 3" xfId="550" xr:uid="{00000000-0005-0000-0000-0000E2040000}"/>
    <cellStyle name="Comma 4 3 2 3 3 2" xfId="1323" xr:uid="{00000000-0005-0000-0000-0000E3040000}"/>
    <cellStyle name="Comma 4 3 2 3 4" xfId="939" xr:uid="{00000000-0005-0000-0000-0000E4040000}"/>
    <cellStyle name="Comma 4 3 2 4" xfId="262" xr:uid="{00000000-0005-0000-0000-0000E5040000}"/>
    <cellStyle name="Comma 4 3 2 4 2" xfId="646" xr:uid="{00000000-0005-0000-0000-0000E6040000}"/>
    <cellStyle name="Comma 4 3 2 4 2 2" xfId="1419" xr:uid="{00000000-0005-0000-0000-0000E7040000}"/>
    <cellStyle name="Comma 4 3 2 4 3" xfId="1035" xr:uid="{00000000-0005-0000-0000-0000E8040000}"/>
    <cellStyle name="Comma 4 3 2 5" xfId="454" xr:uid="{00000000-0005-0000-0000-0000E9040000}"/>
    <cellStyle name="Comma 4 3 2 5 2" xfId="1227" xr:uid="{00000000-0005-0000-0000-0000EA040000}"/>
    <cellStyle name="Comma 4 3 2 6" xfId="843" xr:uid="{00000000-0005-0000-0000-0000EB040000}"/>
    <cellStyle name="Comma 4 3 3" xfId="94" xr:uid="{00000000-0005-0000-0000-0000EC040000}"/>
    <cellStyle name="Comma 4 3 3 2" xfId="190" xr:uid="{00000000-0005-0000-0000-0000ED040000}"/>
    <cellStyle name="Comma 4 3 3 2 2" xfId="382" xr:uid="{00000000-0005-0000-0000-0000EE040000}"/>
    <cellStyle name="Comma 4 3 3 2 2 2" xfId="766" xr:uid="{00000000-0005-0000-0000-0000EF040000}"/>
    <cellStyle name="Comma 4 3 3 2 2 2 2" xfId="1539" xr:uid="{00000000-0005-0000-0000-0000F0040000}"/>
    <cellStyle name="Comma 4 3 3 2 2 3" xfId="1155" xr:uid="{00000000-0005-0000-0000-0000F1040000}"/>
    <cellStyle name="Comma 4 3 3 2 3" xfId="574" xr:uid="{00000000-0005-0000-0000-0000F2040000}"/>
    <cellStyle name="Comma 4 3 3 2 3 2" xfId="1347" xr:uid="{00000000-0005-0000-0000-0000F3040000}"/>
    <cellStyle name="Comma 4 3 3 2 4" xfId="963" xr:uid="{00000000-0005-0000-0000-0000F4040000}"/>
    <cellStyle name="Comma 4 3 3 3" xfId="286" xr:uid="{00000000-0005-0000-0000-0000F5040000}"/>
    <cellStyle name="Comma 4 3 3 3 2" xfId="670" xr:uid="{00000000-0005-0000-0000-0000F6040000}"/>
    <cellStyle name="Comma 4 3 3 3 2 2" xfId="1443" xr:uid="{00000000-0005-0000-0000-0000F7040000}"/>
    <cellStyle name="Comma 4 3 3 3 3" xfId="1059" xr:uid="{00000000-0005-0000-0000-0000F8040000}"/>
    <cellStyle name="Comma 4 3 3 4" xfId="478" xr:uid="{00000000-0005-0000-0000-0000F9040000}"/>
    <cellStyle name="Comma 4 3 3 4 2" xfId="1251" xr:uid="{00000000-0005-0000-0000-0000FA040000}"/>
    <cellStyle name="Comma 4 3 3 5" xfId="867" xr:uid="{00000000-0005-0000-0000-0000FB040000}"/>
    <cellStyle name="Comma 4 3 4" xfId="142" xr:uid="{00000000-0005-0000-0000-0000FC040000}"/>
    <cellStyle name="Comma 4 3 4 2" xfId="334" xr:uid="{00000000-0005-0000-0000-0000FD040000}"/>
    <cellStyle name="Comma 4 3 4 2 2" xfId="718" xr:uid="{00000000-0005-0000-0000-0000FE040000}"/>
    <cellStyle name="Comma 4 3 4 2 2 2" xfId="1491" xr:uid="{00000000-0005-0000-0000-0000FF040000}"/>
    <cellStyle name="Comma 4 3 4 2 3" xfId="1107" xr:uid="{00000000-0005-0000-0000-000000050000}"/>
    <cellStyle name="Comma 4 3 4 3" xfId="526" xr:uid="{00000000-0005-0000-0000-000001050000}"/>
    <cellStyle name="Comma 4 3 4 3 2" xfId="1299" xr:uid="{00000000-0005-0000-0000-000002050000}"/>
    <cellStyle name="Comma 4 3 4 4" xfId="915" xr:uid="{00000000-0005-0000-0000-000003050000}"/>
    <cellStyle name="Comma 4 3 5" xfId="238" xr:uid="{00000000-0005-0000-0000-000004050000}"/>
    <cellStyle name="Comma 4 3 5 2" xfId="622" xr:uid="{00000000-0005-0000-0000-000005050000}"/>
    <cellStyle name="Comma 4 3 5 2 2" xfId="1395" xr:uid="{00000000-0005-0000-0000-000006050000}"/>
    <cellStyle name="Comma 4 3 5 3" xfId="1011" xr:uid="{00000000-0005-0000-0000-000007050000}"/>
    <cellStyle name="Comma 4 3 6" xfId="430" xr:uid="{00000000-0005-0000-0000-000008050000}"/>
    <cellStyle name="Comma 4 3 6 2" xfId="1203" xr:uid="{00000000-0005-0000-0000-000009050000}"/>
    <cellStyle name="Comma 4 3 7" xfId="819" xr:uid="{00000000-0005-0000-0000-00000A050000}"/>
    <cellStyle name="Comma 4 4" xfId="54" xr:uid="{00000000-0005-0000-0000-00000B050000}"/>
    <cellStyle name="Comma 4 4 2" xfId="102" xr:uid="{00000000-0005-0000-0000-00000C050000}"/>
    <cellStyle name="Comma 4 4 2 2" xfId="198" xr:uid="{00000000-0005-0000-0000-00000D050000}"/>
    <cellStyle name="Comma 4 4 2 2 2" xfId="390" xr:uid="{00000000-0005-0000-0000-00000E050000}"/>
    <cellStyle name="Comma 4 4 2 2 2 2" xfId="774" xr:uid="{00000000-0005-0000-0000-00000F050000}"/>
    <cellStyle name="Comma 4 4 2 2 2 2 2" xfId="1547" xr:uid="{00000000-0005-0000-0000-000010050000}"/>
    <cellStyle name="Comma 4 4 2 2 2 3" xfId="1163" xr:uid="{00000000-0005-0000-0000-000011050000}"/>
    <cellStyle name="Comma 4 4 2 2 3" xfId="582" xr:uid="{00000000-0005-0000-0000-000012050000}"/>
    <cellStyle name="Comma 4 4 2 2 3 2" xfId="1355" xr:uid="{00000000-0005-0000-0000-000013050000}"/>
    <cellStyle name="Comma 4 4 2 2 4" xfId="971" xr:uid="{00000000-0005-0000-0000-000014050000}"/>
    <cellStyle name="Comma 4 4 2 3" xfId="294" xr:uid="{00000000-0005-0000-0000-000015050000}"/>
    <cellStyle name="Comma 4 4 2 3 2" xfId="678" xr:uid="{00000000-0005-0000-0000-000016050000}"/>
    <cellStyle name="Comma 4 4 2 3 2 2" xfId="1451" xr:uid="{00000000-0005-0000-0000-000017050000}"/>
    <cellStyle name="Comma 4 4 2 3 3" xfId="1067" xr:uid="{00000000-0005-0000-0000-000018050000}"/>
    <cellStyle name="Comma 4 4 2 4" xfId="486" xr:uid="{00000000-0005-0000-0000-000019050000}"/>
    <cellStyle name="Comma 4 4 2 4 2" xfId="1259" xr:uid="{00000000-0005-0000-0000-00001A050000}"/>
    <cellStyle name="Comma 4 4 2 5" xfId="875" xr:uid="{00000000-0005-0000-0000-00001B050000}"/>
    <cellStyle name="Comma 4 4 3" xfId="150" xr:uid="{00000000-0005-0000-0000-00001C050000}"/>
    <cellStyle name="Comma 4 4 3 2" xfId="342" xr:uid="{00000000-0005-0000-0000-00001D050000}"/>
    <cellStyle name="Comma 4 4 3 2 2" xfId="726" xr:uid="{00000000-0005-0000-0000-00001E050000}"/>
    <cellStyle name="Comma 4 4 3 2 2 2" xfId="1499" xr:uid="{00000000-0005-0000-0000-00001F050000}"/>
    <cellStyle name="Comma 4 4 3 2 3" xfId="1115" xr:uid="{00000000-0005-0000-0000-000020050000}"/>
    <cellStyle name="Comma 4 4 3 3" xfId="534" xr:uid="{00000000-0005-0000-0000-000021050000}"/>
    <cellStyle name="Comma 4 4 3 3 2" xfId="1307" xr:uid="{00000000-0005-0000-0000-000022050000}"/>
    <cellStyle name="Comma 4 4 3 4" xfId="923" xr:uid="{00000000-0005-0000-0000-000023050000}"/>
    <cellStyle name="Comma 4 4 4" xfId="246" xr:uid="{00000000-0005-0000-0000-000024050000}"/>
    <cellStyle name="Comma 4 4 4 2" xfId="630" xr:uid="{00000000-0005-0000-0000-000025050000}"/>
    <cellStyle name="Comma 4 4 4 2 2" xfId="1403" xr:uid="{00000000-0005-0000-0000-000026050000}"/>
    <cellStyle name="Comma 4 4 4 3" xfId="1019" xr:uid="{00000000-0005-0000-0000-000027050000}"/>
    <cellStyle name="Comma 4 4 5" xfId="438" xr:uid="{00000000-0005-0000-0000-000028050000}"/>
    <cellStyle name="Comma 4 4 5 2" xfId="1211" xr:uid="{00000000-0005-0000-0000-000029050000}"/>
    <cellStyle name="Comma 4 4 6" xfId="827" xr:uid="{00000000-0005-0000-0000-00002A050000}"/>
    <cellStyle name="Comma 4 5" xfId="78" xr:uid="{00000000-0005-0000-0000-00002B050000}"/>
    <cellStyle name="Comma 4 5 2" xfId="174" xr:uid="{00000000-0005-0000-0000-00002C050000}"/>
    <cellStyle name="Comma 4 5 2 2" xfId="366" xr:uid="{00000000-0005-0000-0000-00002D050000}"/>
    <cellStyle name="Comma 4 5 2 2 2" xfId="750" xr:uid="{00000000-0005-0000-0000-00002E050000}"/>
    <cellStyle name="Comma 4 5 2 2 2 2" xfId="1523" xr:uid="{00000000-0005-0000-0000-00002F050000}"/>
    <cellStyle name="Comma 4 5 2 2 3" xfId="1139" xr:uid="{00000000-0005-0000-0000-000030050000}"/>
    <cellStyle name="Comma 4 5 2 3" xfId="558" xr:uid="{00000000-0005-0000-0000-000031050000}"/>
    <cellStyle name="Comma 4 5 2 3 2" xfId="1331" xr:uid="{00000000-0005-0000-0000-000032050000}"/>
    <cellStyle name="Comma 4 5 2 4" xfId="947" xr:uid="{00000000-0005-0000-0000-000033050000}"/>
    <cellStyle name="Comma 4 5 3" xfId="270" xr:uid="{00000000-0005-0000-0000-000034050000}"/>
    <cellStyle name="Comma 4 5 3 2" xfId="654" xr:uid="{00000000-0005-0000-0000-000035050000}"/>
    <cellStyle name="Comma 4 5 3 2 2" xfId="1427" xr:uid="{00000000-0005-0000-0000-000036050000}"/>
    <cellStyle name="Comma 4 5 3 3" xfId="1043" xr:uid="{00000000-0005-0000-0000-000037050000}"/>
    <cellStyle name="Comma 4 5 4" xfId="462" xr:uid="{00000000-0005-0000-0000-000038050000}"/>
    <cellStyle name="Comma 4 5 4 2" xfId="1235" xr:uid="{00000000-0005-0000-0000-000039050000}"/>
    <cellStyle name="Comma 4 5 5" xfId="851" xr:uid="{00000000-0005-0000-0000-00003A050000}"/>
    <cellStyle name="Comma 4 6" xfId="126" xr:uid="{00000000-0005-0000-0000-00003B050000}"/>
    <cellStyle name="Comma 4 6 2" xfId="318" xr:uid="{00000000-0005-0000-0000-00003C050000}"/>
    <cellStyle name="Comma 4 6 2 2" xfId="702" xr:uid="{00000000-0005-0000-0000-00003D050000}"/>
    <cellStyle name="Comma 4 6 2 2 2" xfId="1475" xr:uid="{00000000-0005-0000-0000-00003E050000}"/>
    <cellStyle name="Comma 4 6 2 3" xfId="1091" xr:uid="{00000000-0005-0000-0000-00003F050000}"/>
    <cellStyle name="Comma 4 6 3" xfId="510" xr:uid="{00000000-0005-0000-0000-000040050000}"/>
    <cellStyle name="Comma 4 6 3 2" xfId="1283" xr:uid="{00000000-0005-0000-0000-000041050000}"/>
    <cellStyle name="Comma 4 6 4" xfId="899" xr:uid="{00000000-0005-0000-0000-000042050000}"/>
    <cellStyle name="Comma 4 7" xfId="222" xr:uid="{00000000-0005-0000-0000-000043050000}"/>
    <cellStyle name="Comma 4 7 2" xfId="606" xr:uid="{00000000-0005-0000-0000-000044050000}"/>
    <cellStyle name="Comma 4 7 2 2" xfId="1379" xr:uid="{00000000-0005-0000-0000-000045050000}"/>
    <cellStyle name="Comma 4 7 3" xfId="995" xr:uid="{00000000-0005-0000-0000-000046050000}"/>
    <cellStyle name="Comma 4 8" xfId="414" xr:uid="{00000000-0005-0000-0000-000047050000}"/>
    <cellStyle name="Comma 4 8 2" xfId="1187" xr:uid="{00000000-0005-0000-0000-000048050000}"/>
    <cellStyle name="Comma 4 9" xfId="803" xr:uid="{00000000-0005-0000-0000-000049050000}"/>
    <cellStyle name="Comma 42" xfId="797" xr:uid="{00000000-0005-0000-0000-00004A050000}"/>
    <cellStyle name="Comma 42 2" xfId="1568" xr:uid="{00000000-0005-0000-0000-00004B050000}"/>
    <cellStyle name="Comma 5" xfId="34" xr:uid="{00000000-0005-0000-0000-00004C050000}"/>
    <cellStyle name="Comma 5 2" xfId="58" xr:uid="{00000000-0005-0000-0000-00004D050000}"/>
    <cellStyle name="Comma 5 2 2" xfId="106" xr:uid="{00000000-0005-0000-0000-00004E050000}"/>
    <cellStyle name="Comma 5 2 2 2" xfId="202" xr:uid="{00000000-0005-0000-0000-00004F050000}"/>
    <cellStyle name="Comma 5 2 2 2 2" xfId="394" xr:uid="{00000000-0005-0000-0000-000050050000}"/>
    <cellStyle name="Comma 5 2 2 2 2 2" xfId="778" xr:uid="{00000000-0005-0000-0000-000051050000}"/>
    <cellStyle name="Comma 5 2 2 2 2 2 2" xfId="1551" xr:uid="{00000000-0005-0000-0000-000052050000}"/>
    <cellStyle name="Comma 5 2 2 2 2 3" xfId="1167" xr:uid="{00000000-0005-0000-0000-000053050000}"/>
    <cellStyle name="Comma 5 2 2 2 3" xfId="586" xr:uid="{00000000-0005-0000-0000-000054050000}"/>
    <cellStyle name="Comma 5 2 2 2 3 2" xfId="1359" xr:uid="{00000000-0005-0000-0000-000055050000}"/>
    <cellStyle name="Comma 5 2 2 2 4" xfId="975" xr:uid="{00000000-0005-0000-0000-000056050000}"/>
    <cellStyle name="Comma 5 2 2 3" xfId="298" xr:uid="{00000000-0005-0000-0000-000057050000}"/>
    <cellStyle name="Comma 5 2 2 3 2" xfId="682" xr:uid="{00000000-0005-0000-0000-000058050000}"/>
    <cellStyle name="Comma 5 2 2 3 2 2" xfId="1455" xr:uid="{00000000-0005-0000-0000-000059050000}"/>
    <cellStyle name="Comma 5 2 2 3 3" xfId="1071" xr:uid="{00000000-0005-0000-0000-00005A050000}"/>
    <cellStyle name="Comma 5 2 2 4" xfId="490" xr:uid="{00000000-0005-0000-0000-00005B050000}"/>
    <cellStyle name="Comma 5 2 2 4 2" xfId="1263" xr:uid="{00000000-0005-0000-0000-00005C050000}"/>
    <cellStyle name="Comma 5 2 2 5" xfId="879" xr:uid="{00000000-0005-0000-0000-00005D050000}"/>
    <cellStyle name="Comma 5 2 3" xfId="154" xr:uid="{00000000-0005-0000-0000-00005E050000}"/>
    <cellStyle name="Comma 5 2 3 2" xfId="346" xr:uid="{00000000-0005-0000-0000-00005F050000}"/>
    <cellStyle name="Comma 5 2 3 2 2" xfId="730" xr:uid="{00000000-0005-0000-0000-000060050000}"/>
    <cellStyle name="Comma 5 2 3 2 2 2" xfId="1503" xr:uid="{00000000-0005-0000-0000-000061050000}"/>
    <cellStyle name="Comma 5 2 3 2 3" xfId="1119" xr:uid="{00000000-0005-0000-0000-000062050000}"/>
    <cellStyle name="Comma 5 2 3 3" xfId="538" xr:uid="{00000000-0005-0000-0000-000063050000}"/>
    <cellStyle name="Comma 5 2 3 3 2" xfId="1311" xr:uid="{00000000-0005-0000-0000-000064050000}"/>
    <cellStyle name="Comma 5 2 3 4" xfId="927" xr:uid="{00000000-0005-0000-0000-000065050000}"/>
    <cellStyle name="Comma 5 2 4" xfId="250" xr:uid="{00000000-0005-0000-0000-000066050000}"/>
    <cellStyle name="Comma 5 2 4 2" xfId="634" xr:uid="{00000000-0005-0000-0000-000067050000}"/>
    <cellStyle name="Comma 5 2 4 2 2" xfId="1407" xr:uid="{00000000-0005-0000-0000-000068050000}"/>
    <cellStyle name="Comma 5 2 4 3" xfId="1023" xr:uid="{00000000-0005-0000-0000-000069050000}"/>
    <cellStyle name="Comma 5 2 5" xfId="442" xr:uid="{00000000-0005-0000-0000-00006A050000}"/>
    <cellStyle name="Comma 5 2 5 2" xfId="1215" xr:uid="{00000000-0005-0000-0000-00006B050000}"/>
    <cellStyle name="Comma 5 2 6" xfId="831" xr:uid="{00000000-0005-0000-0000-00006C050000}"/>
    <cellStyle name="Comma 5 3" xfId="82" xr:uid="{00000000-0005-0000-0000-00006D050000}"/>
    <cellStyle name="Comma 5 3 2" xfId="178" xr:uid="{00000000-0005-0000-0000-00006E050000}"/>
    <cellStyle name="Comma 5 3 2 2" xfId="370" xr:uid="{00000000-0005-0000-0000-00006F050000}"/>
    <cellStyle name="Comma 5 3 2 2 2" xfId="754" xr:uid="{00000000-0005-0000-0000-000070050000}"/>
    <cellStyle name="Comma 5 3 2 2 2 2" xfId="1527" xr:uid="{00000000-0005-0000-0000-000071050000}"/>
    <cellStyle name="Comma 5 3 2 2 3" xfId="1143" xr:uid="{00000000-0005-0000-0000-000072050000}"/>
    <cellStyle name="Comma 5 3 2 3" xfId="562" xr:uid="{00000000-0005-0000-0000-000073050000}"/>
    <cellStyle name="Comma 5 3 2 3 2" xfId="1335" xr:uid="{00000000-0005-0000-0000-000074050000}"/>
    <cellStyle name="Comma 5 3 2 4" xfId="951" xr:uid="{00000000-0005-0000-0000-000075050000}"/>
    <cellStyle name="Comma 5 3 3" xfId="274" xr:uid="{00000000-0005-0000-0000-000076050000}"/>
    <cellStyle name="Comma 5 3 3 2" xfId="658" xr:uid="{00000000-0005-0000-0000-000077050000}"/>
    <cellStyle name="Comma 5 3 3 2 2" xfId="1431" xr:uid="{00000000-0005-0000-0000-000078050000}"/>
    <cellStyle name="Comma 5 3 3 3" xfId="1047" xr:uid="{00000000-0005-0000-0000-000079050000}"/>
    <cellStyle name="Comma 5 3 4" xfId="466" xr:uid="{00000000-0005-0000-0000-00007A050000}"/>
    <cellStyle name="Comma 5 3 4 2" xfId="1239" xr:uid="{00000000-0005-0000-0000-00007B050000}"/>
    <cellStyle name="Comma 5 3 5" xfId="855" xr:uid="{00000000-0005-0000-0000-00007C050000}"/>
    <cellStyle name="Comma 5 4" xfId="130" xr:uid="{00000000-0005-0000-0000-00007D050000}"/>
    <cellStyle name="Comma 5 4 2" xfId="322" xr:uid="{00000000-0005-0000-0000-00007E050000}"/>
    <cellStyle name="Comma 5 4 2 2" xfId="706" xr:uid="{00000000-0005-0000-0000-00007F050000}"/>
    <cellStyle name="Comma 5 4 2 2 2" xfId="1479" xr:uid="{00000000-0005-0000-0000-000080050000}"/>
    <cellStyle name="Comma 5 4 2 3" xfId="1095" xr:uid="{00000000-0005-0000-0000-000081050000}"/>
    <cellStyle name="Comma 5 4 3" xfId="514" xr:uid="{00000000-0005-0000-0000-000082050000}"/>
    <cellStyle name="Comma 5 4 3 2" xfId="1287" xr:uid="{00000000-0005-0000-0000-000083050000}"/>
    <cellStyle name="Comma 5 4 4" xfId="903" xr:uid="{00000000-0005-0000-0000-000084050000}"/>
    <cellStyle name="Comma 5 5" xfId="226" xr:uid="{00000000-0005-0000-0000-000085050000}"/>
    <cellStyle name="Comma 5 5 2" xfId="610" xr:uid="{00000000-0005-0000-0000-000086050000}"/>
    <cellStyle name="Comma 5 5 2 2" xfId="1383" xr:uid="{00000000-0005-0000-0000-000087050000}"/>
    <cellStyle name="Comma 5 5 3" xfId="999" xr:uid="{00000000-0005-0000-0000-000088050000}"/>
    <cellStyle name="Comma 5 6" xfId="418" xr:uid="{00000000-0005-0000-0000-000089050000}"/>
    <cellStyle name="Comma 5 6 2" xfId="1191" xr:uid="{00000000-0005-0000-0000-00008A050000}"/>
    <cellStyle name="Comma 5 7" xfId="807" xr:uid="{00000000-0005-0000-0000-00008B050000}"/>
    <cellStyle name="Comma 6" xfId="42" xr:uid="{00000000-0005-0000-0000-00008C050000}"/>
    <cellStyle name="Comma 6 2" xfId="66" xr:uid="{00000000-0005-0000-0000-00008D050000}"/>
    <cellStyle name="Comma 6 2 2" xfId="114" xr:uid="{00000000-0005-0000-0000-00008E050000}"/>
    <cellStyle name="Comma 6 2 2 2" xfId="210" xr:uid="{00000000-0005-0000-0000-00008F050000}"/>
    <cellStyle name="Comma 6 2 2 2 2" xfId="402" xr:uid="{00000000-0005-0000-0000-000090050000}"/>
    <cellStyle name="Comma 6 2 2 2 2 2" xfId="786" xr:uid="{00000000-0005-0000-0000-000091050000}"/>
    <cellStyle name="Comma 6 2 2 2 2 2 2" xfId="1559" xr:uid="{00000000-0005-0000-0000-000092050000}"/>
    <cellStyle name="Comma 6 2 2 2 2 3" xfId="1175" xr:uid="{00000000-0005-0000-0000-000093050000}"/>
    <cellStyle name="Comma 6 2 2 2 3" xfId="594" xr:uid="{00000000-0005-0000-0000-000094050000}"/>
    <cellStyle name="Comma 6 2 2 2 3 2" xfId="1367" xr:uid="{00000000-0005-0000-0000-000095050000}"/>
    <cellStyle name="Comma 6 2 2 2 4" xfId="983" xr:uid="{00000000-0005-0000-0000-000096050000}"/>
    <cellStyle name="Comma 6 2 2 3" xfId="306" xr:uid="{00000000-0005-0000-0000-000097050000}"/>
    <cellStyle name="Comma 6 2 2 3 2" xfId="690" xr:uid="{00000000-0005-0000-0000-000098050000}"/>
    <cellStyle name="Comma 6 2 2 3 2 2" xfId="1463" xr:uid="{00000000-0005-0000-0000-000099050000}"/>
    <cellStyle name="Comma 6 2 2 3 3" xfId="1079" xr:uid="{00000000-0005-0000-0000-00009A050000}"/>
    <cellStyle name="Comma 6 2 2 4" xfId="498" xr:uid="{00000000-0005-0000-0000-00009B050000}"/>
    <cellStyle name="Comma 6 2 2 4 2" xfId="1271" xr:uid="{00000000-0005-0000-0000-00009C050000}"/>
    <cellStyle name="Comma 6 2 2 5" xfId="887" xr:uid="{00000000-0005-0000-0000-00009D050000}"/>
    <cellStyle name="Comma 6 2 3" xfId="162" xr:uid="{00000000-0005-0000-0000-00009E050000}"/>
    <cellStyle name="Comma 6 2 3 2" xfId="354" xr:uid="{00000000-0005-0000-0000-00009F050000}"/>
    <cellStyle name="Comma 6 2 3 2 2" xfId="738" xr:uid="{00000000-0005-0000-0000-0000A0050000}"/>
    <cellStyle name="Comma 6 2 3 2 2 2" xfId="1511" xr:uid="{00000000-0005-0000-0000-0000A1050000}"/>
    <cellStyle name="Comma 6 2 3 2 3" xfId="1127" xr:uid="{00000000-0005-0000-0000-0000A2050000}"/>
    <cellStyle name="Comma 6 2 3 3" xfId="546" xr:uid="{00000000-0005-0000-0000-0000A3050000}"/>
    <cellStyle name="Comma 6 2 3 3 2" xfId="1319" xr:uid="{00000000-0005-0000-0000-0000A4050000}"/>
    <cellStyle name="Comma 6 2 3 4" xfId="935" xr:uid="{00000000-0005-0000-0000-0000A5050000}"/>
    <cellStyle name="Comma 6 2 4" xfId="258" xr:uid="{00000000-0005-0000-0000-0000A6050000}"/>
    <cellStyle name="Comma 6 2 4 2" xfId="642" xr:uid="{00000000-0005-0000-0000-0000A7050000}"/>
    <cellStyle name="Comma 6 2 4 2 2" xfId="1415" xr:uid="{00000000-0005-0000-0000-0000A8050000}"/>
    <cellStyle name="Comma 6 2 4 3" xfId="1031" xr:uid="{00000000-0005-0000-0000-0000A9050000}"/>
    <cellStyle name="Comma 6 2 5" xfId="450" xr:uid="{00000000-0005-0000-0000-0000AA050000}"/>
    <cellStyle name="Comma 6 2 5 2" xfId="1223" xr:uid="{00000000-0005-0000-0000-0000AB050000}"/>
    <cellStyle name="Comma 6 2 6" xfId="839" xr:uid="{00000000-0005-0000-0000-0000AC050000}"/>
    <cellStyle name="Comma 6 3" xfId="90" xr:uid="{00000000-0005-0000-0000-0000AD050000}"/>
    <cellStyle name="Comma 6 3 2" xfId="186" xr:uid="{00000000-0005-0000-0000-0000AE050000}"/>
    <cellStyle name="Comma 6 3 2 2" xfId="378" xr:uid="{00000000-0005-0000-0000-0000AF050000}"/>
    <cellStyle name="Comma 6 3 2 2 2" xfId="762" xr:uid="{00000000-0005-0000-0000-0000B0050000}"/>
    <cellStyle name="Comma 6 3 2 2 2 2" xfId="1535" xr:uid="{00000000-0005-0000-0000-0000B1050000}"/>
    <cellStyle name="Comma 6 3 2 2 3" xfId="1151" xr:uid="{00000000-0005-0000-0000-0000B2050000}"/>
    <cellStyle name="Comma 6 3 2 3" xfId="570" xr:uid="{00000000-0005-0000-0000-0000B3050000}"/>
    <cellStyle name="Comma 6 3 2 3 2" xfId="1343" xr:uid="{00000000-0005-0000-0000-0000B4050000}"/>
    <cellStyle name="Comma 6 3 2 4" xfId="959" xr:uid="{00000000-0005-0000-0000-0000B5050000}"/>
    <cellStyle name="Comma 6 3 3" xfId="282" xr:uid="{00000000-0005-0000-0000-0000B6050000}"/>
    <cellStyle name="Comma 6 3 3 2" xfId="666" xr:uid="{00000000-0005-0000-0000-0000B7050000}"/>
    <cellStyle name="Comma 6 3 3 2 2" xfId="1439" xr:uid="{00000000-0005-0000-0000-0000B8050000}"/>
    <cellStyle name="Comma 6 3 3 3" xfId="1055" xr:uid="{00000000-0005-0000-0000-0000B9050000}"/>
    <cellStyle name="Comma 6 3 4" xfId="474" xr:uid="{00000000-0005-0000-0000-0000BA050000}"/>
    <cellStyle name="Comma 6 3 4 2" xfId="1247" xr:uid="{00000000-0005-0000-0000-0000BB050000}"/>
    <cellStyle name="Comma 6 3 5" xfId="863" xr:uid="{00000000-0005-0000-0000-0000BC050000}"/>
    <cellStyle name="Comma 6 4" xfId="138" xr:uid="{00000000-0005-0000-0000-0000BD050000}"/>
    <cellStyle name="Comma 6 4 2" xfId="330" xr:uid="{00000000-0005-0000-0000-0000BE050000}"/>
    <cellStyle name="Comma 6 4 2 2" xfId="714" xr:uid="{00000000-0005-0000-0000-0000BF050000}"/>
    <cellStyle name="Comma 6 4 2 2 2" xfId="1487" xr:uid="{00000000-0005-0000-0000-0000C0050000}"/>
    <cellStyle name="Comma 6 4 2 3" xfId="1103" xr:uid="{00000000-0005-0000-0000-0000C1050000}"/>
    <cellStyle name="Comma 6 4 3" xfId="522" xr:uid="{00000000-0005-0000-0000-0000C2050000}"/>
    <cellStyle name="Comma 6 4 3 2" xfId="1295" xr:uid="{00000000-0005-0000-0000-0000C3050000}"/>
    <cellStyle name="Comma 6 4 4" xfId="911" xr:uid="{00000000-0005-0000-0000-0000C4050000}"/>
    <cellStyle name="Comma 6 5" xfId="234" xr:uid="{00000000-0005-0000-0000-0000C5050000}"/>
    <cellStyle name="Comma 6 5 2" xfId="618" xr:uid="{00000000-0005-0000-0000-0000C6050000}"/>
    <cellStyle name="Comma 6 5 2 2" xfId="1391" xr:uid="{00000000-0005-0000-0000-0000C7050000}"/>
    <cellStyle name="Comma 6 5 3" xfId="1007" xr:uid="{00000000-0005-0000-0000-0000C8050000}"/>
    <cellStyle name="Comma 6 6" xfId="426" xr:uid="{00000000-0005-0000-0000-0000C9050000}"/>
    <cellStyle name="Comma 6 6 2" xfId="1199" xr:uid="{00000000-0005-0000-0000-0000CA050000}"/>
    <cellStyle name="Comma 6 7" xfId="815" xr:uid="{00000000-0005-0000-0000-0000CB050000}"/>
    <cellStyle name="Comma 7" xfId="50" xr:uid="{00000000-0005-0000-0000-0000CC050000}"/>
    <cellStyle name="Comma 7 2" xfId="98" xr:uid="{00000000-0005-0000-0000-0000CD050000}"/>
    <cellStyle name="Comma 7 2 2" xfId="194" xr:uid="{00000000-0005-0000-0000-0000CE050000}"/>
    <cellStyle name="Comma 7 2 2 2" xfId="386" xr:uid="{00000000-0005-0000-0000-0000CF050000}"/>
    <cellStyle name="Comma 7 2 2 2 2" xfId="770" xr:uid="{00000000-0005-0000-0000-0000D0050000}"/>
    <cellStyle name="Comma 7 2 2 2 2 2" xfId="1543" xr:uid="{00000000-0005-0000-0000-0000D1050000}"/>
    <cellStyle name="Comma 7 2 2 2 3" xfId="1159" xr:uid="{00000000-0005-0000-0000-0000D2050000}"/>
    <cellStyle name="Comma 7 2 2 3" xfId="578" xr:uid="{00000000-0005-0000-0000-0000D3050000}"/>
    <cellStyle name="Comma 7 2 2 3 2" xfId="1351" xr:uid="{00000000-0005-0000-0000-0000D4050000}"/>
    <cellStyle name="Comma 7 2 2 4" xfId="967" xr:uid="{00000000-0005-0000-0000-0000D5050000}"/>
    <cellStyle name="Comma 7 2 3" xfId="290" xr:uid="{00000000-0005-0000-0000-0000D6050000}"/>
    <cellStyle name="Comma 7 2 3 2" xfId="674" xr:uid="{00000000-0005-0000-0000-0000D7050000}"/>
    <cellStyle name="Comma 7 2 3 2 2" xfId="1447" xr:uid="{00000000-0005-0000-0000-0000D8050000}"/>
    <cellStyle name="Comma 7 2 3 3" xfId="1063" xr:uid="{00000000-0005-0000-0000-0000D9050000}"/>
    <cellStyle name="Comma 7 2 4" xfId="482" xr:uid="{00000000-0005-0000-0000-0000DA050000}"/>
    <cellStyle name="Comma 7 2 4 2" xfId="1255" xr:uid="{00000000-0005-0000-0000-0000DB050000}"/>
    <cellStyle name="Comma 7 2 5" xfId="871" xr:uid="{00000000-0005-0000-0000-0000DC050000}"/>
    <cellStyle name="Comma 7 3" xfId="146" xr:uid="{00000000-0005-0000-0000-0000DD050000}"/>
    <cellStyle name="Comma 7 3 2" xfId="338" xr:uid="{00000000-0005-0000-0000-0000DE050000}"/>
    <cellStyle name="Comma 7 3 2 2" xfId="722" xr:uid="{00000000-0005-0000-0000-0000DF050000}"/>
    <cellStyle name="Comma 7 3 2 2 2" xfId="1495" xr:uid="{00000000-0005-0000-0000-0000E0050000}"/>
    <cellStyle name="Comma 7 3 2 3" xfId="1111" xr:uid="{00000000-0005-0000-0000-0000E1050000}"/>
    <cellStyle name="Comma 7 3 3" xfId="530" xr:uid="{00000000-0005-0000-0000-0000E2050000}"/>
    <cellStyle name="Comma 7 3 3 2" xfId="1303" xr:uid="{00000000-0005-0000-0000-0000E3050000}"/>
    <cellStyle name="Comma 7 3 4" xfId="919" xr:uid="{00000000-0005-0000-0000-0000E4050000}"/>
    <cellStyle name="Comma 7 4" xfId="242" xr:uid="{00000000-0005-0000-0000-0000E5050000}"/>
    <cellStyle name="Comma 7 4 2" xfId="626" xr:uid="{00000000-0005-0000-0000-0000E6050000}"/>
    <cellStyle name="Comma 7 4 2 2" xfId="1399" xr:uid="{00000000-0005-0000-0000-0000E7050000}"/>
    <cellStyle name="Comma 7 4 3" xfId="1015" xr:uid="{00000000-0005-0000-0000-0000E8050000}"/>
    <cellStyle name="Comma 7 5" xfId="434" xr:uid="{00000000-0005-0000-0000-0000E9050000}"/>
    <cellStyle name="Comma 7 5 2" xfId="1207" xr:uid="{00000000-0005-0000-0000-0000EA050000}"/>
    <cellStyle name="Comma 7 6" xfId="823" xr:uid="{00000000-0005-0000-0000-0000EB050000}"/>
    <cellStyle name="Comma 8" xfId="74" xr:uid="{00000000-0005-0000-0000-0000EC050000}"/>
    <cellStyle name="Comma 8 2" xfId="170" xr:uid="{00000000-0005-0000-0000-0000ED050000}"/>
    <cellStyle name="Comma 8 2 2" xfId="362" xr:uid="{00000000-0005-0000-0000-0000EE050000}"/>
    <cellStyle name="Comma 8 2 2 2" xfId="746" xr:uid="{00000000-0005-0000-0000-0000EF050000}"/>
    <cellStyle name="Comma 8 2 2 2 2" xfId="1519" xr:uid="{00000000-0005-0000-0000-0000F0050000}"/>
    <cellStyle name="Comma 8 2 2 3" xfId="1135" xr:uid="{00000000-0005-0000-0000-0000F1050000}"/>
    <cellStyle name="Comma 8 2 3" xfId="554" xr:uid="{00000000-0005-0000-0000-0000F2050000}"/>
    <cellStyle name="Comma 8 2 3 2" xfId="1327" xr:uid="{00000000-0005-0000-0000-0000F3050000}"/>
    <cellStyle name="Comma 8 2 4" xfId="943" xr:uid="{00000000-0005-0000-0000-0000F4050000}"/>
    <cellStyle name="Comma 8 3" xfId="266" xr:uid="{00000000-0005-0000-0000-0000F5050000}"/>
    <cellStyle name="Comma 8 3 2" xfId="650" xr:uid="{00000000-0005-0000-0000-0000F6050000}"/>
    <cellStyle name="Comma 8 3 2 2" xfId="1423" xr:uid="{00000000-0005-0000-0000-0000F7050000}"/>
    <cellStyle name="Comma 8 3 3" xfId="1039" xr:uid="{00000000-0005-0000-0000-0000F8050000}"/>
    <cellStyle name="Comma 8 4" xfId="458" xr:uid="{00000000-0005-0000-0000-0000F9050000}"/>
    <cellStyle name="Comma 8 4 2" xfId="1231" xr:uid="{00000000-0005-0000-0000-0000FA050000}"/>
    <cellStyle name="Comma 8 5" xfId="847" xr:uid="{00000000-0005-0000-0000-0000FB050000}"/>
    <cellStyle name="Comma 9" xfId="122" xr:uid="{00000000-0005-0000-0000-0000FC050000}"/>
    <cellStyle name="Comma 9 2" xfId="314" xr:uid="{00000000-0005-0000-0000-0000FD050000}"/>
    <cellStyle name="Comma 9 2 2" xfId="698" xr:uid="{00000000-0005-0000-0000-0000FE050000}"/>
    <cellStyle name="Comma 9 2 2 2" xfId="1471" xr:uid="{00000000-0005-0000-0000-0000FF050000}"/>
    <cellStyle name="Comma 9 2 3" xfId="1087" xr:uid="{00000000-0005-0000-0000-000000060000}"/>
    <cellStyle name="Comma 9 3" xfId="506" xr:uid="{00000000-0005-0000-0000-000001060000}"/>
    <cellStyle name="Comma 9 3 2" xfId="1279" xr:uid="{00000000-0005-0000-0000-000002060000}"/>
    <cellStyle name="Comma 9 4" xfId="895" xr:uid="{00000000-0005-0000-0000-000003060000}"/>
    <cellStyle name="Hyperlink" xfId="6" builtinId="8"/>
    <cellStyle name="Normal" xfId="0" builtinId="0"/>
    <cellStyle name="Normal 10" xfId="26" xr:uid="{00000000-0005-0000-0000-000006060000}"/>
    <cellStyle name="Normal 11" xfId="795" xr:uid="{00000000-0005-0000-0000-000007060000}"/>
    <cellStyle name="Normal 11 2" xfId="1567" xr:uid="{00000000-0005-0000-0000-000008060000}"/>
    <cellStyle name="Normal 2" xfId="7" xr:uid="{00000000-0005-0000-0000-000009060000}"/>
    <cellStyle name="Normal 2 2" xfId="8" xr:uid="{00000000-0005-0000-0000-00000A060000}"/>
    <cellStyle name="Normal 26" xfId="3" xr:uid="{00000000-0005-0000-0000-00000B060000}"/>
    <cellStyle name="Normal 26 41" xfId="794" xr:uid="{00000000-0005-0000-0000-00000C060000}"/>
    <cellStyle name="Normal 27" xfId="5" xr:uid="{00000000-0005-0000-0000-00000D060000}"/>
    <cellStyle name="Normal 3" xfId="11" xr:uid="{00000000-0005-0000-0000-00000E060000}"/>
    <cellStyle name="Normal 3 2" xfId="12" xr:uid="{00000000-0005-0000-0000-00000F060000}"/>
    <cellStyle name="Normal 3 2 2" xfId="22" xr:uid="{00000000-0005-0000-0000-000010060000}"/>
    <cellStyle name="Normal 3 3" xfId="21" xr:uid="{00000000-0005-0000-0000-000011060000}"/>
    <cellStyle name="Normal 4" xfId="10" xr:uid="{00000000-0005-0000-0000-000012060000}"/>
    <cellStyle name="Normal 4 2" xfId="15" xr:uid="{00000000-0005-0000-0000-000013060000}"/>
    <cellStyle name="Normal 4 2 2" xfId="16" xr:uid="{00000000-0005-0000-0000-000014060000}"/>
    <cellStyle name="Normal 4 3" xfId="17" xr:uid="{00000000-0005-0000-0000-000015060000}"/>
    <cellStyle name="Normal 5" xfId="13" xr:uid="{00000000-0005-0000-0000-000016060000}"/>
    <cellStyle name="Normal 5 2" xfId="18" xr:uid="{00000000-0005-0000-0000-000017060000}"/>
    <cellStyle name="Normal 6" xfId="19" xr:uid="{00000000-0005-0000-0000-000018060000}"/>
    <cellStyle name="Normal 7" xfId="14" xr:uid="{00000000-0005-0000-0000-000019060000}"/>
    <cellStyle name="Normal 7 2" xfId="23" xr:uid="{00000000-0005-0000-0000-00001A060000}"/>
    <cellStyle name="Normal 8" xfId="20" xr:uid="{00000000-0005-0000-0000-00001B060000}"/>
    <cellStyle name="Normal 8 2" xfId="24" xr:uid="{00000000-0005-0000-0000-00001C060000}"/>
    <cellStyle name="Normal 9" xfId="25" xr:uid="{00000000-0005-0000-0000-00001D060000}"/>
    <cellStyle name="Percent" xfId="2" builtinId="5"/>
    <cellStyle name="Percent 2" xfId="4" xr:uid="{00000000-0005-0000-0000-00001F060000}"/>
    <cellStyle name="Percent 4" xfId="9" xr:uid="{00000000-0005-0000-0000-000020060000}"/>
    <cellStyle name="Percent 43" xfId="796" xr:uid="{00000000-0005-0000-0000-000021060000}"/>
  </cellStyles>
  <dxfs count="4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22" formatCode="m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22" formatCode="m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22" formatCode="m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2" formatCode="mmm/yy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/mmm/yy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theme="0"/>
        </top>
      </border>
    </dxf>
    <dxf>
      <border outline="0">
        <left style="dotted">
          <color auto="1"/>
        </left>
        <top style="dotted">
          <color auto="1"/>
        </top>
        <bottom style="thin">
          <color theme="0"/>
        </bottom>
      </border>
    </dxf>
    <dxf>
      <numFmt numFmtId="0" formatCode="General"/>
      <alignment horizontal="center" vertical="center" textRotation="0" indent="0" justifyLastLine="0" shrinkToFit="0" readingOrder="0"/>
    </dxf>
    <dxf>
      <border outline="0">
        <bottom style="dotted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20" formatCode="dd/mmm/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0" formatCode="dd/mmm/yy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name val="Arial"/>
        <scheme val="none"/>
      </font>
      <numFmt numFmtId="20" formatCode="dd/mmm/yy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</dxf>
    <dxf>
      <alignment horizontal="center" vertical="center" textRotation="0" wrapText="0" indent="0" justifyLastLine="0" shrinkToFit="0" readingOrder="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  <vertical/>
        <horizontal/>
      </border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170" formatCode="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20" formatCode="dd/mmm/yy"/>
      <alignment horizontal="center" vertical="center" textRotation="0" wrapText="0" indent="0" justifyLastLine="0" shrinkToFit="0" readingOrder="0"/>
    </dxf>
    <dxf>
      <numFmt numFmtId="22" formatCode="mmm/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170" formatCode="h:mm;@"/>
      <alignment horizontal="center" vertical="center" textRotation="0" indent="0" justifyLastLine="0" shrinkToFit="0" readingOrder="0"/>
    </dxf>
    <dxf>
      <numFmt numFmtId="170" formatCode="h:mm;@"/>
      <alignment horizontal="center" vertical="center" textRotation="0" indent="0" justifyLastLine="0" shrinkToFit="0" readingOrder="0"/>
    </dxf>
    <dxf>
      <numFmt numFmtId="170" formatCode="h:mm;@"/>
      <alignment horizontal="center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20" formatCode="dd/mmm/yy"/>
      <alignment horizontal="center" vertical="center" textRotation="0" wrapText="0" indent="0" justifyLastLine="0" shrinkToFit="0" readingOrder="0"/>
    </dxf>
    <dxf>
      <numFmt numFmtId="22" formatCode="mmm/yy"/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5" formatCode="[$-409]d/mmm/yy;@"/>
      <alignment horizontal="center" vertical="center" textRotation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165" formatCode="[$-409]d/mmm/yy;@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 * #,##0.00_ ;_ * \-#,##0.00_ ;_ * &quot;-&quot;??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numFmt numFmtId="2" formatCode="0.00"/>
      <alignment horizontal="center" vertical="center" textRotation="0" wrapText="0" indent="0" justifyLastLine="0" shrinkToFit="0" readingOrder="0"/>
    </dxf>
    <dxf>
      <numFmt numFmtId="173" formatCode="[h]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0" formatCode="dd/mmm/yy"/>
      <alignment horizontal="center" vertical="center" textRotation="0" wrapText="0" indent="0" justifyLastLine="0" shrinkToFit="0" readingOrder="0"/>
    </dxf>
    <dxf>
      <numFmt numFmtId="22" formatCode="mmm/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/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strike val="0"/>
        <outline val="0"/>
        <shadow val="0"/>
        <u val="none"/>
        <vertAlign val="baseline"/>
        <color auto="1"/>
      </font>
      <numFmt numFmtId="174" formatCode="[$-10409]0.00;\(0.00\)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strike val="0"/>
        <outline val="0"/>
        <shadow val="0"/>
        <u val="none"/>
        <vertAlign val="baseline"/>
        <color auto="1"/>
      </font>
      <numFmt numFmtId="174" formatCode="[$-10409]0.00;\(0.00\)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strike val="0"/>
        <outline val="0"/>
        <shadow val="0"/>
        <u val="none"/>
        <vertAlign val="baseline"/>
        <color auto="1"/>
      </font>
      <numFmt numFmtId="174" formatCode="[$-10409]0.00;\(0.00\)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strike val="0"/>
        <outline val="0"/>
        <shadow val="0"/>
        <u val="none"/>
        <vertAlign val="baseline"/>
        <color auto="1"/>
      </font>
      <numFmt numFmtId="174" formatCode="[$-10409]0.00;\(0.00\)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scheme val="none"/>
      </font>
      <numFmt numFmtId="167" formatCode="[$-409]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border>
        <top style="dotted">
          <color theme="2" tint="-9.9917600024414813E-2"/>
        </top>
      </border>
    </dxf>
    <dxf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>
        <bottom style="dotted">
          <color theme="2" tint="-9.991760002441481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14" formatCode="0.00%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/>
        <bottom/>
        <vertical style="dotted">
          <color theme="2" tint="-9.9917600024414813E-2"/>
        </vertical>
        <horizontal style="dotted">
          <color theme="2" tint="-9.9917600024414813E-2"/>
        </horizontal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3" formatCode="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numFmt numFmtId="14" formatCode="0.00%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numFmt numFmtId="14" formatCode="0.00%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" formatCode="0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" formatCode="0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" formatCode="0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0.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14" formatCode="0.0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0.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169" formatCode="0.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0.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0.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22" formatCode="mmm/yy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22" formatCode="m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165" formatCode="[$-409]d/mmm/yy;@"/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20" formatCode="dd/m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border outline="0">
        <top style="dotted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dotted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Fault</a:t>
            </a:r>
            <a:r>
              <a:rPr lang="en-GB" baseline="0"/>
              <a:t>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Analytics!$B$27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FE-4D6B-8159-C96D1FFFC9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FE-4D6B-8159-C96D1FFFC9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FE-4D6B-8159-C96D1FFFC9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FE-4D6B-8159-C96D1FFFC9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2FE-4D6B-8159-C96D1FFFC9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2FE-4D6B-8159-C96D1FFFC92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2FE-4D6B-8159-C96D1FFFC92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2FE-4D6B-8159-C96D1FFFC92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2FE-4D6B-8159-C96D1FFFC92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2FE-4D6B-8159-C96D1FFFC92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2FE-4D6B-8159-C96D1FFFC92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2FE-4D6B-8159-C96D1FFFC92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2FE-4D6B-8159-C96D1FFFC92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2FE-4D6B-8159-C96D1FFFC92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2FE-4D6B-8159-C96D1FFFC92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2FE-4D6B-8159-C96D1FFFC92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2FE-4D6B-8159-C96D1FFFC92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2FE-4D6B-8159-C96D1FFFC92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2FE-4D6B-8159-C96D1FFFC92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2FE-4D6B-8159-C96D1FFFC92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2FE-4D6B-8159-C96D1FFFC92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2FE-4D6B-8159-C96D1FFFC92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2FE-4D6B-8159-C96D1FFFC92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2FE-4D6B-8159-C96D1FFFC92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2FE-4D6B-8159-C96D1FFFC92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2FE-4D6B-8159-C96D1FFFC925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2FE-4D6B-8159-C96D1FFFC925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2FE-4D6B-8159-C96D1FFFC925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2FE-4D6B-8159-C96D1FFFC925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2FE-4D6B-8159-C96D1FFFC92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2FE-4D6B-8159-C96D1FFFC925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2FE-4D6B-8159-C96D1FFFC925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2FE-4D6B-8159-C96D1FFFC925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2FE-4D6B-8159-C96D1FFFC925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2FE-4D6B-8159-C96D1FFFC925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2FE-4D6B-8159-C96D1FFFC925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2FE-4D6B-8159-C96D1FFFC925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2FE-4D6B-8159-C96D1FFFC925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2FE-4D6B-8159-C96D1FFFC925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2FE-4D6B-8159-C96D1FFFC925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2FE-4D6B-8159-C96D1FFFC925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2FE-4D6B-8159-C96D1FFFC925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2FE-4D6B-8159-C96D1FFFC925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2FE-4D6B-8159-C96D1FFFC925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2FE-4D6B-8159-C96D1FFFC925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2FE-4D6B-8159-C96D1FFFC925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2FE-4D6B-8159-C96D1FFFC925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2FE-4D6B-8159-C96D1FFFC925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C2FE-4D6B-8159-C96D1FFFC925}"/>
              </c:ext>
            </c:extLst>
          </c:dPt>
          <c:cat>
            <c:strLit>
              <c:ptCount val="48"/>
              <c:pt idx="0">
                <c:v>Gearbox oil overtemperature</c:v>
              </c:pt>
              <c:pt idx="1">
                <c:v>Line CCU collective faults</c:v>
              </c:pt>
              <c:pt idx="2">
                <c:v> PLC fault 24V Supply</c:v>
              </c:pt>
              <c:pt idx="3">
                <c:v>Anemometer defec</c:v>
              </c:pt>
              <c:pt idx="4">
                <c:v>Line CCU fault current</c:v>
              </c:pt>
              <c:pt idx="5">
                <c:v>Pitch thyristor 3 fault</c:v>
              </c:pt>
              <c:pt idx="6">
                <c:v>Yaw tooth sensor 1 timeout </c:v>
              </c:pt>
              <c:pt idx="7">
                <c:v>Rotor speeds not plausible</c:v>
              </c:pt>
              <c:pt idx="8">
                <c:v>Communication fault wind measurement device</c:v>
              </c:pt>
              <c:pt idx="9">
                <c:v>No communication Cu</c:v>
              </c:pt>
              <c:pt idx="10">
                <c:v>Pitch thyristor 1 fault</c:v>
              </c:pt>
              <c:pt idx="11">
                <c:v>Brake not released secondary brake</c:v>
              </c:pt>
              <c:pt idx="12">
                <c:v>CCU fault at abnormal grid condition</c:v>
              </c:pt>
              <c:pt idx="13">
                <c:v>Grid voltage drop CU</c:v>
              </c:pt>
              <c:pt idx="14">
                <c:v>Pitch thyristor 2 fault</c:v>
              </c:pt>
              <c:pt idx="15">
                <c:v>Communication fault pitch controller Axis 2</c:v>
              </c:pt>
              <c:pt idx="16">
                <c:v>Gearbox oil level too low</c:v>
              </c:pt>
              <c:pt idx="17">
                <c:v>Line CCU fault voltage</c:v>
              </c:pt>
              <c:pt idx="18">
                <c:v>Timeout yaw counter</c:v>
              </c:pt>
              <c:pt idx="19">
                <c:v>Yaw tooth sensor 2 timeout </c:v>
              </c:pt>
              <c:pt idx="20">
                <c:v>axis 3 fault pitch controlle</c:v>
              </c:pt>
              <c:pt idx="21">
                <c:v>Yaw Brake Voltage 230Volt not OK </c:v>
              </c:pt>
              <c:pt idx="22">
                <c:v>Temp. sensor error (shut down)</c:v>
              </c:pt>
              <c:pt idx="23">
                <c:v>System re-initialization after grid outage </c:v>
              </c:pt>
              <c:pt idx="24">
                <c:v>DTA DIN03 control breaker status</c:v>
              </c:pt>
              <c:pt idx="25">
                <c:v>Battery voltage not OK axis 1</c:v>
              </c:pt>
              <c:pt idx="26">
                <c:v>axis 2 fault pitch controller</c:v>
              </c:pt>
              <c:pt idx="27">
                <c:v>Pitch control deviation Axis 3</c:v>
              </c:pt>
              <c:pt idx="28">
                <c:v>Yaw Mapping</c:v>
              </c:pt>
              <c:pt idx="29">
                <c:v>Communication fault Pitch controller</c:v>
              </c:pt>
              <c:pt idx="30">
                <c:v>Internal Line VCB tripped in over current</c:v>
              </c:pt>
              <c:pt idx="31">
                <c:v>axis 1 fault pitch controller</c:v>
              </c:pt>
              <c:pt idx="32">
                <c:v>TopBox DIN21 motor protection aux contact string</c:v>
              </c:pt>
              <c:pt idx="33">
                <c:v>Ratio generator-/rotor speed</c:v>
              </c:pt>
              <c:pt idx="34">
                <c:v>Line fault voltage</c:v>
              </c:pt>
              <c:pt idx="35">
                <c:v>Feedback error circuit breaker</c:v>
              </c:pt>
              <c:pt idx="36">
                <c:v>Shaft bearing overtemperature</c:v>
              </c:pt>
              <c:pt idx="37">
                <c:v>No speed reduction with secondary braking</c:v>
              </c:pt>
              <c:pt idx="38">
                <c:v>Brake does not close</c:v>
              </c:pt>
              <c:pt idx="39">
                <c:v>Pitch control deviation axis 1</c:v>
              </c:pt>
              <c:pt idx="40">
                <c:v>Limit switch 90deg-rotorblade defective</c:v>
              </c:pt>
              <c:pt idx="41">
                <c:v>Safety chain</c:v>
              </c:pt>
              <c:pt idx="42">
                <c:v>Pitch malfunction 2 or 3 blades</c:v>
              </c:pt>
              <c:pt idx="43">
                <c:v>Yaw runaway</c:v>
              </c:pt>
              <c:pt idx="44">
                <c:v>Yaw sensor error </c:v>
              </c:pt>
              <c:pt idx="45">
                <c:v>Secondary braking time too high</c:v>
              </c:pt>
              <c:pt idx="46">
                <c:v>Secondary brake test</c:v>
              </c:pt>
              <c:pt idx="47">
                <c:v>Incorrect Error Code</c:v>
              </c:pt>
            </c:strLit>
          </c:cat>
          <c:val>
            <c:numLit>
              <c:formatCode>General</c:formatCode>
              <c:ptCount val="48"/>
              <c:pt idx="0">
                <c:v>289.10000000000002</c:v>
              </c:pt>
              <c:pt idx="1">
                <c:v>207.01666666666671</c:v>
              </c:pt>
              <c:pt idx="2">
                <c:v>84.225277777777777</c:v>
              </c:pt>
              <c:pt idx="3">
                <c:v>65.850000000000009</c:v>
              </c:pt>
              <c:pt idx="4">
                <c:v>65.083333333333329</c:v>
              </c:pt>
              <c:pt idx="5">
                <c:v>58.083333333333336</c:v>
              </c:pt>
              <c:pt idx="6">
                <c:v>40.299999999999997</c:v>
              </c:pt>
              <c:pt idx="7">
                <c:v>39.799999999999997</c:v>
              </c:pt>
              <c:pt idx="8">
                <c:v>34.216666666666669</c:v>
              </c:pt>
              <c:pt idx="9">
                <c:v>28.95</c:v>
              </c:pt>
              <c:pt idx="10">
                <c:v>26.983333333333331</c:v>
              </c:pt>
              <c:pt idx="11">
                <c:v>20.25</c:v>
              </c:pt>
              <c:pt idx="12">
                <c:v>18.516666666666666</c:v>
              </c:pt>
              <c:pt idx="13">
                <c:v>18.016666666666676</c:v>
              </c:pt>
              <c:pt idx="14">
                <c:v>17.883333333333333</c:v>
              </c:pt>
              <c:pt idx="15">
                <c:v>15.583333333333332</c:v>
              </c:pt>
              <c:pt idx="16">
                <c:v>14.383333333333336</c:v>
              </c:pt>
              <c:pt idx="17">
                <c:v>13.366666666666665</c:v>
              </c:pt>
              <c:pt idx="18">
                <c:v>6.5666666666666655</c:v>
              </c:pt>
              <c:pt idx="19">
                <c:v>6.5333333333333332</c:v>
              </c:pt>
              <c:pt idx="20">
                <c:v>6.4666666666666686</c:v>
              </c:pt>
              <c:pt idx="21">
                <c:v>6.0333333333333332</c:v>
              </c:pt>
              <c:pt idx="22">
                <c:v>5.8999999999999986</c:v>
              </c:pt>
              <c:pt idx="23">
                <c:v>5.4166666666666741</c:v>
              </c:pt>
              <c:pt idx="24">
                <c:v>5.3333333333333304</c:v>
              </c:pt>
              <c:pt idx="25">
                <c:v>4.6166666666666663</c:v>
              </c:pt>
              <c:pt idx="26">
                <c:v>4.2999999999999989</c:v>
              </c:pt>
              <c:pt idx="27">
                <c:v>4.2499999999999982</c:v>
              </c:pt>
              <c:pt idx="28">
                <c:v>3.833333333333333</c:v>
              </c:pt>
              <c:pt idx="29">
                <c:v>3.1833333333333327</c:v>
              </c:pt>
              <c:pt idx="30">
                <c:v>3.1166666666666649</c:v>
              </c:pt>
              <c:pt idx="31">
                <c:v>2.8499999999999988</c:v>
              </c:pt>
              <c:pt idx="32">
                <c:v>2.7999999999999954</c:v>
              </c:pt>
              <c:pt idx="33">
                <c:v>2.6833333333333331</c:v>
              </c:pt>
              <c:pt idx="34">
                <c:v>2.25</c:v>
              </c:pt>
              <c:pt idx="35">
                <c:v>1.9333333333333331</c:v>
              </c:pt>
              <c:pt idx="36">
                <c:v>1.9000000000000012</c:v>
              </c:pt>
              <c:pt idx="37">
                <c:v>1.2500000000000016</c:v>
              </c:pt>
              <c:pt idx="38">
                <c:v>1.0166666666666664</c:v>
              </c:pt>
              <c:pt idx="39">
                <c:v>1.0000000000000004</c:v>
              </c:pt>
              <c:pt idx="40">
                <c:v>0.6666666666666663</c:v>
              </c:pt>
              <c:pt idx="41">
                <c:v>0.5999999999999992</c:v>
              </c:pt>
              <c:pt idx="42">
                <c:v>0.58333333333333393</c:v>
              </c:pt>
              <c:pt idx="43">
                <c:v>0.48333333333333361</c:v>
              </c:pt>
              <c:pt idx="44">
                <c:v>0.41666666666666785</c:v>
              </c:pt>
              <c:pt idx="45">
                <c:v>0.38333333333333597</c:v>
              </c:pt>
              <c:pt idx="46">
                <c:v>0.13333333333333286</c:v>
              </c:pt>
              <c:pt idx="4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CE-5A86-F745-8D95-000213F0F840}"/>
            </c:ext>
          </c:extLst>
        </c:ser>
        <c:ser>
          <c:idx val="1"/>
          <c:order val="1"/>
          <c:tx>
            <c:strRef>
              <c:f>Analytics!$C$27</c:f>
              <c:strCache>
                <c:ptCount val="1"/>
              </c:strCache>
            </c:strRef>
          </c:tx>
          <c:explosion val="7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C2FE-4D6B-8159-C96D1FFFC9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C2FE-4D6B-8159-C96D1FFFC9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C2FE-4D6B-8159-C96D1FFFC9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C2FE-4D6B-8159-C96D1FFFC9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C2FE-4D6B-8159-C96D1FFFC9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C2FE-4D6B-8159-C96D1FFFC92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C2FE-4D6B-8159-C96D1FFFC92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C2FE-4D6B-8159-C96D1FFFC92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C2FE-4D6B-8159-C96D1FFFC92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C2FE-4D6B-8159-C96D1FFFC92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C2FE-4D6B-8159-C96D1FFFC92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C2FE-4D6B-8159-C96D1FFFC92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C2FE-4D6B-8159-C96D1FFFC92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C2FE-4D6B-8159-C96D1FFFC92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C2FE-4D6B-8159-C96D1FFFC92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C2FE-4D6B-8159-C96D1FFFC92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C2FE-4D6B-8159-C96D1FFFC92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C2FE-4D6B-8159-C96D1FFFC92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C2FE-4D6B-8159-C96D1FFFC92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C2FE-4D6B-8159-C96D1FFFC92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C2FE-4D6B-8159-C96D1FFFC92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C2FE-4D6B-8159-C96D1FFFC92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C2FE-4D6B-8159-C96D1FFFC92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C2FE-4D6B-8159-C96D1FFFC92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C2FE-4D6B-8159-C96D1FFFC92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C2FE-4D6B-8159-C96D1FFFC925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C2FE-4D6B-8159-C96D1FFFC925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C2FE-4D6B-8159-C96D1FFFC925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C2FE-4D6B-8159-C96D1FFFC925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C2FE-4D6B-8159-C96D1FFFC92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C2FE-4D6B-8159-C96D1FFFC925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C2FE-4D6B-8159-C96D1FFFC925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C2FE-4D6B-8159-C96D1FFFC925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C2FE-4D6B-8159-C96D1FFFC925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C2FE-4D6B-8159-C96D1FFFC925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C2FE-4D6B-8159-C96D1FFFC925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C2FE-4D6B-8159-C96D1FFFC925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C2FE-4D6B-8159-C96D1FFFC925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C2FE-4D6B-8159-C96D1FFFC925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C2FE-4D6B-8159-C96D1FFFC925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C2FE-4D6B-8159-C96D1FFFC925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C2FE-4D6B-8159-C96D1FFFC925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C2FE-4D6B-8159-C96D1FFFC925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C2FE-4D6B-8159-C96D1FFFC925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C2FE-4D6B-8159-C96D1FFFC925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C2FE-4D6B-8159-C96D1FFFC925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C2FE-4D6B-8159-C96D1FFFC925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C2FE-4D6B-8159-C96D1FFFC925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C2FE-4D6B-8159-C96D1FFFC925}"/>
              </c:ext>
            </c:extLst>
          </c:dPt>
          <c:cat>
            <c:strLit>
              <c:ptCount val="48"/>
              <c:pt idx="0">
                <c:v>Gearbox oil overtemperature</c:v>
              </c:pt>
              <c:pt idx="1">
                <c:v>Line CCU collective faults</c:v>
              </c:pt>
              <c:pt idx="2">
                <c:v> PLC fault 24V Supply</c:v>
              </c:pt>
              <c:pt idx="3">
                <c:v>Anemometer defec</c:v>
              </c:pt>
              <c:pt idx="4">
                <c:v>Line CCU fault current</c:v>
              </c:pt>
              <c:pt idx="5">
                <c:v>Pitch thyristor 3 fault</c:v>
              </c:pt>
              <c:pt idx="6">
                <c:v>Yaw tooth sensor 1 timeout </c:v>
              </c:pt>
              <c:pt idx="7">
                <c:v>Rotor speeds not plausible</c:v>
              </c:pt>
              <c:pt idx="8">
                <c:v>Communication fault wind measurement device</c:v>
              </c:pt>
              <c:pt idx="9">
                <c:v>No communication Cu</c:v>
              </c:pt>
              <c:pt idx="10">
                <c:v>Pitch thyristor 1 fault</c:v>
              </c:pt>
              <c:pt idx="11">
                <c:v>Brake not released secondary brake</c:v>
              </c:pt>
              <c:pt idx="12">
                <c:v>CCU fault at abnormal grid condition</c:v>
              </c:pt>
              <c:pt idx="13">
                <c:v>Grid voltage drop CU</c:v>
              </c:pt>
              <c:pt idx="14">
                <c:v>Pitch thyristor 2 fault</c:v>
              </c:pt>
              <c:pt idx="15">
                <c:v>Communication fault pitch controller Axis 2</c:v>
              </c:pt>
              <c:pt idx="16">
                <c:v>Gearbox oil level too low</c:v>
              </c:pt>
              <c:pt idx="17">
                <c:v>Line CCU fault voltage</c:v>
              </c:pt>
              <c:pt idx="18">
                <c:v>Timeout yaw counter</c:v>
              </c:pt>
              <c:pt idx="19">
                <c:v>Yaw tooth sensor 2 timeout </c:v>
              </c:pt>
              <c:pt idx="20">
                <c:v>axis 3 fault pitch controlle</c:v>
              </c:pt>
              <c:pt idx="21">
                <c:v>Yaw Brake Voltage 230Volt not OK </c:v>
              </c:pt>
              <c:pt idx="22">
                <c:v>Temp. sensor error (shut down)</c:v>
              </c:pt>
              <c:pt idx="23">
                <c:v>System re-initialization after grid outage </c:v>
              </c:pt>
              <c:pt idx="24">
                <c:v>DTA DIN03 control breaker status</c:v>
              </c:pt>
              <c:pt idx="25">
                <c:v>Battery voltage not OK axis 1</c:v>
              </c:pt>
              <c:pt idx="26">
                <c:v>axis 2 fault pitch controller</c:v>
              </c:pt>
              <c:pt idx="27">
                <c:v>Pitch control deviation Axis 3</c:v>
              </c:pt>
              <c:pt idx="28">
                <c:v>Yaw Mapping</c:v>
              </c:pt>
              <c:pt idx="29">
                <c:v>Communication fault Pitch controller</c:v>
              </c:pt>
              <c:pt idx="30">
                <c:v>Internal Line VCB tripped in over current</c:v>
              </c:pt>
              <c:pt idx="31">
                <c:v>axis 1 fault pitch controller</c:v>
              </c:pt>
              <c:pt idx="32">
                <c:v>TopBox DIN21 motor protection aux contact string</c:v>
              </c:pt>
              <c:pt idx="33">
                <c:v>Ratio generator-/rotor speed</c:v>
              </c:pt>
              <c:pt idx="34">
                <c:v>Line fault voltage</c:v>
              </c:pt>
              <c:pt idx="35">
                <c:v>Feedback error circuit breaker</c:v>
              </c:pt>
              <c:pt idx="36">
                <c:v>Shaft bearing overtemperature</c:v>
              </c:pt>
              <c:pt idx="37">
                <c:v>No speed reduction with secondary braking</c:v>
              </c:pt>
              <c:pt idx="38">
                <c:v>Brake does not close</c:v>
              </c:pt>
              <c:pt idx="39">
                <c:v>Pitch control deviation axis 1</c:v>
              </c:pt>
              <c:pt idx="40">
                <c:v>Limit switch 90deg-rotorblade defective</c:v>
              </c:pt>
              <c:pt idx="41">
                <c:v>Safety chain</c:v>
              </c:pt>
              <c:pt idx="42">
                <c:v>Pitch malfunction 2 or 3 blades</c:v>
              </c:pt>
              <c:pt idx="43">
                <c:v>Yaw runaway</c:v>
              </c:pt>
              <c:pt idx="44">
                <c:v>Yaw sensor error </c:v>
              </c:pt>
              <c:pt idx="45">
                <c:v>Secondary braking time too high</c:v>
              </c:pt>
              <c:pt idx="46">
                <c:v>Secondary brake test</c:v>
              </c:pt>
              <c:pt idx="47">
                <c:v>Incorrect Error Code</c:v>
              </c:pt>
            </c:strLit>
          </c:cat>
          <c:val>
            <c:numLit>
              <c:formatCode>General</c:formatCode>
              <c:ptCount val="48"/>
              <c:pt idx="0">
                <c:v>73</c:v>
              </c:pt>
              <c:pt idx="1">
                <c:v>26</c:v>
              </c:pt>
              <c:pt idx="2">
                <c:v>12</c:v>
              </c:pt>
              <c:pt idx="3">
                <c:v>8</c:v>
              </c:pt>
              <c:pt idx="4">
                <c:v>7</c:v>
              </c:pt>
              <c:pt idx="5">
                <c:v>9</c:v>
              </c:pt>
              <c:pt idx="6">
                <c:v>20</c:v>
              </c:pt>
              <c:pt idx="7">
                <c:v>7</c:v>
              </c:pt>
              <c:pt idx="8">
                <c:v>5</c:v>
              </c:pt>
              <c:pt idx="9">
                <c:v>2</c:v>
              </c:pt>
              <c:pt idx="10">
                <c:v>3</c:v>
              </c:pt>
              <c:pt idx="11">
                <c:v>2</c:v>
              </c:pt>
              <c:pt idx="12">
                <c:v>2</c:v>
              </c:pt>
              <c:pt idx="13">
                <c:v>20</c:v>
              </c:pt>
              <c:pt idx="14">
                <c:v>4</c:v>
              </c:pt>
              <c:pt idx="15">
                <c:v>4</c:v>
              </c:pt>
              <c:pt idx="16">
                <c:v>9</c:v>
              </c:pt>
              <c:pt idx="17">
                <c:v>3</c:v>
              </c:pt>
              <c:pt idx="18">
                <c:v>3</c:v>
              </c:pt>
              <c:pt idx="19">
                <c:v>4</c:v>
              </c:pt>
              <c:pt idx="20">
                <c:v>5</c:v>
              </c:pt>
              <c:pt idx="21">
                <c:v>4</c:v>
              </c:pt>
              <c:pt idx="22">
                <c:v>3</c:v>
              </c:pt>
              <c:pt idx="23">
                <c:v>13</c:v>
              </c:pt>
              <c:pt idx="24">
                <c:v>1</c:v>
              </c:pt>
              <c:pt idx="25">
                <c:v>1</c:v>
              </c:pt>
              <c:pt idx="26">
                <c:v>2</c:v>
              </c:pt>
              <c:pt idx="27">
                <c:v>2</c:v>
              </c:pt>
              <c:pt idx="28">
                <c:v>1</c:v>
              </c:pt>
              <c:pt idx="29">
                <c:v>1</c:v>
              </c:pt>
              <c:pt idx="30">
                <c:v>2</c:v>
              </c:pt>
              <c:pt idx="31">
                <c:v>4</c:v>
              </c:pt>
              <c:pt idx="32">
                <c:v>4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4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2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2</c:v>
              </c:pt>
              <c:pt idx="46">
                <c:v>1</c:v>
              </c:pt>
              <c:pt idx="47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CF-5A86-F745-8D95-000213F0F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876300</xdr:colOff>
      <xdr:row>29</xdr:row>
      <xdr:rowOff>31750</xdr:rowOff>
    </xdr:from>
    <xdr:to>
      <xdr:col>11</xdr:col>
      <xdr:colOff>812800</xdr:colOff>
      <xdr:row>36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423F8-AFA0-384B-AAA8-1B89F4EBB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787400</xdr:colOff>
      <xdr:row>27</xdr:row>
      <xdr:rowOff>88900</xdr:rowOff>
    </xdr:from>
    <xdr:to>
      <xdr:col>4</xdr:col>
      <xdr:colOff>977900</xdr:colOff>
      <xdr:row>27</xdr:row>
      <xdr:rowOff>317500</xdr:rowOff>
    </xdr:to>
    <xdr:sp macro="" textlink="">
      <xdr:nvSpPr>
        <xdr:cNvPr id="10" name="Down Arrow 9">
          <a:extLst>
            <a:ext uri="{FF2B5EF4-FFF2-40B4-BE49-F238E27FC236}">
              <a16:creationId xmlns:a16="http://schemas.microsoft.com/office/drawing/2014/main" id="{D6C48563-DCFA-0244-A081-D75ADB8F7F3F}"/>
            </a:ext>
          </a:extLst>
        </xdr:cNvPr>
        <xdr:cNvSpPr/>
      </xdr:nvSpPr>
      <xdr:spPr>
        <a:xfrm>
          <a:off x="7454900" y="14084300"/>
          <a:ext cx="190500" cy="22860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2power-my.sharepoint.com/home/armax/Downloads/https:/sterlingwilsoninfra-my.sharepoint.com/home/operator/Downloads/C:/Users/hp/Downloads/DGR_Giriraj_16MW%20of%2019MW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2power-my.sharepoint.com/home/armax/Downloads/https:/sterlingwilsoninfra-my.sharepoint.com/home/operator/Downloads/C:/Askandra%20DGR%20november/DGR_Guj_Bhadrada%2030-oct_12%20(3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2power-my.sharepoint.com/UpdatedO2_DGR_Panama_Mirkala_80MW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2power-my.sharepoint.com/home/armax/Downloads/https:/sterlingwilsoninfra-my.sharepoint.com/home/operator/Downloads/C:/DGR_23052013/DGR_%20Solar/Raj_Askandra_Saidha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DGR"/>
      <sheetName val="DGR Bkup"/>
      <sheetName val="BD_Report"/>
      <sheetName val="Analog Data"/>
      <sheetName val="Basic_Data"/>
      <sheetName val="string cleaning"/>
      <sheetName val="Basic Data"/>
      <sheetName val="behindScenes"/>
      <sheetName val="Plant Master"/>
      <sheetName val="Dashboard"/>
      <sheetName val="Data entry"/>
      <sheetName val="POA Wtg"/>
      <sheetName val="Monthly"/>
      <sheetName val="INV Performance"/>
      <sheetName val="Breakdown Report"/>
      <sheetName val="DataValidation"/>
      <sheetName val="Module cleaning"/>
      <sheetName val="Equipment"/>
      <sheetName val="Maintenance Details"/>
      <sheetName val="Draft"/>
      <sheetName val="DGR SUMr"/>
      <sheetName val="Abbreviation"/>
      <sheetName val="Ex-Summary"/>
      <sheetName val="DGR Summary"/>
      <sheetName val="Sheet1"/>
      <sheetName val="Sheet2"/>
      <sheetName val="Load Shedding"/>
      <sheetName val="DGR "/>
      <sheetName val="Data_Entry"/>
      <sheetName val="33KV Meter Reading "/>
      <sheetName val="Plant Availability"/>
      <sheetName val="Plant BD"/>
      <sheetName val="Plant BD_35MW"/>
      <sheetName val="Grid Down Report"/>
      <sheetName val="DC Load"/>
      <sheetName val="Ex-Summary Sky Power"/>
      <sheetName val="132KV Meter Reading "/>
      <sheetName val="Tracker Report"/>
      <sheetName val="Tracker Availabilty"/>
      <sheetName val="Availability Report"/>
      <sheetName val="Load Shedding Gen Loss C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DGR"/>
      <sheetName val="DGR Bkup"/>
      <sheetName val="BD_Report"/>
      <sheetName val="Analog Data"/>
      <sheetName val="Basic_Data"/>
      <sheetName val="string cleaning"/>
      <sheetName val="Abbreviation"/>
      <sheetName val="Ex-Summary"/>
      <sheetName val="DGR Summary"/>
      <sheetName val="Sheet1"/>
      <sheetName val="Sheet2"/>
      <sheetName val="Load Shedding"/>
      <sheetName val="DGR "/>
      <sheetName val="Data_Entry"/>
      <sheetName val="33KV Meter Reading "/>
      <sheetName val="Basic Data"/>
      <sheetName val="Plant Availability"/>
      <sheetName val="Plant BD"/>
      <sheetName val="Plant BD_35MW"/>
      <sheetName val="Grid Down Report"/>
      <sheetName val="DC Load"/>
      <sheetName val="Ex-Summary Sky Power"/>
      <sheetName val="132KV Meter Reading "/>
      <sheetName val="Tracker Report"/>
      <sheetName val="Tracker Availabilty"/>
      <sheetName val="Availability Report"/>
      <sheetName val="Load Shedding Gen Loss Cal"/>
      <sheetName val="Inverter Wise PR"/>
      <sheetName val="PM Schedule"/>
      <sheetName val="SBE-14 Option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breviation"/>
      <sheetName val="O2_Summary"/>
      <sheetName val="Ex-Summary"/>
      <sheetName val="DGR Summary"/>
      <sheetName val="Modelling"/>
      <sheetName val="Sheet1"/>
      <sheetName val="DGR"/>
      <sheetName val="WTG_SY_Deviation"/>
      <sheetName val="WTG SE"/>
      <sheetName val="Data_Entry"/>
      <sheetName val="Inv PR "/>
      <sheetName val="WS"/>
      <sheetName val="GAR"/>
      <sheetName val="GARd"/>
      <sheetName val="AR"/>
      <sheetName val="MARd2"/>
      <sheetName val="MARd"/>
      <sheetName val="All"/>
      <sheetName val="Plant BD"/>
      <sheetName val="Basic Data"/>
      <sheetName val="Availability report"/>
      <sheetName val="Grid Down Report"/>
      <sheetName val="Load Shedd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DGR"/>
      <sheetName val="DGR Bkup"/>
      <sheetName val="BD_Report"/>
      <sheetName val="Analog Data"/>
      <sheetName val="Basic_Data"/>
      <sheetName val="string cleaning"/>
      <sheetName val="Business"/>
      <sheetName val="Facility"/>
      <sheetName val="Abbreviation"/>
      <sheetName val="Ex-Summary"/>
      <sheetName val="DGR Summary"/>
      <sheetName val="DGR "/>
      <sheetName val="Data_Entry"/>
      <sheetName val="33KV Meter Reading "/>
      <sheetName val="Availability Report"/>
      <sheetName val="Plant BD"/>
      <sheetName val="Plant BD_100MW"/>
      <sheetName val="Basic Data"/>
      <sheetName val="Grid Down Report"/>
      <sheetName val="Load Shedding"/>
      <sheetName val="DC Load"/>
      <sheetName val="Sheet1"/>
      <sheetName val="Sheet2"/>
      <sheetName val="Plant Availability"/>
      <sheetName val="Plant BD_35MW"/>
      <sheetName val="Inverter Wise PR"/>
      <sheetName val="PM Schedule"/>
      <sheetName val="SBE-16 Option1"/>
      <sheetName val="TN State- Employe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Daily_KPI" displayName="Daily_KPI" ref="A1:AS369" totalsRowShown="0" headerRowDxfId="412" dataDxfId="410" totalsRowDxfId="408" headerRowBorderDxfId="411" tableBorderDxfId="409" totalsRowBorderDxfId="407">
  <autoFilter ref="A1:AS369" xr:uid="{00000000-0009-0000-0100-000008000000}"/>
  <tableColumns count="45">
    <tableColumn id="1" xr3:uid="{00000000-0010-0000-0000-000001000000}" name="Date" dataDxfId="406" totalsRowDxfId="405" dataCellStyle="Normal 26"/>
    <tableColumn id="2" xr3:uid="{00000000-0010-0000-0000-000002000000}" name="Financial Year" dataDxfId="404" totalsRowDxfId="403" dataCellStyle="Normal 26">
      <calculatedColumnFormula>YEAR(Daily_KPI[[#This Row],[Date]])+IF(MONTH(Daily_KPI[[#This Row],[Date]])&gt;=4,1,0)</calculatedColumnFormula>
    </tableColumn>
    <tableColumn id="3" xr3:uid="{00000000-0010-0000-0000-000003000000}" name="Calendar Year" dataDxfId="402" totalsRowDxfId="401" dataCellStyle="Normal 26">
      <calculatedColumnFormula>YEAR(Daily_KPI[[#This Row],[Date]])</calculatedColumnFormula>
    </tableColumn>
    <tableColumn id="4" xr3:uid="{00000000-0010-0000-0000-000004000000}" name="Month Year" dataDxfId="400" totalsRowDxfId="399" dataCellStyle="Normal 26">
      <calculatedColumnFormula>Daily_KPI[[#This Row],[Date]]-DAY(Daily_KPI[[#This Row],[Date]])+1</calculatedColumnFormula>
    </tableColumn>
    <tableColumn id="5" xr3:uid="{00000000-0010-0000-0000-000005000000}" name="Days" dataDxfId="398" totalsRowDxfId="397" dataCellStyle="Normal 26">
      <calculatedColumnFormula>DAY(EOMONTH(A2,0))</calculatedColumnFormula>
    </tableColumn>
    <tableColumn id="6" xr3:uid="{00000000-0010-0000-0000-000006000000}" name="Operating Hours" dataDxfId="396" dataCellStyle="Percent"/>
    <tableColumn id="7" xr3:uid="{00000000-0010-0000-0000-000007000000}" name="GHI-UP (KWh/m2)" dataDxfId="395" totalsRowDxfId="394" dataCellStyle="Percent"/>
    <tableColumn id="8" xr3:uid="{00000000-0010-0000-0000-000008000000}" name="GHI-Down(KWh/m2)" dataDxfId="393" totalsRowDxfId="392" dataCellStyle="Percent"/>
    <tableColumn id="9" xr3:uid="{00000000-0010-0000-0000-000009000000}" name="POA-UP(KWh/m2)" dataDxfId="391" totalsRowDxfId="390" dataCellStyle="Percent"/>
    <tableColumn id="10" xr3:uid="{00000000-0010-0000-0000-00000A000000}" name="POA-Down(KWh/m2)" dataDxfId="389" totalsRowDxfId="388" dataCellStyle="Percent"/>
    <tableColumn id="11" xr3:uid="{00000000-0010-0000-0000-00000B000000}" name="Amb_Temp(°C)" dataDxfId="387" totalsRowDxfId="386" dataCellStyle="Percent"/>
    <tableColumn id="12" xr3:uid="{00000000-0010-0000-0000-00000C000000}" name="Mod_Temp(°C)" dataDxfId="385" totalsRowDxfId="384" dataCellStyle="Percent"/>
    <tableColumn id="13" xr3:uid="{00000000-0010-0000-0000-00000D000000}" name="WS_Avg(m/s)" dataDxfId="383" totalsRowDxfId="382" dataCellStyle="Percent">
      <calculatedColumnFormula>IFERROR(_xlfn.XLOOKUP($A2,Input_Raw!$A:$A,Input_Raw!$CQ:$CQ),"")</calculatedColumnFormula>
    </tableColumn>
    <tableColumn id="14" xr3:uid="{00000000-0010-0000-0000-00000E000000}" name="WS_Max(m/s)" dataDxfId="381" totalsRowDxfId="380" dataCellStyle="Percent">
      <calculatedColumnFormula>IFERROR(_xlfn.XLOOKUP($A2,Input_Raw!$A:$A,Input_Raw!$CR:$CR),"")</calculatedColumnFormula>
    </tableColumn>
    <tableColumn id="15" xr3:uid="{00000000-0010-0000-0000-00000F000000}" name="PA(%)" dataDxfId="379" dataCellStyle="Percent">
      <calculatedColumnFormula>IFERROR(P2*Q2,"")</calculatedColumnFormula>
    </tableColumn>
    <tableColumn id="16" xr3:uid="{00000000-0010-0000-0000-000010000000}" name="MA (%)" dataDxfId="378" totalsRowDxfId="377" dataCellStyle="Percent">
      <calculatedColumnFormula>IFERROR(1-SUMIF(WTG_BD!$F:$F,$A2,WTG_BD!$AA:$AA)/($AA2+SUMIF(WTG_BD!$F:$F,$A2,WTG_BD!$AA:$AA)),"")</calculatedColumnFormula>
    </tableColumn>
    <tableColumn id="17" xr3:uid="{00000000-0010-0000-0000-000011000000}" name="IGA (%)" dataDxfId="376" totalsRowDxfId="375" dataCellStyle="Percent">
      <calculatedColumnFormula>IFERROR(1-SUMIF(IGA_BD!$F:$F,$A2,IGA_BD!$W:$W)/($AA2+SUMIF(IGA_BD!$F:$F,$A2,IGA_BD!$W:$W)),"")</calculatedColumnFormula>
    </tableColumn>
    <tableColumn id="18" xr3:uid="{00000000-0010-0000-0000-000012000000}" name="EGA(%)" dataDxfId="374" totalsRowDxfId="373" dataCellStyle="Percent">
      <calculatedColumnFormula>IFERROR(1-SUMIF(Grid_BD!$F:$F,$A2,Grid_BD!$Y:$Y)/($AA2+SUMIF(Grid_BD!$F:$F,$A2,Grid_BD!$Y:$Y)),"")</calculatedColumnFormula>
    </tableColumn>
    <tableColumn id="19" xr3:uid="{00000000-0010-0000-0000-000013000000}" name="EMA (%)" dataDxfId="372" totalsRowDxfId="371"/>
    <tableColumn id="20" xr3:uid="{00000000-0010-0000-0000-000014000000}" name="TA (%)" dataDxfId="370" totalsRowDxfId="369" dataCellStyle="Percent"/>
    <tableColumn id="21" xr3:uid="{00000000-0010-0000-0000-000015000000}" name="PR(%)" dataDxfId="368" totalsRowDxfId="367" dataCellStyle="Percent"/>
    <tableColumn id="22" xr3:uid="{00000000-0010-0000-0000-000016000000}" name="WPR(%)" dataDxfId="366" totalsRowDxfId="365"/>
    <tableColumn id="23" xr3:uid="{00000000-0010-0000-0000-000017000000}" name="CUF(%)" dataDxfId="364" totalsRowDxfId="363" dataCellStyle="Percent">
      <calculatedColumnFormula>IFERROR(X2/(24*AB2*1000),"")</calculatedColumnFormula>
    </tableColumn>
    <tableColumn id="24" xr3:uid="{00000000-0010-0000-0000-000018000000}" name="Gen_Exp (kWh)" dataDxfId="362" totalsRowDxfId="361">
      <calculatedColumnFormula>IFERROR(_xlfn.XLOOKUP($A2,Input_Raw!$A:$A,Input_Raw!$CP:$CP)*1000,"")</calculatedColumnFormula>
    </tableColumn>
    <tableColumn id="25" xr3:uid="{00000000-0010-0000-0000-000019000000}" name="Mtr_Export (kWh)" dataDxfId="360" totalsRowDxfId="359">
      <calculatedColumnFormula>IFERROR(_xlfn.XLOOKUP($A2,Input_Raw!$A:$A,Input_Raw!DJ:DJ)*1000,"")</calculatedColumnFormula>
    </tableColumn>
    <tableColumn id="26" xr3:uid="{00000000-0010-0000-0000-00001A000000}" name="Mtr_Import (kWh)" dataDxfId="358" totalsRowDxfId="357">
      <calculatedColumnFormula>IFERROR(_xlfn.XLOOKUP($A2,Input_Raw!$A:$A,Input_Raw!DK:DK)*1000,"")</calculatedColumnFormula>
    </tableColumn>
    <tableColumn id="27" xr3:uid="{00000000-0010-0000-0000-00001B000000}" name="Mtr_Net_Exp (KWh)" dataDxfId="356" totalsRowDxfId="355">
      <calculatedColumnFormula>IFERROR(Y2-Z2,"")</calculatedColumnFormula>
    </tableColumn>
    <tableColumn id="28" xr3:uid="{00000000-0010-0000-0000-00001C000000}" name="Operational Capacity (MW)" dataDxfId="354" totalsRowDxfId="353">
      <calculatedColumnFormula>IFERROR(_xlfn.XLOOKUP($A2,Input_Raw!$A:$A,Input_Raw!$DR:$DR),"")</calculatedColumnFormula>
    </tableColumn>
    <tableColumn id="29" xr3:uid="{00000000-0010-0000-0000-00001D000000}" name="Bugt_Resource" dataDxfId="352" totalsRowDxfId="351">
      <calculatedColumnFormula>IFERROR(_xlfn.XLOOKUP($D2,'Modelling New'!$D:$D,'Modelling New'!$J:$J),"")</calculatedColumnFormula>
    </tableColumn>
    <tableColumn id="30" xr3:uid="{00000000-0010-0000-0000-00001E000000}" name="Bugt_Energy" dataDxfId="350" totalsRowDxfId="349">
      <calculatedColumnFormula>IFERROR(_xlfn.XLOOKUP($D2,'Modelling New'!$D:$D,'Modelling New'!$T:$T)*1000,"")</calculatedColumnFormula>
    </tableColumn>
    <tableColumn id="43" xr3:uid="{00000000-0010-0000-0000-00002B000000}" name="Bugt PR" dataDxfId="348" totalsRowDxfId="347" dataCellStyle="Percent"/>
    <tableColumn id="42" xr3:uid="{00000000-0010-0000-0000-00002A000000}" name="Bugt CUF" dataDxfId="346" totalsRowDxfId="345" dataCellStyle="Percent">
      <calculatedColumnFormula>IFERROR(_xlfn.XLOOKUP($D2,'Modelling New'!$D:$D,'Modelling New'!$W:$W),"")</calculatedColumnFormula>
    </tableColumn>
    <tableColumn id="31" xr3:uid="{00000000-0010-0000-0000-00001F000000}" name="Bugt_PA" dataDxfId="344" totalsRowDxfId="343" dataCellStyle="Percent">
      <calculatedColumnFormula>IFERROR(_xlfn.XLOOKUP($D2,'Modelling New'!$D:$D,'Modelling New'!$AE:$AE),"")</calculatedColumnFormula>
    </tableColumn>
    <tableColumn id="32" xr3:uid="{00000000-0010-0000-0000-000020000000}" name="Bugt_EGA" dataDxfId="342" totalsRowDxfId="341" dataCellStyle="Percent">
      <calculatedColumnFormula>IFERROR(_xlfn.XLOOKUP($D2,'Modelling New'!$D:$D,'Modelling New'!$AF:$AF),"")</calculatedColumnFormula>
    </tableColumn>
    <tableColumn id="33" xr3:uid="{00000000-0010-0000-0000-000021000000}" name="Expected Energy" dataDxfId="340" totalsRowDxfId="339">
      <calculatedColumnFormula>IFERROR(_xlfn.XLOOKUP($A2,Input_Raw!$A:$A,Input_Raw!$DP:$DP),"")</calculatedColumnFormula>
    </tableColumn>
    <tableColumn id="34" xr3:uid="{00000000-0010-0000-0000-000022000000}" name="Actual Energy WPR" dataDxfId="338" totalsRowDxfId="337"/>
    <tableColumn id="35" xr3:uid="{00000000-0010-0000-0000-000023000000}" name="RA (%)" dataDxfId="336" totalsRowDxfId="335"/>
    <tableColumn id="36" xr3:uid="{00000000-0010-0000-0000-000024000000}" name="Mod Clean Dry (Num)" dataDxfId="334" totalsRowDxfId="333"/>
    <tableColumn id="37" xr3:uid="{00000000-0010-0000-0000-000025000000}" name="Mod Clean Wet (Num)" dataDxfId="332" totalsRowDxfId="331"/>
    <tableColumn id="38" xr3:uid="{00000000-0010-0000-0000-000026000000}" name="Line Loss(%)" dataDxfId="330" totalsRowDxfId="329" dataCellStyle="Percent">
      <calculatedColumnFormula>IFERROR(_xlfn.XLOOKUP($A2,Input_Raw!$A:$A,Input_Raw!$DL:$DL),"")</calculatedColumnFormula>
    </tableColumn>
    <tableColumn id="39" xr3:uid="{00000000-0010-0000-0000-000027000000}" name="Reactive Power (%)" dataDxfId="328" dataCellStyle="Percent">
      <calculatedColumnFormula>IFERROR((_xlfn.XLOOKUP($A2,'WTG Reactive Power'!$A:$A,'WTG Reactive Power'!$AW:$AW))/X2,"")</calculatedColumnFormula>
    </tableColumn>
    <tableColumn id="40" xr3:uid="{00000000-0010-0000-0000-000028000000}" name="Bugt Line loss (%) (Wind)" dataDxfId="327" totalsRowDxfId="326" dataCellStyle="Percent">
      <calculatedColumnFormula>IFERROR(_xlfn.XLOOKUP($D2,'Modelling New'!$D:$D,'Modelling New'!$AK:$AK),"")</calculatedColumnFormula>
    </tableColumn>
    <tableColumn id="41" xr3:uid="{00000000-0010-0000-0000-000029000000}" name="Bugt Reactive Power (%) (Wind)" dataDxfId="325" totalsRowDxfId="324" dataCellStyle="Percent">
      <calculatedColumnFormula>IFERROR(_xlfn.XLOOKUP($D2,'Modelling New'!$D:$D,'Modelling New'!$AL:$AL),"")</calculatedColumnFormula>
    </tableColumn>
    <tableColumn id="44" xr3:uid="{00000000-0010-0000-0000-00002C000000}" name="Bugt Capacity" dataDxfId="323" totalsRowDxfId="322">
      <calculatedColumnFormula>IFERROR(_xlfn.XLOOKUP($D2,'Modelling New'!$D:$D,'Modelling New'!$N:$N),"")</calculatedColumnFormula>
    </tableColumn>
    <tableColumn id="45" xr3:uid="{00000000-0010-0000-0000-00002D000000}" name="CC*Bugt" dataDxfId="321" totalsRowDxfId="320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Input_Raw" displayName="Input_Raw" ref="A4:DR107" totalsRowShown="0" headerRowDxfId="319" dataDxfId="317" headerRowBorderDxfId="318" tableBorderDxfId="316" totalsRowBorderDxfId="315">
  <tableColumns count="122">
    <tableColumn id="5" xr3:uid="{00000000-0010-0000-0100-000005000000}" name="Date" dataDxfId="314" dataCellStyle="Normal 27"/>
    <tableColumn id="1" xr3:uid="{00000000-0010-0000-0100-000001000000}" name="Finacial Year" dataDxfId="313">
      <calculatedColumnFormula>YEAR(Input_Raw[[#This Row],[Date]])+IF(MONTH(Input_Raw[[#This Row],[Date]])&gt;=4,1,0)</calculatedColumnFormula>
    </tableColumn>
    <tableColumn id="2" xr3:uid="{00000000-0010-0000-0100-000002000000}" name="Calendor Year" dataDxfId="312">
      <calculatedColumnFormula>YEAR(Input_Raw[[#This Row],[Date]])</calculatedColumnFormula>
    </tableColumn>
    <tableColumn id="3" xr3:uid="{00000000-0010-0000-0100-000003000000}" name="Month Year" dataDxfId="311">
      <calculatedColumnFormula>A5-DAY(A5)+1</calculatedColumnFormula>
    </tableColumn>
    <tableColumn id="4" xr3:uid="{00000000-0010-0000-0100-000004000000}" name="Days" dataDxfId="310">
      <calculatedColumnFormula>DAY(EOMONTH(Input_Raw[[#This Row],[Date]],0))</calculatedColumnFormula>
    </tableColumn>
    <tableColumn id="6" xr3:uid="{00000000-0010-0000-0100-000006000000}" name="P-01" dataDxfId="309"/>
    <tableColumn id="7" xr3:uid="{00000000-0010-0000-0100-000007000000}" name="P-02" dataDxfId="308"/>
    <tableColumn id="8" xr3:uid="{00000000-0010-0000-0100-000008000000}" name="P-03" dataDxfId="307"/>
    <tableColumn id="9" xr3:uid="{00000000-0010-0000-0100-000009000000}" name="P-04" dataDxfId="306"/>
    <tableColumn id="10" xr3:uid="{00000000-0010-0000-0100-00000A000000}" name="P-05" dataDxfId="305"/>
    <tableColumn id="11" xr3:uid="{00000000-0010-0000-0100-00000B000000}" name="P-06" dataDxfId="304"/>
    <tableColumn id="12" xr3:uid="{00000000-0010-0000-0100-00000C000000}" name="P-07" dataDxfId="303"/>
    <tableColumn id="13" xr3:uid="{00000000-0010-0000-0100-00000D000000}" name="P-08" dataDxfId="302"/>
    <tableColumn id="14" xr3:uid="{00000000-0010-0000-0100-00000E000000}" name="P-09" dataDxfId="301"/>
    <tableColumn id="15" xr3:uid="{00000000-0010-0000-0100-00000F000000}" name="P-10" dataDxfId="300"/>
    <tableColumn id="16" xr3:uid="{00000000-0010-0000-0100-000010000000}" name="P-11" dataDxfId="299"/>
    <tableColumn id="17" xr3:uid="{00000000-0010-0000-0100-000011000000}" name="P-12" dataDxfId="298"/>
    <tableColumn id="18" xr3:uid="{00000000-0010-0000-0100-000012000000}" name="P-13" dataDxfId="297"/>
    <tableColumn id="19" xr3:uid="{00000000-0010-0000-0100-000013000000}" name="P-14" dataDxfId="296"/>
    <tableColumn id="20" xr3:uid="{00000000-0010-0000-0100-000014000000}" name="P-15" dataDxfId="295"/>
    <tableColumn id="21" xr3:uid="{00000000-0010-0000-0100-000015000000}" name="P-16" dataDxfId="294"/>
    <tableColumn id="22" xr3:uid="{00000000-0010-0000-0100-000016000000}" name="P-17" dataDxfId="293"/>
    <tableColumn id="23" xr3:uid="{00000000-0010-0000-0100-000017000000}" name="P-18" dataDxfId="292"/>
    <tableColumn id="24" xr3:uid="{00000000-0010-0000-0100-000018000000}" name="P-19" dataDxfId="291"/>
    <tableColumn id="25" xr3:uid="{00000000-0010-0000-0100-000019000000}" name="P-20" dataDxfId="290"/>
    <tableColumn id="26" xr3:uid="{00000000-0010-0000-0100-00001A000000}" name="P-22" dataDxfId="289"/>
    <tableColumn id="27" xr3:uid="{00000000-0010-0000-0100-00001B000000}" name="P-23" dataDxfId="288"/>
    <tableColumn id="28" xr3:uid="{00000000-0010-0000-0100-00001C000000}" name="P-25" dataDxfId="287"/>
    <tableColumn id="78" xr3:uid="{00000000-0010-0000-0100-00004E000000}" name="P-26" dataDxfId="286" dataCellStyle="Percent 2"/>
    <tableColumn id="79" xr3:uid="{00000000-0010-0000-0100-00004F000000}" name="P-27" dataDxfId="285" dataCellStyle="Percent 2"/>
    <tableColumn id="80" xr3:uid="{00000000-0010-0000-0100-000050000000}" name="P-28" dataDxfId="284" dataCellStyle="Percent 2"/>
    <tableColumn id="81" xr3:uid="{00000000-0010-0000-0100-000051000000}" name="P-31" dataDxfId="283" dataCellStyle="Percent 2"/>
    <tableColumn id="82" xr3:uid="{00000000-0010-0000-0100-000052000000}" name="P-32" dataDxfId="282" dataCellStyle="Percent 2"/>
    <tableColumn id="83" xr3:uid="{00000000-0010-0000-0100-000053000000}" name="P-34" dataDxfId="281" dataCellStyle="Percent 2"/>
    <tableColumn id="84" xr3:uid="{00000000-0010-0000-0100-000054000000}" name="P-37" dataDxfId="280" dataCellStyle="Percent 2"/>
    <tableColumn id="85" xr3:uid="{00000000-0010-0000-0100-000055000000}" name="P-38" dataDxfId="279" dataCellStyle="Percent 2"/>
    <tableColumn id="110" xr3:uid="{00000000-0010-0000-0100-00006E000000}" name="P-40" dataDxfId="278" dataCellStyle="Percent 2"/>
    <tableColumn id="111" xr3:uid="{00000000-0010-0000-0100-00006F000000}" name="P-41" dataDxfId="277" dataCellStyle="Percent 2"/>
    <tableColumn id="112" xr3:uid="{00000000-0010-0000-0100-000070000000}" name="P-42" dataDxfId="276" dataCellStyle="Percent 2"/>
    <tableColumn id="113" xr3:uid="{00000000-0010-0000-0100-000071000000}" name="P-43" dataDxfId="275" dataCellStyle="Percent 2"/>
    <tableColumn id="114" xr3:uid="{00000000-0010-0000-0100-000072000000}" name="P-45" dataDxfId="274" dataCellStyle="Percent 2"/>
    <tableColumn id="115" xr3:uid="{00000000-0010-0000-0100-000073000000}" name="P-46" dataDxfId="273" dataCellStyle="Percent 2"/>
    <tableColumn id="116" xr3:uid="{00000000-0010-0000-0100-000074000000}" name="P-47" dataDxfId="272" dataCellStyle="Percent 2"/>
    <tableColumn id="117" xr3:uid="{00000000-0010-0000-0100-000075000000}" name="P-48" dataDxfId="271" dataCellStyle="Percent 2"/>
    <tableColumn id="118" xr3:uid="{00000000-0010-0000-0100-000076000000}" name="P-50" dataDxfId="270" dataCellStyle="Percent 2"/>
    <tableColumn id="60" xr3:uid="{00000000-0010-0000-0100-00003C000000}" name="P-51" dataDxfId="269" dataCellStyle="Percent 2"/>
    <tableColumn id="61" xr3:uid="{00000000-0010-0000-0100-00003D000000}" name="P-52" dataDxfId="268" dataCellStyle="Percent 2"/>
    <tableColumn id="62" xr3:uid="{00000000-0010-0000-0100-00003E000000}" name="P-55" dataDxfId="267" dataCellStyle="Percent 2"/>
    <tableColumn id="63" xr3:uid="{00000000-0010-0000-0100-00003F000000}" name="P-56" dataDxfId="266" dataCellStyle="Percent 2"/>
    <tableColumn id="29" xr3:uid="{00000000-0010-0000-0100-00001D000000}" name="WS_P-01" dataDxfId="265" dataCellStyle="Comma"/>
    <tableColumn id="30" xr3:uid="{00000000-0010-0000-0100-00001E000000}" name="WS_P-02" dataDxfId="264" dataCellStyle="Comma"/>
    <tableColumn id="31" xr3:uid="{00000000-0010-0000-0100-00001F000000}" name="WS_P-03" dataDxfId="263" dataCellStyle="Comma"/>
    <tableColumn id="32" xr3:uid="{00000000-0010-0000-0100-000020000000}" name="WS_P-04" dataDxfId="262" dataCellStyle="Comma"/>
    <tableColumn id="33" xr3:uid="{00000000-0010-0000-0100-000021000000}" name="WS_P-05" dataDxfId="261" dataCellStyle="Comma"/>
    <tableColumn id="34" xr3:uid="{00000000-0010-0000-0100-000022000000}" name="WS_P-06" dataDxfId="260" dataCellStyle="Comma"/>
    <tableColumn id="35" xr3:uid="{00000000-0010-0000-0100-000023000000}" name="WS_P-07" dataDxfId="259" dataCellStyle="Comma"/>
    <tableColumn id="36" xr3:uid="{00000000-0010-0000-0100-000024000000}" name="WS_P-08" dataDxfId="258" dataCellStyle="Comma"/>
    <tableColumn id="37" xr3:uid="{00000000-0010-0000-0100-000025000000}" name="WS_P-09" dataDxfId="257" dataCellStyle="Comma"/>
    <tableColumn id="38" xr3:uid="{00000000-0010-0000-0100-000026000000}" name="WS_P-10" dataDxfId="256" dataCellStyle="Comma"/>
    <tableColumn id="39" xr3:uid="{00000000-0010-0000-0100-000027000000}" name="WS_P-11" dataDxfId="255" dataCellStyle="Comma"/>
    <tableColumn id="40" xr3:uid="{00000000-0010-0000-0100-000028000000}" name="WS_P-12" dataDxfId="254" dataCellStyle="Comma"/>
    <tableColumn id="41" xr3:uid="{00000000-0010-0000-0100-000029000000}" name="WS_P-13" dataDxfId="253" dataCellStyle="Comma"/>
    <tableColumn id="42" xr3:uid="{00000000-0010-0000-0100-00002A000000}" name="WS_P-14" dataDxfId="252" dataCellStyle="Comma"/>
    <tableColumn id="43" xr3:uid="{00000000-0010-0000-0100-00002B000000}" name="WS_P-15" dataDxfId="251" dataCellStyle="Comma"/>
    <tableColumn id="44" xr3:uid="{00000000-0010-0000-0100-00002C000000}" name="WS_P-16" dataDxfId="250" dataCellStyle="Comma"/>
    <tableColumn id="45" xr3:uid="{00000000-0010-0000-0100-00002D000000}" name="WS_P-17" dataDxfId="249" dataCellStyle="Comma"/>
    <tableColumn id="46" xr3:uid="{00000000-0010-0000-0100-00002E000000}" name="WS_P-18" dataDxfId="248" dataCellStyle="Comma"/>
    <tableColumn id="47" xr3:uid="{00000000-0010-0000-0100-00002F000000}" name="WS_P-19" dataDxfId="247" dataCellStyle="Comma"/>
    <tableColumn id="48" xr3:uid="{00000000-0010-0000-0100-000030000000}" name="WS_P-20" dataDxfId="246" dataCellStyle="Comma"/>
    <tableColumn id="49" xr3:uid="{00000000-0010-0000-0100-000031000000}" name="WS_P-22" dataDxfId="245" dataCellStyle="Comma"/>
    <tableColumn id="50" xr3:uid="{00000000-0010-0000-0100-000032000000}" name="WS_P-23" dataDxfId="244" dataCellStyle="Comma"/>
    <tableColumn id="51" xr3:uid="{00000000-0010-0000-0100-000033000000}" name="WS_P-25" dataDxfId="243" dataCellStyle="Comma"/>
    <tableColumn id="119" xr3:uid="{00000000-0010-0000-0100-000077000000}" name="WS_P-26" dataDxfId="242" dataCellStyle="Comma"/>
    <tableColumn id="120" xr3:uid="{00000000-0010-0000-0100-000078000000}" name="WS_P-27" dataDxfId="241" dataCellStyle="Comma"/>
    <tableColumn id="121" xr3:uid="{00000000-0010-0000-0100-000079000000}" name="WS_P-28" dataDxfId="240" dataCellStyle="Comma"/>
    <tableColumn id="122" xr3:uid="{00000000-0010-0000-0100-00007A000000}" name="WS_P-31" dataDxfId="239" dataCellStyle="Comma"/>
    <tableColumn id="123" xr3:uid="{00000000-0010-0000-0100-00007B000000}" name="WS_P-32" dataDxfId="238" dataCellStyle="Comma"/>
    <tableColumn id="124" xr3:uid="{00000000-0010-0000-0100-00007C000000}" name="WS_P-34" dataDxfId="237" dataCellStyle="Comma"/>
    <tableColumn id="125" xr3:uid="{00000000-0010-0000-0100-00007D000000}" name="WS_P-37" dataDxfId="236" dataCellStyle="Comma"/>
    <tableColumn id="126" xr3:uid="{00000000-0010-0000-0100-00007E000000}" name="WS_P-38" dataDxfId="235" dataCellStyle="Comma"/>
    <tableColumn id="127" xr3:uid="{00000000-0010-0000-0100-00007F000000}" name="WS_P-40" dataDxfId="234" dataCellStyle="Comma"/>
    <tableColumn id="128" xr3:uid="{00000000-0010-0000-0100-000080000000}" name="WS_P-41" dataDxfId="233" dataCellStyle="Comma"/>
    <tableColumn id="129" xr3:uid="{00000000-0010-0000-0100-000081000000}" name="WS_P-42" dataDxfId="232" dataCellStyle="Comma"/>
    <tableColumn id="130" xr3:uid="{00000000-0010-0000-0100-000082000000}" name="WS_P-43" dataDxfId="231" dataCellStyle="Comma"/>
    <tableColumn id="131" xr3:uid="{00000000-0010-0000-0100-000083000000}" name="WS_P-45" dataDxfId="230" dataCellStyle="Comma"/>
    <tableColumn id="132" xr3:uid="{00000000-0010-0000-0100-000084000000}" name="WS_P-46" dataDxfId="229" dataCellStyle="Comma"/>
    <tableColumn id="133" xr3:uid="{00000000-0010-0000-0100-000085000000}" name="WS_P-47" dataDxfId="228" dataCellStyle="Comma"/>
    <tableColumn id="134" xr3:uid="{00000000-0010-0000-0100-000086000000}" name="WS_P-48" dataDxfId="227" dataCellStyle="Comma"/>
    <tableColumn id="135" xr3:uid="{00000000-0010-0000-0100-000087000000}" name="WS_P-50" dataDxfId="226" dataCellStyle="Comma"/>
    <tableColumn id="56" xr3:uid="{00000000-0010-0000-0100-000038000000}" name="WS_P-51" dataDxfId="225" dataCellStyle="Comma"/>
    <tableColumn id="57" xr3:uid="{00000000-0010-0000-0100-000039000000}" name="WS_P-52" dataDxfId="224" dataCellStyle="Comma"/>
    <tableColumn id="58" xr3:uid="{00000000-0010-0000-0100-00003A000000}" name="WS_P-55" dataDxfId="223" dataCellStyle="Comma"/>
    <tableColumn id="59" xr3:uid="{00000000-0010-0000-0100-00003B000000}" name="WS_P-56" dataDxfId="222" dataCellStyle="Comma"/>
    <tableColumn id="106" xr3:uid="{00000000-0010-0000-0100-00006A000000}" name="WTG Total Gneration (MWh)" dataDxfId="221">
      <calculatedColumnFormula>SUM(Input_Raw[[#This Row],[P-01]:[P-56]])/1000</calculatedColumnFormula>
    </tableColumn>
    <tableColumn id="107" xr3:uid="{00000000-0010-0000-0100-00006B000000}" name="Wind Speed Average cumulative (m/S)2" dataDxfId="220" dataCellStyle="Comma">
      <calculatedColumnFormula>IFERROR(AVERAGEIF(Input_Raw[[#This Row],[WS_P-01]:[WS_P-56]],"&lt;&gt;",Input_Raw[[#This Row],[WS_P-01]:[WS_P-56]]),"")</calculatedColumnFormula>
    </tableColumn>
    <tableColumn id="108" xr3:uid="{00000000-0010-0000-0100-00006C000000}" name="Wind Speed Max (m/S)" dataDxfId="219">
      <calculatedColumnFormula>MAX(Input_Raw[[#This Row],[WS_P-01]:[WS_P-56]])</calculatedColumnFormula>
    </tableColumn>
    <tableColumn id="109" xr3:uid="{00000000-0010-0000-0100-00006D000000}" name="Rain (mm)" dataDxfId="218"/>
    <tableColumn id="52" xr3:uid="{00000000-0010-0000-0100-000034000000}" name="33 kV_Wind_F1_Export reading" dataDxfId="217" dataCellStyle="Comma">
      <calculatedColumnFormula>SUM(Input_Raw[[#This Row],[P-08]:[P-13]],Input_Raw[[#This Row],[P-25]:[P-28]])</calculatedColumnFormula>
    </tableColumn>
    <tableColumn id="145" xr3:uid="{00000000-0010-0000-0100-000091000000}" name="33 kV_Wind_F1_Import reading" dataDxfId="216" dataCellStyle="Comma"/>
    <tableColumn id="53" xr3:uid="{00000000-0010-0000-0100-000035000000}" name="33 kV_Wind_F2_Export_reading" dataDxfId="215" dataCellStyle="Comma">
      <calculatedColumnFormula>SUM(Input_Raw[[#This Row],[P-04]],Input_Raw[[#This Row],[P-14]:[P-17]],Input_Raw[[#This Row],[P-19]:[P-20]],Input_Raw[[#This Row],[P-22]:[P-23]],Input_Raw[[#This Row],[P-34]],Input_Raw[[#This Row],[P-38]],Input_Raw[[#This Row],[P-43]])</calculatedColumnFormula>
    </tableColumn>
    <tableColumn id="146" xr3:uid="{00000000-0010-0000-0100-000092000000}" name="33 kV_Wind_F2_Import_reading" dataDxfId="214" dataCellStyle="Comma"/>
    <tableColumn id="54" xr3:uid="{00000000-0010-0000-0100-000036000000}" name="33 kV_Wind_F3_Export_Reading" dataDxfId="213" dataCellStyle="Comma">
      <calculatedColumnFormula>SUM(Input_Raw[[#This Row],[P-05]:[P-06]],Input_Raw[[#This Row],[P-40]:[P-42]],Input_Raw[[#This Row],[P-45]],Input_Raw[[#This Row],[P-46]],Input_Raw[[#This Row],[P-47]:[P-48]])</calculatedColumnFormula>
    </tableColumn>
    <tableColumn id="147" xr3:uid="{00000000-0010-0000-0100-000093000000}" name="33 kV_Wind_F3_Import_Reading" dataDxfId="212" dataCellStyle="Comma"/>
    <tableColumn id="55" xr3:uid="{00000000-0010-0000-0100-000037000000}" name="33 kV_Wind_F4_Export Reading" dataDxfId="211" dataCellStyle="Comma">
      <calculatedColumnFormula>SUM(Input_Raw[[#This Row],[P-01]:[P-03]],Input_Raw[[#This Row],[P-07]],Input_Raw[[#This Row],[P-18]],Input_Raw[[#This Row],[P-31]:[P-32]],Input_Raw[[#This Row],[P-37]],Input_Raw[[#This Row],[P-50]:[P-56]])</calculatedColumnFormula>
    </tableColumn>
    <tableColumn id="148" xr3:uid="{00000000-0010-0000-0100-000094000000}" name="33 kV_Wind_F4_Import Reading" dataDxfId="210" dataCellStyle="Percent 2"/>
    <tableColumn id="86" xr3:uid="{00000000-0010-0000-0100-000056000000}" name="33 kV_F1_Total_Export (MWh)" dataDxfId="209" dataCellStyle="Comma">
      <calculatedColumnFormula>Input_Raw[[#This Row],[33 kV_Wind_F1_Export reading]]/1000</calculatedColumnFormula>
    </tableColumn>
    <tableColumn id="149" xr3:uid="{00000000-0010-0000-0100-000095000000}" name="33 kV_Wind_F1_Import (MWh)" dataDxfId="208" dataCellStyle="Comma"/>
    <tableColumn id="151" xr3:uid="{00000000-0010-0000-0100-000097000000}" name="33 kV_F2_Total_Export (MWh)2" dataDxfId="207" dataCellStyle="Comma">
      <calculatedColumnFormula>Input_Raw[[#This Row],[33 kV_Wind_F2_Export_reading]]/1000</calculatedColumnFormula>
    </tableColumn>
    <tableColumn id="152" xr3:uid="{00000000-0010-0000-0100-000098000000}" name="33 kV_Wind_F2_Import (MWh)" dataDxfId="206" dataCellStyle="Comma"/>
    <tableColumn id="153" xr3:uid="{00000000-0010-0000-0100-000099000000}" name="33 kV_Wind_F3_Export (MWh)" dataDxfId="205" dataCellStyle="Comma">
      <calculatedColumnFormula>Input_Raw[[#This Row],[33 kV_Wind_F3_Export_Reading]]/1000</calculatedColumnFormula>
    </tableColumn>
    <tableColumn id="154" xr3:uid="{00000000-0010-0000-0100-00009A000000}" name="33 kV_Wind_F3_Import (MWh)2" dataDxfId="204" dataCellStyle="Comma"/>
    <tableColumn id="155" xr3:uid="{00000000-0010-0000-0100-00009B000000}" name="33 kV_Wind_F4_Export (MWh)" dataDxfId="203" dataCellStyle="Comma">
      <calculatedColumnFormula>Input_Raw[[#This Row],[33 kV_Wind_F4_Export Reading]]/1000</calculatedColumnFormula>
    </tableColumn>
    <tableColumn id="156" xr3:uid="{00000000-0010-0000-0100-00009C000000}" name="33 kV_Wind_F4_Import (MWh)2" dataDxfId="202" dataCellStyle="Comma"/>
    <tableColumn id="157" xr3:uid="{00000000-0010-0000-0100-00009D000000}" name="33 kV_Wind_Total_Export (MWh)" dataDxfId="201" dataCellStyle="Comma">
      <calculatedColumnFormula>Input_Raw[[#This Row],[33 kV_F1_Total_Export (MWh)]]+Input_Raw[[#This Row],[33 kV_F2_Total_Export (MWh)2]]+Input_Raw[[#This Row],[33 kV_Wind_F3_Export (MWh)]]+Input_Raw[[#This Row],[33 kV_Wind_F4_Export (MWh)]]</calculatedColumnFormula>
    </tableColumn>
    <tableColumn id="158" xr3:uid="{00000000-0010-0000-0100-00009E000000}" name="33 kV_Wind_Total_Import (MWh)" dataDxfId="200" dataCellStyle="Comma">
      <calculatedColumnFormula>Input_Raw[[#This Row],[33 kV_Wind_F1_Import (MWh)]]+Input_Raw[[#This Row],[33 kV_Wind_F2_Import (MWh)]]+Input_Raw[[#This Row],[33 kV_Wind_F3_Import (MWh)2]]+Input_Raw[[#This Row],[33 kV_Wind_F4_Import (MWh)2]]</calculatedColumnFormula>
    </tableColumn>
    <tableColumn id="105" xr3:uid="{00000000-0010-0000-0100-000069000000}" name="33 kV Line Loss (%)" dataDxfId="199">
      <calculatedColumnFormula>IFERROR(Input_Raw[[#This Row],[33 kV_Wind_Total_Export (MWh)]]/Input_Raw[[#This Row],[WTG Total Gneration (MWh)]]-1,"")</calculatedColumnFormula>
    </tableColumn>
    <tableColumn id="64" xr3:uid="{00000000-0010-0000-0100-000040000000}" name="EbMA(%)" dataDxfId="198" dataCellStyle="Comma"/>
    <tableColumn id="65" xr3:uid="{00000000-0010-0000-0100-000041000000}" name="Forecasting Data count received on Forecasting Portal" dataDxfId="197" dataCellStyle="Comma"/>
    <tableColumn id="66" xr3:uid="{00000000-0010-0000-0100-000042000000}" name="Forecasting Penalties (INR)" dataDxfId="196" dataCellStyle="Comma"/>
    <tableColumn id="67" xr3:uid="{00000000-0010-0000-0100-000043000000}" name="Expected Energy As Per Power Curve  (MWh)" dataDxfId="195" dataCellStyle="Comma"/>
    <tableColumn id="68" xr3:uid="{00000000-0010-0000-0100-000044000000}" name="Reactive Energy (MVArH)" dataDxfId="194" dataCellStyle="Comma"/>
    <tableColumn id="69" xr3:uid="{00000000-0010-0000-0100-000045000000}" name="Operational Capacity" dataDxfId="193" dataCellStyle="Comma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1:AD336" totalsRowShown="0" headerRowDxfId="192">
  <autoFilter ref="A1:AD336" xr:uid="{00000000-0009-0000-0100-000005000000}"/>
  <tableColumns count="30">
    <tableColumn id="1" xr3:uid="{00000000-0010-0000-0200-000001000000}" name="Sr. No." dataDxfId="191"/>
    <tableColumn id="2" xr3:uid="{00000000-0010-0000-0200-000002000000}" name="Financial Year" dataDxfId="190">
      <calculatedColumnFormula>YEAR(Table5[[#This Row],[Date]])+IF(MONTH(Table5[[#This Row],[Date]])&gt;=4,1,0)</calculatedColumnFormula>
    </tableColumn>
    <tableColumn id="3" xr3:uid="{00000000-0010-0000-0200-000003000000}" name="Calendar Year" dataDxfId="189">
      <calculatedColumnFormula>YEAR(Table5[[#This Row],[Date]])</calculatedColumnFormula>
    </tableColumn>
    <tableColumn id="4" xr3:uid="{00000000-0010-0000-0200-000004000000}" name="Operating Year" dataDxfId="188"/>
    <tableColumn id="5" xr3:uid="{00000000-0010-0000-0200-000005000000}" name="Month" dataDxfId="187">
      <calculatedColumnFormula>Table5[[#This Row],[Date]]-DAY(Table5[[#This Row],[Date]])+1</calculatedColumnFormula>
    </tableColumn>
    <tableColumn id="6" xr3:uid="{00000000-0010-0000-0200-000006000000}" name="Date" dataDxfId="186"/>
    <tableColumn id="7" xr3:uid="{00000000-0010-0000-0200-000007000000}" name="Affected WTG" dataDxfId="185"/>
    <tableColumn id="8" xr3:uid="{00000000-0010-0000-0200-000008000000}" name="SPV" dataDxfId="184">
      <calculatedColumnFormula>IFERROR(_xlfn.XLOOKUP(Table5[[#This Row],[Affected WTG]],'Basic Data'!$A:$A,'Basic Data'!$B:$B),"")</calculatedColumnFormula>
    </tableColumn>
    <tableColumn id="9" xr3:uid="{00000000-0010-0000-0200-000009000000}" name="Consumer" dataDxfId="183">
      <calculatedColumnFormula>IFERROR(_xlfn.XLOOKUP(Table5[[#This Row],[Affected WTG]],'Basic Data'!$A:$A,'Basic Data'!$C:$C),"")</calculatedColumnFormula>
    </tableColumn>
    <tableColumn id="10" xr3:uid="{00000000-0010-0000-0200-00000A000000}" name="Plant Equivalent Weightage" dataDxfId="182">
      <calculatedColumnFormula>IFERROR(_xlfn.XLOOKUP(Table5[[#This Row],[Affected WTG]],'Basic Data'!$A:$A,'Basic Data'!$E:$E),"")</calculatedColumnFormula>
    </tableColumn>
    <tableColumn id="11" xr3:uid="{00000000-0010-0000-0200-00000B000000}" name="Error Code" dataDxfId="181"/>
    <tableColumn id="12" xr3:uid="{00000000-0010-0000-0200-00000C000000}" name="Error Text" dataDxfId="180">
      <calculatedColumnFormula>IFERROR(_xlfn.XLOOKUP(Table5[[#This Row],[Error Code]],'Basic Data'!$W:$W,'Basic Data'!$X:$X),"Incorrect Error Code")</calculatedColumnFormula>
    </tableColumn>
    <tableColumn id="13" xr3:uid="{00000000-0010-0000-0200-00000D000000}" name="Breakdown Description" dataDxfId="179"/>
    <tableColumn id="14" xr3:uid="{00000000-0010-0000-0200-00000E000000}" name="Stoppage Type" dataDxfId="178"/>
    <tableColumn id="15" xr3:uid="{00000000-0010-0000-0200-00000F000000}" name="Fault Start TimeStamp" dataDxfId="177"/>
    <tableColumn id="16" xr3:uid="{00000000-0010-0000-0200-000010000000}" name="Work Start TimeStamp" dataDxfId="176"/>
    <tableColumn id="17" xr3:uid="{00000000-0010-0000-0200-000011000000}" name="Fault Clearance time" dataDxfId="175"/>
    <tableColumn id="18" xr3:uid="{00000000-0010-0000-0200-000012000000}" name="Response Time" dataDxfId="174">
      <calculatedColumnFormula>Q2-O2</calculatedColumnFormula>
    </tableColumn>
    <tableColumn id="19" xr3:uid="{00000000-0010-0000-0200-000013000000}" name="Resolution Time" dataDxfId="173">
      <calculatedColumnFormula>(Table5[[#This Row],[Fault Clearance time]]-Table5[[#This Row],[Work Start TimeStamp]])*24</calculatedColumnFormula>
    </tableColumn>
    <tableColumn id="20" xr3:uid="{00000000-0010-0000-0200-000014000000}" name="Breakdown Time" dataDxfId="172">
      <calculatedColumnFormula>(Table5[[#This Row],[Fault Clearance time]]-Table5[[#This Row],[Fault Start TimeStamp]])*24</calculatedColumnFormula>
    </tableColumn>
    <tableColumn id="21" xr3:uid="{00000000-0010-0000-0200-000015000000}" name="Action taken" dataDxfId="171"/>
    <tableColumn id="22" xr3:uid="{00000000-0010-0000-0200-000016000000}" name="Status" dataDxfId="170"/>
    <tableColumn id="23" xr3:uid="{00000000-0010-0000-0200-000017000000}" name="Plant Equivalent breakdown" dataDxfId="169" dataCellStyle="Comma">
      <calculatedColumnFormula>IFERROR(Table5[[#This Row],[Breakdown Time]]*Table5[[#This Row],[Plant Equivalent Weightage]],"")</calculatedColumnFormula>
    </tableColumn>
    <tableColumn id="24" xr3:uid="{00000000-0010-0000-0200-000018000000}" name="Fault Category" dataDxfId="168" dataCellStyle="Comma"/>
    <tableColumn id="25" xr3:uid="{00000000-0010-0000-0200-000019000000}" name="Paired WTG for Enegy based MA" dataDxfId="167"/>
    <tableColumn id="26" xr3:uid="{00000000-0010-0000-0200-00001A000000}" name="Paired WTG Generation for loss calculation" dataDxfId="166"/>
    <tableColumn id="27" xr3:uid="{00000000-0010-0000-0200-00001B000000}" name="Estimated Energy Loss (kWh)" dataDxfId="165"/>
    <tableColumn id="28" xr3:uid="{00000000-0010-0000-0200-00001C000000}" name="Special Remarks" dataDxfId="164"/>
    <tableColumn id="29" xr3:uid="{00000000-0010-0000-0200-00001D000000}" name="PTW No." dataDxfId="163"/>
    <tableColumn id="30" xr3:uid="{00000000-0010-0000-0200-00001E000000}" name="Job Card No." dataDxfId="162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Z1093" totalsRowShown="0" headerRowDxfId="161" dataDxfId="159" headerRowBorderDxfId="160" headerRowCellStyle="Normal 26">
  <autoFilter ref="A1:Z1093" xr:uid="{00000000-0009-0000-0100-000006000000}"/>
  <tableColumns count="26">
    <tableColumn id="1" xr3:uid="{00000000-0010-0000-0300-000001000000}" name="Sr. No." dataDxfId="158"/>
    <tableColumn id="2" xr3:uid="{00000000-0010-0000-0300-000002000000}" name="Financial Year" dataDxfId="157">
      <calculatedColumnFormula>YEAR(Table6[[#This Row],[Date]])+IF(MONTH(Table6[[#This Row],[Date]])&gt;=4,1,0)</calculatedColumnFormula>
    </tableColumn>
    <tableColumn id="3" xr3:uid="{00000000-0010-0000-0300-000003000000}" name="Calendar Year" dataDxfId="156">
      <calculatedColumnFormula>YEAR(Table6[[#This Row],[Date]])</calculatedColumnFormula>
    </tableColumn>
    <tableColumn id="4" xr3:uid="{00000000-0010-0000-0300-000004000000}" name="Operating Year" dataDxfId="155"/>
    <tableColumn id="5" xr3:uid="{00000000-0010-0000-0300-000005000000}" name="Month" dataDxfId="154">
      <calculatedColumnFormula>Table6[[#This Row],[Date]]-DAY(Table6[[#This Row],[Date]])+1</calculatedColumnFormula>
    </tableColumn>
    <tableColumn id="6" xr3:uid="{00000000-0010-0000-0300-000006000000}" name="Date" dataDxfId="153"/>
    <tableColumn id="7" xr3:uid="{00000000-0010-0000-0300-000007000000}" name="Affected Feeder " dataDxfId="152"/>
    <tableColumn id="8" xr3:uid="{00000000-0010-0000-0300-000008000000}" name="SPV" dataDxfId="151">
      <calculatedColumnFormula>IFERROR(_xlfn.XLOOKUP(Table6[[#This Row],[Affected Feeder ]],'Basic Data'!$A:$A,'Basic Data'!$B:$B),"")</calculatedColumnFormula>
    </tableColumn>
    <tableColumn id="9" xr3:uid="{00000000-0010-0000-0300-000009000000}" name="Consumer" dataDxfId="150">
      <calculatedColumnFormula>IFERROR(_xlfn.XLOOKUP(Table6[[#This Row],[Affected Feeder ]],'Basic Data'!$A:$A,'Basic Data'!$C:$C),"")</calculatedColumnFormula>
    </tableColumn>
    <tableColumn id="10" xr3:uid="{00000000-0010-0000-0300-00000A000000}" name="Plant Equivalent Weightage" dataDxfId="149" dataCellStyle="Percent">
      <calculatedColumnFormula>IFERROR(_xlfn.XLOOKUP(Table6[[#This Row],[Affected Feeder ]],'Basic Data'!$A:$A,'Basic Data'!$E:$E),"")</calculatedColumnFormula>
    </tableColumn>
    <tableColumn id="11" xr3:uid="{00000000-0010-0000-0300-00000B000000}" name="Breakdown Description" dataDxfId="148"/>
    <tableColumn id="12" xr3:uid="{00000000-0010-0000-0300-00000C000000}" name="Fault Start TimeStamp" dataDxfId="147"/>
    <tableColumn id="13" xr3:uid="{00000000-0010-0000-0300-00000D000000}" name="Work Start TimeStamp" dataDxfId="146"/>
    <tableColumn id="14" xr3:uid="{00000000-0010-0000-0300-00000E000000}" name="Fault Clearance time" dataDxfId="145"/>
    <tableColumn id="15" xr3:uid="{00000000-0010-0000-0300-00000F000000}" name="Response Time" dataDxfId="144">
      <calculatedColumnFormula>(Table6[[#This Row],[Work Start TimeStamp]]-Table6[[#This Row],[Fault Start TimeStamp]])*24</calculatedColumnFormula>
    </tableColumn>
    <tableColumn id="16" xr3:uid="{00000000-0010-0000-0300-000010000000}" name="Resolution Time" dataDxfId="143">
      <calculatedColumnFormula>(Table6[[#This Row],[Fault Clearance time]]-Table6[[#This Row],[Fault Start TimeStamp]])*24</calculatedColumnFormula>
    </tableColumn>
    <tableColumn id="17" xr3:uid="{00000000-0010-0000-0300-000011000000}" name="Breakdown Time" dataDxfId="142">
      <calculatedColumnFormula>(Table6[[#This Row],[Fault Clearance time]]-Table6[[#This Row],[Fault Start TimeStamp]])*24</calculatedColumnFormula>
    </tableColumn>
    <tableColumn id="18" xr3:uid="{00000000-0010-0000-0300-000012000000}" name="Action taken" dataDxfId="141"/>
    <tableColumn id="19" xr3:uid="{00000000-0010-0000-0300-000013000000}" name="Status" dataDxfId="140"/>
    <tableColumn id="20" xr3:uid="{00000000-0010-0000-0300-000014000000}" name="Plant Equivalent breakdown" dataDxfId="139">
      <calculatedColumnFormula>IFERROR(Table6[[#This Row],[Breakdown Time]]*Table6[[#This Row],[Plant Equivalent Weightage]],"")</calculatedColumnFormula>
    </tableColumn>
    <tableColumn id="21" xr3:uid="{00000000-0010-0000-0300-000015000000}" name="Fault Category" dataDxfId="138"/>
    <tableColumn id="26" xr3:uid="{00000000-0010-0000-0300-00001A000000}" name="Loss of KWH" dataDxfId="137"/>
    <tableColumn id="22" xr3:uid="{00000000-0010-0000-0300-000016000000}" name="Estimated Energy Loss (kWh)" dataDxfId="136"/>
    <tableColumn id="23" xr3:uid="{00000000-0010-0000-0300-000017000000}" name="Scope" dataDxfId="135"/>
    <tableColumn id="24" xr3:uid="{00000000-0010-0000-0300-000018000000}" name="PTW No." dataDxfId="134"/>
    <tableColumn id="25" xr3:uid="{00000000-0010-0000-0300-000019000000}" name="Job Card No." dataDxfId="133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4000000}" name="Table9" displayName="Table9" ref="A1:AC14" totalsRowShown="0" headerRowDxfId="132">
  <autoFilter ref="A1:AC14" xr:uid="{00000000-0009-0000-0100-00000B000000}"/>
  <tableColumns count="29">
    <tableColumn id="1" xr3:uid="{00000000-0010-0000-0400-000001000000}" name="Sr. No." dataDxfId="131"/>
    <tableColumn id="2" xr3:uid="{00000000-0010-0000-0400-000002000000}" name="Financial Year" dataDxfId="130">
      <calculatedColumnFormula>YEAR(Table9[[#This Row],[Date]])+IF(MONTH(Table9[[#This Row],[Date]])&gt;=4,1,0)</calculatedColumnFormula>
    </tableColumn>
    <tableColumn id="3" xr3:uid="{00000000-0010-0000-0400-000003000000}" name="Calendar Year" dataDxfId="129">
      <calculatedColumnFormula>YEAR(Table9[[#This Row],[Date]])</calculatedColumnFormula>
    </tableColumn>
    <tableColumn id="4" xr3:uid="{00000000-0010-0000-0400-000004000000}" name="Operating Year" dataDxfId="128"/>
    <tableColumn id="5" xr3:uid="{00000000-0010-0000-0400-000005000000}" name="Month" dataDxfId="127">
      <calculatedColumnFormula>Table9[[#This Row],[Date]]-DAY(Table9[[#This Row],[Date]])+1</calculatedColumnFormula>
    </tableColumn>
    <tableColumn id="6" xr3:uid="{00000000-0010-0000-0400-000006000000}" name="Date" dataDxfId="126"/>
    <tableColumn id="7" xr3:uid="{00000000-0010-0000-0400-000007000000}" name="Affected Feeder "/>
    <tableColumn id="8" xr3:uid="{00000000-0010-0000-0400-000008000000}" name="SPV" dataDxfId="125">
      <calculatedColumnFormula>IFERROR(_xlfn.XLOOKUP(Table9[[#This Row],[Affected Feeder ]],'Basic Data'!$A:$A,'Basic Data'!$B:$B),"")</calculatedColumnFormula>
    </tableColumn>
    <tableColumn id="9" xr3:uid="{00000000-0010-0000-0400-000009000000}" name="Concumaer" dataDxfId="124">
      <calculatedColumnFormula>IFERROR(_xlfn.XLOOKUP(Table9[[#This Row],[Affected Feeder ]],'Basic Data'!$A:$A,'Basic Data'!$C:$C),"")</calculatedColumnFormula>
    </tableColumn>
    <tableColumn id="10" xr3:uid="{00000000-0010-0000-0400-00000A000000}" name="Plant Equivalent Weightage" dataDxfId="123" dataCellStyle="Percent">
      <calculatedColumnFormula>IFERROR(_xlfn.XLOOKUP(Table9[[#This Row],[Affected Feeder ]],'Basic Data'!$A:$A,'Basic Data'!$E:$E),"")</calculatedColumnFormula>
    </tableColumn>
    <tableColumn id="11" xr3:uid="{00000000-0010-0000-0400-00000B000000}" name="Breakdown Description"/>
    <tableColumn id="12" xr3:uid="{00000000-0010-0000-0400-00000C000000}" name="Breakdown Type"/>
    <tableColumn id="13" xr3:uid="{00000000-0010-0000-0400-00000D000000}" name="Fault Start TimeStamp" dataDxfId="122"/>
    <tableColumn id="14" xr3:uid="{00000000-0010-0000-0400-00000E000000}" name="Work Start TimeStamp" dataDxfId="121"/>
    <tableColumn id="15" xr3:uid="{00000000-0010-0000-0400-00000F000000}" name="Fault Clearance time" dataDxfId="120"/>
    <tableColumn id="16" xr3:uid="{00000000-0010-0000-0400-000010000000}" name="Response Time" dataDxfId="119">
      <calculatedColumnFormula>(Table9[[#This Row],[Work Start TimeStamp]]-Table9[[#This Row],[Fault Start TimeStamp]])*24</calculatedColumnFormula>
    </tableColumn>
    <tableColumn id="17" xr3:uid="{00000000-0010-0000-0400-000011000000}" name="Resolution Time" dataDxfId="118">
      <calculatedColumnFormula>IF(Table9[[#This Row],[Work Start TimeStamp]]="","",(Table9[[#This Row],[Fault Clearance time]]-Table9[[#This Row],[Work Start TimeStamp]])*24)</calculatedColumnFormula>
    </tableColumn>
    <tableColumn id="18" xr3:uid="{00000000-0010-0000-0400-000012000000}" name="Breakdown Time" dataDxfId="117">
      <calculatedColumnFormula>(Table9[[#This Row],[Fault Clearance time]]-Table9[[#This Row],[Fault Start TimeStamp]])*24</calculatedColumnFormula>
    </tableColumn>
    <tableColumn id="19" xr3:uid="{00000000-0010-0000-0400-000013000000}" name="Action taken" dataDxfId="116"/>
    <tableColumn id="20" xr3:uid="{00000000-0010-0000-0400-000014000000}" name="Status" dataDxfId="115"/>
    <tableColumn id="21" xr3:uid="{00000000-0010-0000-0400-000015000000}" name="Plant Equivalent breakdown" dataDxfId="114" dataCellStyle="Comma">
      <calculatedColumnFormula>IFERROR(Table9[[#This Row],[Breakdown Time]]*Table9[[#This Row],[Plant Equivalent Weightage]],"")</calculatedColumnFormula>
    </tableColumn>
    <tableColumn id="22" xr3:uid="{00000000-0010-0000-0400-000016000000}" name="Fault Category" dataDxfId="113" dataCellStyle="Comma"/>
    <tableColumn id="28" xr3:uid="{00000000-0010-0000-0400-00001C000000}" name="Paired WTG for Enegy based MA" dataDxfId="112" dataCellStyle="Comma"/>
    <tableColumn id="29" xr3:uid="{00000000-0010-0000-0400-00001D000000}" name="Loss of KWH" dataDxfId="111" dataCellStyle="Comma"/>
    <tableColumn id="23" xr3:uid="{00000000-0010-0000-0400-000017000000}" name="Estimated Energy Loss (kWh)"/>
    <tableColumn id="24" xr3:uid="{00000000-0010-0000-0400-000018000000}" name="Curtailment Order imit."/>
    <tableColumn id="25" xr3:uid="{00000000-0010-0000-0400-000019000000}" name="EGA_Including_CurtailmentOrder" dataDxfId="110">
      <calculatedColumnFormula>IF(Table9[[#This Row],[Breakdown Type]]="Curtailment Order",(((100%*(24-Table9[[#This Row],[Plant Equivalent breakdown]]))+(((Table9[[#This Row],[Curtailment Order imit.]])/50.6)*Table9[[#This Row],[Plant Equivalent breakdown]]))/24),1)</calculatedColumnFormula>
    </tableColumn>
    <tableColumn id="26" xr3:uid="{00000000-0010-0000-0400-00001A000000}" name="PTW No."/>
    <tableColumn id="27" xr3:uid="{00000000-0010-0000-0400-00001B000000}" name="Job Card No.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198" displayName="Table198" ref="A2:O178" totalsRowShown="0" headerRowDxfId="109">
  <autoFilter ref="A2:O178" xr:uid="{00000000-0009-0000-0100-000007000000}"/>
  <tableColumns count="15">
    <tableColumn id="1" xr3:uid="{00000000-0010-0000-0500-000001000000}" name="Sr. No."/>
    <tableColumn id="2" xr3:uid="{00000000-0010-0000-0500-000002000000}" name="Location No." dataDxfId="108"/>
    <tableColumn id="3" xr3:uid="{00000000-0010-0000-0500-000003000000}" name="Location Type"/>
    <tableColumn id="4" xr3:uid="{00000000-0010-0000-0500-000004000000}" name="FY"/>
    <tableColumn id="5" xr3:uid="{00000000-0010-0000-0500-000005000000}" name="CY" dataDxfId="107" dataCellStyle="Normal 10"/>
    <tableColumn id="6" xr3:uid="{00000000-0010-0000-0500-000006000000}" name="Cycle No."/>
    <tableColumn id="7" xr3:uid="{00000000-0010-0000-0500-000007000000}" name="Frequency"/>
    <tableColumn id="8" xr3:uid="{00000000-0010-0000-0500-000008000000}" name="PM Title"/>
    <tableColumn id="12" xr3:uid="{00000000-0010-0000-0500-00000C000000}" name="Day 1 Planned Maintenance Date" dataDxfId="106" dataCellStyle="Normal 10"/>
    <tableColumn id="9" xr3:uid="{00000000-0010-0000-0500-000009000000}" name="Day 2 Planned Maintenance Date" dataDxfId="105"/>
    <tableColumn id="10" xr3:uid="{00000000-0010-0000-0500-00000A000000}" name="Day 1 Actual Maintenance Date"/>
    <tableColumn id="16" xr3:uid="{00000000-0010-0000-0500-000010000000}" name="Day 2 Actual Maintenance Date" dataDxfId="104" dataCellStyle="Normal 10"/>
    <tableColumn id="11" xr3:uid="{00000000-0010-0000-0500-00000B000000}" name="Delay Day 1" dataDxfId="103"/>
    <tableColumn id="15" xr3:uid="{00000000-0010-0000-0500-00000F000000}" name="Delay Day 2" dataDxfId="102" dataCellStyle="Normal 10"/>
    <tableColumn id="13" xr3:uid="{00000000-0010-0000-0500-00000D000000}" name="Remark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Table7" displayName="Table7" ref="A2:AW370" totalsRowShown="0" headerRowDxfId="101" dataDxfId="99" headerRowBorderDxfId="100" tableBorderDxfId="98" totalsRowBorderDxfId="97" headerRowCellStyle="Normal 26 41">
  <tableColumns count="49">
    <tableColumn id="1" xr3:uid="{00000000-0010-0000-0600-000001000000}" name="Date" dataDxfId="96"/>
    <tableColumn id="2" xr3:uid="{00000000-0010-0000-0600-000002000000}" name="Financial Year" dataDxfId="95">
      <calculatedColumnFormula>YEAR(Table7[[#This Row],[Date]])+IF(MONTH(Table7[[#This Row],[Date]])&gt;=4,1,0)</calculatedColumnFormula>
    </tableColumn>
    <tableColumn id="3" xr3:uid="{00000000-0010-0000-0600-000003000000}" name="Calendar Year" dataDxfId="94">
      <calculatedColumnFormula>YEAR(Table7[[#This Row],[Date]])</calculatedColumnFormula>
    </tableColumn>
    <tableColumn id="4" xr3:uid="{00000000-0010-0000-0600-000004000000}" name="Month Year" dataDxfId="93">
      <calculatedColumnFormula>Daily_KPI[[#This Row],[Date]]-DAY(Daily_KPI[[#This Row],[Date]])+1</calculatedColumnFormula>
    </tableColumn>
    <tableColumn id="5" xr3:uid="{00000000-0010-0000-0600-000005000000}" name="P-01" dataDxfId="92"/>
    <tableColumn id="6" xr3:uid="{00000000-0010-0000-0600-000006000000}" name="P-02" dataDxfId="91"/>
    <tableColumn id="7" xr3:uid="{00000000-0010-0000-0600-000007000000}" name="P-03" dataDxfId="90"/>
    <tableColumn id="8" xr3:uid="{00000000-0010-0000-0600-000008000000}" name="P-04" dataDxfId="89"/>
    <tableColumn id="9" xr3:uid="{00000000-0010-0000-0600-000009000000}" name="P-05" dataDxfId="88"/>
    <tableColumn id="10" xr3:uid="{00000000-0010-0000-0600-00000A000000}" name="P-06" dataDxfId="87"/>
    <tableColumn id="11" xr3:uid="{00000000-0010-0000-0600-00000B000000}" name="P-07" dataDxfId="86"/>
    <tableColumn id="12" xr3:uid="{00000000-0010-0000-0600-00000C000000}" name="P-08" dataDxfId="85"/>
    <tableColumn id="13" xr3:uid="{00000000-0010-0000-0600-00000D000000}" name="P-09" dataDxfId="84"/>
    <tableColumn id="14" xr3:uid="{00000000-0010-0000-0600-00000E000000}" name="P-10" dataDxfId="83"/>
    <tableColumn id="15" xr3:uid="{00000000-0010-0000-0600-00000F000000}" name="P-11" dataDxfId="82"/>
    <tableColumn id="16" xr3:uid="{00000000-0010-0000-0600-000010000000}" name="P-12" dataDxfId="81"/>
    <tableColumn id="17" xr3:uid="{00000000-0010-0000-0600-000011000000}" name="P-13" dataDxfId="80"/>
    <tableColumn id="18" xr3:uid="{00000000-0010-0000-0600-000012000000}" name="P-14" dataDxfId="79"/>
    <tableColumn id="19" xr3:uid="{00000000-0010-0000-0600-000013000000}" name="P-15" dataDxfId="78"/>
    <tableColumn id="20" xr3:uid="{00000000-0010-0000-0600-000014000000}" name="P-16" dataDxfId="77"/>
    <tableColumn id="21" xr3:uid="{00000000-0010-0000-0600-000015000000}" name="P-17" dataDxfId="76"/>
    <tableColumn id="22" xr3:uid="{00000000-0010-0000-0600-000016000000}" name="P-18" dataDxfId="75"/>
    <tableColumn id="23" xr3:uid="{00000000-0010-0000-0600-000017000000}" name="P-19" dataDxfId="74"/>
    <tableColumn id="24" xr3:uid="{00000000-0010-0000-0600-000018000000}" name="P-20" dataDxfId="73"/>
    <tableColumn id="25" xr3:uid="{00000000-0010-0000-0600-000019000000}" name="P-22" dataDxfId="72"/>
    <tableColumn id="26" xr3:uid="{00000000-0010-0000-0600-00001A000000}" name="P-23" dataDxfId="71"/>
    <tableColumn id="27" xr3:uid="{00000000-0010-0000-0600-00001B000000}" name="P-25" dataDxfId="70"/>
    <tableColumn id="28" xr3:uid="{00000000-0010-0000-0600-00001C000000}" name="P-26" dataDxfId="69"/>
    <tableColumn id="29" xr3:uid="{00000000-0010-0000-0600-00001D000000}" name="P-27" dataDxfId="68"/>
    <tableColumn id="30" xr3:uid="{00000000-0010-0000-0600-00001E000000}" name="P-28" dataDxfId="67"/>
    <tableColumn id="31" xr3:uid="{00000000-0010-0000-0600-00001F000000}" name="P-31" dataDxfId="66"/>
    <tableColumn id="32" xr3:uid="{00000000-0010-0000-0600-000020000000}" name="P-32" dataDxfId="65"/>
    <tableColumn id="33" xr3:uid="{00000000-0010-0000-0600-000021000000}" name="P-34" dataDxfId="64"/>
    <tableColumn id="34" xr3:uid="{00000000-0010-0000-0600-000022000000}" name="P-37" dataDxfId="63"/>
    <tableColumn id="35" xr3:uid="{00000000-0010-0000-0600-000023000000}" name="P-38" dataDxfId="62"/>
    <tableColumn id="36" xr3:uid="{00000000-0010-0000-0600-000024000000}" name="P-40" dataDxfId="61"/>
    <tableColumn id="37" xr3:uid="{00000000-0010-0000-0600-000025000000}" name="P-41" dataDxfId="60"/>
    <tableColumn id="38" xr3:uid="{00000000-0010-0000-0600-000026000000}" name="P-42" dataDxfId="59"/>
    <tableColumn id="39" xr3:uid="{00000000-0010-0000-0600-000027000000}" name="P-43" dataDxfId="58"/>
    <tableColumn id="40" xr3:uid="{00000000-0010-0000-0600-000028000000}" name="P-45" dataDxfId="57"/>
    <tableColumn id="41" xr3:uid="{00000000-0010-0000-0600-000029000000}" name="P-46" dataDxfId="56"/>
    <tableColumn id="42" xr3:uid="{00000000-0010-0000-0600-00002A000000}" name="P-47" dataDxfId="55"/>
    <tableColumn id="43" xr3:uid="{00000000-0010-0000-0600-00002B000000}" name="P-48" dataDxfId="54"/>
    <tableColumn id="44" xr3:uid="{00000000-0010-0000-0600-00002C000000}" name="P-50" dataDxfId="53"/>
    <tableColumn id="45" xr3:uid="{00000000-0010-0000-0600-00002D000000}" name="P-51" dataDxfId="52"/>
    <tableColumn id="46" xr3:uid="{00000000-0010-0000-0600-00002E000000}" name="P-52" dataDxfId="51"/>
    <tableColumn id="47" xr3:uid="{00000000-0010-0000-0600-00002F000000}" name="P-55" dataDxfId="50"/>
    <tableColumn id="48" xr3:uid="{00000000-0010-0000-0600-000030000000}" name="P-56" dataDxfId="49"/>
    <tableColumn id="51" xr3:uid="{00000000-0010-0000-0600-000033000000}" name="Total Reactive Power (kVArH)" dataDxfId="48">
      <calculatedColumnFormula>SUM(E3:AV3)/1000</calculatedColumnFormula>
    </tableColumn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Modelling_New" displayName="Modelling_New" ref="A1:AL49" totalsRowShown="0" headerRowDxfId="47" dataDxfId="45" headerRowBorderDxfId="46" tableBorderDxfId="44" totalsRowBorderDxfId="43">
  <tableColumns count="38">
    <tableColumn id="1" xr3:uid="{00000000-0010-0000-0700-000001000000}" name="Sr. No." dataDxfId="42"/>
    <tableColumn id="2" xr3:uid="{00000000-0010-0000-0700-000002000000}" name="Month Name" dataDxfId="41" dataCellStyle="Comma 42"/>
    <tableColumn id="3" xr3:uid="{00000000-0010-0000-0700-000003000000}" name="Month Number" dataDxfId="40"/>
    <tableColumn id="4" xr3:uid="{00000000-0010-0000-0700-000004000000}" name="Month" dataDxfId="39" dataCellStyle="Comma 42"/>
    <tableColumn id="5" xr3:uid="{00000000-0010-0000-0700-000005000000}" name="CY" dataDxfId="38">
      <calculatedColumnFormula>YEAR(D2)</calculatedColumnFormula>
    </tableColumn>
    <tableColumn id="6" xr3:uid="{00000000-0010-0000-0700-000006000000}" name="FY" dataDxfId="37"/>
    <tableColumn id="7" xr3:uid="{00000000-0010-0000-0700-000007000000}" name="No. of Days in Month" dataDxfId="36">
      <calculatedColumnFormula>DAY(EOMONTH(D2,0))</calculatedColumnFormula>
    </tableColumn>
    <tableColumn id="8" xr3:uid="{00000000-0010-0000-0700-000008000000}" name="GHI" dataDxfId="35"/>
    <tableColumn id="9" xr3:uid="{00000000-0010-0000-0700-000009000000}" name="POA" dataDxfId="34"/>
    <tableColumn id="10" xr3:uid="{00000000-0010-0000-0700-00000A000000}" name="WS" dataDxfId="33"/>
    <tableColumn id="11" xr3:uid="{00000000-0010-0000-0700-00000B000000}" name="Tamb" dataDxfId="32"/>
    <tableColumn id="12" xr3:uid="{00000000-0010-0000-0700-00000C000000}" name="Tmod" dataDxfId="31"/>
    <tableColumn id="13" xr3:uid="{00000000-0010-0000-0700-00000D000000}" name="Egrid (MWh)" dataDxfId="30"/>
    <tableColumn id="14" xr3:uid="{00000000-0010-0000-0700-00000E000000}" name="Bugt_Capacity" dataDxfId="29"/>
    <tableColumn id="15" xr3:uid="{00000000-0010-0000-0700-00000F000000}" name="PR" dataDxfId="28"/>
    <tableColumn id="16" xr3:uid="{00000000-0010-0000-0700-000010000000}" name="Daily POA" dataDxfId="27"/>
    <tableColumn id="17" xr3:uid="{00000000-0010-0000-0700-000011000000}" name="Days Operated" dataDxfId="26">
      <calculatedColumnFormula>COUNTIFS('Daily KPI'!$D:$D,D2,'Daily KPI'!$M:$M,"&gt;0")</calculatedColumnFormula>
    </tableColumn>
    <tableColumn id="18" xr3:uid="{00000000-0010-0000-0700-000012000000}" name="MTD POA" dataDxfId="25"/>
    <tableColumn id="27" xr3:uid="{00000000-0010-0000-0700-00001B000000}" name="YTD POA" dataDxfId="24"/>
    <tableColumn id="19" xr3:uid="{00000000-0010-0000-0700-000013000000}" name="Daily Energy (MWh)" dataDxfId="23">
      <calculatedColumnFormula>IFERROR(M2/G2,"")</calculatedColumnFormula>
    </tableColumn>
    <tableColumn id="20" xr3:uid="{00000000-0010-0000-0700-000014000000}" name="MTD Energy (MWh)" dataDxfId="22">
      <calculatedColumnFormula>IFERROR(M2/G2*Q2,"")</calculatedColumnFormula>
    </tableColumn>
    <tableColumn id="28" xr3:uid="{00000000-0010-0000-0700-00001C000000}" name="YTD Energy (MWh)" dataDxfId="21">
      <calculatedColumnFormula>SUMIF($F$2:F2,F2,$U$2:U2)</calculatedColumnFormula>
    </tableColumn>
    <tableColumn id="38" xr3:uid="{00000000-0010-0000-0700-000026000000}" name="Bugt CUF (%)" dataDxfId="20" dataCellStyle="Percent">
      <calculatedColumnFormula>IFERROR(T2/(24*N2),"")</calculatedColumnFormula>
    </tableColumn>
    <tableColumn id="37" xr3:uid="{00000000-0010-0000-0700-000025000000}" name="Bugt CUF (%) MTD" dataDxfId="19" dataCellStyle="Percent">
      <calculatedColumnFormula>IFERROR(U2/(24*N2*Q2),"")</calculatedColumnFormula>
    </tableColumn>
    <tableColumn id="36" xr3:uid="{00000000-0010-0000-0700-000024000000}" name="Bugt CUF (%)YTD" dataDxfId="18" dataCellStyle="Percent">
      <calculatedColumnFormula>IFERROR(V2/(24*N2*SUMIFS($Q:$Q,$F:$F,$F2,$D:$D,"&lt;="&amp;D2)),"")</calculatedColumnFormula>
    </tableColumn>
    <tableColumn id="21" xr3:uid="{00000000-0010-0000-0700-000015000000}" name="Ave. Cap MTD" dataDxfId="17">
      <calculatedColumnFormula>IFERROR(N2/G2*Q2,"")</calculatedColumnFormula>
    </tableColumn>
    <tableColumn id="29" xr3:uid="{00000000-0010-0000-0700-00001D000000}" name="Ave. Cap YTD" dataDxfId="16">
      <calculatedColumnFormula>IFERROR(AVERAGEIF($F$2:F2,F2,$N$2:N2),"")</calculatedColumnFormula>
    </tableColumn>
    <tableColumn id="22" xr3:uid="{00000000-0010-0000-0700-000016000000}" name="CC Energy MTD" dataDxfId="15"/>
    <tableColumn id="31" xr3:uid="{00000000-0010-0000-0700-00001F000000}" name="WS MTD" dataDxfId="14"/>
    <tableColumn id="23" xr3:uid="{00000000-0010-0000-0700-000017000000}" name="WS YTD" dataDxfId="13">
      <calculatedColumnFormula>AVERAGEIF($F$2:F2,F2,$AC$2:AC2)</calculatedColumnFormula>
    </tableColumn>
    <tableColumn id="24" xr3:uid="{00000000-0010-0000-0700-000018000000}" name="Bugt PA" dataDxfId="12" dataCellStyle="Percent 43">
      <calculatedColumnFormula>IFERROR(AH2*AI2,"")</calculatedColumnFormula>
    </tableColumn>
    <tableColumn id="25" xr3:uid="{00000000-0010-0000-0700-000019000000}" name="Bugt EGA" dataDxfId="11" dataCellStyle="Percent 43"/>
    <tableColumn id="35" xr3:uid="{00000000-0010-0000-0700-000023000000}" name="Bugt TA" dataDxfId="10" dataCellStyle="Percent"/>
    <tableColumn id="26" xr3:uid="{00000000-0010-0000-0700-00001A000000}" name="Bugt MA" dataDxfId="9" dataCellStyle="Percent"/>
    <tableColumn id="30" xr3:uid="{00000000-0010-0000-0700-00001E000000}" name="Bugt IGA" dataDxfId="8" dataCellStyle="Percent"/>
    <tableColumn id="32" xr3:uid="{00000000-0010-0000-0700-000020000000}" name="Corelation" dataDxfId="7" dataCellStyle="Percent"/>
    <tableColumn id="33" xr3:uid="{00000000-0010-0000-0700-000021000000}" name="Bugt Line loss" dataDxfId="6" dataCellStyle="Percent"/>
    <tableColumn id="34" xr3:uid="{00000000-0010-0000-0700-000022000000}" name="Bugt Reactive Power" dataDxfId="5" dataCellStyle="Percen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O@R1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O@R1" TargetMode="External"/><Relationship Id="rId1" Type="http://schemas.openxmlformats.org/officeDocument/2006/relationships/hyperlink" Target="mailto:O@R1" TargetMode="External"/><Relationship Id="rId6" Type="http://schemas.openxmlformats.org/officeDocument/2006/relationships/hyperlink" Target="mailto:O@R1" TargetMode="External"/><Relationship Id="rId5" Type="http://schemas.openxmlformats.org/officeDocument/2006/relationships/hyperlink" Target="mailto:O@R1" TargetMode="External"/><Relationship Id="rId4" Type="http://schemas.openxmlformats.org/officeDocument/2006/relationships/hyperlink" Target="mailto:O@R1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3"/>
  <sheetViews>
    <sheetView showGridLines="0" tabSelected="1" topLeftCell="A2" zoomScaleNormal="90" workbookViewId="0">
      <selection activeCell="H28" sqref="H28"/>
    </sheetView>
  </sheetViews>
  <sheetFormatPr defaultColWidth="9" defaultRowHeight="14.4"/>
  <cols>
    <col min="1" max="1" width="17" style="25" customWidth="1"/>
    <col min="2" max="2" width="22.44140625" style="26" customWidth="1"/>
    <col min="3" max="3" width="13.5546875" style="26" customWidth="1"/>
    <col min="4" max="4" width="12" style="27" customWidth="1"/>
    <col min="5" max="5" width="11" style="25" customWidth="1"/>
    <col min="6" max="6" width="10.88671875" style="26" customWidth="1"/>
    <col min="7" max="7" width="11.44140625" style="26" customWidth="1"/>
    <col min="8" max="8" width="9.44140625" style="26" customWidth="1"/>
    <col min="9" max="9" width="11" style="26" customWidth="1"/>
    <col min="10" max="10" width="11.5546875" style="26" customWidth="1"/>
    <col min="11" max="11" width="10.44140625" style="26" customWidth="1"/>
    <col min="12" max="16384" width="9" style="26"/>
  </cols>
  <sheetData>
    <row r="1" spans="1:18" ht="4.3499999999999996" hidden="1" customHeight="1"/>
    <row r="2" spans="1:18" ht="25.5" customHeight="1">
      <c r="A2" s="359" t="s">
        <v>0</v>
      </c>
      <c r="B2" s="360"/>
      <c r="C2" s="360"/>
      <c r="D2" s="360"/>
      <c r="E2" s="360"/>
      <c r="F2" s="361"/>
    </row>
    <row r="3" spans="1:18">
      <c r="A3" s="28" t="s">
        <v>1</v>
      </c>
      <c r="B3" s="191">
        <v>45839</v>
      </c>
      <c r="C3" s="30"/>
      <c r="D3" s="30"/>
      <c r="E3" s="30"/>
      <c r="F3" s="31"/>
    </row>
    <row r="4" spans="1:18">
      <c r="A4" s="28" t="s">
        <v>2</v>
      </c>
      <c r="B4" s="192">
        <v>45847</v>
      </c>
      <c r="C4" s="30"/>
      <c r="D4" s="30"/>
      <c r="E4" s="30"/>
      <c r="F4" s="31"/>
      <c r="G4" s="33"/>
      <c r="J4" s="33"/>
      <c r="K4" s="33"/>
      <c r="L4" s="33"/>
      <c r="M4" s="33"/>
      <c r="N4" s="33"/>
      <c r="O4" s="33"/>
      <c r="P4" s="33"/>
      <c r="Q4" s="33"/>
      <c r="R4" s="33"/>
    </row>
    <row r="5" spans="1:18" s="34" customFormat="1">
      <c r="A5" s="28" t="s">
        <v>3</v>
      </c>
      <c r="B5" s="29" t="s">
        <v>4</v>
      </c>
      <c r="C5" s="30"/>
      <c r="D5" s="30"/>
      <c r="E5" s="30"/>
      <c r="F5" s="31"/>
      <c r="G5" s="26"/>
      <c r="H5" s="26"/>
      <c r="I5" s="26"/>
      <c r="J5" s="26"/>
      <c r="K5" s="26"/>
      <c r="L5" s="26"/>
      <c r="M5" s="26"/>
      <c r="N5" s="26"/>
      <c r="O5" s="26"/>
      <c r="P5" s="26"/>
    </row>
    <row r="6" spans="1:18">
      <c r="A6" s="28" t="s">
        <v>5</v>
      </c>
      <c r="B6" s="32">
        <v>45748</v>
      </c>
      <c r="C6" s="30"/>
      <c r="D6" s="30"/>
      <c r="E6" s="30"/>
      <c r="F6" s="31"/>
      <c r="H6" s="26" t="s">
        <v>6</v>
      </c>
    </row>
    <row r="7" spans="1:18" ht="15" thickBot="1">
      <c r="A7" s="35" t="s">
        <v>7</v>
      </c>
      <c r="B7" s="36">
        <v>46112</v>
      </c>
      <c r="C7" s="37"/>
      <c r="D7" s="37"/>
      <c r="E7" s="37"/>
      <c r="F7" s="38"/>
    </row>
    <row r="8" spans="1:18" ht="4.5" customHeight="1" thickBot="1">
      <c r="A8" s="39"/>
      <c r="B8" s="40"/>
      <c r="C8" s="40"/>
      <c r="D8" s="40"/>
      <c r="E8" s="40"/>
      <c r="F8" s="40"/>
    </row>
    <row r="9" spans="1:18" ht="19.5" customHeight="1" thickBot="1">
      <c r="A9" s="41" t="s">
        <v>8</v>
      </c>
      <c r="B9" s="42" t="s">
        <v>9</v>
      </c>
      <c r="C9" s="42" t="s">
        <v>10</v>
      </c>
      <c r="D9" s="42" t="s">
        <v>11</v>
      </c>
      <c r="E9" s="42" t="s">
        <v>12</v>
      </c>
      <c r="F9" s="43" t="s">
        <v>13</v>
      </c>
    </row>
    <row r="10" spans="1:18">
      <c r="A10" s="362">
        <v>1</v>
      </c>
      <c r="B10" s="44" t="s">
        <v>14</v>
      </c>
      <c r="C10" s="45">
        <f>IFERROR(_xlfn.XLOOKUP($B$4,'Daily KPI'!$A:$A,'Daily KPI'!$AD:$AD)/1000,"")</f>
        <v>904.89400217495643</v>
      </c>
      <c r="D10" s="45">
        <f>IFERROR(_xlfn.XLOOKUP($B$4,'Daily KPI'!$A:$A,'Daily KPI'!$AA:$AA)/1000,"")</f>
        <v>1226.163</v>
      </c>
      <c r="E10" s="46">
        <f>D10/C10-1</f>
        <v>0.35503495111345429</v>
      </c>
      <c r="F10" s="193"/>
    </row>
    <row r="11" spans="1:18">
      <c r="A11" s="363"/>
      <c r="B11" s="47" t="s">
        <v>15</v>
      </c>
      <c r="C11" s="48">
        <f>MonthlyKPI!E4</f>
        <v>8144.0460195746082</v>
      </c>
      <c r="D11" s="49">
        <f>MonthlyKPI!F4</f>
        <v>13292.556</v>
      </c>
      <c r="E11" s="50">
        <f t="shared" ref="E11:E12" si="0">D11/C11-1</f>
        <v>0.63218085556622583</v>
      </c>
      <c r="F11" s="194"/>
    </row>
    <row r="12" spans="1:18" ht="15" thickBot="1">
      <c r="A12" s="364"/>
      <c r="B12" s="51" t="s">
        <v>16</v>
      </c>
      <c r="C12" s="52">
        <f>AnnualKPI!E4</f>
        <v>41428.998337292011</v>
      </c>
      <c r="D12" s="53">
        <f>AnnualKPI!F4</f>
        <v>58731.362000000001</v>
      </c>
      <c r="E12" s="54">
        <f t="shared" si="0"/>
        <v>0.41763895718264066</v>
      </c>
      <c r="F12" s="195"/>
    </row>
    <row r="13" spans="1:18">
      <c r="A13" s="362">
        <v>2</v>
      </c>
      <c r="B13" s="44" t="s">
        <v>17</v>
      </c>
      <c r="C13" s="55">
        <f>IFERROR(_xlfn.XLOOKUP($B$3,'Modelling New'!$D:$D,'Modelling New'!J:J),"")</f>
        <v>9.8233333333333324</v>
      </c>
      <c r="D13" s="56">
        <f>IFERROR(_xlfn.XLOOKUP($B$4,'Daily KPI'!$A:$A,'Daily KPI'!$M:$M),"")</f>
        <v>9.8275000000000023</v>
      </c>
      <c r="E13" s="46">
        <f>(D13-C13)/(C13)</f>
        <v>4.2416016287784015E-4</v>
      </c>
      <c r="F13" s="193"/>
    </row>
    <row r="14" spans="1:18">
      <c r="A14" s="363"/>
      <c r="B14" s="47" t="s">
        <v>18</v>
      </c>
      <c r="C14" s="57">
        <f>MonthlyKPI!C4</f>
        <v>9.8233333333333324</v>
      </c>
      <c r="D14" s="103">
        <f>MonthlyKPI!D4</f>
        <v>11.679040404040403</v>
      </c>
      <c r="E14" s="50">
        <f t="shared" ref="E14:E15" si="1">(D14-C14)/(C14)</f>
        <v>0.18890808320737068</v>
      </c>
      <c r="F14" s="196"/>
    </row>
    <row r="15" spans="1:18" ht="15" thickBot="1">
      <c r="A15" s="364"/>
      <c r="B15" s="51" t="s">
        <v>19</v>
      </c>
      <c r="C15" s="58">
        <f>AnnualKPI!C4</f>
        <v>6.2836120320091453</v>
      </c>
      <c r="D15" s="59">
        <f>AnnualKPI!D4</f>
        <v>6.9090568181818188</v>
      </c>
      <c r="E15" s="54">
        <f t="shared" si="1"/>
        <v>9.9535869335442007E-2</v>
      </c>
      <c r="F15" s="195"/>
    </row>
    <row r="16" spans="1:18">
      <c r="A16" s="362">
        <v>3</v>
      </c>
      <c r="B16" s="44" t="s">
        <v>20</v>
      </c>
      <c r="C16" s="60">
        <f>IFERROR(_xlfn.XLOOKUP(B4,'Daily KPI'!$A:$A,'Daily KPI'!$AG:$AG),"")</f>
        <v>0.96029999999999993</v>
      </c>
      <c r="D16" s="61">
        <f>IFERROR(_xlfn.XLOOKUP($B$4,'Daily KPI'!$A:$A,'Daily KPI'!O:O),"")</f>
        <v>1</v>
      </c>
      <c r="E16" s="46">
        <f t="shared" ref="E16:E21" si="2">(D16-C16)/(C16)</f>
        <v>4.134124752681461E-2</v>
      </c>
      <c r="F16" s="193"/>
    </row>
    <row r="17" spans="1:6">
      <c r="A17" s="363"/>
      <c r="B17" s="47" t="s">
        <v>21</v>
      </c>
      <c r="C17" s="62">
        <f>IFERROR(_xlfn.XLOOKUP($B$3,'Modelling New'!$D:$D,'Modelling New'!AE:AE),"")</f>
        <v>0.96029999999999993</v>
      </c>
      <c r="D17" s="63">
        <f>MonthlyKPI!P4</f>
        <v>0.98999318706804562</v>
      </c>
      <c r="E17" s="50">
        <f t="shared" si="2"/>
        <v>3.0920740464485778E-2</v>
      </c>
      <c r="F17" s="194"/>
    </row>
    <row r="18" spans="1:6" ht="15" thickBot="1">
      <c r="A18" s="364"/>
      <c r="B18" s="51" t="s">
        <v>22</v>
      </c>
      <c r="C18" s="62">
        <f>IFERROR(_xlfn.XLOOKUP($B$3,'Modelling New'!$D:$D,'Modelling New'!AE:AE),"")</f>
        <v>0.96029999999999993</v>
      </c>
      <c r="D18" s="65">
        <f>AnnualKPI!P4</f>
        <v>0.97424960833165108</v>
      </c>
      <c r="E18" s="54">
        <f t="shared" si="2"/>
        <v>1.4526302542592059E-2</v>
      </c>
      <c r="F18" s="195"/>
    </row>
    <row r="19" spans="1:6">
      <c r="A19" s="356">
        <v>4</v>
      </c>
      <c r="B19" s="44" t="s">
        <v>23</v>
      </c>
      <c r="C19" s="60">
        <f>IFERROR(_xlfn.XLOOKUP(B7,'Daily KPI'!$A:$A,'Daily KPI'!$AH:$AH),"")</f>
        <v>0.995</v>
      </c>
      <c r="D19" s="61">
        <f>IFERROR(_xlfn.XLOOKUP($B$4,'Daily KPI'!$A:$A,'Daily KPI'!$R:$R),"")</f>
        <v>1</v>
      </c>
      <c r="E19" s="46">
        <f t="shared" si="2"/>
        <v>5.0251256281407079E-3</v>
      </c>
      <c r="F19" s="193"/>
    </row>
    <row r="20" spans="1:6">
      <c r="A20" s="357"/>
      <c r="B20" s="47" t="s">
        <v>24</v>
      </c>
      <c r="C20" s="62">
        <f>IFERROR(_xlfn.XLOOKUP($B$3,'Modelling New'!$D:$D,'Modelling New'!$AF:$AF),"")</f>
        <v>0.995</v>
      </c>
      <c r="D20" s="63">
        <f>MonthlyKPI!J4</f>
        <v>1</v>
      </c>
      <c r="E20" s="50">
        <f t="shared" si="2"/>
        <v>5.0251256281407079E-3</v>
      </c>
      <c r="F20" s="194"/>
    </row>
    <row r="21" spans="1:6" ht="15" thickBot="1">
      <c r="A21" s="358"/>
      <c r="B21" s="51" t="s">
        <v>25</v>
      </c>
      <c r="C21" s="62">
        <f>IFERROR(_xlfn.XLOOKUP($B$3,'Modelling New'!$D:$D,'Modelling New'!$AF:$AF),"")</f>
        <v>0.995</v>
      </c>
      <c r="D21" s="65">
        <f>AnnualKPI!J4</f>
        <v>0.9933892635945003</v>
      </c>
      <c r="E21" s="54">
        <f t="shared" si="2"/>
        <v>-1.6188305582911465E-3</v>
      </c>
      <c r="F21" s="195"/>
    </row>
    <row r="22" spans="1:6">
      <c r="A22" s="356">
        <v>5</v>
      </c>
      <c r="B22" s="44" t="s">
        <v>26</v>
      </c>
      <c r="C22" s="61">
        <f>IFERROR(_xlfn.XLOOKUP($B$3,'Modelling New'!$D:$D,'Modelling New'!$AI:$AI),"")</f>
        <v>0.99</v>
      </c>
      <c r="D22" s="61">
        <f>IFERROR(_xlfn.XLOOKUP($B$4,'Daily KPI'!$A:$A,'Daily KPI'!Q:Q),"")</f>
        <v>1</v>
      </c>
      <c r="E22" s="46">
        <f t="shared" ref="E22:E27" si="3">(D22-C22)/(C22)</f>
        <v>1.0101010101010111E-2</v>
      </c>
      <c r="F22" s="193"/>
    </row>
    <row r="23" spans="1:6">
      <c r="A23" s="357"/>
      <c r="B23" s="47" t="s">
        <v>27</v>
      </c>
      <c r="C23" s="63">
        <f>IFERROR(_xlfn.XLOOKUP($B$3,'Modelling New'!$D:$D,'Modelling New'!$AI:$AI),"")</f>
        <v>0.99</v>
      </c>
      <c r="D23" s="63">
        <f>MonthlyKPI!N4</f>
        <v>0.99647521294472974</v>
      </c>
      <c r="E23" s="50">
        <f t="shared" si="3"/>
        <v>6.5406191360906536E-3</v>
      </c>
      <c r="F23" s="194"/>
    </row>
    <row r="24" spans="1:6" ht="15" thickBot="1">
      <c r="A24" s="358"/>
      <c r="B24" s="51" t="s">
        <v>28</v>
      </c>
      <c r="C24" s="65">
        <f>IFERROR(_xlfn.XLOOKUP($B$3,'Modelling New'!$D:$D,'Modelling New'!$AI:$AI),"")</f>
        <v>0.99</v>
      </c>
      <c r="D24" s="65">
        <f>AnnualKPI!N4</f>
        <v>0.98406539588182229</v>
      </c>
      <c r="E24" s="54">
        <f t="shared" si="3"/>
        <v>-5.9945496143209093E-3</v>
      </c>
      <c r="F24" s="195"/>
    </row>
    <row r="25" spans="1:6">
      <c r="A25" s="356">
        <v>6</v>
      </c>
      <c r="B25" s="44" t="s">
        <v>29</v>
      </c>
      <c r="C25" s="61">
        <f>IFERROR(_xlfn.XLOOKUP($B$3,'Modelling New'!$D:$D,'Modelling New'!$AH:$AH),"")</f>
        <v>0.97</v>
      </c>
      <c r="D25" s="61">
        <f>IFERROR(_xlfn.XLOOKUP($B$4,'Daily KPI'!$A:$A,'Daily KPI'!P:P),"")</f>
        <v>1</v>
      </c>
      <c r="E25" s="46">
        <f t="shared" si="3"/>
        <v>3.0927835051546421E-2</v>
      </c>
      <c r="F25" s="193"/>
    </row>
    <row r="26" spans="1:6">
      <c r="A26" s="357"/>
      <c r="B26" s="47" t="s">
        <v>30</v>
      </c>
      <c r="C26" s="63">
        <f>IFERROR(_xlfn.XLOOKUP($B$3,'Modelling New'!$D:$D,'Modelling New'!$AH:$AH),"")</f>
        <v>0.97</v>
      </c>
      <c r="D26" s="63">
        <f>MonthlyKPI!N4</f>
        <v>0.99647521294472974</v>
      </c>
      <c r="E26" s="50">
        <f t="shared" si="3"/>
        <v>2.7294033963638935E-2</v>
      </c>
      <c r="F26" s="194"/>
    </row>
    <row r="27" spans="1:6" ht="15" thickBot="1">
      <c r="A27" s="358"/>
      <c r="B27" s="51" t="s">
        <v>31</v>
      </c>
      <c r="C27" s="65">
        <f>IFERROR(_xlfn.XLOOKUP($B$3,'Modelling New'!$D:$D,'Modelling New'!$AH:$AH),"")</f>
        <v>0.97</v>
      </c>
      <c r="D27" s="65">
        <f>AnnualKPI!N4</f>
        <v>0.98406539588182229</v>
      </c>
      <c r="E27" s="54">
        <f t="shared" si="3"/>
        <v>1.4500408125590019E-2</v>
      </c>
      <c r="F27" s="195"/>
    </row>
    <row r="28" spans="1:6">
      <c r="A28" s="356">
        <v>7</v>
      </c>
      <c r="B28" s="44" t="s">
        <v>32</v>
      </c>
      <c r="C28" s="60">
        <f>IFERROR(_xlfn.XLOOKUP($B$3,'Modelling New'!$D:$D,'Modelling New'!$W:$W),"")</f>
        <v>0.53556699939332175</v>
      </c>
      <c r="D28" s="61">
        <f>IFERROR(_xlfn.XLOOKUP($B$4,'Daily KPI'!$A:$A,'Daily KPI'!$W:$W),"")</f>
        <v>0.72571200284090898</v>
      </c>
      <c r="E28" s="46">
        <f t="shared" ref="E28:E39" si="4">(D28-C28)/(C28)</f>
        <v>0.35503495111345396</v>
      </c>
      <c r="F28" s="193"/>
    </row>
    <row r="29" spans="1:6">
      <c r="A29" s="357"/>
      <c r="B29" s="47" t="s">
        <v>33</v>
      </c>
      <c r="C29" s="62">
        <f>MonthlyKPI!$G$4</f>
        <v>0.53556699939332175</v>
      </c>
      <c r="D29" s="63">
        <f>MonthlyKPI!$H$4</f>
        <v>0.87414220328282821</v>
      </c>
      <c r="E29" s="50">
        <f t="shared" si="4"/>
        <v>0.63218085556622572</v>
      </c>
      <c r="F29" s="194"/>
    </row>
    <row r="30" spans="1:6" ht="15" thickBot="1">
      <c r="A30" s="358"/>
      <c r="B30" s="51" t="s">
        <v>34</v>
      </c>
      <c r="C30" s="64">
        <f>AnnualKPI!$G$4</f>
        <v>0.24520003750764685</v>
      </c>
      <c r="D30" s="65">
        <f>AnnualKPI!$H$4</f>
        <v>0.34760512547348488</v>
      </c>
      <c r="E30" s="54">
        <f t="shared" si="4"/>
        <v>0.41763895718264071</v>
      </c>
      <c r="F30" s="195"/>
    </row>
    <row r="31" spans="1:6">
      <c r="A31" s="356">
        <v>8</v>
      </c>
      <c r="B31" s="44" t="s">
        <v>35</v>
      </c>
      <c r="C31" s="63">
        <f>_xlfn.XLOOKUP($B$3,'Modelling New'!$D:$D,'Modelling New'!AK:AK)</f>
        <v>0.05</v>
      </c>
      <c r="D31" s="61">
        <f>_xlfn.XLOOKUP($B$4,'Daily KPI'!$A:$A,'Daily KPI'!$AN:$AN)</f>
        <v>0</v>
      </c>
      <c r="E31" s="46">
        <f>-(D31-C31)/(C31)</f>
        <v>1</v>
      </c>
      <c r="F31" s="193"/>
    </row>
    <row r="32" spans="1:6">
      <c r="A32" s="357"/>
      <c r="B32" s="47" t="s">
        <v>36</v>
      </c>
      <c r="C32" s="63">
        <f>_xlfn.XLOOKUP($B$3,'Modelling New'!$D:$D,'Modelling New'!AK:AK)</f>
        <v>0.05</v>
      </c>
      <c r="D32" s="63">
        <f>MonthlyKPI!$U$4</f>
        <v>-1.2335811384723961E-17</v>
      </c>
      <c r="E32" s="50">
        <f t="shared" ref="E32:E33" si="5">-(D32-C32)/(C32)</f>
        <v>1.0000000000000002</v>
      </c>
      <c r="F32" s="194"/>
    </row>
    <row r="33" spans="1:6" ht="15" thickBot="1">
      <c r="A33" s="358"/>
      <c r="B33" s="51" t="s">
        <v>37</v>
      </c>
      <c r="C33" s="63">
        <f>_xlfn.XLOOKUP($B$3,'Modelling New'!$D:$D,'Modelling New'!AK:AK)</f>
        <v>0.05</v>
      </c>
      <c r="D33" s="65">
        <f>AnnualKPI!$R$4</f>
        <v>9.9920072216264085E-18</v>
      </c>
      <c r="E33" s="54">
        <f t="shared" si="5"/>
        <v>0.99999999999999989</v>
      </c>
      <c r="F33" s="195"/>
    </row>
    <row r="34" spans="1:6">
      <c r="A34" s="356">
        <v>9</v>
      </c>
      <c r="B34" s="44" t="s">
        <v>38</v>
      </c>
      <c r="C34" s="61">
        <f>_xlfn.XLOOKUP(B4,'Daily KPI'!$A:$A,'Daily KPI'!AQ:AQ)</f>
        <v>0.05</v>
      </c>
      <c r="D34" s="187">
        <f>_xlfn.XLOOKUP($B$4,'Daily KPI'!$A:$A,'Daily KPI'!$AO:$AO)</f>
        <v>1.8550016039194355E-4</v>
      </c>
      <c r="E34" s="46">
        <f>-(D34-C34)/(C34)</f>
        <v>0.99628999679216124</v>
      </c>
      <c r="F34" s="193"/>
    </row>
    <row r="35" spans="1:6">
      <c r="A35" s="357"/>
      <c r="B35" s="47" t="s">
        <v>39</v>
      </c>
      <c r="C35" s="63">
        <f>_xlfn.XLOOKUP($B$3,'Modelling New'!$D:$D,'Modelling New'!$AL:$AL)</f>
        <v>0.05</v>
      </c>
      <c r="D35" s="188">
        <f>MonthlyKPI!$V$4</f>
        <v>1.8931790754864156E-4</v>
      </c>
      <c r="E35" s="50">
        <f>-(D35-C35)/(C35)</f>
        <v>0.99621364184902716</v>
      </c>
      <c r="F35" s="194"/>
    </row>
    <row r="36" spans="1:6" ht="15" thickBot="1">
      <c r="A36" s="358"/>
      <c r="B36" s="51" t="s">
        <v>40</v>
      </c>
      <c r="C36" s="63">
        <f>_xlfn.XLOOKUP($B$3,'Modelling New'!$D:$D,'Modelling New'!$AL:$AL)</f>
        <v>0.05</v>
      </c>
      <c r="D36" s="189">
        <f>AnnualKPI!$S$4</f>
        <v>1.5849748709773103E-4</v>
      </c>
      <c r="E36" s="54">
        <f>-(D36-C36)/(C36)</f>
        <v>0.99683005025804539</v>
      </c>
      <c r="F36" s="195"/>
    </row>
    <row r="37" spans="1:6">
      <c r="A37" s="356">
        <v>10</v>
      </c>
      <c r="B37" s="44" t="s">
        <v>41</v>
      </c>
      <c r="C37" s="45">
        <f>_xlfn.XLOOKUP($B$4,'Daily KPI'!$A:$A,'Daily KPI'!$AI:$AI)</f>
        <v>1190.71</v>
      </c>
      <c r="D37" s="45">
        <f>IFERROR(_xlfn.XLOOKUP($B$4,'Daily KPI'!$A:$A,'Daily KPI'!$X:$X)/1000,"")</f>
        <v>1226.163</v>
      </c>
      <c r="E37" s="46">
        <f t="shared" si="4"/>
        <v>2.9774672254369219E-2</v>
      </c>
      <c r="F37" s="193"/>
    </row>
    <row r="38" spans="1:6">
      <c r="A38" s="357"/>
      <c r="B38" s="47" t="s">
        <v>42</v>
      </c>
      <c r="C38" s="48">
        <f>MonthlyKPI!$T$4</f>
        <v>13570.93</v>
      </c>
      <c r="D38" s="48">
        <f>IFERROR(SUMIF('Daily KPI'!$D:$D,O2Summary!$B$3,'Daily KPI'!$X:$X)/1000,"")</f>
        <v>13292.556</v>
      </c>
      <c r="E38" s="50">
        <f t="shared" si="4"/>
        <v>-2.051252198633401E-2</v>
      </c>
      <c r="F38" s="194"/>
    </row>
    <row r="39" spans="1:6" ht="15" thickBot="1">
      <c r="A39" s="358"/>
      <c r="B39" s="51" t="s">
        <v>43</v>
      </c>
      <c r="C39" s="52">
        <f>AnnualKPI!$Q$4</f>
        <v>59079.6</v>
      </c>
      <c r="D39" s="52">
        <f>IFERROR(SUMIFS('Daily KPI'!$X:$X,'Daily KPI'!$A:$A,"&gt;="&amp;O2Summary!$B$6,'Daily KPI'!$A:$A,"&lt;="&amp;O2Summary!$B$4)/1000,"")</f>
        <v>58731.362000000001</v>
      </c>
      <c r="E39" s="54">
        <f t="shared" si="4"/>
        <v>-5.8943865564424535E-3</v>
      </c>
      <c r="F39" s="195"/>
    </row>
    <row r="483" spans="2:2">
      <c r="B483" s="97" t="s">
        <v>44</v>
      </c>
    </row>
  </sheetData>
  <sheetProtection algorithmName="SHA-512" hashValue="JJvkr5Nbvm5hlzA0xpwQjEhAMPvTOS0VGnnKXeSpbMg3kJF4fg8V/dkpnaguVk5LWKkHgP9HEsUtkpg0sg1IRA==" saltValue="hkaHKu9KbNk9SfgWPe2zCw==" spinCount="100000" sheet="1" objects="1" scenarios="1"/>
  <protectedRanges>
    <protectedRange sqref="A6:B6" name="Range1_1"/>
    <protectedRange sqref="B3:B4" name="Range1_1_2"/>
  </protectedRanges>
  <mergeCells count="11">
    <mergeCell ref="A19:A21"/>
    <mergeCell ref="A2:F2"/>
    <mergeCell ref="A10:A12"/>
    <mergeCell ref="A13:A15"/>
    <mergeCell ref="A16:A18"/>
    <mergeCell ref="A31:A33"/>
    <mergeCell ref="A34:A36"/>
    <mergeCell ref="A37:A39"/>
    <mergeCell ref="A22:A24"/>
    <mergeCell ref="A28:A30"/>
    <mergeCell ref="A25:A27"/>
  </mergeCells>
  <conditionalFormatting sqref="E10:E12">
    <cfRule type="iconSet" priority="7">
      <iconSet iconSet="3Arrows">
        <cfvo type="percent" val="0"/>
        <cfvo type="num" val="-5.0000000000000001E-3"/>
        <cfvo type="num" val="0"/>
      </iconSet>
    </cfRule>
    <cfRule type="dataBar" priority="8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{CADE7444-D02D-4622-B7D0-AD5CC47FFFEF}</x14:id>
        </ext>
      </extLst>
    </cfRule>
  </conditionalFormatting>
  <conditionalFormatting sqref="E13:E18">
    <cfRule type="iconSet" priority="5">
      <iconSet iconSet="3Arrows">
        <cfvo type="percent" val="0"/>
        <cfvo type="num" val="-5.0000000000000001E-3"/>
        <cfvo type="num" val="0"/>
      </iconSet>
    </cfRule>
    <cfRule type="dataBar" priority="6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{D414FD47-2CFC-4B26-BDB5-324AD373DEBD}</x14:id>
        </ext>
      </extLst>
    </cfRule>
  </conditionalFormatting>
  <conditionalFormatting sqref="E19:E30 E37:E39">
    <cfRule type="iconSet" priority="3">
      <iconSet iconSet="3Arrows">
        <cfvo type="percent" val="0"/>
        <cfvo type="num" val="-5.0000000000000001E-3"/>
        <cfvo type="num" val="0"/>
      </iconSet>
    </cfRule>
    <cfRule type="dataBar" priority="4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{41790690-E845-46F0-B02B-ADAC291B6E01}</x14:id>
        </ext>
      </extLst>
    </cfRule>
  </conditionalFormatting>
  <conditionalFormatting sqref="E31:E36">
    <cfRule type="iconSet" priority="1">
      <iconSet iconSet="3Arrows">
        <cfvo type="percent" val="0"/>
        <cfvo type="num" val="-5.0000000000000001E-3"/>
        <cfvo type="num" val="0"/>
      </iconSet>
    </cfRule>
    <cfRule type="dataBar" priority="2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{1C33FC65-3E88-4DEA-BB02-5B0089AA4F4A}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DE7444-D02D-4622-B7D0-AD5CC47FFFEF}">
            <x14:dataBar minLength="0" maxLength="100" border="1" negativeBarBorderColorSameAsPositive="0">
              <x14:cfvo type="autoMin"/>
              <x14:cfvo type="autoMax"/>
              <x14:borderColor theme="4" tint="0.79998168889431442"/>
              <x14:negativeFillColor theme="5" tint="0.79998168889431442"/>
              <x14:negativeBorderColor theme="5" tint="0.79998168889431442"/>
              <x14:axisColor rgb="FF000000"/>
            </x14:dataBar>
          </x14:cfRule>
          <xm:sqref>E10:E12</xm:sqref>
        </x14:conditionalFormatting>
        <x14:conditionalFormatting xmlns:xm="http://schemas.microsoft.com/office/excel/2006/main">
          <x14:cfRule type="dataBar" id="{D414FD47-2CFC-4B26-BDB5-324AD373DEBD}">
            <x14:dataBar minLength="0" maxLength="100" border="1" negativeBarBorderColorSameAsPositive="0">
              <x14:cfvo type="autoMin"/>
              <x14:cfvo type="autoMax"/>
              <x14:borderColor theme="4" tint="0.79998168889431442"/>
              <x14:negativeFillColor theme="5" tint="0.79998168889431442"/>
              <x14:negativeBorderColor theme="5" tint="0.79998168889431442"/>
              <x14:axisColor rgb="FF000000"/>
            </x14:dataBar>
          </x14:cfRule>
          <xm:sqref>E13:E18</xm:sqref>
        </x14:conditionalFormatting>
        <x14:conditionalFormatting xmlns:xm="http://schemas.microsoft.com/office/excel/2006/main">
          <x14:cfRule type="dataBar" id="{41790690-E845-46F0-B02B-ADAC291B6E01}">
            <x14:dataBar minLength="0" maxLength="100" border="1" negativeBarBorderColorSameAsPositive="0">
              <x14:cfvo type="autoMin"/>
              <x14:cfvo type="autoMax"/>
              <x14:borderColor theme="4" tint="0.79998168889431442"/>
              <x14:negativeFillColor theme="5" tint="0.79998168889431442"/>
              <x14:negativeBorderColor theme="5" tint="0.79998168889431442"/>
              <x14:axisColor rgb="FF000000"/>
            </x14:dataBar>
          </x14:cfRule>
          <xm:sqref>E19:E30 E37:E39</xm:sqref>
        </x14:conditionalFormatting>
        <x14:conditionalFormatting xmlns:xm="http://schemas.microsoft.com/office/excel/2006/main">
          <x14:cfRule type="dataBar" id="{1C33FC65-3E88-4DEA-BB02-5B0089AA4F4A}">
            <x14:dataBar minLength="0" maxLength="100" border="1" negativeBarBorderColorSameAsPositive="0">
              <x14:cfvo type="autoMin"/>
              <x14:cfvo type="autoMax"/>
              <x14:borderColor theme="4" tint="0.79998168889431442"/>
              <x14:negativeFillColor theme="5" tint="0.79998168889431442"/>
              <x14:negativeBorderColor theme="5" tint="0.79998168889431442"/>
              <x14:axisColor rgb="FF000000"/>
            </x14:dataBar>
          </x14:cfRule>
          <xm:sqref>E31:E36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14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K19" sqref="K19"/>
    </sheetView>
  </sheetViews>
  <sheetFormatPr defaultRowHeight="14.4"/>
  <cols>
    <col min="6" max="6" width="10.88671875" customWidth="1"/>
    <col min="11" max="11" width="65" bestFit="1" customWidth="1"/>
    <col min="19" max="19" width="51.109375" bestFit="1" customWidth="1"/>
    <col min="22" max="22" width="24.5546875" bestFit="1" customWidth="1"/>
    <col min="23" max="24" width="13.6640625" customWidth="1"/>
  </cols>
  <sheetData>
    <row r="1" spans="1:29" ht="42" customHeight="1">
      <c r="A1" s="279" t="s">
        <v>8</v>
      </c>
      <c r="B1" s="279" t="s">
        <v>3</v>
      </c>
      <c r="C1" s="279" t="s">
        <v>198</v>
      </c>
      <c r="D1" s="279" t="s">
        <v>318</v>
      </c>
      <c r="E1" s="279" t="s">
        <v>317</v>
      </c>
      <c r="F1" s="280" t="s">
        <v>197</v>
      </c>
      <c r="G1" s="279" t="s">
        <v>928</v>
      </c>
      <c r="H1" s="279" t="s">
        <v>320</v>
      </c>
      <c r="I1" s="279" t="s">
        <v>398</v>
      </c>
      <c r="J1" s="279" t="s">
        <v>321</v>
      </c>
      <c r="K1" s="279" t="s">
        <v>324</v>
      </c>
      <c r="L1" s="279" t="s">
        <v>930</v>
      </c>
      <c r="M1" s="279" t="s">
        <v>325</v>
      </c>
      <c r="N1" s="279" t="s">
        <v>326</v>
      </c>
      <c r="O1" s="279" t="s">
        <v>327</v>
      </c>
      <c r="P1" s="279" t="s">
        <v>328</v>
      </c>
      <c r="Q1" s="279" t="s">
        <v>329</v>
      </c>
      <c r="R1" s="279" t="s">
        <v>330</v>
      </c>
      <c r="S1" s="279" t="s">
        <v>331</v>
      </c>
      <c r="T1" s="279" t="s">
        <v>332</v>
      </c>
      <c r="U1" s="281" t="s">
        <v>333</v>
      </c>
      <c r="V1" s="281" t="s">
        <v>879</v>
      </c>
      <c r="W1" s="17" t="s">
        <v>334</v>
      </c>
      <c r="X1" s="304" t="s">
        <v>933</v>
      </c>
      <c r="Y1" s="282" t="s">
        <v>921</v>
      </c>
      <c r="Z1" s="282" t="s">
        <v>931</v>
      </c>
      <c r="AA1" s="282" t="s">
        <v>932</v>
      </c>
      <c r="AB1" s="282" t="s">
        <v>923</v>
      </c>
      <c r="AC1" s="282" t="s">
        <v>924</v>
      </c>
    </row>
    <row r="2" spans="1:29">
      <c r="A2" s="79">
        <v>1</v>
      </c>
      <c r="B2" s="79">
        <f>YEAR(Table9[[#This Row],[Date]])+IF(MONTH(Table9[[#This Row],[Date]])&gt;=4,1,0)</f>
        <v>2026</v>
      </c>
      <c r="C2" s="79">
        <f>YEAR(Table9[[#This Row],[Date]])</f>
        <v>2025</v>
      </c>
      <c r="D2" s="79" t="s">
        <v>344</v>
      </c>
      <c r="E2" s="284">
        <f>Table9[[#This Row],[Date]]-DAY(Table9[[#This Row],[Date]])+1</f>
        <v>45748</v>
      </c>
      <c r="F2" s="285">
        <v>45755</v>
      </c>
      <c r="G2" t="s">
        <v>399</v>
      </c>
      <c r="H2" t="str">
        <f>IFERROR(_xlfn.XLOOKUP(Table9[[#This Row],[Affected Feeder ]],'Basic Data'!$A:$A,'Basic Data'!$B:$B),"")</f>
        <v>PWEPL</v>
      </c>
      <c r="I2" t="str">
        <f>IFERROR(_xlfn.XLOOKUP(Table9[[#This Row],[Affected Feeder ]],'Basic Data'!$A:$A,'Basic Data'!$C:$C),"")</f>
        <v>MSEDCL</v>
      </c>
      <c r="J2" s="303">
        <f>IFERROR(_xlfn.XLOOKUP(Table9[[#This Row],[Affected Feeder ]],'Basic Data'!$A:$A,'Basic Data'!$E:$E),"")</f>
        <v>0.22727272727272727</v>
      </c>
      <c r="K2" t="s">
        <v>400</v>
      </c>
      <c r="M2" s="299">
        <v>0.41249999999999998</v>
      </c>
      <c r="N2" s="300">
        <v>0.41249999999999998</v>
      </c>
      <c r="O2" s="300">
        <v>0.70625000000000004</v>
      </c>
      <c r="P2" s="18">
        <f>(Table9[[#This Row],[Work Start TimeStamp]]-Table9[[#This Row],[Fault Start TimeStamp]])*24</f>
        <v>0</v>
      </c>
      <c r="Q2" s="18">
        <f>IF(Table9[[#This Row],[Work Start TimeStamp]]="","",(Table9[[#This Row],[Fault Clearance time]]-Table9[[#This Row],[Work Start TimeStamp]])*24)</f>
        <v>7.0500000000000016</v>
      </c>
      <c r="R2" s="18">
        <f>(Table9[[#This Row],[Fault Clearance time]]-Table9[[#This Row],[Fault Start TimeStamp]])*24</f>
        <v>7.0500000000000016</v>
      </c>
      <c r="S2" s="301" t="s">
        <v>401</v>
      </c>
      <c r="T2" s="1" t="s">
        <v>339</v>
      </c>
      <c r="U2" s="302">
        <f>IFERROR(Table9[[#This Row],[Breakdown Time]]*Table9[[#This Row],[Plant Equivalent Weightage]],"")</f>
        <v>1.6022727272727275</v>
      </c>
      <c r="V2" s="302" t="s">
        <v>403</v>
      </c>
      <c r="W2" s="302" t="s">
        <v>402</v>
      </c>
      <c r="X2" s="302"/>
      <c r="Y2">
        <v>6060</v>
      </c>
      <c r="AA2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3" spans="1:29">
      <c r="A3" s="79">
        <f>A2+1</f>
        <v>2</v>
      </c>
      <c r="B3" s="79">
        <f>YEAR(Table9[[#This Row],[Date]])+IF(MONTH(Table9[[#This Row],[Date]])&gt;=4,1,0)</f>
        <v>2026</v>
      </c>
      <c r="C3" s="79">
        <f>YEAR(Table9[[#This Row],[Date]])</f>
        <v>2025</v>
      </c>
      <c r="D3" s="79" t="s">
        <v>344</v>
      </c>
      <c r="E3" s="284">
        <f>Table9[[#This Row],[Date]]-DAY(Table9[[#This Row],[Date]])+1</f>
        <v>45748</v>
      </c>
      <c r="F3" s="285">
        <v>45755</v>
      </c>
      <c r="G3" t="s">
        <v>404</v>
      </c>
      <c r="H3" t="str">
        <f>IFERROR(_xlfn.XLOOKUP(Table9[[#This Row],[Affected Feeder ]],'Basic Data'!$A:$A,'Basic Data'!$B:$B),"")</f>
        <v>PWEPL</v>
      </c>
      <c r="I3" t="str">
        <f>IFERROR(_xlfn.XLOOKUP(Table9[[#This Row],[Affected Feeder ]],'Basic Data'!$A:$A,'Basic Data'!$C:$C),"")</f>
        <v>MSEDCL</v>
      </c>
      <c r="J3" s="303">
        <f>IFERROR(_xlfn.XLOOKUP(Table9[[#This Row],[Affected Feeder ]],'Basic Data'!$A:$A,'Basic Data'!$E:$E),"")</f>
        <v>0.27272727272727276</v>
      </c>
      <c r="K3" t="s">
        <v>400</v>
      </c>
      <c r="M3" s="299">
        <v>0.45694444444444443</v>
      </c>
      <c r="N3" s="300">
        <v>0.45694444444444443</v>
      </c>
      <c r="O3" s="300">
        <v>0.70694444444444449</v>
      </c>
      <c r="P3" s="18">
        <f>(Table9[[#This Row],[Work Start TimeStamp]]-Table9[[#This Row],[Fault Start TimeStamp]])*24</f>
        <v>0</v>
      </c>
      <c r="Q3" s="18">
        <f>IF(Table9[[#This Row],[Work Start TimeStamp]]="","",(Table9[[#This Row],[Fault Clearance time]]-Table9[[#This Row],[Work Start TimeStamp]])*24)</f>
        <v>6.0000000000000018</v>
      </c>
      <c r="R3" s="18">
        <f>(Table9[[#This Row],[Fault Clearance time]]-Table9[[#This Row],[Fault Start TimeStamp]])*24</f>
        <v>6.0000000000000018</v>
      </c>
      <c r="S3" s="301" t="s">
        <v>401</v>
      </c>
      <c r="T3" s="1" t="s">
        <v>339</v>
      </c>
      <c r="U3" s="302">
        <f>IFERROR(Table9[[#This Row],[Breakdown Time]]*Table9[[#This Row],[Plant Equivalent Weightage]],"")</f>
        <v>1.6363636363636371</v>
      </c>
      <c r="V3" s="302" t="s">
        <v>403</v>
      </c>
      <c r="W3" s="302" t="s">
        <v>402</v>
      </c>
      <c r="X3" s="302"/>
      <c r="Y3">
        <v>6204</v>
      </c>
      <c r="AA3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4" spans="1:29">
      <c r="A4" s="79">
        <f t="shared" ref="A4:A14" si="0">A3+1</f>
        <v>3</v>
      </c>
      <c r="B4" s="79">
        <f>YEAR(Table9[[#This Row],[Date]])+IF(MONTH(Table9[[#This Row],[Date]])&gt;=4,1,0)</f>
        <v>2026</v>
      </c>
      <c r="C4" s="79">
        <f>YEAR(Table9[[#This Row],[Date]])</f>
        <v>2025</v>
      </c>
      <c r="D4" s="79" t="s">
        <v>344</v>
      </c>
      <c r="E4" s="284">
        <f>Table9[[#This Row],[Date]]-DAY(Table9[[#This Row],[Date]])+1</f>
        <v>45748</v>
      </c>
      <c r="F4" s="285">
        <v>45755</v>
      </c>
      <c r="G4" t="s">
        <v>405</v>
      </c>
      <c r="H4" t="str">
        <f>IFERROR(_xlfn.XLOOKUP(Table9[[#This Row],[Affected Feeder ]],'Basic Data'!$A:$A,'Basic Data'!$B:$B),"")</f>
        <v>PWEPL</v>
      </c>
      <c r="I4" t="str">
        <f>IFERROR(_xlfn.XLOOKUP(Table9[[#This Row],[Affected Feeder ]],'Basic Data'!$A:$A,'Basic Data'!$C:$C),"")</f>
        <v>MSEDCL</v>
      </c>
      <c r="J4" s="303">
        <f>IFERROR(_xlfn.XLOOKUP(Table9[[#This Row],[Affected Feeder ]],'Basic Data'!$A:$A,'Basic Data'!$E:$E),"")</f>
        <v>0.20454545454545453</v>
      </c>
      <c r="K4" t="s">
        <v>400</v>
      </c>
      <c r="M4" s="299">
        <v>0.70972222222222225</v>
      </c>
      <c r="N4" s="300">
        <v>0.70972222222222225</v>
      </c>
      <c r="O4" s="300">
        <v>0.84375</v>
      </c>
      <c r="P4" s="18">
        <f>(Table9[[#This Row],[Work Start TimeStamp]]-Table9[[#This Row],[Fault Start TimeStamp]])*24</f>
        <v>0</v>
      </c>
      <c r="Q4" s="18">
        <f>IF(Table9[[#This Row],[Work Start TimeStamp]]="","",(Table9[[#This Row],[Fault Clearance time]]-Table9[[#This Row],[Work Start TimeStamp]])*24)</f>
        <v>3.2166666666666659</v>
      </c>
      <c r="R4" s="18">
        <f>(Table9[[#This Row],[Fault Clearance time]]-Table9[[#This Row],[Fault Start TimeStamp]])*24</f>
        <v>3.2166666666666659</v>
      </c>
      <c r="S4" s="301" t="s">
        <v>401</v>
      </c>
      <c r="T4" s="1" t="s">
        <v>339</v>
      </c>
      <c r="U4" s="302">
        <f>IFERROR(Table9[[#This Row],[Breakdown Time]]*Table9[[#This Row],[Plant Equivalent Weightage]],"")</f>
        <v>0.65795454545454524</v>
      </c>
      <c r="V4" s="302" t="s">
        <v>403</v>
      </c>
      <c r="W4" s="302" t="s">
        <v>402</v>
      </c>
      <c r="X4" s="302"/>
      <c r="Y4">
        <v>2547</v>
      </c>
      <c r="AA4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5" spans="1:29">
      <c r="A5" s="79">
        <f t="shared" si="0"/>
        <v>4</v>
      </c>
      <c r="B5" s="79">
        <f>YEAR(Table9[[#This Row],[Date]])+IF(MONTH(Table9[[#This Row],[Date]])&gt;=4,1,0)</f>
        <v>2026</v>
      </c>
      <c r="C5" s="79">
        <f>YEAR(Table9[[#This Row],[Date]])</f>
        <v>2025</v>
      </c>
      <c r="D5" s="79" t="s">
        <v>344</v>
      </c>
      <c r="E5" s="284">
        <f>Table9[[#This Row],[Date]]-DAY(Table9[[#This Row],[Date]])+1</f>
        <v>45748</v>
      </c>
      <c r="F5" s="285">
        <v>45755</v>
      </c>
      <c r="G5" t="s">
        <v>406</v>
      </c>
      <c r="H5" t="str">
        <f>IFERROR(_xlfn.XLOOKUP(Table9[[#This Row],[Affected Feeder ]],'Basic Data'!$A:$A,'Basic Data'!$B:$B),"")</f>
        <v>PWEPL</v>
      </c>
      <c r="I5" t="str">
        <f>IFERROR(_xlfn.XLOOKUP(Table9[[#This Row],[Affected Feeder ]],'Basic Data'!$A:$A,'Basic Data'!$C:$C),"")</f>
        <v>MSEDCL</v>
      </c>
      <c r="J5" s="303">
        <f>IFERROR(_xlfn.XLOOKUP(Table9[[#This Row],[Affected Feeder ]],'Basic Data'!$A:$A,'Basic Data'!$E:$E),"")</f>
        <v>0.29545454545454541</v>
      </c>
      <c r="K5" t="s">
        <v>400</v>
      </c>
      <c r="M5" s="299">
        <v>0.71250000000000002</v>
      </c>
      <c r="N5" s="300">
        <v>0.71250000000000002</v>
      </c>
      <c r="O5" s="300">
        <v>0.84375</v>
      </c>
      <c r="P5" s="18">
        <f>(Table9[[#This Row],[Work Start TimeStamp]]-Table9[[#This Row],[Fault Start TimeStamp]])*24</f>
        <v>0</v>
      </c>
      <c r="Q5" s="18">
        <f>IF(Table9[[#This Row],[Work Start TimeStamp]]="","",(Table9[[#This Row],[Fault Clearance time]]-Table9[[#This Row],[Work Start TimeStamp]])*24)</f>
        <v>3.1499999999999995</v>
      </c>
      <c r="R5" s="18">
        <f>(Table9[[#This Row],[Fault Clearance time]]-Table9[[#This Row],[Fault Start TimeStamp]])*24</f>
        <v>3.1499999999999995</v>
      </c>
      <c r="S5" s="301" t="s">
        <v>401</v>
      </c>
      <c r="T5" s="1" t="s">
        <v>339</v>
      </c>
      <c r="U5" s="302">
        <f>IFERROR(Table9[[#This Row],[Breakdown Time]]*Table9[[#This Row],[Plant Equivalent Weightage]],"")</f>
        <v>0.93068181818181794</v>
      </c>
      <c r="V5" s="302" t="s">
        <v>403</v>
      </c>
      <c r="W5" s="302" t="s">
        <v>402</v>
      </c>
      <c r="X5" s="302"/>
      <c r="Y5">
        <v>3601</v>
      </c>
      <c r="AA5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6" spans="1:29">
      <c r="A6" s="79">
        <f t="shared" si="0"/>
        <v>5</v>
      </c>
      <c r="B6" s="79">
        <f>YEAR(Table9[[#This Row],[Date]])+IF(MONTH(Table9[[#This Row],[Date]])&gt;=4,1,0)</f>
        <v>2026</v>
      </c>
      <c r="C6" s="79">
        <f>YEAR(Table9[[#This Row],[Date]])</f>
        <v>2025</v>
      </c>
      <c r="D6" s="79" t="s">
        <v>344</v>
      </c>
      <c r="E6" s="284">
        <f>Table9[[#This Row],[Date]]-DAY(Table9[[#This Row],[Date]])+1</f>
        <v>45748</v>
      </c>
      <c r="F6" s="285">
        <v>45762</v>
      </c>
      <c r="G6" t="s">
        <v>399</v>
      </c>
      <c r="H6" t="str">
        <f>IFERROR(_xlfn.XLOOKUP(Table9[[#This Row],[Affected Feeder ]],'Basic Data'!$A:$A,'Basic Data'!$B:$B),"")</f>
        <v>PWEPL</v>
      </c>
      <c r="I6" t="str">
        <f>IFERROR(_xlfn.XLOOKUP(Table9[[#This Row],[Affected Feeder ]],'Basic Data'!$A:$A,'Basic Data'!$C:$C),"")</f>
        <v>MSEDCL</v>
      </c>
      <c r="J6" s="303">
        <f>IFERROR(_xlfn.XLOOKUP(Table9[[#This Row],[Affected Feeder ]],'Basic Data'!$A:$A,'Basic Data'!$E:$E),"")</f>
        <v>0.22727272727272727</v>
      </c>
      <c r="K6" t="s">
        <v>407</v>
      </c>
      <c r="M6" s="299">
        <v>0.37152777777777773</v>
      </c>
      <c r="N6" s="300">
        <v>0.37152777777777773</v>
      </c>
      <c r="O6" s="300">
        <v>0.78125</v>
      </c>
      <c r="P6" s="18">
        <f>(Table9[[#This Row],[Work Start TimeStamp]]-Table9[[#This Row],[Fault Start TimeStamp]])*24</f>
        <v>0</v>
      </c>
      <c r="Q6" s="18">
        <f>IF(Table9[[#This Row],[Work Start TimeStamp]]="","",(Table9[[#This Row],[Fault Clearance time]]-Table9[[#This Row],[Work Start TimeStamp]])*24)</f>
        <v>9.8333333333333339</v>
      </c>
      <c r="R6" s="18">
        <f>(Table9[[#This Row],[Fault Clearance time]]-Table9[[#This Row],[Fault Start TimeStamp]])*24</f>
        <v>9.8333333333333339</v>
      </c>
      <c r="S6" s="301" t="s">
        <v>408</v>
      </c>
      <c r="T6" s="1" t="s">
        <v>339</v>
      </c>
      <c r="U6" s="302">
        <f>IFERROR(Table9[[#This Row],[Breakdown Time]]*Table9[[#This Row],[Plant Equivalent Weightage]],"")</f>
        <v>2.2348484848484849</v>
      </c>
      <c r="V6" s="302" t="s">
        <v>403</v>
      </c>
      <c r="W6" s="302" t="s">
        <v>402</v>
      </c>
      <c r="X6" s="302"/>
      <c r="Y6">
        <v>23600</v>
      </c>
      <c r="AA6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7" spans="1:29">
      <c r="A7" s="79">
        <f t="shared" si="0"/>
        <v>6</v>
      </c>
      <c r="B7" s="79">
        <f>YEAR(Table9[[#This Row],[Date]])+IF(MONTH(Table9[[#This Row],[Date]])&gt;=4,1,0)</f>
        <v>2026</v>
      </c>
      <c r="C7" s="79">
        <f>YEAR(Table9[[#This Row],[Date]])</f>
        <v>2025</v>
      </c>
      <c r="D7" s="79" t="s">
        <v>344</v>
      </c>
      <c r="E7" s="284">
        <f>Table9[[#This Row],[Date]]-DAY(Table9[[#This Row],[Date]])+1</f>
        <v>45748</v>
      </c>
      <c r="F7" s="285">
        <v>45762</v>
      </c>
      <c r="G7" t="s">
        <v>404</v>
      </c>
      <c r="H7" t="str">
        <f>IFERROR(_xlfn.XLOOKUP(Table9[[#This Row],[Affected Feeder ]],'Basic Data'!$A:$A,'Basic Data'!$B:$B),"")</f>
        <v>PWEPL</v>
      </c>
      <c r="I7" t="str">
        <f>IFERROR(_xlfn.XLOOKUP(Table9[[#This Row],[Affected Feeder ]],'Basic Data'!$A:$A,'Basic Data'!$C:$C),"")</f>
        <v>MSEDCL</v>
      </c>
      <c r="J7" s="303">
        <f>IFERROR(_xlfn.XLOOKUP(Table9[[#This Row],[Affected Feeder ]],'Basic Data'!$A:$A,'Basic Data'!$E:$E),"")</f>
        <v>0.27272727272727276</v>
      </c>
      <c r="K7" t="s">
        <v>407</v>
      </c>
      <c r="M7" s="299">
        <v>0.37152777777777773</v>
      </c>
      <c r="N7" s="300">
        <v>0.37152777777777773</v>
      </c>
      <c r="O7" s="300">
        <v>0.78125</v>
      </c>
      <c r="P7" s="18">
        <f>(Table9[[#This Row],[Work Start TimeStamp]]-Table9[[#This Row],[Fault Start TimeStamp]])*24</f>
        <v>0</v>
      </c>
      <c r="Q7" s="18">
        <f>IF(Table9[[#This Row],[Work Start TimeStamp]]="","",(Table9[[#This Row],[Fault Clearance time]]-Table9[[#This Row],[Work Start TimeStamp]])*24)</f>
        <v>9.8333333333333339</v>
      </c>
      <c r="R7" s="18">
        <f>(Table9[[#This Row],[Fault Clearance time]]-Table9[[#This Row],[Fault Start TimeStamp]])*24</f>
        <v>9.8333333333333339</v>
      </c>
      <c r="S7" s="301" t="s">
        <v>408</v>
      </c>
      <c r="T7" s="1" t="s">
        <v>339</v>
      </c>
      <c r="U7" s="302">
        <f>IFERROR(Table9[[#This Row],[Breakdown Time]]*Table9[[#This Row],[Plant Equivalent Weightage]],"")</f>
        <v>2.6818181818181825</v>
      </c>
      <c r="V7" s="302" t="s">
        <v>403</v>
      </c>
      <c r="W7" s="302" t="s">
        <v>402</v>
      </c>
      <c r="X7" s="302"/>
      <c r="Y7">
        <v>28440</v>
      </c>
      <c r="AA7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8" spans="1:29">
      <c r="A8" s="79">
        <f t="shared" si="0"/>
        <v>7</v>
      </c>
      <c r="B8" s="79">
        <f>YEAR(Table9[[#This Row],[Date]])+IF(MONTH(Table9[[#This Row],[Date]])&gt;=4,1,0)</f>
        <v>2026</v>
      </c>
      <c r="C8" s="79">
        <f>YEAR(Table9[[#This Row],[Date]])</f>
        <v>2025</v>
      </c>
      <c r="D8" s="79" t="s">
        <v>344</v>
      </c>
      <c r="E8" s="284">
        <f>Table9[[#This Row],[Date]]-DAY(Table9[[#This Row],[Date]])+1</f>
        <v>45748</v>
      </c>
      <c r="F8" s="285">
        <v>45769</v>
      </c>
      <c r="G8" t="s">
        <v>405</v>
      </c>
      <c r="H8" t="str">
        <f>IFERROR(_xlfn.XLOOKUP(Table9[[#This Row],[Affected Feeder ]],'Basic Data'!$A:$A,'Basic Data'!$B:$B),"")</f>
        <v>PWEPL</v>
      </c>
      <c r="I8" t="str">
        <f>IFERROR(_xlfn.XLOOKUP(Table9[[#This Row],[Affected Feeder ]],'Basic Data'!$A:$A,'Basic Data'!$C:$C),"")</f>
        <v>MSEDCL</v>
      </c>
      <c r="J8" s="303">
        <f>IFERROR(_xlfn.XLOOKUP(Table9[[#This Row],[Affected Feeder ]],'Basic Data'!$A:$A,'Basic Data'!$E:$E),"")</f>
        <v>0.20454545454545453</v>
      </c>
      <c r="K8" t="s">
        <v>407</v>
      </c>
      <c r="M8" s="299">
        <v>0.43124999999999997</v>
      </c>
      <c r="N8" s="300">
        <v>0.43124999999999997</v>
      </c>
      <c r="O8" s="300">
        <v>0.78819444444444453</v>
      </c>
      <c r="P8" s="18">
        <f>(Table9[[#This Row],[Work Start TimeStamp]]-Table9[[#This Row],[Fault Start TimeStamp]])*24</f>
        <v>0</v>
      </c>
      <c r="Q8" s="18">
        <f>IF(Table9[[#This Row],[Work Start TimeStamp]]="","",(Table9[[#This Row],[Fault Clearance time]]-Table9[[#This Row],[Work Start TimeStamp]])*24)</f>
        <v>8.56666666666667</v>
      </c>
      <c r="R8" s="18">
        <f>(Table9[[#This Row],[Fault Clearance time]]-Table9[[#This Row],[Fault Start TimeStamp]])*24</f>
        <v>8.56666666666667</v>
      </c>
      <c r="S8" s="301" t="s">
        <v>408</v>
      </c>
      <c r="T8" s="1" t="s">
        <v>339</v>
      </c>
      <c r="U8" s="302">
        <f>IFERROR(Table9[[#This Row],[Breakdown Time]]*Table9[[#This Row],[Plant Equivalent Weightage]],"")</f>
        <v>1.7522727272727279</v>
      </c>
      <c r="V8" s="302" t="s">
        <v>403</v>
      </c>
      <c r="W8" s="302" t="s">
        <v>402</v>
      </c>
      <c r="X8" s="302"/>
      <c r="Y8">
        <v>8850</v>
      </c>
      <c r="AA8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9" spans="1:29">
      <c r="A9" s="79">
        <f t="shared" si="0"/>
        <v>8</v>
      </c>
      <c r="B9" s="79">
        <f>YEAR(Table9[[#This Row],[Date]])+IF(MONTH(Table9[[#This Row],[Date]])&gt;=4,1,0)</f>
        <v>2026</v>
      </c>
      <c r="C9" s="79">
        <f>YEAR(Table9[[#This Row],[Date]])</f>
        <v>2025</v>
      </c>
      <c r="D9" s="79" t="s">
        <v>344</v>
      </c>
      <c r="E9" s="284">
        <f>Table9[[#This Row],[Date]]-DAY(Table9[[#This Row],[Date]])+1</f>
        <v>45748</v>
      </c>
      <c r="F9" s="285">
        <v>45769</v>
      </c>
      <c r="G9" t="s">
        <v>406</v>
      </c>
      <c r="H9" t="str">
        <f>IFERROR(_xlfn.XLOOKUP(Table9[[#This Row],[Affected Feeder ]],'Basic Data'!$A:$A,'Basic Data'!$B:$B),"")</f>
        <v>PWEPL</v>
      </c>
      <c r="I9" t="str">
        <f>IFERROR(_xlfn.XLOOKUP(Table9[[#This Row],[Affected Feeder ]],'Basic Data'!$A:$A,'Basic Data'!$C:$C),"")</f>
        <v>MSEDCL</v>
      </c>
      <c r="J9" s="303">
        <f>IFERROR(_xlfn.XLOOKUP(Table9[[#This Row],[Affected Feeder ]],'Basic Data'!$A:$A,'Basic Data'!$E:$E),"")</f>
        <v>0.29545454545454541</v>
      </c>
      <c r="K9" t="s">
        <v>407</v>
      </c>
      <c r="M9" s="299">
        <v>0.43194444444444446</v>
      </c>
      <c r="N9" s="300">
        <v>0.43194444444444446</v>
      </c>
      <c r="O9" s="300">
        <v>0.77777777777777779</v>
      </c>
      <c r="P9" s="18">
        <f>(Table9[[#This Row],[Work Start TimeStamp]]-Table9[[#This Row],[Fault Start TimeStamp]])*24</f>
        <v>0</v>
      </c>
      <c r="Q9" s="18">
        <f>IF(Table9[[#This Row],[Work Start TimeStamp]]="","",(Table9[[#This Row],[Fault Clearance time]]-Table9[[#This Row],[Work Start TimeStamp]])*24)</f>
        <v>8.3000000000000007</v>
      </c>
      <c r="R9" s="18">
        <f>(Table9[[#This Row],[Fault Clearance time]]-Table9[[#This Row],[Fault Start TimeStamp]])*24</f>
        <v>8.3000000000000007</v>
      </c>
      <c r="S9" s="301" t="s">
        <v>408</v>
      </c>
      <c r="T9" s="1" t="s">
        <v>339</v>
      </c>
      <c r="U9" s="302">
        <f>IFERROR(Table9[[#This Row],[Breakdown Time]]*Table9[[#This Row],[Plant Equivalent Weightage]],"")</f>
        <v>2.4522727272727272</v>
      </c>
      <c r="V9" s="302" t="s">
        <v>403</v>
      </c>
      <c r="W9" s="302" t="s">
        <v>402</v>
      </c>
      <c r="X9" s="302"/>
      <c r="Y9">
        <v>12270</v>
      </c>
      <c r="AA9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10" spans="1:29">
      <c r="A10" s="79">
        <f t="shared" si="0"/>
        <v>9</v>
      </c>
      <c r="B10" s="79">
        <f>YEAR(Table9[[#This Row],[Date]])+IF(MONTH(Table9[[#This Row],[Date]])&gt;=4,1,0)</f>
        <v>2026</v>
      </c>
      <c r="C10" s="79">
        <f>YEAR(Table9[[#This Row],[Date]])</f>
        <v>2025</v>
      </c>
      <c r="D10" s="79" t="s">
        <v>344</v>
      </c>
      <c r="E10" s="284">
        <f>Table9[[#This Row],[Date]]-DAY(Table9[[#This Row],[Date]])+1</f>
        <v>45778</v>
      </c>
      <c r="F10" s="285">
        <v>45790</v>
      </c>
      <c r="G10" t="s">
        <v>405</v>
      </c>
      <c r="H10" t="str">
        <f>IFERROR(_xlfn.XLOOKUP(Table9[[#This Row],[Affected Feeder ]],'Basic Data'!$A:$A,'Basic Data'!$B:$B),"")</f>
        <v>PWEPL</v>
      </c>
      <c r="I10" t="str">
        <f>IFERROR(_xlfn.XLOOKUP(Table9[[#This Row],[Affected Feeder ]],'Basic Data'!$A:$A,'Basic Data'!$C:$C),"")</f>
        <v>MSEDCL</v>
      </c>
      <c r="J10" s="303">
        <f>IFERROR(_xlfn.XLOOKUP(Table9[[#This Row],[Affected Feeder ]],'Basic Data'!$A:$A,'Basic Data'!$E:$E),"")</f>
        <v>0.20454545454545453</v>
      </c>
      <c r="K10" t="s">
        <v>805</v>
      </c>
      <c r="M10" s="299">
        <v>0.41666666666666669</v>
      </c>
      <c r="N10" s="300">
        <v>0.41666666666666669</v>
      </c>
      <c r="O10" s="300">
        <v>0.69444444444444453</v>
      </c>
      <c r="P10" s="18">
        <f>(Table9[[#This Row],[Work Start TimeStamp]]-Table9[[#This Row],[Fault Start TimeStamp]])*24</f>
        <v>0</v>
      </c>
      <c r="Q10" s="18">
        <f>IF(Table9[[#This Row],[Work Start TimeStamp]]="","",(Table9[[#This Row],[Fault Clearance time]]-Table9[[#This Row],[Work Start TimeStamp]])*24)</f>
        <v>6.6666666666666679</v>
      </c>
      <c r="R10" s="18">
        <f>(Table9[[#This Row],[Fault Clearance time]]-Table9[[#This Row],[Fault Start TimeStamp]])*24</f>
        <v>6.6666666666666679</v>
      </c>
      <c r="S10" s="301" t="s">
        <v>806</v>
      </c>
      <c r="T10" s="1" t="s">
        <v>339</v>
      </c>
      <c r="U10" s="302">
        <f>IFERROR(Table9[[#This Row],[Breakdown Time]]*Table9[[#This Row],[Plant Equivalent Weightage]],"")</f>
        <v>1.3636363636363638</v>
      </c>
      <c r="V10" s="302" t="s">
        <v>403</v>
      </c>
      <c r="W10" s="302" t="s">
        <v>402</v>
      </c>
      <c r="X10" s="302"/>
      <c r="Y10">
        <v>4737</v>
      </c>
      <c r="AA10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11" spans="1:29">
      <c r="A11" s="79">
        <f t="shared" si="0"/>
        <v>10</v>
      </c>
      <c r="B11" s="79">
        <f>YEAR(Table9[[#This Row],[Date]])+IF(MONTH(Table9[[#This Row],[Date]])&gt;=4,1,0)</f>
        <v>2026</v>
      </c>
      <c r="C11" s="79">
        <f>YEAR(Table9[[#This Row],[Date]])</f>
        <v>2025</v>
      </c>
      <c r="D11" s="79" t="s">
        <v>344</v>
      </c>
      <c r="E11" s="284">
        <f>Table9[[#This Row],[Date]]-DAY(Table9[[#This Row],[Date]])+1</f>
        <v>45778</v>
      </c>
      <c r="F11" s="285">
        <v>45790</v>
      </c>
      <c r="G11" t="s">
        <v>406</v>
      </c>
      <c r="H11" t="str">
        <f>IFERROR(_xlfn.XLOOKUP(Table9[[#This Row],[Affected Feeder ]],'Basic Data'!$A:$A,'Basic Data'!$B:$B),"")</f>
        <v>PWEPL</v>
      </c>
      <c r="I11" t="str">
        <f>IFERROR(_xlfn.XLOOKUP(Table9[[#This Row],[Affected Feeder ]],'Basic Data'!$A:$A,'Basic Data'!$C:$C),"")</f>
        <v>MSEDCL</v>
      </c>
      <c r="J11" s="303">
        <f>IFERROR(_xlfn.XLOOKUP(Table9[[#This Row],[Affected Feeder ]],'Basic Data'!$A:$A,'Basic Data'!$E:$E),"")</f>
        <v>0.29545454545454541</v>
      </c>
      <c r="K11" t="s">
        <v>805</v>
      </c>
      <c r="M11" s="299">
        <v>0.41666666666666669</v>
      </c>
      <c r="N11" s="300">
        <v>0.41666666666666669</v>
      </c>
      <c r="O11" s="300">
        <v>0.69444444444444453</v>
      </c>
      <c r="P11" s="18">
        <f>(Table9[[#This Row],[Work Start TimeStamp]]-Table9[[#This Row],[Fault Start TimeStamp]])*24</f>
        <v>0</v>
      </c>
      <c r="Q11" s="18">
        <f>IF(Table9[[#This Row],[Work Start TimeStamp]]="","",(Table9[[#This Row],[Fault Clearance time]]-Table9[[#This Row],[Work Start TimeStamp]])*24)</f>
        <v>6.6666666666666679</v>
      </c>
      <c r="R11" s="18">
        <f>(Table9[[#This Row],[Fault Clearance time]]-Table9[[#This Row],[Fault Start TimeStamp]])*24</f>
        <v>6.6666666666666679</v>
      </c>
      <c r="S11" s="301" t="s">
        <v>806</v>
      </c>
      <c r="T11" s="1" t="s">
        <v>339</v>
      </c>
      <c r="U11" s="302">
        <f>IFERROR(Table9[[#This Row],[Breakdown Time]]*Table9[[#This Row],[Plant Equivalent Weightage]],"")</f>
        <v>1.9696969696969697</v>
      </c>
      <c r="V11" s="302" t="s">
        <v>403</v>
      </c>
      <c r="W11" s="302" t="s">
        <v>402</v>
      </c>
      <c r="X11" s="302"/>
      <c r="Y11">
        <v>6724</v>
      </c>
      <c r="AA11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12" spans="1:29">
      <c r="A12" s="79">
        <f t="shared" si="0"/>
        <v>11</v>
      </c>
      <c r="B12" s="79">
        <f>YEAR(Table9[[#This Row],[Date]])+IF(MONTH(Table9[[#This Row],[Date]])&gt;=4,1,0)</f>
        <v>2026</v>
      </c>
      <c r="C12" s="79">
        <f>YEAR(Table9[[#This Row],[Date]])</f>
        <v>2025</v>
      </c>
      <c r="D12" s="79" t="s">
        <v>344</v>
      </c>
      <c r="E12" s="284">
        <f>Table9[[#This Row],[Date]]-DAY(Table9[[#This Row],[Date]])+1</f>
        <v>45809</v>
      </c>
      <c r="F12" s="285">
        <v>45818</v>
      </c>
      <c r="G12" t="s">
        <v>399</v>
      </c>
      <c r="H12" t="str">
        <f>IFERROR(_xlfn.XLOOKUP(Table9[[#This Row],[Affected Feeder ]],'Basic Data'!$A:$A,'Basic Data'!$B:$B),"")</f>
        <v>PWEPL</v>
      </c>
      <c r="I12" t="str">
        <f>IFERROR(_xlfn.XLOOKUP(Table9[[#This Row],[Affected Feeder ]],'Basic Data'!$A:$A,'Basic Data'!$C:$C),"")</f>
        <v>MSEDCL</v>
      </c>
      <c r="J12" s="303">
        <f>IFERROR(_xlfn.XLOOKUP(Table9[[#This Row],[Affected Feeder ]],'Basic Data'!$A:$A,'Basic Data'!$E:$E),"")</f>
        <v>0.22727272727272727</v>
      </c>
      <c r="K12" t="s">
        <v>892</v>
      </c>
      <c r="M12" s="299">
        <v>0.45694444444444443</v>
      </c>
      <c r="N12" s="300">
        <v>0.45694444444444443</v>
      </c>
      <c r="O12" s="300">
        <v>0.57013888888888886</v>
      </c>
      <c r="P12" s="18">
        <f>(Table9[[#This Row],[Work Start TimeStamp]]-Table9[[#This Row],[Fault Start TimeStamp]])*24</f>
        <v>0</v>
      </c>
      <c r="Q12" s="18">
        <f>IF(Table9[[#This Row],[Work Start TimeStamp]]="","",(Table9[[#This Row],[Fault Clearance time]]-Table9[[#This Row],[Work Start TimeStamp]])*24)</f>
        <v>2.7166666666666663</v>
      </c>
      <c r="R12" s="18">
        <f>(Table9[[#This Row],[Fault Clearance time]]-Table9[[#This Row],[Fault Start TimeStamp]])*24</f>
        <v>2.7166666666666663</v>
      </c>
      <c r="S12" s="301" t="s">
        <v>893</v>
      </c>
      <c r="T12" s="1" t="s">
        <v>339</v>
      </c>
      <c r="U12" s="302">
        <f>IFERROR(Table9[[#This Row],[Breakdown Time]]*Table9[[#This Row],[Plant Equivalent Weightage]],"")</f>
        <v>0.61742424242424232</v>
      </c>
      <c r="V12" s="302" t="s">
        <v>403</v>
      </c>
      <c r="W12" s="302" t="s">
        <v>402</v>
      </c>
      <c r="X12" s="302"/>
      <c r="Y12">
        <v>18741</v>
      </c>
      <c r="AA12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13" spans="1:29">
      <c r="A13" s="79">
        <f t="shared" si="0"/>
        <v>12</v>
      </c>
      <c r="B13" s="79">
        <f>YEAR(Table9[[#This Row],[Date]])+IF(MONTH(Table9[[#This Row],[Date]])&gt;=4,1,0)</f>
        <v>2026</v>
      </c>
      <c r="C13" s="79">
        <f>YEAR(Table9[[#This Row],[Date]])</f>
        <v>2025</v>
      </c>
      <c r="D13" s="79" t="s">
        <v>344</v>
      </c>
      <c r="E13" s="284">
        <f>Table9[[#This Row],[Date]]-DAY(Table9[[#This Row],[Date]])+1</f>
        <v>45809</v>
      </c>
      <c r="F13" s="285">
        <v>45818</v>
      </c>
      <c r="G13" t="s">
        <v>404</v>
      </c>
      <c r="H13" t="str">
        <f>IFERROR(_xlfn.XLOOKUP(Table9[[#This Row],[Affected Feeder ]],'Basic Data'!$A:$A,'Basic Data'!$B:$B),"")</f>
        <v>PWEPL</v>
      </c>
      <c r="I13" t="str">
        <f>IFERROR(_xlfn.XLOOKUP(Table9[[#This Row],[Affected Feeder ]],'Basic Data'!$A:$A,'Basic Data'!$C:$C),"")</f>
        <v>MSEDCL</v>
      </c>
      <c r="J13" s="303">
        <f>IFERROR(_xlfn.XLOOKUP(Table9[[#This Row],[Affected Feeder ]],'Basic Data'!$A:$A,'Basic Data'!$E:$E),"")</f>
        <v>0.27272727272727276</v>
      </c>
      <c r="K13" t="s">
        <v>892</v>
      </c>
      <c r="M13" s="299">
        <v>0.46875</v>
      </c>
      <c r="N13" s="300">
        <v>0.46875</v>
      </c>
      <c r="O13" s="300">
        <v>0.5708333333333333</v>
      </c>
      <c r="P13" s="18">
        <f>(Table9[[#This Row],[Work Start TimeStamp]]-Table9[[#This Row],[Fault Start TimeStamp]])*24</f>
        <v>0</v>
      </c>
      <c r="Q13" s="18">
        <f>IF(Table9[[#This Row],[Work Start TimeStamp]]="","",(Table9[[#This Row],[Fault Clearance time]]-Table9[[#This Row],[Work Start TimeStamp]])*24)</f>
        <v>2.4499999999999993</v>
      </c>
      <c r="R13" s="18">
        <f>(Table9[[#This Row],[Fault Clearance time]]-Table9[[#This Row],[Fault Start TimeStamp]])*24</f>
        <v>2.4499999999999993</v>
      </c>
      <c r="S13" s="301" t="s">
        <v>893</v>
      </c>
      <c r="T13" s="1" t="s">
        <v>339</v>
      </c>
      <c r="U13" s="302">
        <f>IFERROR(Table9[[#This Row],[Breakdown Time]]*Table9[[#This Row],[Plant Equivalent Weightage]],"")</f>
        <v>0.6681818181818181</v>
      </c>
      <c r="V13" s="302" t="s">
        <v>403</v>
      </c>
      <c r="W13" s="302" t="s">
        <v>402</v>
      </c>
      <c r="X13" s="302"/>
      <c r="Y13">
        <v>20430</v>
      </c>
      <c r="AA13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14" spans="1:29">
      <c r="A14" s="79">
        <f t="shared" si="0"/>
        <v>13</v>
      </c>
      <c r="B14" s="79">
        <f>YEAR(Table9[[#This Row],[Date]])+IF(MONTH(Table9[[#This Row],[Date]])&gt;=4,1,0)</f>
        <v>2026</v>
      </c>
      <c r="C14" s="79">
        <f>YEAR(Table9[[#This Row],[Date]])</f>
        <v>2025</v>
      </c>
      <c r="D14" s="79" t="s">
        <v>344</v>
      </c>
      <c r="E14" s="284">
        <f>Table9[[#This Row],[Date]]-DAY(Table9[[#This Row],[Date]])+1</f>
        <v>45809</v>
      </c>
      <c r="F14" s="285">
        <v>45818</v>
      </c>
      <c r="G14" t="s">
        <v>405</v>
      </c>
      <c r="H14" t="str">
        <f>IFERROR(_xlfn.XLOOKUP(Table9[[#This Row],[Affected Feeder ]],'Basic Data'!$A:$A,'Basic Data'!$B:$B),"")</f>
        <v>PWEPL</v>
      </c>
      <c r="I14" t="str">
        <f>IFERROR(_xlfn.XLOOKUP(Table9[[#This Row],[Affected Feeder ]],'Basic Data'!$A:$A,'Basic Data'!$C:$C),"")</f>
        <v>MSEDCL</v>
      </c>
      <c r="J14" s="303">
        <f>IFERROR(_xlfn.XLOOKUP(Table9[[#This Row],[Affected Feeder ]],'Basic Data'!$A:$A,'Basic Data'!$E:$E),"")</f>
        <v>0.20454545454545453</v>
      </c>
      <c r="K14" t="s">
        <v>892</v>
      </c>
      <c r="M14" s="299">
        <v>0.55902777777777779</v>
      </c>
      <c r="N14" s="300">
        <v>0.55902777777777779</v>
      </c>
      <c r="O14" s="300">
        <v>0.59583333333333333</v>
      </c>
      <c r="P14" s="18">
        <f>(Table9[[#This Row],[Work Start TimeStamp]]-Table9[[#This Row],[Fault Start TimeStamp]])*24</f>
        <v>0</v>
      </c>
      <c r="Q14" s="18">
        <f>IF(Table9[[#This Row],[Work Start TimeStamp]]="","",(Table9[[#This Row],[Fault Clearance time]]-Table9[[#This Row],[Work Start TimeStamp]])*24)</f>
        <v>0.88333333333333286</v>
      </c>
      <c r="R14" s="18">
        <f>(Table9[[#This Row],[Fault Clearance time]]-Table9[[#This Row],[Fault Start TimeStamp]])*24</f>
        <v>0.88333333333333286</v>
      </c>
      <c r="S14" s="301" t="s">
        <v>893</v>
      </c>
      <c r="T14" s="1" t="s">
        <v>339</v>
      </c>
      <c r="U14" s="302">
        <f>IFERROR(Table9[[#This Row],[Breakdown Time]]*Table9[[#This Row],[Plant Equivalent Weightage]],"")</f>
        <v>0.18068181818181808</v>
      </c>
      <c r="V14" s="302" t="s">
        <v>403</v>
      </c>
      <c r="W14" s="302" t="s">
        <v>402</v>
      </c>
      <c r="X14" s="302"/>
      <c r="Y14">
        <v>5386</v>
      </c>
      <c r="AA14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</sheetData>
  <dataValidations count="1">
    <dataValidation type="decimal" allowBlank="1" showInputMessage="1" showErrorMessage="1" sqref="Z2:Z14" xr:uid="{00000000-0002-0000-0900-000000000000}">
      <formula1>0</formula1>
      <formula2>50.6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'Basic Data'!$A$47:$A$50</xm:f>
          </x14:formula1>
          <xm:sqref>G2:G1048576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Q178"/>
  <sheetViews>
    <sheetView zoomScale="90" zoomScaleNormal="90" workbookViewId="0">
      <pane xSplit="3" ySplit="2" topLeftCell="D160" activePane="bottomRight" state="frozen"/>
      <selection pane="topRight" activeCell="D1" sqref="D1"/>
      <selection pane="bottomLeft" activeCell="A3" sqref="A3"/>
      <selection pane="bottomRight" activeCell="O187" sqref="O187"/>
    </sheetView>
  </sheetViews>
  <sheetFormatPr defaultColWidth="9.44140625" defaultRowHeight="13.8"/>
  <cols>
    <col min="1" max="1" width="6.5546875" style="88" customWidth="1"/>
    <col min="2" max="2" width="14.5546875" style="88" customWidth="1"/>
    <col min="3" max="3" width="18.44140625" style="88" hidden="1" customWidth="1"/>
    <col min="4" max="4" width="7.44140625" style="88" customWidth="1"/>
    <col min="5" max="5" width="7.5546875" style="88" customWidth="1"/>
    <col min="6" max="6" width="9.44140625" style="88" customWidth="1"/>
    <col min="7" max="7" width="16.44140625" style="88" hidden="1" customWidth="1"/>
    <col min="8" max="8" width="11" style="88" customWidth="1"/>
    <col min="9" max="9" width="13.44140625" style="88" customWidth="1"/>
    <col min="10" max="10" width="14.44140625" style="88" customWidth="1"/>
    <col min="11" max="12" width="14.5546875" style="88" customWidth="1"/>
    <col min="13" max="14" width="8.44140625" style="88" customWidth="1"/>
    <col min="15" max="15" width="48.5546875" style="88" bestFit="1" customWidth="1"/>
    <col min="16" max="16384" width="9.44140625" style="88"/>
  </cols>
  <sheetData>
    <row r="2" spans="1:15" s="89" customFormat="1" ht="55.2">
      <c r="A2" s="89" t="s">
        <v>8</v>
      </c>
      <c r="B2" s="89" t="s">
        <v>458</v>
      </c>
      <c r="C2" s="89" t="s">
        <v>459</v>
      </c>
      <c r="D2" s="89" t="s">
        <v>460</v>
      </c>
      <c r="E2" s="89" t="s">
        <v>461</v>
      </c>
      <c r="F2" s="89" t="s">
        <v>462</v>
      </c>
      <c r="G2" s="89" t="s">
        <v>463</v>
      </c>
      <c r="H2" s="89" t="s">
        <v>464</v>
      </c>
      <c r="I2" s="90" t="s">
        <v>465</v>
      </c>
      <c r="J2" s="90" t="s">
        <v>466</v>
      </c>
      <c r="K2" s="90" t="s">
        <v>467</v>
      </c>
      <c r="L2" s="90" t="s">
        <v>468</v>
      </c>
      <c r="M2" s="90" t="s">
        <v>469</v>
      </c>
      <c r="N2" s="90" t="s">
        <v>470</v>
      </c>
      <c r="O2" s="89" t="s">
        <v>471</v>
      </c>
    </row>
    <row r="3" spans="1:15" s="89" customFormat="1">
      <c r="A3" s="89">
        <v>1</v>
      </c>
      <c r="B3" s="89" t="s">
        <v>848</v>
      </c>
      <c r="D3" s="89">
        <v>2024</v>
      </c>
      <c r="E3" s="89">
        <v>2023</v>
      </c>
      <c r="F3" s="89">
        <v>11</v>
      </c>
      <c r="H3" s="89" t="s">
        <v>859</v>
      </c>
      <c r="I3" s="242">
        <v>45201</v>
      </c>
      <c r="J3" s="90"/>
      <c r="K3" s="242">
        <v>45204</v>
      </c>
      <c r="L3" s="90"/>
      <c r="M3" s="89">
        <v>3</v>
      </c>
      <c r="N3" s="90"/>
      <c r="O3" s="89" t="s">
        <v>862</v>
      </c>
    </row>
    <row r="4" spans="1:15" s="89" customFormat="1">
      <c r="A4" s="89">
        <v>2</v>
      </c>
      <c r="B4" s="89" t="s">
        <v>843</v>
      </c>
      <c r="D4" s="89">
        <v>2024</v>
      </c>
      <c r="E4" s="89">
        <v>2023</v>
      </c>
      <c r="F4" s="89">
        <v>11</v>
      </c>
      <c r="H4" s="89" t="s">
        <v>859</v>
      </c>
      <c r="I4" s="242">
        <v>45202</v>
      </c>
      <c r="J4" s="90"/>
      <c r="K4" s="242">
        <v>45205</v>
      </c>
      <c r="L4" s="90"/>
      <c r="M4" s="89">
        <v>3</v>
      </c>
      <c r="N4" s="90"/>
      <c r="O4" s="89" t="s">
        <v>862</v>
      </c>
    </row>
    <row r="5" spans="1:15" s="89" customFormat="1">
      <c r="A5" s="89">
        <v>3</v>
      </c>
      <c r="B5" s="89" t="s">
        <v>846</v>
      </c>
      <c r="D5" s="89">
        <v>2024</v>
      </c>
      <c r="E5" s="89">
        <v>2023</v>
      </c>
      <c r="F5" s="89">
        <v>11</v>
      </c>
      <c r="H5" s="89" t="s">
        <v>859</v>
      </c>
      <c r="I5" s="242">
        <v>45203</v>
      </c>
      <c r="J5" s="90"/>
      <c r="K5" s="242">
        <v>45206</v>
      </c>
      <c r="L5" s="90"/>
      <c r="M5" s="89">
        <v>3</v>
      </c>
      <c r="N5" s="90"/>
      <c r="O5" s="89" t="s">
        <v>862</v>
      </c>
    </row>
    <row r="6" spans="1:15" s="89" customFormat="1">
      <c r="A6" s="89">
        <v>4</v>
      </c>
      <c r="B6" s="89" t="s">
        <v>835</v>
      </c>
      <c r="D6" s="89">
        <v>2024</v>
      </c>
      <c r="E6" s="89">
        <v>2023</v>
      </c>
      <c r="F6" s="89">
        <v>11</v>
      </c>
      <c r="H6" s="89" t="s">
        <v>859</v>
      </c>
      <c r="I6" s="242">
        <v>45204</v>
      </c>
      <c r="J6" s="90"/>
      <c r="K6" s="238">
        <v>45210</v>
      </c>
      <c r="L6" s="90"/>
      <c r="M6" s="89">
        <v>6</v>
      </c>
      <c r="N6" s="90"/>
      <c r="O6" s="89" t="s">
        <v>862</v>
      </c>
    </row>
    <row r="7" spans="1:15" s="89" customFormat="1">
      <c r="A7" s="89">
        <v>5</v>
      </c>
      <c r="B7" s="89" t="s">
        <v>836</v>
      </c>
      <c r="D7" s="89">
        <v>2024</v>
      </c>
      <c r="E7" s="89">
        <v>2023</v>
      </c>
      <c r="F7" s="89">
        <v>11</v>
      </c>
      <c r="H7" s="89" t="s">
        <v>859</v>
      </c>
      <c r="I7" s="242">
        <v>45205</v>
      </c>
      <c r="J7" s="90"/>
      <c r="K7" s="238">
        <v>45211</v>
      </c>
      <c r="L7" s="90"/>
      <c r="M7" s="89">
        <v>6</v>
      </c>
      <c r="N7" s="90"/>
      <c r="O7" s="89" t="s">
        <v>862</v>
      </c>
    </row>
    <row r="8" spans="1:15" s="89" customFormat="1">
      <c r="A8" s="89">
        <v>6</v>
      </c>
      <c r="B8" s="89" t="s">
        <v>837</v>
      </c>
      <c r="D8" s="89">
        <v>2024</v>
      </c>
      <c r="E8" s="89">
        <v>2023</v>
      </c>
      <c r="F8" s="89">
        <v>11</v>
      </c>
      <c r="H8" s="89" t="s">
        <v>859</v>
      </c>
      <c r="I8" s="242">
        <v>45206</v>
      </c>
      <c r="J8" s="90"/>
      <c r="K8" s="238">
        <v>45212</v>
      </c>
      <c r="L8" s="90"/>
      <c r="M8" s="89">
        <v>6</v>
      </c>
      <c r="N8" s="90"/>
      <c r="O8" s="89" t="s">
        <v>862</v>
      </c>
    </row>
    <row r="9" spans="1:15" s="89" customFormat="1">
      <c r="A9" s="89">
        <v>7</v>
      </c>
      <c r="B9" s="89" t="s">
        <v>838</v>
      </c>
      <c r="D9" s="89">
        <v>2024</v>
      </c>
      <c r="E9" s="89">
        <v>2023</v>
      </c>
      <c r="F9" s="89">
        <v>11</v>
      </c>
      <c r="H9" s="89" t="s">
        <v>859</v>
      </c>
      <c r="I9" s="242">
        <v>45208</v>
      </c>
      <c r="J9" s="90"/>
      <c r="K9" s="238">
        <v>45213</v>
      </c>
      <c r="L9" s="90"/>
      <c r="M9" s="89">
        <v>5</v>
      </c>
      <c r="N9" s="90"/>
      <c r="O9" s="89" t="s">
        <v>862</v>
      </c>
    </row>
    <row r="10" spans="1:15" s="89" customFormat="1">
      <c r="A10" s="89">
        <v>8</v>
      </c>
      <c r="B10" s="89" t="s">
        <v>839</v>
      </c>
      <c r="D10" s="89">
        <v>2024</v>
      </c>
      <c r="E10" s="89">
        <v>2023</v>
      </c>
      <c r="F10" s="89">
        <v>11</v>
      </c>
      <c r="H10" s="89" t="s">
        <v>859</v>
      </c>
      <c r="I10" s="242">
        <v>45209</v>
      </c>
      <c r="J10" s="90"/>
      <c r="K10" s="238">
        <v>45215</v>
      </c>
      <c r="L10" s="90"/>
      <c r="M10" s="89">
        <v>6</v>
      </c>
      <c r="N10" s="90"/>
      <c r="O10" s="89" t="s">
        <v>862</v>
      </c>
    </row>
    <row r="11" spans="1:15" s="89" customFormat="1">
      <c r="A11" s="89">
        <v>9</v>
      </c>
      <c r="B11" s="89" t="s">
        <v>840</v>
      </c>
      <c r="D11" s="89">
        <v>2024</v>
      </c>
      <c r="E11" s="89">
        <v>2023</v>
      </c>
      <c r="F11" s="89">
        <v>11</v>
      </c>
      <c r="H11" s="89" t="s">
        <v>859</v>
      </c>
      <c r="I11" s="242">
        <v>45210</v>
      </c>
      <c r="J11" s="90"/>
      <c r="K11" s="238">
        <v>45216</v>
      </c>
      <c r="L11" s="90"/>
      <c r="M11" s="89">
        <v>6</v>
      </c>
      <c r="N11" s="90"/>
      <c r="O11" s="89" t="s">
        <v>862</v>
      </c>
    </row>
    <row r="12" spans="1:15" s="89" customFormat="1">
      <c r="A12" s="89">
        <v>10</v>
      </c>
      <c r="B12" s="89" t="s">
        <v>841</v>
      </c>
      <c r="D12" s="89">
        <v>2024</v>
      </c>
      <c r="E12" s="89">
        <v>2023</v>
      </c>
      <c r="F12" s="89">
        <v>11</v>
      </c>
      <c r="H12" s="89" t="s">
        <v>859</v>
      </c>
      <c r="I12" s="242">
        <v>45211</v>
      </c>
      <c r="J12" s="90"/>
      <c r="K12" s="238">
        <v>45217</v>
      </c>
      <c r="L12" s="90"/>
      <c r="M12" s="89">
        <v>6</v>
      </c>
      <c r="N12" s="90"/>
      <c r="O12" s="89" t="s">
        <v>862</v>
      </c>
    </row>
    <row r="13" spans="1:15" s="89" customFormat="1">
      <c r="A13" s="89">
        <v>11</v>
      </c>
      <c r="B13" s="89" t="s">
        <v>842</v>
      </c>
      <c r="D13" s="89">
        <v>2024</v>
      </c>
      <c r="E13" s="89">
        <v>2023</v>
      </c>
      <c r="F13" s="89">
        <v>11</v>
      </c>
      <c r="H13" s="89" t="s">
        <v>859</v>
      </c>
      <c r="I13" s="242">
        <v>45212</v>
      </c>
      <c r="J13" s="90"/>
      <c r="K13" s="238">
        <v>45218</v>
      </c>
      <c r="L13" s="90"/>
      <c r="M13" s="89">
        <v>6</v>
      </c>
      <c r="N13" s="90"/>
      <c r="O13" s="89" t="s">
        <v>862</v>
      </c>
    </row>
    <row r="14" spans="1:15" s="89" customFormat="1">
      <c r="A14" s="89">
        <v>12</v>
      </c>
      <c r="B14" s="89" t="s">
        <v>844</v>
      </c>
      <c r="D14" s="89">
        <v>2024</v>
      </c>
      <c r="E14" s="89">
        <v>2023</v>
      </c>
      <c r="F14" s="89">
        <v>11</v>
      </c>
      <c r="H14" s="89" t="s">
        <v>859</v>
      </c>
      <c r="I14" s="242">
        <v>45213</v>
      </c>
      <c r="J14" s="90"/>
      <c r="K14" s="238">
        <v>45219</v>
      </c>
      <c r="L14" s="90"/>
      <c r="M14" s="89">
        <v>6</v>
      </c>
      <c r="N14" s="90"/>
      <c r="O14" s="89" t="s">
        <v>862</v>
      </c>
    </row>
    <row r="15" spans="1:15" s="89" customFormat="1">
      <c r="A15" s="89">
        <v>13</v>
      </c>
      <c r="B15" s="89" t="s">
        <v>845</v>
      </c>
      <c r="D15" s="89">
        <v>2024</v>
      </c>
      <c r="E15" s="89">
        <v>2023</v>
      </c>
      <c r="F15" s="89">
        <v>11</v>
      </c>
      <c r="H15" s="89" t="s">
        <v>859</v>
      </c>
      <c r="I15" s="242">
        <v>45215</v>
      </c>
      <c r="J15" s="90"/>
      <c r="K15" s="238">
        <v>45220</v>
      </c>
      <c r="L15" s="90"/>
      <c r="M15" s="89">
        <v>5</v>
      </c>
      <c r="N15" s="90"/>
      <c r="O15" s="89" t="s">
        <v>862</v>
      </c>
    </row>
    <row r="16" spans="1:15" s="89" customFormat="1">
      <c r="A16" s="89">
        <v>14</v>
      </c>
      <c r="B16" s="89" t="s">
        <v>847</v>
      </c>
      <c r="D16" s="89">
        <v>2024</v>
      </c>
      <c r="E16" s="89">
        <v>2023</v>
      </c>
      <c r="F16" s="89">
        <v>11</v>
      </c>
      <c r="H16" s="89" t="s">
        <v>859</v>
      </c>
      <c r="I16" s="242">
        <v>45216</v>
      </c>
      <c r="J16" s="90"/>
      <c r="K16" s="238">
        <v>45224</v>
      </c>
      <c r="L16" s="90"/>
      <c r="M16" s="89">
        <v>8</v>
      </c>
      <c r="N16" s="90"/>
      <c r="O16" s="89" t="s">
        <v>862</v>
      </c>
    </row>
    <row r="17" spans="1:15" s="89" customFormat="1">
      <c r="A17" s="89">
        <v>15</v>
      </c>
      <c r="B17" s="89" t="s">
        <v>849</v>
      </c>
      <c r="D17" s="89">
        <v>2024</v>
      </c>
      <c r="E17" s="89">
        <v>2023</v>
      </c>
      <c r="F17" s="89">
        <v>11</v>
      </c>
      <c r="H17" s="89" t="s">
        <v>859</v>
      </c>
      <c r="I17" s="242">
        <v>45217</v>
      </c>
      <c r="J17" s="90"/>
      <c r="K17" s="238">
        <v>45225</v>
      </c>
      <c r="L17" s="90"/>
      <c r="M17" s="89">
        <v>8</v>
      </c>
      <c r="N17" s="90"/>
      <c r="O17" s="89" t="s">
        <v>862</v>
      </c>
    </row>
    <row r="18" spans="1:15" s="89" customFormat="1">
      <c r="A18" s="89">
        <v>16</v>
      </c>
      <c r="B18" s="89" t="s">
        <v>850</v>
      </c>
      <c r="D18" s="89">
        <v>2024</v>
      </c>
      <c r="E18" s="89">
        <v>2023</v>
      </c>
      <c r="F18" s="89">
        <v>11</v>
      </c>
      <c r="H18" s="89" t="s">
        <v>859</v>
      </c>
      <c r="I18" s="242">
        <v>45218</v>
      </c>
      <c r="J18" s="90"/>
      <c r="K18" s="238">
        <v>45226</v>
      </c>
      <c r="L18" s="90"/>
      <c r="M18" s="89">
        <v>8</v>
      </c>
      <c r="N18" s="90"/>
      <c r="O18" s="89" t="s">
        <v>862</v>
      </c>
    </row>
    <row r="19" spans="1:15" s="89" customFormat="1">
      <c r="A19" s="89">
        <v>17</v>
      </c>
      <c r="B19" s="89" t="s">
        <v>851</v>
      </c>
      <c r="D19" s="89">
        <v>2024</v>
      </c>
      <c r="E19" s="89">
        <v>2023</v>
      </c>
      <c r="F19" s="89">
        <v>11</v>
      </c>
      <c r="H19" s="89" t="s">
        <v>859</v>
      </c>
      <c r="I19" s="242">
        <v>45219</v>
      </c>
      <c r="J19" s="90"/>
      <c r="K19" s="238">
        <v>45227</v>
      </c>
      <c r="L19" s="90"/>
      <c r="M19" s="89">
        <v>8</v>
      </c>
      <c r="N19" s="90"/>
      <c r="O19" s="89" t="s">
        <v>862</v>
      </c>
    </row>
    <row r="20" spans="1:15" s="89" customFormat="1">
      <c r="A20" s="89">
        <v>18</v>
      </c>
      <c r="B20" s="89" t="s">
        <v>852</v>
      </c>
      <c r="D20" s="89">
        <v>2024</v>
      </c>
      <c r="E20" s="89">
        <v>2023</v>
      </c>
      <c r="F20" s="89">
        <v>11</v>
      </c>
      <c r="H20" s="89" t="s">
        <v>859</v>
      </c>
      <c r="I20" s="242">
        <v>45220</v>
      </c>
      <c r="J20" s="90"/>
      <c r="K20" s="238">
        <v>45229</v>
      </c>
      <c r="L20" s="90"/>
      <c r="M20" s="89">
        <v>9</v>
      </c>
      <c r="N20" s="90"/>
      <c r="O20" s="89" t="s">
        <v>862</v>
      </c>
    </row>
    <row r="21" spans="1:15" s="89" customFormat="1">
      <c r="A21" s="89">
        <v>19</v>
      </c>
      <c r="B21" s="89" t="s">
        <v>853</v>
      </c>
      <c r="D21" s="89">
        <v>2024</v>
      </c>
      <c r="E21" s="89">
        <v>2023</v>
      </c>
      <c r="F21" s="89">
        <v>11</v>
      </c>
      <c r="H21" s="89" t="s">
        <v>859</v>
      </c>
      <c r="I21" s="242">
        <v>45222</v>
      </c>
      <c r="J21" s="90"/>
      <c r="K21" s="238">
        <v>45230</v>
      </c>
      <c r="L21" s="90"/>
      <c r="M21" s="89">
        <v>8</v>
      </c>
      <c r="N21" s="90"/>
      <c r="O21" s="89" t="s">
        <v>862</v>
      </c>
    </row>
    <row r="22" spans="1:15" s="89" customFormat="1">
      <c r="A22" s="89">
        <v>20</v>
      </c>
      <c r="B22" s="89" t="s">
        <v>854</v>
      </c>
      <c r="D22" s="89">
        <v>2024</v>
      </c>
      <c r="E22" s="89">
        <v>2023</v>
      </c>
      <c r="F22" s="89">
        <v>11</v>
      </c>
      <c r="H22" s="89" t="s">
        <v>859</v>
      </c>
      <c r="I22" s="242">
        <v>45223</v>
      </c>
      <c r="J22" s="90"/>
      <c r="K22" s="238">
        <v>45231</v>
      </c>
      <c r="L22" s="90"/>
      <c r="M22" s="89">
        <v>8</v>
      </c>
      <c r="N22" s="90"/>
      <c r="O22" s="89" t="s">
        <v>862</v>
      </c>
    </row>
    <row r="23" spans="1:15" s="89" customFormat="1">
      <c r="A23" s="89">
        <v>21</v>
      </c>
      <c r="B23" s="89" t="s">
        <v>855</v>
      </c>
      <c r="D23" s="89">
        <v>2024</v>
      </c>
      <c r="E23" s="89">
        <v>2023</v>
      </c>
      <c r="F23" s="89">
        <v>11</v>
      </c>
      <c r="H23" s="89" t="s">
        <v>859</v>
      </c>
      <c r="I23" s="242">
        <v>45224</v>
      </c>
      <c r="J23" s="90"/>
      <c r="K23" s="238">
        <v>45232</v>
      </c>
      <c r="L23" s="90"/>
      <c r="M23" s="89">
        <v>8</v>
      </c>
      <c r="N23" s="90"/>
      <c r="O23" s="89" t="s">
        <v>862</v>
      </c>
    </row>
    <row r="24" spans="1:15" s="89" customFormat="1">
      <c r="A24" s="89">
        <v>22</v>
      </c>
      <c r="B24" s="89" t="s">
        <v>856</v>
      </c>
      <c r="D24" s="89">
        <v>2024</v>
      </c>
      <c r="E24" s="89">
        <v>2023</v>
      </c>
      <c r="F24" s="89">
        <v>11</v>
      </c>
      <c r="H24" s="89" t="s">
        <v>859</v>
      </c>
      <c r="I24" s="242">
        <v>45225</v>
      </c>
      <c r="J24" s="90"/>
      <c r="K24" s="238">
        <v>45233</v>
      </c>
      <c r="L24" s="90"/>
      <c r="M24" s="89">
        <v>8</v>
      </c>
      <c r="N24" s="90"/>
      <c r="O24" s="89" t="s">
        <v>862</v>
      </c>
    </row>
    <row r="25" spans="1:15" s="89" customFormat="1">
      <c r="A25" s="89">
        <v>23</v>
      </c>
      <c r="B25" s="89" t="s">
        <v>857</v>
      </c>
      <c r="D25" s="89">
        <v>2024</v>
      </c>
      <c r="E25" s="89">
        <v>2023</v>
      </c>
      <c r="F25" s="89">
        <v>11</v>
      </c>
      <c r="H25" s="89" t="s">
        <v>859</v>
      </c>
      <c r="I25" s="242">
        <v>45226</v>
      </c>
      <c r="J25" s="90"/>
      <c r="K25" s="238">
        <v>45234</v>
      </c>
      <c r="L25" s="90"/>
      <c r="M25" s="89">
        <v>8</v>
      </c>
      <c r="N25" s="90"/>
      <c r="O25" s="89" t="s">
        <v>862</v>
      </c>
    </row>
    <row r="26" spans="1:15" s="89" customFormat="1">
      <c r="A26" s="89">
        <v>24</v>
      </c>
      <c r="B26" s="89" t="s">
        <v>858</v>
      </c>
      <c r="D26" s="89">
        <v>2024</v>
      </c>
      <c r="E26" s="89">
        <v>2023</v>
      </c>
      <c r="F26" s="89">
        <v>11</v>
      </c>
      <c r="H26" s="89" t="s">
        <v>859</v>
      </c>
      <c r="I26" s="242">
        <v>45227</v>
      </c>
      <c r="J26" s="90"/>
      <c r="K26" s="238">
        <v>45236</v>
      </c>
      <c r="L26" s="90"/>
      <c r="M26" s="89">
        <v>9</v>
      </c>
      <c r="N26" s="90"/>
      <c r="O26" s="89" t="s">
        <v>862</v>
      </c>
    </row>
    <row r="27" spans="1:15" s="89" customFormat="1">
      <c r="A27" s="89">
        <v>25</v>
      </c>
      <c r="B27" s="89" t="s">
        <v>472</v>
      </c>
      <c r="D27" s="89">
        <v>2024</v>
      </c>
      <c r="E27" s="89">
        <v>2023</v>
      </c>
      <c r="F27" s="89">
        <v>11</v>
      </c>
      <c r="H27" s="89" t="s">
        <v>859</v>
      </c>
      <c r="I27" s="242">
        <v>45229</v>
      </c>
      <c r="J27" s="90"/>
      <c r="K27" s="238">
        <v>45237</v>
      </c>
      <c r="L27" s="90"/>
      <c r="M27" s="89">
        <v>8</v>
      </c>
      <c r="N27" s="90"/>
      <c r="O27" s="89" t="s">
        <v>862</v>
      </c>
    </row>
    <row r="28" spans="1:15" s="89" customFormat="1">
      <c r="A28" s="89">
        <v>26</v>
      </c>
      <c r="B28" s="89" t="s">
        <v>475</v>
      </c>
      <c r="D28" s="89">
        <v>2024</v>
      </c>
      <c r="E28" s="89">
        <v>2023</v>
      </c>
      <c r="F28" s="89">
        <v>11</v>
      </c>
      <c r="H28" s="89" t="s">
        <v>859</v>
      </c>
      <c r="I28" s="242">
        <v>45230</v>
      </c>
      <c r="J28" s="90"/>
      <c r="K28" s="238">
        <v>45238</v>
      </c>
      <c r="L28" s="90"/>
      <c r="M28" s="89">
        <v>8</v>
      </c>
      <c r="N28" s="90"/>
      <c r="O28" s="89" t="s">
        <v>862</v>
      </c>
    </row>
    <row r="29" spans="1:15" s="89" customFormat="1">
      <c r="A29" s="89">
        <v>27</v>
      </c>
      <c r="B29" s="89" t="s">
        <v>476</v>
      </c>
      <c r="D29" s="89">
        <v>2024</v>
      </c>
      <c r="E29" s="89">
        <v>2023</v>
      </c>
      <c r="F29" s="89">
        <v>11</v>
      </c>
      <c r="H29" s="89" t="s">
        <v>859</v>
      </c>
      <c r="I29" s="242">
        <v>45231</v>
      </c>
      <c r="J29" s="90"/>
      <c r="K29" s="238">
        <v>45239</v>
      </c>
      <c r="L29" s="90"/>
      <c r="M29" s="89">
        <v>8</v>
      </c>
      <c r="N29" s="90"/>
      <c r="O29" s="89" t="s">
        <v>862</v>
      </c>
    </row>
    <row r="30" spans="1:15" s="89" customFormat="1">
      <c r="A30" s="89">
        <v>28</v>
      </c>
      <c r="B30" s="89" t="s">
        <v>477</v>
      </c>
      <c r="D30" s="89">
        <v>2024</v>
      </c>
      <c r="E30" s="89">
        <v>2023</v>
      </c>
      <c r="F30" s="89">
        <v>11</v>
      </c>
      <c r="H30" s="89" t="s">
        <v>859</v>
      </c>
      <c r="I30" s="242">
        <v>45232</v>
      </c>
      <c r="J30" s="90"/>
      <c r="K30" s="238">
        <v>45240</v>
      </c>
      <c r="L30" s="90"/>
      <c r="M30" s="89">
        <v>8</v>
      </c>
      <c r="N30" s="90"/>
      <c r="O30" s="89" t="s">
        <v>862</v>
      </c>
    </row>
    <row r="31" spans="1:15" s="89" customFormat="1">
      <c r="A31" s="89">
        <v>29</v>
      </c>
      <c r="B31" s="89" t="s">
        <v>478</v>
      </c>
      <c r="D31" s="89">
        <v>2024</v>
      </c>
      <c r="E31" s="89">
        <v>2023</v>
      </c>
      <c r="F31" s="89">
        <v>11</v>
      </c>
      <c r="H31" s="89" t="s">
        <v>859</v>
      </c>
      <c r="I31" s="242">
        <v>45233</v>
      </c>
      <c r="J31" s="90"/>
      <c r="K31" s="238">
        <v>45241</v>
      </c>
      <c r="L31" s="90"/>
      <c r="M31" s="89">
        <v>8</v>
      </c>
      <c r="N31" s="90"/>
      <c r="O31" s="89" t="s">
        <v>862</v>
      </c>
    </row>
    <row r="32" spans="1:15" s="89" customFormat="1">
      <c r="A32" s="89">
        <v>30</v>
      </c>
      <c r="B32" s="89" t="s">
        <v>479</v>
      </c>
      <c r="D32" s="89">
        <v>2024</v>
      </c>
      <c r="E32" s="89">
        <v>2023</v>
      </c>
      <c r="F32" s="89">
        <v>11</v>
      </c>
      <c r="H32" s="89" t="s">
        <v>859</v>
      </c>
      <c r="I32" s="242">
        <v>45234</v>
      </c>
      <c r="J32" s="90"/>
      <c r="K32" s="238">
        <v>45246</v>
      </c>
      <c r="L32" s="90"/>
      <c r="M32" s="89">
        <v>12</v>
      </c>
      <c r="N32" s="90"/>
      <c r="O32" s="89" t="s">
        <v>862</v>
      </c>
    </row>
    <row r="33" spans="1:15" s="89" customFormat="1">
      <c r="A33" s="89">
        <v>31</v>
      </c>
      <c r="B33" s="89" t="s">
        <v>480</v>
      </c>
      <c r="D33" s="89">
        <v>2024</v>
      </c>
      <c r="E33" s="89">
        <v>2023</v>
      </c>
      <c r="F33" s="89">
        <v>11</v>
      </c>
      <c r="H33" s="89" t="s">
        <v>859</v>
      </c>
      <c r="I33" s="242">
        <v>45236</v>
      </c>
      <c r="J33" s="90"/>
      <c r="K33" s="238">
        <v>45247</v>
      </c>
      <c r="L33" s="90"/>
      <c r="M33" s="89">
        <v>11</v>
      </c>
      <c r="N33" s="90"/>
      <c r="O33" s="89" t="s">
        <v>862</v>
      </c>
    </row>
    <row r="34" spans="1:15" s="89" customFormat="1">
      <c r="A34" s="89">
        <v>32</v>
      </c>
      <c r="B34" s="89" t="s">
        <v>481</v>
      </c>
      <c r="D34" s="89">
        <v>2024</v>
      </c>
      <c r="E34" s="89">
        <v>2023</v>
      </c>
      <c r="F34" s="89">
        <v>11</v>
      </c>
      <c r="H34" s="89" t="s">
        <v>859</v>
      </c>
      <c r="I34" s="242">
        <v>45237</v>
      </c>
      <c r="J34" s="90"/>
      <c r="K34" s="238">
        <v>45248</v>
      </c>
      <c r="L34" s="90"/>
      <c r="M34" s="89">
        <v>11</v>
      </c>
      <c r="N34" s="90"/>
      <c r="O34" s="89" t="s">
        <v>862</v>
      </c>
    </row>
    <row r="35" spans="1:15" s="89" customFormat="1">
      <c r="A35" s="89">
        <v>33</v>
      </c>
      <c r="B35" s="89" t="s">
        <v>482</v>
      </c>
      <c r="D35" s="89">
        <v>2024</v>
      </c>
      <c r="E35" s="89">
        <v>2023</v>
      </c>
      <c r="F35" s="89">
        <v>11</v>
      </c>
      <c r="H35" s="89" t="s">
        <v>859</v>
      </c>
      <c r="I35" s="242">
        <v>45238</v>
      </c>
      <c r="J35" s="90"/>
      <c r="K35" s="238">
        <v>45250</v>
      </c>
      <c r="L35" s="90"/>
      <c r="M35" s="89">
        <v>12</v>
      </c>
      <c r="N35" s="90"/>
      <c r="O35" s="89" t="s">
        <v>862</v>
      </c>
    </row>
    <row r="36" spans="1:15" s="89" customFormat="1">
      <c r="A36" s="89">
        <v>34</v>
      </c>
      <c r="B36" s="89" t="s">
        <v>483</v>
      </c>
      <c r="D36" s="89">
        <v>2024</v>
      </c>
      <c r="E36" s="89">
        <v>2023</v>
      </c>
      <c r="F36" s="89">
        <v>11</v>
      </c>
      <c r="H36" s="89" t="s">
        <v>859</v>
      </c>
      <c r="I36" s="242">
        <v>45239</v>
      </c>
      <c r="J36" s="90"/>
      <c r="K36" s="238">
        <v>45251</v>
      </c>
      <c r="L36" s="90"/>
      <c r="M36" s="89">
        <v>12</v>
      </c>
      <c r="N36" s="90"/>
      <c r="O36" s="89" t="s">
        <v>862</v>
      </c>
    </row>
    <row r="37" spans="1:15" s="89" customFormat="1">
      <c r="A37" s="89">
        <v>35</v>
      </c>
      <c r="B37" s="89" t="s">
        <v>484</v>
      </c>
      <c r="D37" s="89">
        <v>2024</v>
      </c>
      <c r="E37" s="89">
        <v>2023</v>
      </c>
      <c r="F37" s="89">
        <v>11</v>
      </c>
      <c r="H37" s="89" t="s">
        <v>859</v>
      </c>
      <c r="I37" s="242">
        <v>45240</v>
      </c>
      <c r="J37" s="90"/>
      <c r="K37" s="238">
        <v>45252</v>
      </c>
      <c r="L37" s="90"/>
      <c r="M37" s="89">
        <v>12</v>
      </c>
      <c r="N37" s="90"/>
      <c r="O37" s="89" t="s">
        <v>862</v>
      </c>
    </row>
    <row r="38" spans="1:15" s="89" customFormat="1">
      <c r="A38" s="89">
        <v>36</v>
      </c>
      <c r="B38" s="89" t="s">
        <v>485</v>
      </c>
      <c r="D38" s="89">
        <v>2024</v>
      </c>
      <c r="E38" s="89">
        <v>2023</v>
      </c>
      <c r="F38" s="89">
        <v>11</v>
      </c>
      <c r="H38" s="89" t="s">
        <v>859</v>
      </c>
      <c r="I38" s="242">
        <v>45241</v>
      </c>
      <c r="J38" s="90"/>
      <c r="K38" s="238">
        <v>45253</v>
      </c>
      <c r="L38" s="90"/>
      <c r="M38" s="89">
        <v>12</v>
      </c>
      <c r="N38" s="90"/>
      <c r="O38" s="89" t="s">
        <v>862</v>
      </c>
    </row>
    <row r="39" spans="1:15" s="89" customFormat="1">
      <c r="A39" s="89">
        <v>37</v>
      </c>
      <c r="B39" s="89" t="s">
        <v>486</v>
      </c>
      <c r="D39" s="89">
        <v>2024</v>
      </c>
      <c r="E39" s="89">
        <v>2023</v>
      </c>
      <c r="F39" s="89">
        <v>11</v>
      </c>
      <c r="H39" s="89" t="s">
        <v>859</v>
      </c>
      <c r="I39" s="242">
        <v>45250</v>
      </c>
      <c r="J39" s="90"/>
      <c r="K39" s="238">
        <v>45254</v>
      </c>
      <c r="L39" s="90"/>
      <c r="M39" s="89">
        <v>4</v>
      </c>
      <c r="N39" s="90"/>
      <c r="O39" s="89" t="s">
        <v>862</v>
      </c>
    </row>
    <row r="40" spans="1:15" s="89" customFormat="1">
      <c r="A40" s="89">
        <v>38</v>
      </c>
      <c r="B40" s="89" t="s">
        <v>487</v>
      </c>
      <c r="D40" s="89">
        <v>2024</v>
      </c>
      <c r="E40" s="89">
        <v>2023</v>
      </c>
      <c r="F40" s="89">
        <v>11</v>
      </c>
      <c r="H40" s="89" t="s">
        <v>859</v>
      </c>
      <c r="I40" s="242">
        <v>45251</v>
      </c>
      <c r="J40" s="90"/>
      <c r="K40" s="238">
        <v>45255</v>
      </c>
      <c r="L40" s="90"/>
      <c r="M40" s="89">
        <v>4</v>
      </c>
      <c r="N40" s="90"/>
      <c r="O40" s="89" t="s">
        <v>862</v>
      </c>
    </row>
    <row r="41" spans="1:15" s="89" customFormat="1">
      <c r="A41" s="89">
        <v>39</v>
      </c>
      <c r="B41" s="89" t="s">
        <v>488</v>
      </c>
      <c r="D41" s="89">
        <v>2024</v>
      </c>
      <c r="E41" s="89">
        <v>2023</v>
      </c>
      <c r="F41" s="89">
        <v>11</v>
      </c>
      <c r="H41" s="89" t="s">
        <v>859</v>
      </c>
      <c r="I41" s="242">
        <v>45252</v>
      </c>
      <c r="J41" s="90"/>
      <c r="K41" s="238">
        <v>45257</v>
      </c>
      <c r="L41" s="90"/>
      <c r="M41" s="89">
        <v>5</v>
      </c>
      <c r="N41" s="90"/>
      <c r="O41" s="89" t="s">
        <v>862</v>
      </c>
    </row>
    <row r="42" spans="1:15" s="89" customFormat="1">
      <c r="A42" s="89">
        <v>40</v>
      </c>
      <c r="B42" s="89" t="s">
        <v>489</v>
      </c>
      <c r="D42" s="89">
        <v>2024</v>
      </c>
      <c r="E42" s="89">
        <v>2023</v>
      </c>
      <c r="F42" s="89">
        <v>11</v>
      </c>
      <c r="H42" s="89" t="s">
        <v>859</v>
      </c>
      <c r="I42" s="242">
        <v>45253</v>
      </c>
      <c r="J42" s="90"/>
      <c r="K42" s="238">
        <v>45258</v>
      </c>
      <c r="L42" s="90"/>
      <c r="M42" s="89">
        <v>5</v>
      </c>
      <c r="N42" s="90"/>
      <c r="O42" s="89" t="s">
        <v>862</v>
      </c>
    </row>
    <row r="43" spans="1:15" s="89" customFormat="1">
      <c r="A43" s="89">
        <v>41</v>
      </c>
      <c r="B43" s="89" t="s">
        <v>490</v>
      </c>
      <c r="D43" s="89">
        <v>2024</v>
      </c>
      <c r="E43" s="89">
        <v>2023</v>
      </c>
      <c r="F43" s="89">
        <v>11</v>
      </c>
      <c r="H43" s="89" t="s">
        <v>859</v>
      </c>
      <c r="I43" s="242">
        <v>45254</v>
      </c>
      <c r="J43" s="90"/>
      <c r="K43" s="238">
        <v>45259</v>
      </c>
      <c r="L43" s="90"/>
      <c r="M43" s="89">
        <v>5</v>
      </c>
      <c r="N43" s="90"/>
      <c r="O43" s="89" t="s">
        <v>862</v>
      </c>
    </row>
    <row r="44" spans="1:15" s="89" customFormat="1">
      <c r="A44" s="89">
        <v>42</v>
      </c>
      <c r="B44" s="89" t="s">
        <v>491</v>
      </c>
      <c r="D44" s="89">
        <v>2024</v>
      </c>
      <c r="E44" s="89">
        <v>2023</v>
      </c>
      <c r="F44" s="89">
        <v>11</v>
      </c>
      <c r="H44" s="89" t="s">
        <v>859</v>
      </c>
      <c r="I44" s="242">
        <v>45255</v>
      </c>
      <c r="J44" s="90"/>
      <c r="K44" s="238">
        <v>45260</v>
      </c>
      <c r="L44" s="90"/>
      <c r="M44" s="89">
        <v>5</v>
      </c>
      <c r="N44" s="90"/>
      <c r="O44" s="89" t="s">
        <v>862</v>
      </c>
    </row>
    <row r="45" spans="1:15" s="89" customFormat="1">
      <c r="A45" s="89">
        <v>43</v>
      </c>
      <c r="B45" s="89" t="s">
        <v>492</v>
      </c>
      <c r="D45" s="89">
        <v>2024</v>
      </c>
      <c r="E45" s="89">
        <v>2023</v>
      </c>
      <c r="F45" s="89">
        <v>11</v>
      </c>
      <c r="H45" s="89" t="s">
        <v>859</v>
      </c>
      <c r="I45" s="242">
        <v>45257</v>
      </c>
      <c r="J45" s="90"/>
      <c r="K45" s="238">
        <v>45261</v>
      </c>
      <c r="L45" s="90"/>
      <c r="M45" s="89">
        <v>4</v>
      </c>
      <c r="N45" s="90"/>
      <c r="O45" s="89" t="s">
        <v>862</v>
      </c>
    </row>
    <row r="46" spans="1:15" s="89" customFormat="1">
      <c r="A46" s="89">
        <v>44</v>
      </c>
      <c r="B46" s="89" t="s">
        <v>493</v>
      </c>
      <c r="D46" s="89">
        <v>2024</v>
      </c>
      <c r="E46" s="89">
        <v>2023</v>
      </c>
      <c r="F46" s="89">
        <v>11</v>
      </c>
      <c r="H46" s="89" t="s">
        <v>859</v>
      </c>
      <c r="I46" s="242">
        <v>45258</v>
      </c>
      <c r="J46" s="90"/>
      <c r="K46" s="238">
        <v>45262</v>
      </c>
      <c r="L46" s="90"/>
      <c r="M46" s="89">
        <v>4</v>
      </c>
      <c r="N46" s="90"/>
      <c r="O46" s="89" t="s">
        <v>862</v>
      </c>
    </row>
    <row r="47" spans="1:15" s="89" customFormat="1">
      <c r="A47" s="89">
        <v>1</v>
      </c>
      <c r="B47" s="241" t="s">
        <v>835</v>
      </c>
      <c r="D47" s="89">
        <v>2024</v>
      </c>
      <c r="E47" s="89">
        <v>2024</v>
      </c>
      <c r="F47" s="89">
        <v>11</v>
      </c>
      <c r="H47" s="89" t="s">
        <v>473</v>
      </c>
      <c r="I47" s="239">
        <v>45334</v>
      </c>
      <c r="J47" s="239">
        <v>45335</v>
      </c>
      <c r="K47" s="242">
        <v>45335</v>
      </c>
      <c r="L47" s="242">
        <v>45341</v>
      </c>
      <c r="M47" s="89">
        <v>1</v>
      </c>
      <c r="N47" s="89">
        <v>6</v>
      </c>
      <c r="O47" s="89" t="s">
        <v>861</v>
      </c>
    </row>
    <row r="48" spans="1:15" s="89" customFormat="1">
      <c r="A48" s="89">
        <v>2</v>
      </c>
      <c r="B48" s="241" t="s">
        <v>836</v>
      </c>
      <c r="D48" s="89">
        <v>2024</v>
      </c>
      <c r="E48" s="89">
        <v>2024</v>
      </c>
      <c r="F48" s="89">
        <v>11</v>
      </c>
      <c r="H48" s="89" t="s">
        <v>473</v>
      </c>
      <c r="I48" s="239">
        <v>45336</v>
      </c>
      <c r="J48" s="239">
        <v>45337</v>
      </c>
      <c r="K48" s="242">
        <v>45336</v>
      </c>
      <c r="L48" s="242">
        <v>45342</v>
      </c>
      <c r="M48" s="89">
        <v>0</v>
      </c>
      <c r="N48" s="89">
        <v>5</v>
      </c>
      <c r="O48" s="89" t="s">
        <v>861</v>
      </c>
    </row>
    <row r="49" spans="1:15" s="89" customFormat="1" ht="14.4">
      <c r="A49" s="89">
        <v>3</v>
      </c>
      <c r="B49" s="241" t="s">
        <v>837</v>
      </c>
      <c r="C49"/>
      <c r="D49" s="89">
        <v>2024</v>
      </c>
      <c r="E49" s="89">
        <v>2024</v>
      </c>
      <c r="F49" s="89">
        <v>11</v>
      </c>
      <c r="G49"/>
      <c r="H49" s="89" t="s">
        <v>473</v>
      </c>
      <c r="I49" s="239">
        <v>45338</v>
      </c>
      <c r="J49" s="239">
        <v>45339</v>
      </c>
      <c r="K49" s="242">
        <v>45337</v>
      </c>
      <c r="L49" s="242">
        <v>45344</v>
      </c>
      <c r="M49" s="89">
        <v>-1</v>
      </c>
      <c r="N49" s="89">
        <v>5</v>
      </c>
      <c r="O49" s="89" t="s">
        <v>861</v>
      </c>
    </row>
    <row r="50" spans="1:15" s="89" customFormat="1" ht="14.4">
      <c r="A50" s="89">
        <v>4</v>
      </c>
      <c r="B50" s="241" t="s">
        <v>838</v>
      </c>
      <c r="C50"/>
      <c r="D50" s="89">
        <v>2024</v>
      </c>
      <c r="E50" s="89">
        <v>2024</v>
      </c>
      <c r="F50" s="89">
        <v>11</v>
      </c>
      <c r="G50"/>
      <c r="H50" s="89" t="s">
        <v>473</v>
      </c>
      <c r="I50" s="239">
        <v>45341</v>
      </c>
      <c r="J50" s="239">
        <v>45342</v>
      </c>
      <c r="K50" s="242">
        <v>45338</v>
      </c>
      <c r="L50" s="242">
        <v>45345</v>
      </c>
      <c r="M50" s="89">
        <v>-3</v>
      </c>
      <c r="N50" s="89">
        <v>3</v>
      </c>
      <c r="O50" s="89" t="s">
        <v>861</v>
      </c>
    </row>
    <row r="51" spans="1:15" s="89" customFormat="1">
      <c r="A51" s="89">
        <v>5</v>
      </c>
      <c r="B51" s="241" t="s">
        <v>839</v>
      </c>
      <c r="D51" s="89">
        <v>2024</v>
      </c>
      <c r="E51" s="89">
        <v>2024</v>
      </c>
      <c r="F51" s="89">
        <v>11</v>
      </c>
      <c r="H51" s="89" t="s">
        <v>473</v>
      </c>
      <c r="I51" s="239">
        <v>45343</v>
      </c>
      <c r="J51" s="239">
        <v>45344</v>
      </c>
      <c r="K51" s="242">
        <v>45348</v>
      </c>
      <c r="L51" s="242">
        <v>45351</v>
      </c>
      <c r="M51" s="89">
        <v>5</v>
      </c>
      <c r="N51" s="89">
        <v>7</v>
      </c>
      <c r="O51" s="89" t="s">
        <v>861</v>
      </c>
    </row>
    <row r="52" spans="1:15" s="89" customFormat="1">
      <c r="A52" s="89">
        <v>6</v>
      </c>
      <c r="B52" s="241" t="s">
        <v>840</v>
      </c>
      <c r="D52" s="89">
        <v>2024</v>
      </c>
      <c r="E52" s="89">
        <v>2024</v>
      </c>
      <c r="F52" s="89">
        <v>11</v>
      </c>
      <c r="H52" s="89" t="s">
        <v>473</v>
      </c>
      <c r="I52" s="239">
        <v>45345</v>
      </c>
      <c r="J52" s="239">
        <v>45346</v>
      </c>
      <c r="K52" s="242">
        <v>45349</v>
      </c>
      <c r="L52" s="242">
        <v>45352</v>
      </c>
      <c r="M52" s="89">
        <v>4</v>
      </c>
      <c r="N52" s="89">
        <v>6</v>
      </c>
      <c r="O52" s="89" t="s">
        <v>861</v>
      </c>
    </row>
    <row r="53" spans="1:15" s="89" customFormat="1" ht="14.4">
      <c r="A53" s="89">
        <v>7</v>
      </c>
      <c r="B53" s="241" t="s">
        <v>841</v>
      </c>
      <c r="C53"/>
      <c r="D53" s="89">
        <v>2024</v>
      </c>
      <c r="E53" s="89">
        <v>2024</v>
      </c>
      <c r="F53" s="89">
        <v>11</v>
      </c>
      <c r="G53"/>
      <c r="H53" s="89" t="s">
        <v>473</v>
      </c>
      <c r="I53" s="239">
        <v>45348</v>
      </c>
      <c r="J53" s="239">
        <v>45349</v>
      </c>
      <c r="K53" s="242">
        <v>45350</v>
      </c>
      <c r="L53" s="242">
        <v>45359</v>
      </c>
      <c r="M53" s="89">
        <v>2</v>
      </c>
      <c r="N53" s="89">
        <v>10</v>
      </c>
      <c r="O53" s="89" t="s">
        <v>861</v>
      </c>
    </row>
    <row r="54" spans="1:15" s="89" customFormat="1" ht="14.4">
      <c r="A54" s="89">
        <v>8</v>
      </c>
      <c r="B54" s="241" t="s">
        <v>842</v>
      </c>
      <c r="C54"/>
      <c r="D54" s="89">
        <v>2024</v>
      </c>
      <c r="E54" s="89">
        <v>2024</v>
      </c>
      <c r="F54" s="89">
        <v>11</v>
      </c>
      <c r="G54"/>
      <c r="H54" s="89" t="s">
        <v>473</v>
      </c>
      <c r="I54" s="239">
        <v>45350</v>
      </c>
      <c r="J54" s="239">
        <v>45351</v>
      </c>
      <c r="K54" s="242">
        <v>45356</v>
      </c>
      <c r="L54" s="242">
        <v>45356</v>
      </c>
      <c r="M54" s="89">
        <v>6</v>
      </c>
      <c r="N54" s="89">
        <v>5</v>
      </c>
      <c r="O54" s="89" t="s">
        <v>861</v>
      </c>
    </row>
    <row r="55" spans="1:15" s="89" customFormat="1" ht="14.4">
      <c r="A55" s="89">
        <v>9</v>
      </c>
      <c r="B55" s="241" t="s">
        <v>843</v>
      </c>
      <c r="C55"/>
      <c r="D55" s="89">
        <v>2024</v>
      </c>
      <c r="E55" s="89">
        <v>2024</v>
      </c>
      <c r="F55" s="89">
        <v>11</v>
      </c>
      <c r="G55"/>
      <c r="H55" s="89" t="s">
        <v>473</v>
      </c>
      <c r="I55" s="239">
        <v>45352</v>
      </c>
      <c r="J55" s="239">
        <v>45353</v>
      </c>
      <c r="K55" s="242">
        <v>45358</v>
      </c>
      <c r="L55" s="242">
        <v>45358</v>
      </c>
      <c r="M55" s="89">
        <v>6</v>
      </c>
      <c r="N55" s="89">
        <v>5</v>
      </c>
      <c r="O55" s="89" t="s">
        <v>861</v>
      </c>
    </row>
    <row r="56" spans="1:15" s="89" customFormat="1" ht="14.4">
      <c r="A56" s="89">
        <v>10</v>
      </c>
      <c r="B56" s="241" t="s">
        <v>844</v>
      </c>
      <c r="C56"/>
      <c r="D56" s="89">
        <v>2024</v>
      </c>
      <c r="E56" s="89">
        <v>2024</v>
      </c>
      <c r="F56" s="89">
        <v>11</v>
      </c>
      <c r="G56"/>
      <c r="H56" s="89" t="s">
        <v>473</v>
      </c>
      <c r="I56" s="239">
        <v>45355</v>
      </c>
      <c r="J56" s="239">
        <v>45356</v>
      </c>
      <c r="K56" s="242">
        <v>45363</v>
      </c>
      <c r="L56" s="242">
        <v>45363</v>
      </c>
      <c r="M56" s="89">
        <v>8</v>
      </c>
      <c r="N56" s="89">
        <v>7</v>
      </c>
      <c r="O56" s="89" t="s">
        <v>861</v>
      </c>
    </row>
    <row r="57" spans="1:15" s="89" customFormat="1" ht="14.4">
      <c r="A57" s="89">
        <v>11</v>
      </c>
      <c r="B57" s="241" t="s">
        <v>845</v>
      </c>
      <c r="C57"/>
      <c r="D57" s="89">
        <v>2024</v>
      </c>
      <c r="E57" s="89">
        <v>2024</v>
      </c>
      <c r="F57" s="89">
        <v>11</v>
      </c>
      <c r="G57"/>
      <c r="H57" s="89" t="s">
        <v>473</v>
      </c>
      <c r="I57" s="239">
        <v>45357</v>
      </c>
      <c r="J57" s="239">
        <v>45358</v>
      </c>
      <c r="K57" s="242">
        <v>45364</v>
      </c>
      <c r="L57" s="242">
        <v>45366</v>
      </c>
      <c r="M57" s="89">
        <v>7</v>
      </c>
      <c r="N57" s="89">
        <v>8</v>
      </c>
      <c r="O57" s="89" t="s">
        <v>861</v>
      </c>
    </row>
    <row r="58" spans="1:15" s="89" customFormat="1" ht="14.4">
      <c r="A58" s="89">
        <v>12</v>
      </c>
      <c r="B58" s="241" t="s">
        <v>846</v>
      </c>
      <c r="C58"/>
      <c r="D58" s="89">
        <v>2024</v>
      </c>
      <c r="E58" s="89">
        <v>2024</v>
      </c>
      <c r="F58" s="89">
        <v>11</v>
      </c>
      <c r="G58"/>
      <c r="H58" s="89" t="s">
        <v>473</v>
      </c>
      <c r="I58" s="239">
        <v>45359</v>
      </c>
      <c r="J58" s="239">
        <v>45360</v>
      </c>
      <c r="K58" s="242">
        <v>45365</v>
      </c>
      <c r="L58" s="242">
        <v>45365</v>
      </c>
      <c r="M58" s="89">
        <v>6</v>
      </c>
      <c r="N58" s="89">
        <v>5</v>
      </c>
      <c r="O58" s="89" t="s">
        <v>861</v>
      </c>
    </row>
    <row r="59" spans="1:15" s="89" customFormat="1" ht="14.4">
      <c r="A59" s="89">
        <v>13</v>
      </c>
      <c r="B59" s="241" t="s">
        <v>847</v>
      </c>
      <c r="C59"/>
      <c r="D59" s="89">
        <v>2024</v>
      </c>
      <c r="E59" s="89">
        <v>2024</v>
      </c>
      <c r="F59" s="89">
        <v>11</v>
      </c>
      <c r="G59"/>
      <c r="H59" s="89" t="s">
        <v>473</v>
      </c>
      <c r="I59" s="239">
        <v>45362</v>
      </c>
      <c r="J59" s="239">
        <v>45363</v>
      </c>
      <c r="K59" s="242">
        <v>45357</v>
      </c>
      <c r="L59" s="242">
        <v>45357</v>
      </c>
      <c r="M59" s="89">
        <v>-5</v>
      </c>
      <c r="N59" s="89">
        <v>-6</v>
      </c>
      <c r="O59" s="89" t="s">
        <v>861</v>
      </c>
    </row>
    <row r="60" spans="1:15" s="89" customFormat="1" ht="14.4">
      <c r="A60" s="89">
        <v>14</v>
      </c>
      <c r="B60" s="241" t="s">
        <v>848</v>
      </c>
      <c r="C60"/>
      <c r="D60" s="89">
        <v>2024</v>
      </c>
      <c r="E60" s="89">
        <v>2024</v>
      </c>
      <c r="F60" s="89">
        <v>11</v>
      </c>
      <c r="G60"/>
      <c r="H60" s="89" t="s">
        <v>473</v>
      </c>
      <c r="I60" s="239">
        <v>45364</v>
      </c>
      <c r="J60" s="239">
        <v>45365</v>
      </c>
      <c r="K60" s="242">
        <v>45369</v>
      </c>
      <c r="L60" s="242">
        <v>45372</v>
      </c>
      <c r="M60" s="89">
        <v>5</v>
      </c>
      <c r="N60" s="89">
        <v>7</v>
      </c>
      <c r="O60" s="89" t="s">
        <v>861</v>
      </c>
    </row>
    <row r="61" spans="1:15" s="89" customFormat="1" ht="14.4">
      <c r="A61" s="89">
        <v>15</v>
      </c>
      <c r="B61" s="241" t="s">
        <v>849</v>
      </c>
      <c r="C61"/>
      <c r="D61" s="89">
        <v>2024</v>
      </c>
      <c r="E61" s="89">
        <v>2024</v>
      </c>
      <c r="F61" s="89">
        <v>11</v>
      </c>
      <c r="G61"/>
      <c r="H61" s="89" t="s">
        <v>473</v>
      </c>
      <c r="I61" s="239">
        <v>45366</v>
      </c>
      <c r="J61" s="239">
        <v>45367</v>
      </c>
      <c r="K61" s="242">
        <v>45370</v>
      </c>
      <c r="L61" s="242">
        <v>45374</v>
      </c>
      <c r="M61" s="89">
        <v>4</v>
      </c>
      <c r="N61" s="89">
        <v>7</v>
      </c>
      <c r="O61" s="89" t="s">
        <v>861</v>
      </c>
    </row>
    <row r="62" spans="1:15" s="89" customFormat="1" ht="14.4">
      <c r="A62" s="89">
        <v>16</v>
      </c>
      <c r="B62" s="241" t="s">
        <v>850</v>
      </c>
      <c r="C62"/>
      <c r="D62" s="89">
        <v>2024</v>
      </c>
      <c r="E62" s="89">
        <v>2024</v>
      </c>
      <c r="F62" s="89">
        <v>11</v>
      </c>
      <c r="G62"/>
      <c r="H62" s="89" t="s">
        <v>473</v>
      </c>
      <c r="I62" s="239">
        <v>45369</v>
      </c>
      <c r="J62" s="239">
        <v>45370</v>
      </c>
      <c r="K62" s="242">
        <v>45371</v>
      </c>
      <c r="L62" s="242">
        <v>45377</v>
      </c>
      <c r="M62" s="89">
        <v>2</v>
      </c>
      <c r="N62" s="89">
        <v>7</v>
      </c>
      <c r="O62" s="89" t="s">
        <v>861</v>
      </c>
    </row>
    <row r="63" spans="1:15" s="89" customFormat="1" ht="14.4">
      <c r="A63" s="89">
        <v>17</v>
      </c>
      <c r="B63" s="241" t="s">
        <v>851</v>
      </c>
      <c r="C63"/>
      <c r="D63" s="89">
        <v>2024</v>
      </c>
      <c r="E63" s="89">
        <v>2024</v>
      </c>
      <c r="F63" s="89">
        <v>11</v>
      </c>
      <c r="G63"/>
      <c r="H63" s="89" t="s">
        <v>473</v>
      </c>
      <c r="I63" s="239">
        <v>45371</v>
      </c>
      <c r="J63" s="239">
        <v>45372</v>
      </c>
      <c r="K63" s="242">
        <v>45379</v>
      </c>
      <c r="L63" s="242">
        <v>45380</v>
      </c>
      <c r="M63" s="89">
        <v>8</v>
      </c>
      <c r="N63" s="89">
        <v>8</v>
      </c>
      <c r="O63" s="89" t="s">
        <v>861</v>
      </c>
    </row>
    <row r="64" spans="1:15" s="89" customFormat="1" ht="14.4">
      <c r="A64" s="89">
        <v>18</v>
      </c>
      <c r="B64" s="241" t="s">
        <v>852</v>
      </c>
      <c r="C64"/>
      <c r="D64" s="89">
        <v>2024</v>
      </c>
      <c r="E64" s="89">
        <v>2024</v>
      </c>
      <c r="F64" s="89">
        <v>11</v>
      </c>
      <c r="G64"/>
      <c r="H64" s="89" t="s">
        <v>473</v>
      </c>
      <c r="I64" s="239">
        <v>45373</v>
      </c>
      <c r="J64" s="239">
        <v>45374</v>
      </c>
      <c r="K64" s="242">
        <v>45382</v>
      </c>
      <c r="L64" s="242">
        <v>45383</v>
      </c>
      <c r="M64" s="89">
        <v>9</v>
      </c>
      <c r="N64" s="89">
        <v>9</v>
      </c>
      <c r="O64" s="89" t="s">
        <v>861</v>
      </c>
    </row>
    <row r="65" spans="1:15" s="89" customFormat="1" ht="14.4">
      <c r="A65" s="89">
        <v>19</v>
      </c>
      <c r="B65" s="241" t="s">
        <v>853</v>
      </c>
      <c r="C65"/>
      <c r="D65" s="89">
        <v>2024</v>
      </c>
      <c r="E65" s="89">
        <v>2024</v>
      </c>
      <c r="F65" s="89">
        <v>11</v>
      </c>
      <c r="G65"/>
      <c r="H65" s="89" t="s">
        <v>473</v>
      </c>
      <c r="I65" s="239">
        <v>45377</v>
      </c>
      <c r="J65" s="239">
        <v>45378</v>
      </c>
      <c r="K65" s="242">
        <v>45384</v>
      </c>
      <c r="L65" s="242">
        <v>45385</v>
      </c>
      <c r="M65" s="89">
        <v>7</v>
      </c>
      <c r="N65" s="89">
        <v>7</v>
      </c>
      <c r="O65" s="89" t="s">
        <v>861</v>
      </c>
    </row>
    <row r="66" spans="1:15" s="89" customFormat="1" ht="14.4">
      <c r="A66" s="89">
        <v>20</v>
      </c>
      <c r="B66" s="241" t="s">
        <v>854</v>
      </c>
      <c r="C66"/>
      <c r="D66" s="89">
        <v>2024</v>
      </c>
      <c r="E66" s="89">
        <v>2024</v>
      </c>
      <c r="F66" s="89">
        <v>11</v>
      </c>
      <c r="G66"/>
      <c r="H66" s="89" t="s">
        <v>473</v>
      </c>
      <c r="I66" s="239">
        <v>45379</v>
      </c>
      <c r="J66" s="239">
        <v>45380</v>
      </c>
      <c r="K66" s="242">
        <v>45387</v>
      </c>
      <c r="L66" s="242">
        <v>45388</v>
      </c>
      <c r="M66" s="89">
        <v>8</v>
      </c>
      <c r="N66" s="89">
        <v>8</v>
      </c>
      <c r="O66" s="89" t="s">
        <v>861</v>
      </c>
    </row>
    <row r="67" spans="1:15" s="89" customFormat="1" ht="14.4">
      <c r="A67" s="89">
        <v>21</v>
      </c>
      <c r="B67" s="241" t="s">
        <v>855</v>
      </c>
      <c r="C67"/>
      <c r="D67" s="89">
        <v>2024</v>
      </c>
      <c r="E67" s="89">
        <v>2024</v>
      </c>
      <c r="F67" s="89">
        <v>11</v>
      </c>
      <c r="G67"/>
      <c r="H67" s="89" t="s">
        <v>473</v>
      </c>
      <c r="I67" s="239">
        <v>45381</v>
      </c>
      <c r="J67" s="239">
        <v>45383</v>
      </c>
      <c r="K67" s="242">
        <v>45390</v>
      </c>
      <c r="L67" s="242">
        <v>45391</v>
      </c>
      <c r="M67" s="89">
        <v>9</v>
      </c>
      <c r="N67" s="89">
        <v>8</v>
      </c>
      <c r="O67" s="89" t="s">
        <v>861</v>
      </c>
    </row>
    <row r="68" spans="1:15" s="89" customFormat="1" ht="14.4">
      <c r="A68" s="89">
        <v>22</v>
      </c>
      <c r="B68" s="241" t="s">
        <v>856</v>
      </c>
      <c r="C68"/>
      <c r="D68" s="89">
        <v>2024</v>
      </c>
      <c r="E68" s="89">
        <v>2024</v>
      </c>
      <c r="F68" s="89">
        <v>11</v>
      </c>
      <c r="G68"/>
      <c r="H68" s="89" t="s">
        <v>473</v>
      </c>
      <c r="I68" s="239">
        <v>45384</v>
      </c>
      <c r="J68" s="239">
        <v>45385</v>
      </c>
      <c r="K68" s="242">
        <v>45392</v>
      </c>
      <c r="L68" s="242">
        <v>45393</v>
      </c>
      <c r="M68" s="89">
        <v>8</v>
      </c>
      <c r="N68" s="89">
        <v>8</v>
      </c>
      <c r="O68" s="89" t="s">
        <v>861</v>
      </c>
    </row>
    <row r="69" spans="1:15" s="89" customFormat="1" ht="14.4">
      <c r="A69" s="89">
        <v>23</v>
      </c>
      <c r="B69" s="241" t="s">
        <v>857</v>
      </c>
      <c r="C69"/>
      <c r="D69" s="89">
        <v>2024</v>
      </c>
      <c r="E69" s="89">
        <v>2024</v>
      </c>
      <c r="F69" s="89">
        <v>11</v>
      </c>
      <c r="G69"/>
      <c r="H69" s="89" t="s">
        <v>473</v>
      </c>
      <c r="I69" s="239">
        <v>45386</v>
      </c>
      <c r="J69" s="239">
        <v>45387</v>
      </c>
      <c r="K69" s="238">
        <v>45428</v>
      </c>
      <c r="L69" s="238">
        <v>45429</v>
      </c>
      <c r="M69" s="89">
        <v>42</v>
      </c>
      <c r="N69" s="89">
        <v>42</v>
      </c>
      <c r="O69" s="89" t="s">
        <v>861</v>
      </c>
    </row>
    <row r="70" spans="1:15" s="89" customFormat="1" ht="14.4">
      <c r="A70" s="89">
        <v>24</v>
      </c>
      <c r="B70" s="241" t="s">
        <v>858</v>
      </c>
      <c r="C70"/>
      <c r="D70" s="89">
        <v>2024</v>
      </c>
      <c r="E70" s="89">
        <v>2024</v>
      </c>
      <c r="F70" s="89">
        <v>11</v>
      </c>
      <c r="G70"/>
      <c r="H70" s="89" t="s">
        <v>473</v>
      </c>
      <c r="I70" s="239">
        <v>45388</v>
      </c>
      <c r="J70" s="239">
        <v>45390</v>
      </c>
      <c r="K70" s="238">
        <v>45430</v>
      </c>
      <c r="L70" s="238">
        <v>45430</v>
      </c>
      <c r="M70" s="89">
        <v>42</v>
      </c>
      <c r="N70" s="89">
        <v>40</v>
      </c>
      <c r="O70" s="89" t="s">
        <v>861</v>
      </c>
    </row>
    <row r="71" spans="1:15" s="89" customFormat="1" ht="14.4">
      <c r="A71" s="89">
        <v>25</v>
      </c>
      <c r="B71" s="241" t="s">
        <v>472</v>
      </c>
      <c r="C71"/>
      <c r="D71" s="89">
        <v>2024</v>
      </c>
      <c r="E71" s="89">
        <v>2024</v>
      </c>
      <c r="F71" s="89">
        <v>11</v>
      </c>
      <c r="G71"/>
      <c r="H71" s="89" t="s">
        <v>473</v>
      </c>
      <c r="I71" s="239">
        <v>45392</v>
      </c>
      <c r="J71" s="239">
        <v>45393</v>
      </c>
      <c r="K71" s="238">
        <v>45397</v>
      </c>
      <c r="L71" s="238">
        <v>45397</v>
      </c>
      <c r="M71" s="89">
        <v>5</v>
      </c>
      <c r="N71" s="89">
        <v>4</v>
      </c>
      <c r="O71" s="89" t="s">
        <v>861</v>
      </c>
    </row>
    <row r="72" spans="1:15" s="89" customFormat="1" ht="14.4">
      <c r="A72" s="89">
        <v>26</v>
      </c>
      <c r="B72" s="241" t="s">
        <v>475</v>
      </c>
      <c r="C72"/>
      <c r="D72" s="89">
        <v>2024</v>
      </c>
      <c r="E72" s="89">
        <v>2024</v>
      </c>
      <c r="F72" s="89">
        <v>11</v>
      </c>
      <c r="G72"/>
      <c r="H72" s="89" t="s">
        <v>473</v>
      </c>
      <c r="I72" s="239">
        <v>45394</v>
      </c>
      <c r="J72" s="239">
        <v>45395</v>
      </c>
      <c r="K72" s="238">
        <v>45400</v>
      </c>
      <c r="L72" s="238">
        <v>45400</v>
      </c>
      <c r="M72" s="89">
        <v>6</v>
      </c>
      <c r="N72" s="89">
        <v>5</v>
      </c>
      <c r="O72" s="89" t="s">
        <v>861</v>
      </c>
    </row>
    <row r="73" spans="1:15" s="89" customFormat="1" ht="14.4">
      <c r="A73" s="89">
        <v>27</v>
      </c>
      <c r="B73" s="241" t="s">
        <v>476</v>
      </c>
      <c r="C73"/>
      <c r="D73" s="89">
        <v>2024</v>
      </c>
      <c r="E73" s="89">
        <v>2024</v>
      </c>
      <c r="F73" s="89">
        <v>11</v>
      </c>
      <c r="G73"/>
      <c r="H73" s="89" t="s">
        <v>473</v>
      </c>
      <c r="I73" s="239">
        <v>45397</v>
      </c>
      <c r="J73" s="239">
        <v>45398</v>
      </c>
      <c r="K73" s="238">
        <v>45398</v>
      </c>
      <c r="L73" s="238">
        <v>45398</v>
      </c>
      <c r="M73" s="89">
        <v>1</v>
      </c>
      <c r="N73" s="89">
        <v>0</v>
      </c>
      <c r="O73" s="89" t="s">
        <v>861</v>
      </c>
    </row>
    <row r="74" spans="1:15" s="89" customFormat="1" ht="14.4">
      <c r="A74" s="89">
        <v>28</v>
      </c>
      <c r="B74" s="241" t="s">
        <v>477</v>
      </c>
      <c r="C74"/>
      <c r="D74" s="89">
        <v>2024</v>
      </c>
      <c r="E74" s="89">
        <v>2024</v>
      </c>
      <c r="F74" s="89">
        <v>11</v>
      </c>
      <c r="G74"/>
      <c r="H74" s="89" t="s">
        <v>473</v>
      </c>
      <c r="I74" s="239">
        <v>45399</v>
      </c>
      <c r="J74" s="239">
        <v>45400</v>
      </c>
      <c r="K74" s="238">
        <v>45406</v>
      </c>
      <c r="L74" s="238">
        <v>45406</v>
      </c>
      <c r="M74" s="89">
        <v>7</v>
      </c>
      <c r="N74" s="89">
        <v>6</v>
      </c>
      <c r="O74" s="89" t="s">
        <v>861</v>
      </c>
    </row>
    <row r="75" spans="1:15" s="89" customFormat="1" ht="14.4">
      <c r="A75" s="89">
        <v>29</v>
      </c>
      <c r="B75" s="241" t="s">
        <v>478</v>
      </c>
      <c r="C75"/>
      <c r="D75" s="89">
        <v>2024</v>
      </c>
      <c r="E75" s="89">
        <v>2024</v>
      </c>
      <c r="F75" s="89">
        <v>11</v>
      </c>
      <c r="G75"/>
      <c r="H75" s="89" t="s">
        <v>473</v>
      </c>
      <c r="I75" s="239">
        <v>45401</v>
      </c>
      <c r="J75" s="239">
        <v>45402</v>
      </c>
      <c r="K75" s="238">
        <v>45405</v>
      </c>
      <c r="L75" s="238">
        <v>45405</v>
      </c>
      <c r="M75" s="89">
        <v>4</v>
      </c>
      <c r="N75" s="89">
        <v>3</v>
      </c>
      <c r="O75" s="89" t="s">
        <v>861</v>
      </c>
    </row>
    <row r="76" spans="1:15" s="89" customFormat="1" ht="14.4">
      <c r="A76" s="89">
        <v>30</v>
      </c>
      <c r="B76" s="241" t="s">
        <v>479</v>
      </c>
      <c r="C76"/>
      <c r="D76" s="89">
        <v>2024</v>
      </c>
      <c r="E76" s="89">
        <v>2024</v>
      </c>
      <c r="F76" s="89">
        <v>11</v>
      </c>
      <c r="G76"/>
      <c r="H76" s="89" t="s">
        <v>473</v>
      </c>
      <c r="I76" s="239">
        <v>45404</v>
      </c>
      <c r="J76" s="239">
        <v>45405</v>
      </c>
      <c r="K76" s="238">
        <v>45402</v>
      </c>
      <c r="L76" s="238">
        <v>45402</v>
      </c>
      <c r="M76" s="89">
        <v>-2</v>
      </c>
      <c r="N76" s="89">
        <v>-3</v>
      </c>
      <c r="O76" s="89" t="s">
        <v>861</v>
      </c>
    </row>
    <row r="77" spans="1:15" s="89" customFormat="1" ht="14.4">
      <c r="A77" s="89">
        <v>31</v>
      </c>
      <c r="B77" s="241" t="s">
        <v>480</v>
      </c>
      <c r="C77"/>
      <c r="D77" s="89">
        <v>2024</v>
      </c>
      <c r="E77" s="89">
        <v>2024</v>
      </c>
      <c r="F77" s="89">
        <v>11</v>
      </c>
      <c r="G77"/>
      <c r="H77" s="89" t="s">
        <v>473</v>
      </c>
      <c r="I77" s="239">
        <v>45406</v>
      </c>
      <c r="J77" s="239">
        <v>45407</v>
      </c>
      <c r="K77" s="238">
        <v>45407</v>
      </c>
      <c r="L77" s="238">
        <v>45407</v>
      </c>
      <c r="M77" s="89">
        <v>1</v>
      </c>
      <c r="N77" s="89">
        <v>0</v>
      </c>
      <c r="O77" s="89" t="s">
        <v>861</v>
      </c>
    </row>
    <row r="78" spans="1:15" s="89" customFormat="1" ht="14.4">
      <c r="A78" s="89">
        <v>32</v>
      </c>
      <c r="B78" s="241" t="s">
        <v>481</v>
      </c>
      <c r="C78"/>
      <c r="D78" s="89">
        <v>2024</v>
      </c>
      <c r="E78" s="89">
        <v>2024</v>
      </c>
      <c r="F78" s="89">
        <v>11</v>
      </c>
      <c r="G78"/>
      <c r="H78" s="89" t="s">
        <v>473</v>
      </c>
      <c r="I78" s="239">
        <v>45408</v>
      </c>
      <c r="J78" s="239">
        <v>45409</v>
      </c>
      <c r="K78" s="238">
        <v>45401</v>
      </c>
      <c r="L78" s="238">
        <v>45401</v>
      </c>
      <c r="M78" s="89">
        <v>-7</v>
      </c>
      <c r="N78" s="89">
        <v>-8</v>
      </c>
      <c r="O78" s="89" t="s">
        <v>861</v>
      </c>
    </row>
    <row r="79" spans="1:15" s="89" customFormat="1" ht="14.4">
      <c r="A79" s="89">
        <v>33</v>
      </c>
      <c r="B79" s="241" t="s">
        <v>482</v>
      </c>
      <c r="C79"/>
      <c r="D79" s="89">
        <v>2024</v>
      </c>
      <c r="E79" s="89">
        <v>2024</v>
      </c>
      <c r="F79" s="89">
        <v>11</v>
      </c>
      <c r="G79"/>
      <c r="H79" s="89" t="s">
        <v>473</v>
      </c>
      <c r="I79" s="239">
        <v>45411</v>
      </c>
      <c r="J79" s="239">
        <v>45412</v>
      </c>
      <c r="K79" s="238">
        <v>45409</v>
      </c>
      <c r="L79" s="238">
        <v>45409</v>
      </c>
      <c r="M79" s="89">
        <v>-2</v>
      </c>
      <c r="N79" s="89">
        <v>-3</v>
      </c>
      <c r="O79" s="89" t="s">
        <v>861</v>
      </c>
    </row>
    <row r="80" spans="1:15" s="89" customFormat="1" ht="14.4">
      <c r="A80" s="89">
        <v>34</v>
      </c>
      <c r="B80" s="241" t="s">
        <v>483</v>
      </c>
      <c r="C80"/>
      <c r="D80" s="89">
        <v>2024</v>
      </c>
      <c r="E80" s="89">
        <v>2024</v>
      </c>
      <c r="F80" s="89">
        <v>11</v>
      </c>
      <c r="G80"/>
      <c r="H80" s="89" t="s">
        <v>473</v>
      </c>
      <c r="I80" s="239">
        <v>45414</v>
      </c>
      <c r="J80" s="239">
        <v>45415</v>
      </c>
      <c r="K80" s="238">
        <v>45413</v>
      </c>
      <c r="L80" s="238">
        <v>45413</v>
      </c>
      <c r="M80" s="89">
        <v>-1</v>
      </c>
      <c r="N80" s="89">
        <v>-2</v>
      </c>
      <c r="O80" s="89" t="s">
        <v>861</v>
      </c>
    </row>
    <row r="81" spans="1:15" s="89" customFormat="1" ht="14.4">
      <c r="A81" s="89">
        <v>35</v>
      </c>
      <c r="B81" s="241" t="s">
        <v>484</v>
      </c>
      <c r="C81"/>
      <c r="D81" s="89">
        <v>2024</v>
      </c>
      <c r="E81" s="89">
        <v>2024</v>
      </c>
      <c r="F81" s="89">
        <v>11</v>
      </c>
      <c r="G81"/>
      <c r="H81" s="89" t="s">
        <v>473</v>
      </c>
      <c r="I81" s="239">
        <v>45416</v>
      </c>
      <c r="J81" s="239">
        <v>45418</v>
      </c>
      <c r="K81" s="238">
        <v>45408</v>
      </c>
      <c r="L81" s="238">
        <v>45408</v>
      </c>
      <c r="M81" s="89">
        <v>-8</v>
      </c>
      <c r="N81" s="89">
        <v>-10</v>
      </c>
      <c r="O81" s="89" t="s">
        <v>861</v>
      </c>
    </row>
    <row r="82" spans="1:15" s="89" customFormat="1" ht="14.4">
      <c r="A82" s="89">
        <v>36</v>
      </c>
      <c r="B82" s="241" t="s">
        <v>485</v>
      </c>
      <c r="C82"/>
      <c r="D82" s="89">
        <v>2024</v>
      </c>
      <c r="E82" s="89">
        <v>2024</v>
      </c>
      <c r="F82" s="89">
        <v>11</v>
      </c>
      <c r="G82"/>
      <c r="H82" s="89" t="s">
        <v>473</v>
      </c>
      <c r="I82" s="239">
        <v>45419</v>
      </c>
      <c r="J82" s="239">
        <v>45420</v>
      </c>
      <c r="K82" s="238">
        <v>45414</v>
      </c>
      <c r="L82" s="238">
        <v>45415</v>
      </c>
      <c r="M82" s="89">
        <v>-5</v>
      </c>
      <c r="N82" s="89">
        <v>-5</v>
      </c>
      <c r="O82" s="89" t="s">
        <v>861</v>
      </c>
    </row>
    <row r="83" spans="1:15" s="89" customFormat="1" ht="14.4">
      <c r="A83" s="89">
        <v>37</v>
      </c>
      <c r="B83" s="241" t="s">
        <v>486</v>
      </c>
      <c r="C83"/>
      <c r="D83" s="89">
        <v>2024</v>
      </c>
      <c r="E83" s="89">
        <v>2024</v>
      </c>
      <c r="F83" s="89">
        <v>11</v>
      </c>
      <c r="G83"/>
      <c r="H83" s="89" t="s">
        <v>473</v>
      </c>
      <c r="I83" s="239">
        <v>45421</v>
      </c>
      <c r="J83" s="239">
        <v>45422</v>
      </c>
      <c r="K83" s="238">
        <v>45416</v>
      </c>
      <c r="L83" s="238">
        <v>45416</v>
      </c>
      <c r="M83" s="89">
        <v>-5</v>
      </c>
      <c r="N83" s="89">
        <v>-6</v>
      </c>
      <c r="O83" s="89" t="s">
        <v>861</v>
      </c>
    </row>
    <row r="84" spans="1:15" s="89" customFormat="1" ht="14.4">
      <c r="A84" s="89">
        <v>38</v>
      </c>
      <c r="B84" s="241" t="s">
        <v>487</v>
      </c>
      <c r="C84"/>
      <c r="D84" s="89">
        <v>2024</v>
      </c>
      <c r="E84" s="89">
        <v>2024</v>
      </c>
      <c r="F84" s="89">
        <v>11</v>
      </c>
      <c r="G84"/>
      <c r="H84" s="89" t="s">
        <v>473</v>
      </c>
      <c r="I84" s="239">
        <v>45423</v>
      </c>
      <c r="J84" s="239">
        <v>45425</v>
      </c>
      <c r="K84" s="238">
        <v>45427</v>
      </c>
      <c r="L84" s="238">
        <v>45427</v>
      </c>
      <c r="M84" s="89">
        <v>4</v>
      </c>
      <c r="N84" s="89">
        <v>2</v>
      </c>
      <c r="O84" s="89" t="s">
        <v>861</v>
      </c>
    </row>
    <row r="85" spans="1:15" s="89" customFormat="1" ht="14.4">
      <c r="A85" s="89">
        <v>39</v>
      </c>
      <c r="B85" s="241" t="s">
        <v>488</v>
      </c>
      <c r="C85"/>
      <c r="D85" s="89">
        <v>2024</v>
      </c>
      <c r="E85" s="89">
        <v>2024</v>
      </c>
      <c r="F85" s="89">
        <v>11</v>
      </c>
      <c r="G85"/>
      <c r="H85" s="89" t="s">
        <v>473</v>
      </c>
      <c r="I85" s="239">
        <v>45426</v>
      </c>
      <c r="J85" s="239">
        <v>45427</v>
      </c>
      <c r="K85" s="238">
        <v>45417</v>
      </c>
      <c r="L85" s="238">
        <v>45417</v>
      </c>
      <c r="M85" s="89">
        <v>-9</v>
      </c>
      <c r="N85" s="89">
        <v>-10</v>
      </c>
      <c r="O85" s="89" t="s">
        <v>861</v>
      </c>
    </row>
    <row r="86" spans="1:15" s="89" customFormat="1" ht="14.4">
      <c r="A86" s="89">
        <v>40</v>
      </c>
      <c r="B86" s="241" t="s">
        <v>489</v>
      </c>
      <c r="C86"/>
      <c r="D86" s="89">
        <v>2024</v>
      </c>
      <c r="E86" s="89">
        <v>2024</v>
      </c>
      <c r="F86" s="89">
        <v>11</v>
      </c>
      <c r="G86"/>
      <c r="H86" s="89" t="s">
        <v>473</v>
      </c>
      <c r="I86" s="239">
        <v>45428</v>
      </c>
      <c r="J86" s="239">
        <v>45429</v>
      </c>
      <c r="K86" s="238">
        <v>45418</v>
      </c>
      <c r="L86" s="238">
        <v>45418</v>
      </c>
      <c r="M86" s="89">
        <v>-10</v>
      </c>
      <c r="N86" s="89">
        <v>-11</v>
      </c>
      <c r="O86" s="89" t="s">
        <v>861</v>
      </c>
    </row>
    <row r="87" spans="1:15" s="89" customFormat="1" ht="14.4">
      <c r="A87" s="89">
        <v>41</v>
      </c>
      <c r="B87" s="241" t="s">
        <v>490</v>
      </c>
      <c r="C87"/>
      <c r="D87" s="89">
        <v>2024</v>
      </c>
      <c r="E87" s="89">
        <v>2024</v>
      </c>
      <c r="F87" s="89">
        <v>11</v>
      </c>
      <c r="G87"/>
      <c r="H87" s="89" t="s">
        <v>473</v>
      </c>
      <c r="I87" s="239">
        <v>45430</v>
      </c>
      <c r="J87" s="239">
        <v>45432</v>
      </c>
      <c r="K87" s="238">
        <v>45419</v>
      </c>
      <c r="L87" s="238">
        <v>45419</v>
      </c>
      <c r="M87" s="89">
        <v>-11</v>
      </c>
      <c r="N87" s="89">
        <v>-13</v>
      </c>
      <c r="O87" s="89" t="s">
        <v>861</v>
      </c>
    </row>
    <row r="88" spans="1:15" s="89" customFormat="1" ht="14.4">
      <c r="A88" s="89">
        <v>42</v>
      </c>
      <c r="B88" s="241" t="s">
        <v>491</v>
      </c>
      <c r="C88"/>
      <c r="D88" s="89">
        <v>2024</v>
      </c>
      <c r="E88" s="89">
        <v>2024</v>
      </c>
      <c r="F88" s="89">
        <v>11</v>
      </c>
      <c r="G88"/>
      <c r="H88" s="89" t="s">
        <v>473</v>
      </c>
      <c r="I88" s="239">
        <v>45433</v>
      </c>
      <c r="J88" s="239">
        <v>45434</v>
      </c>
      <c r="K88" s="238">
        <v>45420</v>
      </c>
      <c r="L88" s="238">
        <v>45420</v>
      </c>
      <c r="M88" s="89">
        <v>-13</v>
      </c>
      <c r="N88" s="89">
        <v>-14</v>
      </c>
      <c r="O88" s="89" t="s">
        <v>861</v>
      </c>
    </row>
    <row r="89" spans="1:15" s="89" customFormat="1" ht="14.4">
      <c r="A89" s="89">
        <v>43</v>
      </c>
      <c r="B89" s="241" t="s">
        <v>492</v>
      </c>
      <c r="C89"/>
      <c r="D89" s="89">
        <v>2024</v>
      </c>
      <c r="E89" s="89">
        <v>2024</v>
      </c>
      <c r="F89" s="89">
        <v>11</v>
      </c>
      <c r="G89"/>
      <c r="H89" s="89" t="s">
        <v>473</v>
      </c>
      <c r="I89" s="239">
        <v>45435</v>
      </c>
      <c r="J89" s="239">
        <v>45436</v>
      </c>
      <c r="K89" s="238">
        <v>45421</v>
      </c>
      <c r="L89" s="238">
        <v>45421</v>
      </c>
      <c r="M89" s="89">
        <v>-14</v>
      </c>
      <c r="N89" s="89">
        <v>-15</v>
      </c>
      <c r="O89" s="89" t="s">
        <v>861</v>
      </c>
    </row>
    <row r="90" spans="1:15" s="89" customFormat="1" ht="14.4">
      <c r="A90" s="89">
        <v>44</v>
      </c>
      <c r="B90" s="241" t="s">
        <v>493</v>
      </c>
      <c r="C90"/>
      <c r="D90" s="89">
        <v>2024</v>
      </c>
      <c r="E90" s="89">
        <v>2024</v>
      </c>
      <c r="F90" s="89">
        <v>11</v>
      </c>
      <c r="G90"/>
      <c r="H90" s="89" t="s">
        <v>473</v>
      </c>
      <c r="I90" s="239">
        <v>45437</v>
      </c>
      <c r="J90" s="239">
        <v>45439</v>
      </c>
      <c r="K90" s="238">
        <v>45426</v>
      </c>
      <c r="L90" s="238">
        <v>45426</v>
      </c>
      <c r="M90" s="89">
        <v>-11</v>
      </c>
      <c r="N90" s="89">
        <v>-13</v>
      </c>
      <c r="O90" s="89" t="s">
        <v>861</v>
      </c>
    </row>
    <row r="91" spans="1:15" s="89" customFormat="1">
      <c r="A91" s="89">
        <v>1</v>
      </c>
      <c r="B91" s="241" t="s">
        <v>835</v>
      </c>
      <c r="D91" s="89">
        <v>2024</v>
      </c>
      <c r="E91" s="89">
        <v>2024</v>
      </c>
      <c r="F91" s="89">
        <v>12</v>
      </c>
      <c r="H91" s="89" t="s">
        <v>859</v>
      </c>
      <c r="I91" s="239">
        <v>45568</v>
      </c>
      <c r="J91" s="90"/>
      <c r="K91" s="239">
        <v>45568</v>
      </c>
      <c r="L91" s="90"/>
      <c r="M91" s="89">
        <v>0</v>
      </c>
      <c r="N91" s="90"/>
      <c r="O91" s="89" t="s">
        <v>860</v>
      </c>
    </row>
    <row r="92" spans="1:15" s="89" customFormat="1">
      <c r="A92" s="89">
        <v>2</v>
      </c>
      <c r="B92" s="241" t="s">
        <v>836</v>
      </c>
      <c r="D92" s="89">
        <v>2024</v>
      </c>
      <c r="E92" s="89">
        <v>2024</v>
      </c>
      <c r="F92" s="89">
        <v>12</v>
      </c>
      <c r="H92" s="89" t="s">
        <v>859</v>
      </c>
      <c r="I92" s="239">
        <v>45569</v>
      </c>
      <c r="J92" s="90"/>
      <c r="K92" s="239">
        <v>45569</v>
      </c>
      <c r="L92" s="90"/>
      <c r="M92" s="89">
        <v>0</v>
      </c>
      <c r="N92" s="90"/>
      <c r="O92" s="89" t="s">
        <v>860</v>
      </c>
    </row>
    <row r="93" spans="1:15" s="89" customFormat="1" ht="14.4">
      <c r="A93" s="89">
        <v>3</v>
      </c>
      <c r="B93" s="241" t="s">
        <v>837</v>
      </c>
      <c r="C93"/>
      <c r="D93" s="89">
        <v>2024</v>
      </c>
      <c r="E93" s="89">
        <v>2024</v>
      </c>
      <c r="F93" s="89">
        <v>12</v>
      </c>
      <c r="G93"/>
      <c r="H93" s="89" t="s">
        <v>859</v>
      </c>
      <c r="I93" s="239">
        <v>45572</v>
      </c>
      <c r="J93" s="90"/>
      <c r="K93" s="239">
        <v>45572</v>
      </c>
      <c r="L93" s="90"/>
      <c r="M93" s="89">
        <v>0</v>
      </c>
      <c r="N93" s="90"/>
      <c r="O93" s="89" t="s">
        <v>860</v>
      </c>
    </row>
    <row r="94" spans="1:15" s="89" customFormat="1" ht="14.4">
      <c r="A94" s="89">
        <v>4</v>
      </c>
      <c r="B94" s="241" t="s">
        <v>838</v>
      </c>
      <c r="C94"/>
      <c r="D94" s="89">
        <v>2024</v>
      </c>
      <c r="E94" s="89">
        <v>2024</v>
      </c>
      <c r="F94" s="89">
        <v>12</v>
      </c>
      <c r="G94"/>
      <c r="H94" s="89" t="s">
        <v>859</v>
      </c>
      <c r="I94" s="239">
        <v>45573</v>
      </c>
      <c r="J94" s="90"/>
      <c r="K94" s="239">
        <v>45573</v>
      </c>
      <c r="L94" s="90"/>
      <c r="M94" s="89">
        <v>0</v>
      </c>
      <c r="N94" s="90"/>
      <c r="O94" s="89" t="s">
        <v>860</v>
      </c>
    </row>
    <row r="95" spans="1:15" s="89" customFormat="1">
      <c r="A95" s="89">
        <v>5</v>
      </c>
      <c r="B95" s="241" t="s">
        <v>839</v>
      </c>
      <c r="D95" s="89">
        <v>2024</v>
      </c>
      <c r="E95" s="89">
        <v>2024</v>
      </c>
      <c r="F95" s="89">
        <v>12</v>
      </c>
      <c r="H95" s="89" t="s">
        <v>859</v>
      </c>
      <c r="I95" s="239">
        <v>45574</v>
      </c>
      <c r="J95" s="90"/>
      <c r="K95" s="239">
        <v>45574</v>
      </c>
      <c r="L95" s="90"/>
      <c r="M95" s="89">
        <v>0</v>
      </c>
      <c r="N95" s="90"/>
      <c r="O95" s="89" t="s">
        <v>860</v>
      </c>
    </row>
    <row r="96" spans="1:15" s="89" customFormat="1">
      <c r="A96" s="89">
        <v>6</v>
      </c>
      <c r="B96" s="241" t="s">
        <v>840</v>
      </c>
      <c r="D96" s="89">
        <v>2024</v>
      </c>
      <c r="E96" s="89">
        <v>2024</v>
      </c>
      <c r="F96" s="89">
        <v>12</v>
      </c>
      <c r="H96" s="89" t="s">
        <v>859</v>
      </c>
      <c r="I96" s="239">
        <v>45575</v>
      </c>
      <c r="J96" s="90"/>
      <c r="K96" s="239">
        <v>45575</v>
      </c>
      <c r="L96" s="90"/>
      <c r="M96" s="89">
        <v>0</v>
      </c>
      <c r="N96" s="90"/>
      <c r="O96" s="89" t="s">
        <v>860</v>
      </c>
    </row>
    <row r="97" spans="1:15" s="89" customFormat="1" ht="14.4">
      <c r="A97" s="89">
        <v>7</v>
      </c>
      <c r="B97" s="241" t="s">
        <v>841</v>
      </c>
      <c r="C97"/>
      <c r="D97" s="89">
        <v>2024</v>
      </c>
      <c r="E97" s="89">
        <v>2024</v>
      </c>
      <c r="F97" s="89">
        <v>12</v>
      </c>
      <c r="G97"/>
      <c r="H97" s="89" t="s">
        <v>859</v>
      </c>
      <c r="I97" s="239">
        <v>45576</v>
      </c>
      <c r="J97" s="90"/>
      <c r="K97" s="239">
        <v>45579</v>
      </c>
      <c r="L97" s="90"/>
      <c r="M97" s="89">
        <v>3</v>
      </c>
      <c r="N97" s="90"/>
      <c r="O97" s="89" t="s">
        <v>860</v>
      </c>
    </row>
    <row r="98" spans="1:15" s="89" customFormat="1" ht="14.4">
      <c r="A98" s="89">
        <v>8</v>
      </c>
      <c r="B98" s="241" t="s">
        <v>842</v>
      </c>
      <c r="C98"/>
      <c r="D98" s="89">
        <v>2024</v>
      </c>
      <c r="E98" s="89">
        <v>2024</v>
      </c>
      <c r="F98" s="89">
        <v>12</v>
      </c>
      <c r="G98"/>
      <c r="H98" s="89" t="s">
        <v>859</v>
      </c>
      <c r="I98" s="239">
        <v>45579</v>
      </c>
      <c r="J98" s="90"/>
      <c r="K98" s="239">
        <v>45580</v>
      </c>
      <c r="L98" s="90"/>
      <c r="M98" s="89">
        <v>1</v>
      </c>
      <c r="N98" s="90"/>
      <c r="O98" s="89" t="s">
        <v>860</v>
      </c>
    </row>
    <row r="99" spans="1:15" s="89" customFormat="1" ht="14.4">
      <c r="A99" s="89">
        <v>9</v>
      </c>
      <c r="B99" s="241" t="s">
        <v>843</v>
      </c>
      <c r="C99"/>
      <c r="D99" s="89">
        <v>2024</v>
      </c>
      <c r="E99" s="89">
        <v>2024</v>
      </c>
      <c r="F99" s="89">
        <v>12</v>
      </c>
      <c r="G99"/>
      <c r="H99" s="89" t="s">
        <v>859</v>
      </c>
      <c r="I99" s="239">
        <v>45580</v>
      </c>
      <c r="J99" s="90"/>
      <c r="K99" s="239">
        <v>45581</v>
      </c>
      <c r="L99" s="90"/>
      <c r="M99" s="89">
        <v>1</v>
      </c>
      <c r="N99" s="90"/>
      <c r="O99" s="89" t="s">
        <v>860</v>
      </c>
    </row>
    <row r="100" spans="1:15" s="89" customFormat="1" ht="14.4">
      <c r="A100" s="89">
        <v>10</v>
      </c>
      <c r="B100" s="241" t="s">
        <v>846</v>
      </c>
      <c r="C100"/>
      <c r="D100" s="89">
        <v>2024</v>
      </c>
      <c r="E100" s="89">
        <v>2024</v>
      </c>
      <c r="F100" s="89">
        <v>12</v>
      </c>
      <c r="G100"/>
      <c r="H100" s="89" t="s">
        <v>859</v>
      </c>
      <c r="I100" s="239">
        <v>45581</v>
      </c>
      <c r="J100" s="90"/>
      <c r="K100" s="239">
        <v>45582</v>
      </c>
      <c r="L100" s="90"/>
      <c r="M100" s="89">
        <v>1</v>
      </c>
      <c r="N100" s="90"/>
      <c r="O100" s="89" t="s">
        <v>860</v>
      </c>
    </row>
    <row r="101" spans="1:15" s="89" customFormat="1" ht="14.4">
      <c r="A101" s="89">
        <v>11</v>
      </c>
      <c r="B101" s="241" t="s">
        <v>845</v>
      </c>
      <c r="C101"/>
      <c r="D101" s="89">
        <v>2024</v>
      </c>
      <c r="E101" s="89">
        <v>2024</v>
      </c>
      <c r="F101" s="89">
        <v>12</v>
      </c>
      <c r="G101"/>
      <c r="H101" s="89" t="s">
        <v>859</v>
      </c>
      <c r="I101" s="239">
        <v>45582</v>
      </c>
      <c r="J101" s="90"/>
      <c r="K101" s="239">
        <v>45583</v>
      </c>
      <c r="L101" s="90"/>
      <c r="M101" s="89">
        <v>1</v>
      </c>
      <c r="N101" s="90"/>
      <c r="O101" s="89" t="s">
        <v>860</v>
      </c>
    </row>
    <row r="102" spans="1:15" s="89" customFormat="1" ht="14.4">
      <c r="A102" s="89">
        <v>12</v>
      </c>
      <c r="B102" s="241" t="s">
        <v>844</v>
      </c>
      <c r="C102"/>
      <c r="D102" s="89">
        <v>2024</v>
      </c>
      <c r="E102" s="89">
        <v>2024</v>
      </c>
      <c r="F102" s="89">
        <v>12</v>
      </c>
      <c r="G102"/>
      <c r="H102" s="89" t="s">
        <v>859</v>
      </c>
      <c r="I102" s="239">
        <v>45583</v>
      </c>
      <c r="J102" s="90"/>
      <c r="K102" s="239">
        <v>45586</v>
      </c>
      <c r="L102" s="90"/>
      <c r="M102" s="89">
        <v>3</v>
      </c>
      <c r="N102" s="90"/>
      <c r="O102" s="89" t="s">
        <v>860</v>
      </c>
    </row>
    <row r="103" spans="1:15" s="89" customFormat="1" ht="14.4">
      <c r="A103" s="89">
        <v>13</v>
      </c>
      <c r="B103" s="241" t="s">
        <v>848</v>
      </c>
      <c r="C103"/>
      <c r="D103" s="89">
        <v>2024</v>
      </c>
      <c r="E103" s="89">
        <v>2024</v>
      </c>
      <c r="F103" s="89">
        <v>12</v>
      </c>
      <c r="G103"/>
      <c r="H103" s="89" t="s">
        <v>859</v>
      </c>
      <c r="I103" s="239">
        <v>45586</v>
      </c>
      <c r="J103" s="90"/>
      <c r="K103" s="239">
        <v>45587</v>
      </c>
      <c r="L103" s="90"/>
      <c r="M103" s="89">
        <v>1</v>
      </c>
      <c r="N103" s="90"/>
      <c r="O103" s="89" t="s">
        <v>860</v>
      </c>
    </row>
    <row r="104" spans="1:15" s="89" customFormat="1" ht="14.4">
      <c r="A104" s="89">
        <v>14</v>
      </c>
      <c r="B104" s="241" t="s">
        <v>847</v>
      </c>
      <c r="C104"/>
      <c r="D104" s="89">
        <v>2024</v>
      </c>
      <c r="E104" s="89">
        <v>2024</v>
      </c>
      <c r="F104" s="89">
        <v>12</v>
      </c>
      <c r="G104"/>
      <c r="H104" s="89" t="s">
        <v>859</v>
      </c>
      <c r="I104" s="239">
        <v>45587</v>
      </c>
      <c r="J104" s="90"/>
      <c r="K104" s="239">
        <v>45588</v>
      </c>
      <c r="L104" s="90"/>
      <c r="M104" s="89">
        <v>1</v>
      </c>
      <c r="N104" s="90"/>
      <c r="O104" s="89" t="s">
        <v>860</v>
      </c>
    </row>
    <row r="105" spans="1:15" s="89" customFormat="1" ht="14.4">
      <c r="A105" s="89">
        <v>15</v>
      </c>
      <c r="B105" s="241" t="s">
        <v>849</v>
      </c>
      <c r="C105"/>
      <c r="D105" s="89">
        <v>2024</v>
      </c>
      <c r="E105" s="89">
        <v>2024</v>
      </c>
      <c r="F105" s="89">
        <v>12</v>
      </c>
      <c r="G105"/>
      <c r="H105" s="89" t="s">
        <v>859</v>
      </c>
      <c r="I105" s="239">
        <v>45588</v>
      </c>
      <c r="J105" s="90"/>
      <c r="K105" s="239">
        <v>45589</v>
      </c>
      <c r="L105" s="90"/>
      <c r="M105" s="89">
        <v>1</v>
      </c>
      <c r="N105" s="90"/>
      <c r="O105" s="89" t="s">
        <v>860</v>
      </c>
    </row>
    <row r="106" spans="1:15" s="89" customFormat="1" ht="14.4">
      <c r="A106" s="89">
        <v>16</v>
      </c>
      <c r="B106" s="241" t="s">
        <v>850</v>
      </c>
      <c r="C106"/>
      <c r="D106" s="89">
        <v>2024</v>
      </c>
      <c r="E106" s="89">
        <v>2024</v>
      </c>
      <c r="F106" s="89">
        <v>12</v>
      </c>
      <c r="G106"/>
      <c r="H106" s="89" t="s">
        <v>859</v>
      </c>
      <c r="I106" s="239">
        <v>45589</v>
      </c>
      <c r="J106" s="90"/>
      <c r="K106" s="239">
        <v>45590</v>
      </c>
      <c r="L106" s="90"/>
      <c r="M106" s="89">
        <v>1</v>
      </c>
      <c r="N106" s="90"/>
      <c r="O106" s="89" t="s">
        <v>860</v>
      </c>
    </row>
    <row r="107" spans="1:15" s="89" customFormat="1" ht="14.4">
      <c r="A107" s="89">
        <v>17</v>
      </c>
      <c r="B107" s="241" t="s">
        <v>851</v>
      </c>
      <c r="C107"/>
      <c r="D107" s="89">
        <v>2024</v>
      </c>
      <c r="E107" s="89">
        <v>2024</v>
      </c>
      <c r="F107" s="89">
        <v>12</v>
      </c>
      <c r="G107"/>
      <c r="H107" s="89" t="s">
        <v>859</v>
      </c>
      <c r="I107" s="239">
        <v>45590</v>
      </c>
      <c r="J107" s="90"/>
      <c r="K107" s="239">
        <v>45591</v>
      </c>
      <c r="L107" s="90"/>
      <c r="M107" s="89">
        <v>1</v>
      </c>
      <c r="N107" s="90"/>
      <c r="O107" s="89" t="s">
        <v>860</v>
      </c>
    </row>
    <row r="108" spans="1:15" s="89" customFormat="1" ht="14.4">
      <c r="A108" s="89">
        <v>18</v>
      </c>
      <c r="B108" s="241" t="s">
        <v>852</v>
      </c>
      <c r="C108"/>
      <c r="D108" s="89">
        <v>2024</v>
      </c>
      <c r="E108" s="89">
        <v>2024</v>
      </c>
      <c r="F108" s="89">
        <v>12</v>
      </c>
      <c r="G108"/>
      <c r="H108" s="89" t="s">
        <v>859</v>
      </c>
      <c r="I108" s="239">
        <v>45599</v>
      </c>
      <c r="J108" s="90"/>
      <c r="K108" s="239">
        <v>45592</v>
      </c>
      <c r="L108" s="90"/>
      <c r="M108" s="89">
        <v>-7</v>
      </c>
      <c r="N108" s="90"/>
      <c r="O108" s="89" t="s">
        <v>860</v>
      </c>
    </row>
    <row r="109" spans="1:15" s="89" customFormat="1" ht="14.4">
      <c r="A109" s="89">
        <v>19</v>
      </c>
      <c r="B109" s="241" t="s">
        <v>853</v>
      </c>
      <c r="C109"/>
      <c r="D109" s="89">
        <v>2024</v>
      </c>
      <c r="E109" s="89">
        <v>2024</v>
      </c>
      <c r="F109" s="89">
        <v>12</v>
      </c>
      <c r="G109"/>
      <c r="H109" s="89" t="s">
        <v>859</v>
      </c>
      <c r="I109" s="239">
        <v>45600</v>
      </c>
      <c r="J109" s="90"/>
      <c r="K109" s="239">
        <v>45593</v>
      </c>
      <c r="L109" s="90"/>
      <c r="M109" s="89">
        <v>-7</v>
      </c>
      <c r="N109" s="90"/>
      <c r="O109" s="89" t="s">
        <v>860</v>
      </c>
    </row>
    <row r="110" spans="1:15" s="89" customFormat="1" ht="14.4">
      <c r="A110" s="89">
        <v>20</v>
      </c>
      <c r="B110" s="241" t="s">
        <v>854</v>
      </c>
      <c r="C110"/>
      <c r="D110" s="89">
        <v>2024</v>
      </c>
      <c r="E110" s="89">
        <v>2024</v>
      </c>
      <c r="F110" s="89">
        <v>12</v>
      </c>
      <c r="G110"/>
      <c r="H110" s="89" t="s">
        <v>859</v>
      </c>
      <c r="I110" s="239">
        <v>45601</v>
      </c>
      <c r="J110" s="90"/>
      <c r="K110" s="239">
        <v>45594</v>
      </c>
      <c r="L110" s="90"/>
      <c r="M110" s="89">
        <v>-7</v>
      </c>
      <c r="N110" s="90"/>
      <c r="O110" s="89" t="s">
        <v>860</v>
      </c>
    </row>
    <row r="111" spans="1:15" s="89" customFormat="1" ht="14.4">
      <c r="A111" s="89">
        <v>21</v>
      </c>
      <c r="B111" s="241" t="s">
        <v>855</v>
      </c>
      <c r="C111"/>
      <c r="D111" s="89">
        <v>2024</v>
      </c>
      <c r="E111" s="89">
        <v>2024</v>
      </c>
      <c r="F111" s="89">
        <v>12</v>
      </c>
      <c r="G111"/>
      <c r="H111" s="89" t="s">
        <v>859</v>
      </c>
      <c r="I111" s="239">
        <v>45606</v>
      </c>
      <c r="J111" s="90"/>
      <c r="K111" s="239">
        <v>45595</v>
      </c>
      <c r="L111" s="90"/>
      <c r="M111" s="89">
        <v>-11</v>
      </c>
      <c r="N111" s="90"/>
      <c r="O111" s="89" t="s">
        <v>860</v>
      </c>
    </row>
    <row r="112" spans="1:15" s="89" customFormat="1" ht="14.4">
      <c r="A112" s="89">
        <v>22</v>
      </c>
      <c r="B112" s="241" t="s">
        <v>856</v>
      </c>
      <c r="C112"/>
      <c r="D112" s="89">
        <v>2024</v>
      </c>
      <c r="E112" s="89">
        <v>2024</v>
      </c>
      <c r="F112" s="89">
        <v>12</v>
      </c>
      <c r="G112"/>
      <c r="H112" s="89" t="s">
        <v>859</v>
      </c>
      <c r="I112" s="239">
        <v>45602</v>
      </c>
      <c r="J112" s="90"/>
      <c r="K112" s="239">
        <v>45603</v>
      </c>
      <c r="L112" s="90"/>
      <c r="M112" s="89">
        <v>1</v>
      </c>
      <c r="N112" s="90"/>
      <c r="O112" s="89" t="s">
        <v>860</v>
      </c>
    </row>
    <row r="113" spans="1:15" s="89" customFormat="1" ht="14.4">
      <c r="A113" s="89">
        <v>23</v>
      </c>
      <c r="B113" s="241" t="s">
        <v>857</v>
      </c>
      <c r="C113"/>
      <c r="D113" s="89">
        <v>2024</v>
      </c>
      <c r="E113" s="89">
        <v>2024</v>
      </c>
      <c r="F113" s="89">
        <v>12</v>
      </c>
      <c r="G113"/>
      <c r="H113" s="89" t="s">
        <v>859</v>
      </c>
      <c r="I113" s="239">
        <v>45607</v>
      </c>
      <c r="J113" s="90"/>
      <c r="K113" s="239">
        <v>45604</v>
      </c>
      <c r="L113" s="90"/>
      <c r="M113" s="89">
        <v>-3</v>
      </c>
      <c r="N113" s="90"/>
      <c r="O113" s="89" t="s">
        <v>860</v>
      </c>
    </row>
    <row r="114" spans="1:15" s="89" customFormat="1" ht="14.4">
      <c r="A114" s="89">
        <v>24</v>
      </c>
      <c r="B114" s="241" t="s">
        <v>858</v>
      </c>
      <c r="C114"/>
      <c r="D114" s="89">
        <v>2024</v>
      </c>
      <c r="E114" s="89">
        <v>2024</v>
      </c>
      <c r="F114" s="89">
        <v>12</v>
      </c>
      <c r="G114"/>
      <c r="H114" s="89" t="s">
        <v>859</v>
      </c>
      <c r="I114" s="239">
        <v>45608</v>
      </c>
      <c r="J114" s="90"/>
      <c r="K114" s="239">
        <v>45605</v>
      </c>
      <c r="L114" s="90"/>
      <c r="M114" s="89">
        <v>-3</v>
      </c>
      <c r="N114" s="90"/>
      <c r="O114" s="89" t="s">
        <v>860</v>
      </c>
    </row>
    <row r="115" spans="1:15" s="89" customFormat="1" ht="14.4">
      <c r="A115" s="89">
        <v>25</v>
      </c>
      <c r="B115" s="241" t="s">
        <v>472</v>
      </c>
      <c r="C115"/>
      <c r="D115" s="89">
        <v>2024</v>
      </c>
      <c r="E115" s="89">
        <v>2024</v>
      </c>
      <c r="F115" s="89">
        <v>12</v>
      </c>
      <c r="G115"/>
      <c r="H115" s="89" t="s">
        <v>859</v>
      </c>
      <c r="I115" s="239">
        <v>45609</v>
      </c>
      <c r="J115" s="90"/>
      <c r="K115" s="239">
        <v>45607</v>
      </c>
      <c r="L115" s="90"/>
      <c r="M115" s="89">
        <v>-2</v>
      </c>
      <c r="N115" s="90"/>
      <c r="O115" s="89" t="s">
        <v>860</v>
      </c>
    </row>
    <row r="116" spans="1:15" s="89" customFormat="1" ht="14.4">
      <c r="A116" s="89">
        <v>26</v>
      </c>
      <c r="B116" s="241" t="s">
        <v>475</v>
      </c>
      <c r="C116"/>
      <c r="D116" s="89">
        <v>2024</v>
      </c>
      <c r="E116" s="89">
        <v>2024</v>
      </c>
      <c r="F116" s="89">
        <v>12</v>
      </c>
      <c r="G116"/>
      <c r="H116" s="89" t="s">
        <v>859</v>
      </c>
      <c r="I116" s="239">
        <v>45610</v>
      </c>
      <c r="J116" s="90"/>
      <c r="K116" s="239">
        <v>45608</v>
      </c>
      <c r="L116" s="90"/>
      <c r="M116" s="89">
        <v>-2</v>
      </c>
      <c r="N116" s="90"/>
      <c r="O116" s="89" t="s">
        <v>860</v>
      </c>
    </row>
    <row r="117" spans="1:15" s="89" customFormat="1" ht="14.4">
      <c r="A117" s="89">
        <v>27</v>
      </c>
      <c r="B117" s="241" t="s">
        <v>476</v>
      </c>
      <c r="C117"/>
      <c r="D117" s="89">
        <v>2024</v>
      </c>
      <c r="E117" s="89">
        <v>2024</v>
      </c>
      <c r="F117" s="89">
        <v>12</v>
      </c>
      <c r="G117"/>
      <c r="H117" s="89" t="s">
        <v>859</v>
      </c>
      <c r="I117" s="239">
        <v>45613</v>
      </c>
      <c r="J117" s="90"/>
      <c r="K117" s="239">
        <v>45610</v>
      </c>
      <c r="L117" s="90"/>
      <c r="M117" s="89">
        <v>-3</v>
      </c>
      <c r="N117" s="90"/>
      <c r="O117" s="89" t="s">
        <v>860</v>
      </c>
    </row>
    <row r="118" spans="1:15" s="89" customFormat="1" ht="14.4">
      <c r="A118" s="89">
        <v>28</v>
      </c>
      <c r="B118" s="241" t="s">
        <v>477</v>
      </c>
      <c r="C118"/>
      <c r="D118" s="89">
        <v>2024</v>
      </c>
      <c r="E118" s="89">
        <v>2024</v>
      </c>
      <c r="F118" s="89">
        <v>12</v>
      </c>
      <c r="G118"/>
      <c r="H118" s="89" t="s">
        <v>859</v>
      </c>
      <c r="I118" s="239">
        <v>45614</v>
      </c>
      <c r="J118" s="90"/>
      <c r="K118" s="239">
        <v>45611</v>
      </c>
      <c r="L118" s="90"/>
      <c r="M118" s="89">
        <v>-3</v>
      </c>
      <c r="N118" s="90"/>
      <c r="O118" s="89" t="s">
        <v>860</v>
      </c>
    </row>
    <row r="119" spans="1:15" s="89" customFormat="1" ht="14.4">
      <c r="A119" s="89">
        <v>29</v>
      </c>
      <c r="B119" s="241" t="s">
        <v>478</v>
      </c>
      <c r="C119"/>
      <c r="D119" s="89">
        <v>2024</v>
      </c>
      <c r="E119" s="89">
        <v>2024</v>
      </c>
      <c r="F119" s="89">
        <v>12</v>
      </c>
      <c r="G119"/>
      <c r="H119" s="89" t="s">
        <v>859</v>
      </c>
      <c r="I119" s="239">
        <v>45615</v>
      </c>
      <c r="J119" s="90"/>
      <c r="K119" s="239">
        <v>45614</v>
      </c>
      <c r="L119" s="90"/>
      <c r="M119" s="89">
        <v>-1</v>
      </c>
      <c r="N119" s="90"/>
      <c r="O119" s="89" t="s">
        <v>860</v>
      </c>
    </row>
    <row r="120" spans="1:15" s="89" customFormat="1" ht="14.4">
      <c r="A120" s="89">
        <v>30</v>
      </c>
      <c r="B120" s="241" t="s">
        <v>479</v>
      </c>
      <c r="C120"/>
      <c r="D120" s="89">
        <v>2024</v>
      </c>
      <c r="E120" s="89">
        <v>2024</v>
      </c>
      <c r="F120" s="89">
        <v>12</v>
      </c>
      <c r="G120"/>
      <c r="H120" s="89" t="s">
        <v>859</v>
      </c>
      <c r="I120" s="239">
        <v>45616</v>
      </c>
      <c r="J120" s="90"/>
      <c r="K120" s="239">
        <v>45615</v>
      </c>
      <c r="L120" s="90"/>
      <c r="M120" s="89">
        <v>-1</v>
      </c>
      <c r="N120" s="90"/>
      <c r="O120" s="89" t="s">
        <v>860</v>
      </c>
    </row>
    <row r="121" spans="1:15" s="89" customFormat="1" ht="14.4">
      <c r="A121" s="89">
        <v>31</v>
      </c>
      <c r="B121" s="241" t="s">
        <v>480</v>
      </c>
      <c r="C121"/>
      <c r="D121" s="89">
        <v>2024</v>
      </c>
      <c r="E121" s="89">
        <v>2024</v>
      </c>
      <c r="F121" s="89">
        <v>12</v>
      </c>
      <c r="G121"/>
      <c r="H121" s="89" t="s">
        <v>859</v>
      </c>
      <c r="I121" s="239">
        <v>45617</v>
      </c>
      <c r="J121" s="90"/>
      <c r="K121" s="239">
        <v>45617</v>
      </c>
      <c r="L121" s="90"/>
      <c r="M121" s="89">
        <v>0</v>
      </c>
      <c r="N121" s="90"/>
      <c r="O121" s="89" t="s">
        <v>860</v>
      </c>
    </row>
    <row r="122" spans="1:15" s="89" customFormat="1" ht="14.4">
      <c r="A122" s="89">
        <v>32</v>
      </c>
      <c r="B122" s="241" t="s">
        <v>481</v>
      </c>
      <c r="C122"/>
      <c r="D122" s="89">
        <v>2024</v>
      </c>
      <c r="E122" s="89">
        <v>2024</v>
      </c>
      <c r="F122" s="89">
        <v>12</v>
      </c>
      <c r="G122"/>
      <c r="H122" s="89" t="s">
        <v>859</v>
      </c>
      <c r="I122" s="239">
        <v>45620</v>
      </c>
      <c r="J122" s="90"/>
      <c r="K122" s="239">
        <v>45618</v>
      </c>
      <c r="L122" s="90"/>
      <c r="M122" s="89">
        <v>-2</v>
      </c>
      <c r="N122" s="90"/>
      <c r="O122" s="89" t="s">
        <v>860</v>
      </c>
    </row>
    <row r="123" spans="1:15" s="89" customFormat="1" ht="14.4">
      <c r="A123" s="89">
        <v>33</v>
      </c>
      <c r="B123" s="241" t="s">
        <v>482</v>
      </c>
      <c r="C123"/>
      <c r="D123" s="89">
        <v>2024</v>
      </c>
      <c r="E123" s="89">
        <v>2024</v>
      </c>
      <c r="F123" s="89">
        <v>12</v>
      </c>
      <c r="G123"/>
      <c r="H123" s="89" t="s">
        <v>859</v>
      </c>
      <c r="I123" s="239">
        <v>45621</v>
      </c>
      <c r="J123" s="90"/>
      <c r="K123" s="239">
        <v>45621</v>
      </c>
      <c r="L123" s="90"/>
      <c r="M123" s="89">
        <v>0</v>
      </c>
      <c r="N123" s="90"/>
      <c r="O123" s="89" t="s">
        <v>860</v>
      </c>
    </row>
    <row r="124" spans="1:15" s="89" customFormat="1" ht="14.4">
      <c r="A124" s="89">
        <v>34</v>
      </c>
      <c r="B124" s="241" t="s">
        <v>483</v>
      </c>
      <c r="C124"/>
      <c r="D124" s="89">
        <v>2024</v>
      </c>
      <c r="E124" s="89">
        <v>2024</v>
      </c>
      <c r="F124" s="89">
        <v>12</v>
      </c>
      <c r="G124"/>
      <c r="H124" s="89" t="s">
        <v>859</v>
      </c>
      <c r="I124" s="239">
        <v>45622</v>
      </c>
      <c r="J124" s="90"/>
      <c r="K124" s="239">
        <v>45623</v>
      </c>
      <c r="L124" s="90"/>
      <c r="M124" s="89">
        <v>1</v>
      </c>
      <c r="N124" s="90"/>
      <c r="O124" s="89" t="s">
        <v>860</v>
      </c>
    </row>
    <row r="125" spans="1:15" s="89" customFormat="1" ht="14.4">
      <c r="A125" s="89">
        <v>35</v>
      </c>
      <c r="B125" s="241" t="s">
        <v>484</v>
      </c>
      <c r="C125"/>
      <c r="D125" s="89">
        <v>2024</v>
      </c>
      <c r="E125" s="89">
        <v>2024</v>
      </c>
      <c r="F125" s="89">
        <v>12</v>
      </c>
      <c r="G125"/>
      <c r="H125" s="89" t="s">
        <v>859</v>
      </c>
      <c r="I125" s="239">
        <v>45623</v>
      </c>
      <c r="J125" s="90"/>
      <c r="K125" s="239">
        <v>45624</v>
      </c>
      <c r="L125" s="90"/>
      <c r="M125" s="89">
        <v>1</v>
      </c>
      <c r="N125" s="90"/>
      <c r="O125" s="89" t="s">
        <v>860</v>
      </c>
    </row>
    <row r="126" spans="1:15" s="89" customFormat="1" ht="14.4">
      <c r="A126" s="89">
        <v>36</v>
      </c>
      <c r="B126" s="241" t="s">
        <v>485</v>
      </c>
      <c r="C126"/>
      <c r="D126" s="89">
        <v>2024</v>
      </c>
      <c r="E126" s="89">
        <v>2024</v>
      </c>
      <c r="F126" s="89">
        <v>12</v>
      </c>
      <c r="G126"/>
      <c r="H126" s="89" t="s">
        <v>859</v>
      </c>
      <c r="I126" s="239">
        <v>45624</v>
      </c>
      <c r="J126" s="90"/>
      <c r="K126" s="239">
        <v>45626</v>
      </c>
      <c r="L126" s="90"/>
      <c r="M126" s="89">
        <v>2</v>
      </c>
      <c r="N126" s="90"/>
      <c r="O126" s="89" t="s">
        <v>860</v>
      </c>
    </row>
    <row r="127" spans="1:15" s="89" customFormat="1" ht="14.4">
      <c r="A127" s="89">
        <v>37</v>
      </c>
      <c r="B127" s="241" t="s">
        <v>486</v>
      </c>
      <c r="C127"/>
      <c r="D127" s="89">
        <v>2024</v>
      </c>
      <c r="E127" s="89">
        <v>2024</v>
      </c>
      <c r="F127" s="89">
        <v>12</v>
      </c>
      <c r="G127"/>
      <c r="H127" s="89" t="s">
        <v>859</v>
      </c>
      <c r="I127" s="239">
        <v>45627</v>
      </c>
      <c r="J127" s="90"/>
      <c r="K127" s="239">
        <v>45628</v>
      </c>
      <c r="L127" s="90"/>
      <c r="M127" s="89">
        <v>1</v>
      </c>
      <c r="N127" s="90"/>
      <c r="O127" s="89" t="s">
        <v>860</v>
      </c>
    </row>
    <row r="128" spans="1:15" s="89" customFormat="1" ht="14.4">
      <c r="A128" s="89">
        <v>38</v>
      </c>
      <c r="B128" s="241" t="s">
        <v>487</v>
      </c>
      <c r="C128"/>
      <c r="D128" s="89">
        <v>2024</v>
      </c>
      <c r="E128" s="89">
        <v>2024</v>
      </c>
      <c r="F128" s="89">
        <v>12</v>
      </c>
      <c r="G128"/>
      <c r="H128" s="89" t="s">
        <v>859</v>
      </c>
      <c r="I128" s="239">
        <v>45628</v>
      </c>
      <c r="J128" s="90"/>
      <c r="K128" s="239">
        <v>45630</v>
      </c>
      <c r="L128" s="90"/>
      <c r="M128" s="89">
        <v>2</v>
      </c>
      <c r="N128" s="90"/>
      <c r="O128" s="89" t="s">
        <v>860</v>
      </c>
    </row>
    <row r="129" spans="1:15" s="89" customFormat="1" ht="14.4">
      <c r="A129" s="89">
        <v>39</v>
      </c>
      <c r="B129" s="241" t="s">
        <v>488</v>
      </c>
      <c r="C129"/>
      <c r="D129" s="89">
        <v>2024</v>
      </c>
      <c r="E129" s="89">
        <v>2024</v>
      </c>
      <c r="F129" s="89">
        <v>12</v>
      </c>
      <c r="G129"/>
      <c r="H129" s="89" t="s">
        <v>859</v>
      </c>
      <c r="I129" s="239">
        <v>45629</v>
      </c>
      <c r="J129" s="90"/>
      <c r="K129" s="239">
        <v>45631</v>
      </c>
      <c r="L129" s="90"/>
      <c r="M129" s="89">
        <v>2</v>
      </c>
      <c r="N129" s="90"/>
      <c r="O129" s="89" t="s">
        <v>860</v>
      </c>
    </row>
    <row r="130" spans="1:15" s="89" customFormat="1" ht="14.4">
      <c r="A130" s="89">
        <v>40</v>
      </c>
      <c r="B130" s="241" t="s">
        <v>489</v>
      </c>
      <c r="C130"/>
      <c r="D130" s="89">
        <v>2024</v>
      </c>
      <c r="E130" s="89">
        <v>2024</v>
      </c>
      <c r="F130" s="89">
        <v>12</v>
      </c>
      <c r="G130"/>
      <c r="H130" s="89" t="s">
        <v>859</v>
      </c>
      <c r="I130" s="239">
        <v>45630</v>
      </c>
      <c r="J130" s="90"/>
      <c r="K130" s="239">
        <v>45632</v>
      </c>
      <c r="L130" s="90"/>
      <c r="M130" s="89">
        <v>2</v>
      </c>
      <c r="N130" s="90"/>
      <c r="O130" s="89" t="s">
        <v>860</v>
      </c>
    </row>
    <row r="131" spans="1:15" s="89" customFormat="1" ht="14.4">
      <c r="A131" s="89">
        <v>41</v>
      </c>
      <c r="B131" s="241" t="s">
        <v>490</v>
      </c>
      <c r="C131"/>
      <c r="D131" s="89">
        <v>2024</v>
      </c>
      <c r="E131" s="89">
        <v>2024</v>
      </c>
      <c r="F131" s="89">
        <v>12</v>
      </c>
      <c r="G131"/>
      <c r="H131" s="89" t="s">
        <v>859</v>
      </c>
      <c r="I131" s="239">
        <v>45631</v>
      </c>
      <c r="J131" s="90"/>
      <c r="K131" s="239">
        <v>45633</v>
      </c>
      <c r="L131" s="90"/>
      <c r="M131" s="89">
        <v>2</v>
      </c>
      <c r="N131" s="90"/>
      <c r="O131" s="89" t="s">
        <v>860</v>
      </c>
    </row>
    <row r="132" spans="1:15" s="89" customFormat="1" ht="14.4">
      <c r="A132" s="89">
        <v>42</v>
      </c>
      <c r="B132" s="241" t="s">
        <v>491</v>
      </c>
      <c r="C132"/>
      <c r="D132" s="89">
        <v>2024</v>
      </c>
      <c r="E132" s="89">
        <v>2024</v>
      </c>
      <c r="F132" s="89">
        <v>12</v>
      </c>
      <c r="G132"/>
      <c r="H132" s="89" t="s">
        <v>859</v>
      </c>
      <c r="I132" s="239">
        <v>45634</v>
      </c>
      <c r="J132" s="90"/>
      <c r="K132" s="239">
        <v>45635</v>
      </c>
      <c r="L132" s="90"/>
      <c r="M132" s="89">
        <v>1</v>
      </c>
      <c r="N132" s="90"/>
      <c r="O132" s="89" t="s">
        <v>860</v>
      </c>
    </row>
    <row r="133" spans="1:15" s="89" customFormat="1" ht="14.4">
      <c r="A133" s="89">
        <v>43</v>
      </c>
      <c r="B133" s="241" t="s">
        <v>492</v>
      </c>
      <c r="C133"/>
      <c r="D133" s="89">
        <v>2024</v>
      </c>
      <c r="E133" s="89">
        <v>2024</v>
      </c>
      <c r="F133" s="89">
        <v>12</v>
      </c>
      <c r="G133"/>
      <c r="H133" s="89" t="s">
        <v>859</v>
      </c>
      <c r="I133" s="239">
        <v>45635</v>
      </c>
      <c r="J133" s="90"/>
      <c r="K133" s="239">
        <v>45636</v>
      </c>
      <c r="L133" s="90"/>
      <c r="M133" s="89">
        <v>1</v>
      </c>
      <c r="N133" s="90"/>
      <c r="O133" s="89" t="s">
        <v>860</v>
      </c>
    </row>
    <row r="134" spans="1:15" s="89" customFormat="1" ht="14.4">
      <c r="A134" s="89">
        <v>44</v>
      </c>
      <c r="B134" s="241" t="s">
        <v>493</v>
      </c>
      <c r="C134"/>
      <c r="D134" s="89">
        <v>2024</v>
      </c>
      <c r="E134" s="89">
        <v>2024</v>
      </c>
      <c r="F134" s="89">
        <v>12</v>
      </c>
      <c r="G134"/>
      <c r="H134" s="89" t="s">
        <v>859</v>
      </c>
      <c r="I134" s="239">
        <v>45636</v>
      </c>
      <c r="J134" s="90"/>
      <c r="K134" s="239">
        <v>45637</v>
      </c>
      <c r="L134" s="90"/>
      <c r="M134" s="89">
        <v>1</v>
      </c>
      <c r="N134" s="90"/>
      <c r="O134" s="89" t="s">
        <v>860</v>
      </c>
    </row>
    <row r="135" spans="1:15">
      <c r="A135" s="89">
        <v>1</v>
      </c>
      <c r="B135" s="241" t="s">
        <v>835</v>
      </c>
      <c r="C135" s="89"/>
      <c r="D135" s="89">
        <v>2025</v>
      </c>
      <c r="E135" s="89">
        <v>2025</v>
      </c>
      <c r="F135" s="89">
        <v>12</v>
      </c>
      <c r="G135" s="89"/>
      <c r="H135" s="89" t="s">
        <v>473</v>
      </c>
      <c r="I135" s="239">
        <v>45691</v>
      </c>
      <c r="J135" s="239">
        <v>45692</v>
      </c>
      <c r="K135" s="242">
        <v>45692</v>
      </c>
      <c r="L135" s="242">
        <v>45699</v>
      </c>
      <c r="M135" s="89">
        <v>1</v>
      </c>
      <c r="N135" s="89">
        <v>7</v>
      </c>
      <c r="O135" s="89" t="s">
        <v>474</v>
      </c>
    </row>
    <row r="136" spans="1:15">
      <c r="A136" s="89">
        <v>2</v>
      </c>
      <c r="B136" s="241" t="s">
        <v>836</v>
      </c>
      <c r="C136" s="89"/>
      <c r="D136" s="89">
        <v>2025</v>
      </c>
      <c r="E136" s="89">
        <v>2025</v>
      </c>
      <c r="F136" s="89">
        <v>12</v>
      </c>
      <c r="G136" s="89"/>
      <c r="H136" s="89" t="s">
        <v>473</v>
      </c>
      <c r="I136" s="239">
        <v>45693</v>
      </c>
      <c r="J136" s="239">
        <v>45694</v>
      </c>
      <c r="K136" s="242">
        <v>45693</v>
      </c>
      <c r="L136" s="242">
        <v>45700</v>
      </c>
      <c r="M136" s="89">
        <v>0</v>
      </c>
      <c r="N136" s="89">
        <v>6</v>
      </c>
      <c r="O136" s="89" t="s">
        <v>474</v>
      </c>
    </row>
    <row r="137" spans="1:15" ht="14.4">
      <c r="A137" s="89">
        <v>3</v>
      </c>
      <c r="B137" s="241" t="s">
        <v>837</v>
      </c>
      <c r="C137"/>
      <c r="D137" s="89">
        <v>2025</v>
      </c>
      <c r="E137" s="89">
        <v>2025</v>
      </c>
      <c r="F137" s="89">
        <v>12</v>
      </c>
      <c r="G137"/>
      <c r="H137" s="89" t="s">
        <v>473</v>
      </c>
      <c r="I137" s="239">
        <v>45695</v>
      </c>
      <c r="J137" s="239">
        <v>45696</v>
      </c>
      <c r="K137" s="242">
        <v>45694</v>
      </c>
      <c r="L137" s="242">
        <v>45701</v>
      </c>
      <c r="M137" s="89">
        <v>-1</v>
      </c>
      <c r="N137" s="89">
        <v>5</v>
      </c>
      <c r="O137" s="89" t="s">
        <v>474</v>
      </c>
    </row>
    <row r="138" spans="1:15" ht="14.4">
      <c r="A138" s="89">
        <v>4</v>
      </c>
      <c r="B138" s="241" t="s">
        <v>838</v>
      </c>
      <c r="C138"/>
      <c r="D138" s="89">
        <v>2025</v>
      </c>
      <c r="E138" s="89">
        <v>2025</v>
      </c>
      <c r="F138" s="89">
        <v>12</v>
      </c>
      <c r="G138"/>
      <c r="H138" s="89" t="s">
        <v>473</v>
      </c>
      <c r="I138" s="239">
        <v>45698</v>
      </c>
      <c r="J138" s="239">
        <v>45699</v>
      </c>
      <c r="K138" s="242">
        <v>45695</v>
      </c>
      <c r="L138" s="242">
        <v>45702</v>
      </c>
      <c r="M138" s="89">
        <v>-3</v>
      </c>
      <c r="N138" s="89">
        <v>3</v>
      </c>
      <c r="O138" s="89" t="s">
        <v>474</v>
      </c>
    </row>
    <row r="139" spans="1:15">
      <c r="A139" s="89">
        <v>5</v>
      </c>
      <c r="B139" s="241" t="s">
        <v>839</v>
      </c>
      <c r="C139" s="89"/>
      <c r="D139" s="89">
        <v>2025</v>
      </c>
      <c r="E139" s="89">
        <v>2025</v>
      </c>
      <c r="F139" s="89">
        <v>12</v>
      </c>
      <c r="G139" s="89"/>
      <c r="H139" s="89" t="s">
        <v>473</v>
      </c>
      <c r="I139" s="239">
        <v>45700</v>
      </c>
      <c r="J139" s="239">
        <v>45701</v>
      </c>
      <c r="K139" s="242">
        <v>45696</v>
      </c>
      <c r="L139" s="242">
        <v>45705</v>
      </c>
      <c r="M139" s="89">
        <v>-4</v>
      </c>
      <c r="N139" s="89">
        <v>4</v>
      </c>
      <c r="O139" s="89" t="s">
        <v>474</v>
      </c>
    </row>
    <row r="140" spans="1:15">
      <c r="A140" s="89">
        <v>6</v>
      </c>
      <c r="B140" s="241" t="s">
        <v>840</v>
      </c>
      <c r="C140" s="89"/>
      <c r="D140" s="89">
        <v>2025</v>
      </c>
      <c r="E140" s="89">
        <v>2025</v>
      </c>
      <c r="F140" s="89">
        <v>12</v>
      </c>
      <c r="G140" s="89"/>
      <c r="H140" s="89" t="s">
        <v>473</v>
      </c>
      <c r="I140" s="239">
        <v>45702</v>
      </c>
      <c r="J140" s="239">
        <v>45703</v>
      </c>
      <c r="K140" s="242">
        <v>45698</v>
      </c>
      <c r="L140" s="242">
        <v>45706</v>
      </c>
      <c r="M140" s="89">
        <v>-4</v>
      </c>
      <c r="N140" s="89">
        <v>3</v>
      </c>
      <c r="O140" s="89" t="s">
        <v>474</v>
      </c>
    </row>
    <row r="141" spans="1:15" ht="14.4">
      <c r="A141" s="89">
        <v>7</v>
      </c>
      <c r="B141" s="241" t="s">
        <v>841</v>
      </c>
      <c r="C141"/>
      <c r="D141" s="89">
        <v>2025</v>
      </c>
      <c r="E141" s="89">
        <v>2025</v>
      </c>
      <c r="F141" s="89">
        <v>12</v>
      </c>
      <c r="G141"/>
      <c r="H141" s="89" t="s">
        <v>473</v>
      </c>
      <c r="I141" s="239">
        <v>45705</v>
      </c>
      <c r="J141" s="239">
        <v>45706</v>
      </c>
      <c r="K141" s="242">
        <v>45707</v>
      </c>
      <c r="L141" s="242">
        <v>45708</v>
      </c>
      <c r="M141" s="89">
        <v>2</v>
      </c>
      <c r="N141" s="89">
        <v>2</v>
      </c>
      <c r="O141" s="89" t="s">
        <v>474</v>
      </c>
    </row>
    <row r="142" spans="1:15" ht="14.4">
      <c r="A142" s="89">
        <v>8</v>
      </c>
      <c r="B142" s="241" t="s">
        <v>842</v>
      </c>
      <c r="C142"/>
      <c r="D142" s="89">
        <v>2025</v>
      </c>
      <c r="E142" s="89">
        <v>2025</v>
      </c>
      <c r="F142" s="89">
        <v>12</v>
      </c>
      <c r="G142"/>
      <c r="H142" s="89" t="s">
        <v>473</v>
      </c>
      <c r="I142" s="239">
        <v>45707</v>
      </c>
      <c r="J142" s="239">
        <v>45708</v>
      </c>
      <c r="K142" s="242">
        <v>45712</v>
      </c>
      <c r="L142" s="242">
        <v>45713</v>
      </c>
      <c r="M142" s="89">
        <v>5</v>
      </c>
      <c r="N142" s="89">
        <v>5</v>
      </c>
      <c r="O142" s="89" t="s">
        <v>474</v>
      </c>
    </row>
    <row r="143" spans="1:15" ht="14.4">
      <c r="A143" s="89">
        <v>9</v>
      </c>
      <c r="B143" s="241" t="s">
        <v>843</v>
      </c>
      <c r="C143"/>
      <c r="D143" s="89">
        <v>2025</v>
      </c>
      <c r="E143" s="89">
        <v>2025</v>
      </c>
      <c r="F143" s="89">
        <v>12</v>
      </c>
      <c r="G143"/>
      <c r="H143" s="89" t="s">
        <v>473</v>
      </c>
      <c r="I143" s="239">
        <v>45709</v>
      </c>
      <c r="J143" s="239">
        <v>45710</v>
      </c>
      <c r="K143" s="242">
        <v>45714</v>
      </c>
      <c r="L143" s="242">
        <v>45715</v>
      </c>
      <c r="M143" s="89">
        <v>5</v>
      </c>
      <c r="N143" s="89">
        <v>5</v>
      </c>
      <c r="O143" s="89" t="s">
        <v>474</v>
      </c>
    </row>
    <row r="144" spans="1:15" ht="14.4">
      <c r="A144" s="89">
        <v>10</v>
      </c>
      <c r="B144" s="241" t="s">
        <v>844</v>
      </c>
      <c r="C144"/>
      <c r="D144" s="89">
        <v>2025</v>
      </c>
      <c r="E144" s="89">
        <v>2025</v>
      </c>
      <c r="F144" s="89">
        <v>12</v>
      </c>
      <c r="G144"/>
      <c r="H144" s="89" t="s">
        <v>473</v>
      </c>
      <c r="I144" s="239">
        <v>45712</v>
      </c>
      <c r="J144" s="239">
        <v>45713</v>
      </c>
      <c r="K144" s="242">
        <v>45719</v>
      </c>
      <c r="L144" s="242">
        <v>45719</v>
      </c>
      <c r="M144" s="89">
        <v>7</v>
      </c>
      <c r="N144" s="89">
        <v>6</v>
      </c>
      <c r="O144" s="89" t="s">
        <v>474</v>
      </c>
    </row>
    <row r="145" spans="1:17" ht="14.4">
      <c r="A145" s="89">
        <v>11</v>
      </c>
      <c r="B145" s="241" t="s">
        <v>845</v>
      </c>
      <c r="C145"/>
      <c r="D145" s="89">
        <v>2025</v>
      </c>
      <c r="E145" s="89">
        <v>2025</v>
      </c>
      <c r="F145" s="89">
        <v>12</v>
      </c>
      <c r="G145"/>
      <c r="H145" s="89" t="s">
        <v>473</v>
      </c>
      <c r="I145" s="239">
        <v>45714</v>
      </c>
      <c r="J145" s="239">
        <v>45715</v>
      </c>
      <c r="K145" s="242">
        <v>45717</v>
      </c>
      <c r="L145" s="242">
        <v>45718</v>
      </c>
      <c r="M145" s="89">
        <v>3</v>
      </c>
      <c r="N145" s="89">
        <v>3</v>
      </c>
      <c r="O145" s="89" t="s">
        <v>474</v>
      </c>
      <c r="Q145" s="88" t="s">
        <v>6</v>
      </c>
    </row>
    <row r="146" spans="1:17" ht="14.4">
      <c r="A146" s="89">
        <v>12</v>
      </c>
      <c r="B146" s="241" t="s">
        <v>846</v>
      </c>
      <c r="C146"/>
      <c r="D146" s="89">
        <v>2025</v>
      </c>
      <c r="E146" s="89">
        <v>2025</v>
      </c>
      <c r="F146" s="89">
        <v>12</v>
      </c>
      <c r="G146"/>
      <c r="H146" s="89" t="s">
        <v>473</v>
      </c>
      <c r="I146" s="239">
        <v>45716</v>
      </c>
      <c r="J146" s="239">
        <v>45717</v>
      </c>
      <c r="K146" s="242">
        <v>45716</v>
      </c>
      <c r="L146" s="242">
        <v>45718</v>
      </c>
      <c r="M146" s="89">
        <v>0</v>
      </c>
      <c r="N146" s="89">
        <v>1</v>
      </c>
      <c r="O146" s="89" t="s">
        <v>474</v>
      </c>
    </row>
    <row r="147" spans="1:17" ht="14.4">
      <c r="A147" s="89">
        <v>13</v>
      </c>
      <c r="B147" s="241" t="s">
        <v>847</v>
      </c>
      <c r="C147"/>
      <c r="D147" s="89">
        <v>2025</v>
      </c>
      <c r="E147" s="89">
        <v>2025</v>
      </c>
      <c r="F147" s="89">
        <v>12</v>
      </c>
      <c r="G147"/>
      <c r="H147" s="89" t="s">
        <v>473</v>
      </c>
      <c r="I147" s="239">
        <v>45719</v>
      </c>
      <c r="J147" s="239">
        <v>45720</v>
      </c>
      <c r="K147" s="242">
        <v>45709</v>
      </c>
      <c r="L147" s="242">
        <v>45710</v>
      </c>
      <c r="M147" s="89">
        <v>-10</v>
      </c>
      <c r="N147" s="89">
        <v>-10</v>
      </c>
      <c r="O147" s="89" t="s">
        <v>474</v>
      </c>
    </row>
    <row r="148" spans="1:17" ht="14.4">
      <c r="A148" s="89">
        <v>14</v>
      </c>
      <c r="B148" s="241" t="s">
        <v>848</v>
      </c>
      <c r="C148"/>
      <c r="D148" s="89">
        <v>2025</v>
      </c>
      <c r="E148" s="89">
        <v>2025</v>
      </c>
      <c r="F148" s="89">
        <v>12</v>
      </c>
      <c r="G148"/>
      <c r="H148" s="89" t="s">
        <v>473</v>
      </c>
      <c r="I148" s="239">
        <v>45721</v>
      </c>
      <c r="J148" s="239">
        <v>45722</v>
      </c>
      <c r="K148" s="242">
        <v>45720</v>
      </c>
      <c r="L148" s="242">
        <v>45721</v>
      </c>
      <c r="M148" s="89">
        <v>-1</v>
      </c>
      <c r="N148" s="89">
        <v>-1</v>
      </c>
      <c r="O148" s="89" t="s">
        <v>474</v>
      </c>
    </row>
    <row r="149" spans="1:17" ht="14.4">
      <c r="A149" s="89">
        <v>15</v>
      </c>
      <c r="B149" s="241" t="s">
        <v>849</v>
      </c>
      <c r="C149"/>
      <c r="D149" s="89">
        <v>2025</v>
      </c>
      <c r="E149" s="89">
        <v>2025</v>
      </c>
      <c r="F149" s="89">
        <v>12</v>
      </c>
      <c r="G149"/>
      <c r="H149" s="89" t="s">
        <v>473</v>
      </c>
      <c r="I149" s="239">
        <v>45723</v>
      </c>
      <c r="J149" s="239">
        <v>45724</v>
      </c>
      <c r="K149" s="242">
        <v>45722</v>
      </c>
      <c r="L149" s="242">
        <v>45723</v>
      </c>
      <c r="M149" s="89">
        <v>-1</v>
      </c>
      <c r="N149" s="89">
        <v>-1</v>
      </c>
      <c r="O149" s="89" t="s">
        <v>474</v>
      </c>
    </row>
    <row r="150" spans="1:17" ht="14.4">
      <c r="A150" s="89">
        <v>16</v>
      </c>
      <c r="B150" s="241" t="s">
        <v>850</v>
      </c>
      <c r="C150"/>
      <c r="D150" s="89">
        <v>2025</v>
      </c>
      <c r="E150" s="89">
        <v>2025</v>
      </c>
      <c r="F150" s="89">
        <v>12</v>
      </c>
      <c r="G150"/>
      <c r="H150" s="89" t="s">
        <v>473</v>
      </c>
      <c r="I150" s="239">
        <v>45726</v>
      </c>
      <c r="J150" s="239">
        <v>45727</v>
      </c>
      <c r="K150" s="242">
        <v>45724</v>
      </c>
      <c r="L150" s="242">
        <v>45724</v>
      </c>
      <c r="M150" s="89">
        <v>-2</v>
      </c>
      <c r="N150" s="89">
        <v>-3</v>
      </c>
      <c r="O150" s="89" t="s">
        <v>474</v>
      </c>
    </row>
    <row r="151" spans="1:17" ht="14.4">
      <c r="A151" s="89">
        <v>17</v>
      </c>
      <c r="B151" s="241" t="s">
        <v>851</v>
      </c>
      <c r="C151"/>
      <c r="D151" s="89">
        <v>2025</v>
      </c>
      <c r="E151" s="89">
        <v>2025</v>
      </c>
      <c r="F151" s="89">
        <v>12</v>
      </c>
      <c r="G151"/>
      <c r="H151" s="89" t="s">
        <v>473</v>
      </c>
      <c r="I151" s="239">
        <v>45728</v>
      </c>
      <c r="J151" s="239">
        <v>45729</v>
      </c>
      <c r="K151" s="239">
        <v>45726</v>
      </c>
      <c r="L151" s="239">
        <v>45728</v>
      </c>
      <c r="M151" s="89">
        <v>-2</v>
      </c>
      <c r="N151" s="89">
        <v>-1</v>
      </c>
      <c r="O151" s="89" t="s">
        <v>474</v>
      </c>
    </row>
    <row r="152" spans="1:17" ht="14.4">
      <c r="A152" s="89">
        <v>18</v>
      </c>
      <c r="B152" s="241" t="s">
        <v>852</v>
      </c>
      <c r="C152"/>
      <c r="D152" s="89">
        <v>2025</v>
      </c>
      <c r="E152" s="89">
        <v>2025</v>
      </c>
      <c r="F152" s="89">
        <v>12</v>
      </c>
      <c r="G152"/>
      <c r="H152" s="89" t="s">
        <v>473</v>
      </c>
      <c r="I152" s="239">
        <v>45730</v>
      </c>
      <c r="J152" s="239">
        <v>45731</v>
      </c>
      <c r="K152" s="239">
        <v>45733</v>
      </c>
      <c r="L152" s="239">
        <v>45734</v>
      </c>
      <c r="M152" s="89">
        <v>3</v>
      </c>
      <c r="N152" s="89">
        <v>3</v>
      </c>
      <c r="O152" s="89" t="s">
        <v>474</v>
      </c>
    </row>
    <row r="153" spans="1:17" ht="14.4">
      <c r="A153" s="89">
        <v>19</v>
      </c>
      <c r="B153" s="241" t="s">
        <v>853</v>
      </c>
      <c r="C153"/>
      <c r="D153" s="89">
        <v>2025</v>
      </c>
      <c r="E153" s="89">
        <v>2025</v>
      </c>
      <c r="F153" s="89">
        <v>12</v>
      </c>
      <c r="G153"/>
      <c r="H153" s="89" t="s">
        <v>473</v>
      </c>
      <c r="I153" s="239">
        <v>45733</v>
      </c>
      <c r="J153" s="239">
        <v>45734</v>
      </c>
      <c r="K153" s="242">
        <v>45729</v>
      </c>
      <c r="L153" s="239">
        <v>45731</v>
      </c>
      <c r="M153" s="89">
        <v>-4</v>
      </c>
      <c r="N153" s="89">
        <v>-3</v>
      </c>
      <c r="O153" s="89" t="s">
        <v>474</v>
      </c>
    </row>
    <row r="154" spans="1:17" ht="14.4">
      <c r="A154" s="89">
        <v>20</v>
      </c>
      <c r="B154" s="241" t="s">
        <v>854</v>
      </c>
      <c r="C154"/>
      <c r="D154" s="89">
        <v>2025</v>
      </c>
      <c r="E154" s="89">
        <v>2025</v>
      </c>
      <c r="F154" s="89">
        <v>12</v>
      </c>
      <c r="G154"/>
      <c r="H154" s="89" t="s">
        <v>473</v>
      </c>
      <c r="I154" s="239">
        <v>45735</v>
      </c>
      <c r="J154" s="239">
        <v>45736</v>
      </c>
      <c r="K154" s="239">
        <v>45735</v>
      </c>
      <c r="L154" s="239">
        <v>45736</v>
      </c>
      <c r="M154" s="89">
        <v>0</v>
      </c>
      <c r="N154" s="89">
        <v>0</v>
      </c>
      <c r="O154" s="89" t="s">
        <v>474</v>
      </c>
    </row>
    <row r="155" spans="1:17" ht="14.4">
      <c r="A155" s="89">
        <v>21</v>
      </c>
      <c r="B155" s="241" t="s">
        <v>855</v>
      </c>
      <c r="C155"/>
      <c r="D155" s="89">
        <v>2025</v>
      </c>
      <c r="E155" s="89">
        <v>2025</v>
      </c>
      <c r="F155" s="89">
        <v>12</v>
      </c>
      <c r="G155"/>
      <c r="H155" s="89" t="s">
        <v>473</v>
      </c>
      <c r="I155" s="237">
        <v>45737</v>
      </c>
      <c r="J155" s="240">
        <v>45738</v>
      </c>
      <c r="K155" s="238">
        <v>45737</v>
      </c>
      <c r="L155" s="238">
        <v>45738</v>
      </c>
      <c r="M155" s="89">
        <v>0</v>
      </c>
      <c r="N155" s="89">
        <v>0</v>
      </c>
      <c r="O155" s="89" t="s">
        <v>474</v>
      </c>
    </row>
    <row r="156" spans="1:17" ht="14.4">
      <c r="A156" s="89">
        <v>22</v>
      </c>
      <c r="B156" s="241" t="s">
        <v>856</v>
      </c>
      <c r="C156"/>
      <c r="D156" s="89">
        <v>2025</v>
      </c>
      <c r="E156" s="89">
        <v>2025</v>
      </c>
      <c r="F156" s="89">
        <v>12</v>
      </c>
      <c r="G156"/>
      <c r="H156" s="89" t="s">
        <v>473</v>
      </c>
      <c r="I156" s="237">
        <v>45740</v>
      </c>
      <c r="J156" s="240">
        <v>45741</v>
      </c>
      <c r="K156" s="238">
        <v>45740</v>
      </c>
      <c r="L156" s="238">
        <v>45740</v>
      </c>
      <c r="M156" s="89">
        <v>0</v>
      </c>
      <c r="N156" s="89">
        <v>-1</v>
      </c>
      <c r="O156" s="89" t="s">
        <v>474</v>
      </c>
    </row>
    <row r="157" spans="1:17" ht="14.4">
      <c r="A157" s="89">
        <v>23</v>
      </c>
      <c r="B157" s="241" t="s">
        <v>857</v>
      </c>
      <c r="C157"/>
      <c r="D157" s="89">
        <v>2025</v>
      </c>
      <c r="E157" s="89">
        <v>2025</v>
      </c>
      <c r="F157" s="89">
        <v>12</v>
      </c>
      <c r="G157"/>
      <c r="H157" s="89" t="s">
        <v>473</v>
      </c>
      <c r="I157" s="237">
        <v>45742</v>
      </c>
      <c r="J157" s="240">
        <v>45743</v>
      </c>
      <c r="K157" s="238">
        <v>45741</v>
      </c>
      <c r="L157" s="238">
        <v>45741</v>
      </c>
      <c r="M157" s="89">
        <v>-1</v>
      </c>
      <c r="N157" s="89">
        <v>-2</v>
      </c>
      <c r="O157" s="89" t="s">
        <v>474</v>
      </c>
    </row>
    <row r="158" spans="1:17" ht="14.4">
      <c r="A158" s="89">
        <v>24</v>
      </c>
      <c r="B158" s="241" t="s">
        <v>858</v>
      </c>
      <c r="C158"/>
      <c r="D158" s="89">
        <v>2025</v>
      </c>
      <c r="E158" s="89">
        <v>2025</v>
      </c>
      <c r="F158" s="89">
        <v>12</v>
      </c>
      <c r="G158"/>
      <c r="H158" s="89" t="s">
        <v>473</v>
      </c>
      <c r="I158" s="237">
        <v>45744</v>
      </c>
      <c r="J158" s="240">
        <v>45745</v>
      </c>
      <c r="K158" s="238">
        <v>45742</v>
      </c>
      <c r="L158" s="238">
        <v>45742</v>
      </c>
      <c r="M158" s="89">
        <v>-2</v>
      </c>
      <c r="N158" s="89">
        <v>-3</v>
      </c>
      <c r="O158" s="89" t="s">
        <v>474</v>
      </c>
    </row>
    <row r="159" spans="1:17" ht="14.4">
      <c r="A159" s="89">
        <v>25</v>
      </c>
      <c r="B159" s="241" t="s">
        <v>472</v>
      </c>
      <c r="C159"/>
      <c r="D159" s="89">
        <v>2025</v>
      </c>
      <c r="E159" s="89">
        <v>2025</v>
      </c>
      <c r="F159" s="89">
        <v>12</v>
      </c>
      <c r="G159"/>
      <c r="H159" s="89" t="s">
        <v>473</v>
      </c>
      <c r="I159" s="237">
        <v>45747</v>
      </c>
      <c r="J159" s="240">
        <v>45748</v>
      </c>
      <c r="K159" s="238">
        <v>45743</v>
      </c>
      <c r="L159" s="238">
        <v>45744</v>
      </c>
      <c r="M159" s="89">
        <v>-4</v>
      </c>
      <c r="N159" s="89">
        <v>-4</v>
      </c>
      <c r="O159" s="89" t="s">
        <v>474</v>
      </c>
    </row>
    <row r="160" spans="1:17" ht="14.4">
      <c r="A160" s="89">
        <v>26</v>
      </c>
      <c r="B160" s="241" t="s">
        <v>475</v>
      </c>
      <c r="C160"/>
      <c r="D160" s="89">
        <v>2025</v>
      </c>
      <c r="E160" s="89">
        <v>2025</v>
      </c>
      <c r="F160" s="89">
        <v>12</v>
      </c>
      <c r="G160"/>
      <c r="H160" s="89" t="s">
        <v>473</v>
      </c>
      <c r="I160" s="237">
        <v>45749</v>
      </c>
      <c r="J160" s="240">
        <v>45750</v>
      </c>
      <c r="K160" s="238">
        <v>45745</v>
      </c>
      <c r="L160" s="238">
        <v>45745</v>
      </c>
      <c r="M160" s="89">
        <v>-4</v>
      </c>
      <c r="N160" s="89">
        <v>-5</v>
      </c>
      <c r="O160" s="89" t="s">
        <v>474</v>
      </c>
    </row>
    <row r="161" spans="1:15" ht="14.4">
      <c r="A161" s="89">
        <v>27</v>
      </c>
      <c r="B161" s="241" t="s">
        <v>476</v>
      </c>
      <c r="C161"/>
      <c r="D161" s="89">
        <v>2025</v>
      </c>
      <c r="E161" s="89">
        <v>2025</v>
      </c>
      <c r="F161" s="89">
        <v>12</v>
      </c>
      <c r="G161"/>
      <c r="H161" s="89" t="s">
        <v>473</v>
      </c>
      <c r="I161" s="237">
        <v>45751</v>
      </c>
      <c r="J161" s="240">
        <v>45752</v>
      </c>
      <c r="K161" s="238">
        <v>45747</v>
      </c>
      <c r="L161" s="238">
        <v>45747</v>
      </c>
      <c r="M161" s="89">
        <v>-4</v>
      </c>
      <c r="N161" s="89">
        <v>-5</v>
      </c>
      <c r="O161" s="89" t="s">
        <v>474</v>
      </c>
    </row>
    <row r="162" spans="1:15" ht="14.4">
      <c r="A162" s="89">
        <v>28</v>
      </c>
      <c r="B162" s="241" t="s">
        <v>477</v>
      </c>
      <c r="C162"/>
      <c r="D162" s="89">
        <v>2025</v>
      </c>
      <c r="E162" s="89">
        <v>2025</v>
      </c>
      <c r="F162" s="89">
        <v>12</v>
      </c>
      <c r="G162"/>
      <c r="H162" s="89" t="s">
        <v>473</v>
      </c>
      <c r="I162" s="237">
        <v>45754</v>
      </c>
      <c r="J162" s="240">
        <v>45755</v>
      </c>
      <c r="K162" s="239">
        <v>45750</v>
      </c>
      <c r="L162" s="238">
        <v>45752</v>
      </c>
      <c r="M162" s="89">
        <v>-4</v>
      </c>
      <c r="N162" s="89">
        <v>-3</v>
      </c>
      <c r="O162" s="89" t="s">
        <v>474</v>
      </c>
    </row>
    <row r="163" spans="1:15" ht="14.4">
      <c r="A163" s="89">
        <v>29</v>
      </c>
      <c r="B163" s="241" t="s">
        <v>478</v>
      </c>
      <c r="C163"/>
      <c r="D163" s="89">
        <v>2025</v>
      </c>
      <c r="E163" s="89">
        <v>2025</v>
      </c>
      <c r="F163" s="89">
        <v>12</v>
      </c>
      <c r="G163"/>
      <c r="H163" s="89" t="s">
        <v>473</v>
      </c>
      <c r="I163" s="237">
        <v>45756</v>
      </c>
      <c r="J163" s="240">
        <v>45757</v>
      </c>
      <c r="K163" s="239">
        <v>45754</v>
      </c>
      <c r="L163" s="238">
        <v>45754</v>
      </c>
      <c r="M163" s="89">
        <v>-2</v>
      </c>
      <c r="N163" s="89">
        <v>-3</v>
      </c>
      <c r="O163" s="89" t="s">
        <v>474</v>
      </c>
    </row>
    <row r="164" spans="1:15" ht="14.4">
      <c r="A164" s="89">
        <v>30</v>
      </c>
      <c r="B164" s="241" t="s">
        <v>479</v>
      </c>
      <c r="C164"/>
      <c r="D164" s="89">
        <v>2025</v>
      </c>
      <c r="E164" s="89">
        <v>2025</v>
      </c>
      <c r="F164" s="89">
        <v>12</v>
      </c>
      <c r="G164"/>
      <c r="H164" s="89" t="s">
        <v>473</v>
      </c>
      <c r="I164" s="237">
        <v>45758</v>
      </c>
      <c r="J164" s="240">
        <v>45759</v>
      </c>
      <c r="K164" s="239">
        <v>45755</v>
      </c>
      <c r="L164" s="238">
        <v>45759</v>
      </c>
      <c r="M164" s="89">
        <v>-3</v>
      </c>
      <c r="N164" s="89">
        <v>0</v>
      </c>
      <c r="O164" s="89" t="s">
        <v>474</v>
      </c>
    </row>
    <row r="165" spans="1:15" ht="14.4">
      <c r="A165" s="89">
        <v>31</v>
      </c>
      <c r="B165" s="241" t="s">
        <v>480</v>
      </c>
      <c r="C165"/>
      <c r="D165" s="89">
        <v>2025</v>
      </c>
      <c r="E165" s="89">
        <v>2025</v>
      </c>
      <c r="F165" s="89">
        <v>12</v>
      </c>
      <c r="G165"/>
      <c r="H165" s="89" t="s">
        <v>473</v>
      </c>
      <c r="I165" s="237">
        <v>45761</v>
      </c>
      <c r="J165" s="240">
        <v>45762</v>
      </c>
      <c r="K165" s="239">
        <v>45756</v>
      </c>
      <c r="L165" s="238">
        <v>45756</v>
      </c>
      <c r="M165" s="89">
        <v>-5</v>
      </c>
      <c r="N165" s="89">
        <v>-6</v>
      </c>
      <c r="O165" s="89" t="s">
        <v>474</v>
      </c>
    </row>
    <row r="166" spans="1:15" ht="14.4">
      <c r="A166" s="89">
        <v>32</v>
      </c>
      <c r="B166" s="241" t="s">
        <v>481</v>
      </c>
      <c r="C166"/>
      <c r="D166" s="89">
        <v>2025</v>
      </c>
      <c r="E166" s="89">
        <v>2025</v>
      </c>
      <c r="F166" s="89">
        <v>12</v>
      </c>
      <c r="G166"/>
      <c r="H166" s="89" t="s">
        <v>473</v>
      </c>
      <c r="I166" s="237">
        <v>45763</v>
      </c>
      <c r="J166" s="240">
        <v>45764</v>
      </c>
      <c r="K166" s="239">
        <v>45757</v>
      </c>
      <c r="L166" s="238">
        <v>45757</v>
      </c>
      <c r="M166" s="89">
        <v>-6</v>
      </c>
      <c r="N166" s="89">
        <v>-7</v>
      </c>
      <c r="O166" s="89" t="s">
        <v>474</v>
      </c>
    </row>
    <row r="167" spans="1:15" ht="14.4">
      <c r="A167" s="89">
        <v>33</v>
      </c>
      <c r="B167" s="241" t="s">
        <v>482</v>
      </c>
      <c r="C167"/>
      <c r="D167" s="89">
        <v>2025</v>
      </c>
      <c r="E167" s="89">
        <v>2025</v>
      </c>
      <c r="F167" s="89">
        <v>12</v>
      </c>
      <c r="G167"/>
      <c r="H167" s="89" t="s">
        <v>473</v>
      </c>
      <c r="I167" s="237">
        <v>45765</v>
      </c>
      <c r="J167" s="240">
        <v>45766</v>
      </c>
      <c r="K167" s="239">
        <v>45758</v>
      </c>
      <c r="L167" s="238">
        <v>45777</v>
      </c>
      <c r="M167" s="89">
        <v>-7</v>
      </c>
      <c r="N167" s="89">
        <v>11</v>
      </c>
      <c r="O167" s="89" t="s">
        <v>474</v>
      </c>
    </row>
    <row r="168" spans="1:15" ht="14.4">
      <c r="A168" s="89">
        <v>34</v>
      </c>
      <c r="B168" s="241" t="s">
        <v>483</v>
      </c>
      <c r="C168"/>
      <c r="D168" s="89">
        <v>2025</v>
      </c>
      <c r="E168" s="89">
        <v>2025</v>
      </c>
      <c r="F168" s="89">
        <v>12</v>
      </c>
      <c r="G168"/>
      <c r="H168" s="89" t="s">
        <v>473</v>
      </c>
      <c r="I168" s="237">
        <v>45768</v>
      </c>
      <c r="J168" s="240">
        <v>45769</v>
      </c>
      <c r="K168" s="239">
        <v>45762</v>
      </c>
      <c r="L168" s="238">
        <v>45763</v>
      </c>
      <c r="M168" s="89">
        <v>-6</v>
      </c>
      <c r="N168" s="89">
        <v>-6</v>
      </c>
      <c r="O168" s="89" t="s">
        <v>474</v>
      </c>
    </row>
    <row r="169" spans="1:15" ht="14.4">
      <c r="A169" s="89">
        <v>35</v>
      </c>
      <c r="B169" s="241" t="s">
        <v>484</v>
      </c>
      <c r="C169"/>
      <c r="D169" s="89">
        <v>2025</v>
      </c>
      <c r="E169" s="89">
        <v>2025</v>
      </c>
      <c r="F169" s="89">
        <v>12</v>
      </c>
      <c r="G169"/>
      <c r="H169" s="89" t="s">
        <v>473</v>
      </c>
      <c r="I169" s="237">
        <v>45770</v>
      </c>
      <c r="J169" s="240">
        <v>45771</v>
      </c>
      <c r="K169" s="239">
        <v>45764</v>
      </c>
      <c r="L169" s="238">
        <v>45777</v>
      </c>
      <c r="M169" s="89">
        <v>-6</v>
      </c>
      <c r="N169" s="89">
        <v>6</v>
      </c>
      <c r="O169" s="89" t="s">
        <v>474</v>
      </c>
    </row>
    <row r="170" spans="1:15" ht="14.4">
      <c r="A170" s="89">
        <v>36</v>
      </c>
      <c r="B170" s="241" t="s">
        <v>485</v>
      </c>
      <c r="C170"/>
      <c r="D170" s="89">
        <v>2025</v>
      </c>
      <c r="E170" s="89">
        <v>2025</v>
      </c>
      <c r="F170" s="89">
        <v>12</v>
      </c>
      <c r="G170"/>
      <c r="H170" s="89" t="s">
        <v>473</v>
      </c>
      <c r="I170" s="237">
        <v>45772</v>
      </c>
      <c r="J170" s="240">
        <v>45773</v>
      </c>
      <c r="K170" s="239">
        <v>45765</v>
      </c>
      <c r="L170" s="238">
        <v>45777</v>
      </c>
      <c r="M170" s="89">
        <v>-7</v>
      </c>
      <c r="N170" s="89">
        <v>4</v>
      </c>
      <c r="O170" s="89" t="s">
        <v>474</v>
      </c>
    </row>
    <row r="171" spans="1:15" ht="14.4">
      <c r="A171" s="89">
        <v>37</v>
      </c>
      <c r="B171" s="241" t="s">
        <v>486</v>
      </c>
      <c r="C171"/>
      <c r="D171" s="89">
        <v>2025</v>
      </c>
      <c r="E171" s="89">
        <v>2025</v>
      </c>
      <c r="F171" s="89">
        <v>12</v>
      </c>
      <c r="G171"/>
      <c r="H171" s="89" t="s">
        <v>473</v>
      </c>
      <c r="I171" s="237">
        <v>45775</v>
      </c>
      <c r="J171" s="240">
        <v>45776</v>
      </c>
      <c r="K171" s="239">
        <v>45766</v>
      </c>
      <c r="L171" s="238">
        <v>45777</v>
      </c>
      <c r="M171" s="89">
        <v>-9</v>
      </c>
      <c r="N171" s="89">
        <v>1</v>
      </c>
      <c r="O171" s="89" t="s">
        <v>474</v>
      </c>
    </row>
    <row r="172" spans="1:15" ht="14.4">
      <c r="A172" s="89">
        <v>38</v>
      </c>
      <c r="B172" s="241" t="s">
        <v>487</v>
      </c>
      <c r="C172"/>
      <c r="D172" s="89">
        <v>2025</v>
      </c>
      <c r="E172" s="89">
        <v>2025</v>
      </c>
      <c r="F172" s="89">
        <v>12</v>
      </c>
      <c r="G172"/>
      <c r="H172" s="89" t="s">
        <v>473</v>
      </c>
      <c r="I172" s="237">
        <v>45777</v>
      </c>
      <c r="J172" s="240">
        <v>45779</v>
      </c>
      <c r="K172" s="239">
        <v>45770</v>
      </c>
      <c r="L172" s="238">
        <v>45778</v>
      </c>
      <c r="M172" s="89">
        <v>-7</v>
      </c>
      <c r="N172" s="89">
        <v>-1</v>
      </c>
      <c r="O172" s="89" t="s">
        <v>474</v>
      </c>
    </row>
    <row r="173" spans="1:15" ht="14.4">
      <c r="A173" s="89">
        <v>39</v>
      </c>
      <c r="B173" s="241" t="s">
        <v>488</v>
      </c>
      <c r="C173"/>
      <c r="D173" s="89">
        <v>2025</v>
      </c>
      <c r="E173" s="89">
        <v>2025</v>
      </c>
      <c r="F173" s="89">
        <v>12</v>
      </c>
      <c r="G173"/>
      <c r="H173" s="89" t="s">
        <v>473</v>
      </c>
      <c r="I173" s="237">
        <v>45780</v>
      </c>
      <c r="J173" s="240">
        <v>45782</v>
      </c>
      <c r="K173" s="239">
        <v>45771</v>
      </c>
      <c r="L173" s="238">
        <v>45778</v>
      </c>
      <c r="M173" s="89">
        <v>-9</v>
      </c>
      <c r="N173" s="89">
        <v>-4</v>
      </c>
      <c r="O173" s="89" t="s">
        <v>474</v>
      </c>
    </row>
    <row r="174" spans="1:15" ht="14.4">
      <c r="A174" s="89">
        <v>40</v>
      </c>
      <c r="B174" s="241" t="s">
        <v>489</v>
      </c>
      <c r="C174"/>
      <c r="D174" s="89">
        <v>2025</v>
      </c>
      <c r="E174" s="89">
        <v>2025</v>
      </c>
      <c r="F174" s="89">
        <v>12</v>
      </c>
      <c r="G174"/>
      <c r="H174" s="89" t="s">
        <v>473</v>
      </c>
      <c r="I174" s="237">
        <v>45783</v>
      </c>
      <c r="J174" s="240">
        <v>45784</v>
      </c>
      <c r="K174" s="239">
        <v>45772</v>
      </c>
      <c r="L174" s="238">
        <v>45778</v>
      </c>
      <c r="M174" s="89">
        <v>-11</v>
      </c>
      <c r="N174" s="89">
        <v>-6</v>
      </c>
      <c r="O174" s="89" t="s">
        <v>474</v>
      </c>
    </row>
    <row r="175" spans="1:15" ht="14.4">
      <c r="A175" s="89">
        <v>41</v>
      </c>
      <c r="B175" s="241" t="s">
        <v>490</v>
      </c>
      <c r="C175"/>
      <c r="D175" s="89">
        <v>2025</v>
      </c>
      <c r="E175" s="89">
        <v>2025</v>
      </c>
      <c r="F175" s="89">
        <v>12</v>
      </c>
      <c r="G175"/>
      <c r="H175" s="89" t="s">
        <v>473</v>
      </c>
      <c r="I175" s="237">
        <v>45785</v>
      </c>
      <c r="J175" s="240">
        <v>45786</v>
      </c>
      <c r="K175" s="239">
        <v>45773</v>
      </c>
      <c r="L175" s="238">
        <v>45779</v>
      </c>
      <c r="M175" s="89">
        <v>-12</v>
      </c>
      <c r="N175" s="89">
        <v>-8</v>
      </c>
      <c r="O175" s="89" t="s">
        <v>474</v>
      </c>
    </row>
    <row r="176" spans="1:15" ht="14.4">
      <c r="A176" s="89">
        <v>42</v>
      </c>
      <c r="B176" s="241" t="s">
        <v>491</v>
      </c>
      <c r="C176"/>
      <c r="D176" s="89">
        <v>2025</v>
      </c>
      <c r="E176" s="89">
        <v>2025</v>
      </c>
      <c r="F176" s="89">
        <v>12</v>
      </c>
      <c r="G176"/>
      <c r="H176" s="89" t="s">
        <v>473</v>
      </c>
      <c r="I176" s="237">
        <v>45789</v>
      </c>
      <c r="J176" s="240">
        <v>45790</v>
      </c>
      <c r="K176" s="239">
        <v>45774</v>
      </c>
      <c r="L176" s="238">
        <v>45779</v>
      </c>
      <c r="M176" s="89">
        <v>-15</v>
      </c>
      <c r="N176" s="89">
        <v>-16</v>
      </c>
      <c r="O176" s="89" t="s">
        <v>474</v>
      </c>
    </row>
    <row r="177" spans="1:15" ht="14.4">
      <c r="A177" s="89">
        <v>43</v>
      </c>
      <c r="B177" s="241" t="s">
        <v>492</v>
      </c>
      <c r="C177"/>
      <c r="D177" s="89">
        <v>2025</v>
      </c>
      <c r="E177" s="89">
        <v>2025</v>
      </c>
      <c r="F177" s="89">
        <v>12</v>
      </c>
      <c r="G177"/>
      <c r="H177" s="89" t="s">
        <v>473</v>
      </c>
      <c r="I177" s="237">
        <v>45791</v>
      </c>
      <c r="J177" s="240">
        <v>45792</v>
      </c>
      <c r="K177" s="239">
        <v>45775</v>
      </c>
      <c r="L177" s="238">
        <v>45779</v>
      </c>
      <c r="M177" s="89">
        <v>-16</v>
      </c>
      <c r="N177" s="89">
        <v>-17</v>
      </c>
      <c r="O177" s="89" t="s">
        <v>474</v>
      </c>
    </row>
    <row r="178" spans="1:15" ht="14.4">
      <c r="A178" s="89">
        <v>44</v>
      </c>
      <c r="B178" s="241" t="s">
        <v>493</v>
      </c>
      <c r="C178"/>
      <c r="D178" s="89">
        <v>2025</v>
      </c>
      <c r="E178" s="89">
        <v>2025</v>
      </c>
      <c r="F178" s="89">
        <v>12</v>
      </c>
      <c r="G178"/>
      <c r="H178" s="89" t="s">
        <v>473</v>
      </c>
      <c r="I178" s="237">
        <v>45793</v>
      </c>
      <c r="J178" s="240">
        <v>45794</v>
      </c>
      <c r="K178" s="239">
        <v>45776</v>
      </c>
      <c r="L178" s="238">
        <v>45779</v>
      </c>
      <c r="M178" s="89">
        <v>-17</v>
      </c>
      <c r="N178" s="89">
        <v>-18</v>
      </c>
      <c r="O178" s="89" t="s">
        <v>474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255"/>
  <sheetViews>
    <sheetView topLeftCell="O241" workbookViewId="0">
      <selection activeCell="V258" sqref="V258"/>
    </sheetView>
  </sheetViews>
  <sheetFormatPr defaultColWidth="8.5546875" defaultRowHeight="14.4"/>
  <cols>
    <col min="2" max="2" width="9.44140625" bestFit="1" customWidth="1"/>
    <col min="3" max="3" width="9.5546875" customWidth="1"/>
    <col min="5" max="5" width="23" bestFit="1" customWidth="1"/>
    <col min="6" max="6" width="12.5546875" bestFit="1" customWidth="1"/>
    <col min="7" max="7" width="8.44140625" bestFit="1" customWidth="1"/>
    <col min="8" max="8" width="13.44140625" bestFit="1" customWidth="1"/>
    <col min="9" max="9" width="10" customWidth="1"/>
    <col min="10" max="10" width="8.5546875" style="1"/>
    <col min="19" max="19" width="25.5546875" bestFit="1" customWidth="1"/>
    <col min="20" max="20" width="23.44140625" bestFit="1" customWidth="1"/>
    <col min="21" max="21" width="24.44140625" bestFit="1" customWidth="1"/>
    <col min="22" max="22" width="9.5546875" bestFit="1" customWidth="1"/>
    <col min="23" max="23" width="10.5546875" bestFit="1" customWidth="1"/>
    <col min="24" max="24" width="54.44140625" bestFit="1" customWidth="1"/>
  </cols>
  <sheetData>
    <row r="1" spans="1:24">
      <c r="W1" s="210">
        <v>1</v>
      </c>
      <c r="X1" s="173" t="s">
        <v>495</v>
      </c>
    </row>
    <row r="2" spans="1:24">
      <c r="B2" t="s">
        <v>496</v>
      </c>
      <c r="C2" t="s">
        <v>497</v>
      </c>
      <c r="D2" t="s">
        <v>498</v>
      </c>
      <c r="E2" t="s">
        <v>499</v>
      </c>
      <c r="F2" t="s">
        <v>500</v>
      </c>
      <c r="G2" s="209" t="s">
        <v>501</v>
      </c>
      <c r="H2" s="209" t="s">
        <v>123</v>
      </c>
      <c r="I2" s="209" t="s">
        <v>125</v>
      </c>
      <c r="K2" t="s">
        <v>502</v>
      </c>
      <c r="L2" s="1">
        <f>44*1.6</f>
        <v>70.400000000000006</v>
      </c>
      <c r="W2" s="210">
        <v>2</v>
      </c>
      <c r="X2" s="173" t="s">
        <v>503</v>
      </c>
    </row>
    <row r="3" spans="1:24">
      <c r="A3" t="s">
        <v>76</v>
      </c>
      <c r="B3" s="15" t="s">
        <v>504</v>
      </c>
      <c r="C3" t="s">
        <v>505</v>
      </c>
      <c r="D3" s="1">
        <v>1.6</v>
      </c>
      <c r="E3" s="16">
        <f t="shared" ref="E3:E50" si="0">D3/$L$2</f>
        <v>2.2727272727272728E-2</v>
      </c>
      <c r="F3" t="s">
        <v>406</v>
      </c>
      <c r="G3" t="s">
        <v>76</v>
      </c>
      <c r="I3" t="s">
        <v>506</v>
      </c>
      <c r="M3" t="s">
        <v>507</v>
      </c>
      <c r="O3" t="s">
        <v>508</v>
      </c>
      <c r="S3" t="s">
        <v>509</v>
      </c>
      <c r="T3" t="s">
        <v>510</v>
      </c>
      <c r="U3" t="s">
        <v>511</v>
      </c>
      <c r="W3" s="210">
        <v>3</v>
      </c>
      <c r="X3" s="173" t="s">
        <v>359</v>
      </c>
    </row>
    <row r="4" spans="1:24" ht="15" thickBot="1">
      <c r="A4" t="s">
        <v>77</v>
      </c>
      <c r="B4" s="15" t="s">
        <v>504</v>
      </c>
      <c r="C4" t="s">
        <v>505</v>
      </c>
      <c r="D4" s="1">
        <v>1.6</v>
      </c>
      <c r="E4" s="16">
        <f t="shared" si="0"/>
        <v>2.2727272727272728E-2</v>
      </c>
      <c r="F4" t="s">
        <v>406</v>
      </c>
      <c r="G4" t="s">
        <v>77</v>
      </c>
      <c r="I4" t="s">
        <v>506</v>
      </c>
      <c r="M4" t="s">
        <v>339</v>
      </c>
      <c r="O4" t="s">
        <v>512</v>
      </c>
      <c r="S4" s="69" t="s">
        <v>394</v>
      </c>
      <c r="T4" s="69" t="s">
        <v>416</v>
      </c>
      <c r="U4" s="69" t="s">
        <v>513</v>
      </c>
      <c r="W4" s="210">
        <v>6</v>
      </c>
      <c r="X4" s="173" t="s">
        <v>514</v>
      </c>
    </row>
    <row r="5" spans="1:24" ht="15" thickBot="1">
      <c r="A5" t="s">
        <v>78</v>
      </c>
      <c r="B5" s="15" t="s">
        <v>504</v>
      </c>
      <c r="C5" t="s">
        <v>505</v>
      </c>
      <c r="D5" s="1">
        <v>1.6</v>
      </c>
      <c r="E5" s="16">
        <f t="shared" si="0"/>
        <v>2.2727272727272728E-2</v>
      </c>
      <c r="F5" t="s">
        <v>406</v>
      </c>
      <c r="G5" t="s">
        <v>78</v>
      </c>
      <c r="I5" t="s">
        <v>506</v>
      </c>
      <c r="R5" t="s">
        <v>512</v>
      </c>
      <c r="S5" s="69" t="s">
        <v>343</v>
      </c>
      <c r="T5" s="69" t="s">
        <v>421</v>
      </c>
      <c r="U5" s="69" t="s">
        <v>515</v>
      </c>
      <c r="W5" s="210">
        <v>7</v>
      </c>
      <c r="X5" s="173" t="s">
        <v>516</v>
      </c>
    </row>
    <row r="6" spans="1:24" ht="15" thickBot="1">
      <c r="A6" t="s">
        <v>79</v>
      </c>
      <c r="B6" s="15" t="s">
        <v>504</v>
      </c>
      <c r="C6" t="s">
        <v>505</v>
      </c>
      <c r="D6" s="1">
        <v>1.6</v>
      </c>
      <c r="E6" s="16">
        <f t="shared" si="0"/>
        <v>2.2727272727272728E-2</v>
      </c>
      <c r="F6" t="s">
        <v>404</v>
      </c>
      <c r="G6" t="s">
        <v>79</v>
      </c>
      <c r="I6" t="s">
        <v>506</v>
      </c>
      <c r="R6" t="s">
        <v>508</v>
      </c>
      <c r="S6" s="69" t="s">
        <v>340</v>
      </c>
      <c r="T6" s="69" t="s">
        <v>411</v>
      </c>
      <c r="U6" s="69" t="s">
        <v>403</v>
      </c>
      <c r="W6" s="210">
        <v>8</v>
      </c>
      <c r="X6" s="173" t="s">
        <v>517</v>
      </c>
    </row>
    <row r="7" spans="1:24" ht="15" thickBot="1">
      <c r="A7" t="s">
        <v>80</v>
      </c>
      <c r="B7" s="15" t="s">
        <v>504</v>
      </c>
      <c r="C7" t="s">
        <v>505</v>
      </c>
      <c r="D7" s="1">
        <v>1.6</v>
      </c>
      <c r="E7" s="16">
        <f t="shared" si="0"/>
        <v>2.2727272727272728E-2</v>
      </c>
      <c r="F7" t="s">
        <v>405</v>
      </c>
      <c r="G7" t="s">
        <v>80</v>
      </c>
      <c r="I7" t="s">
        <v>506</v>
      </c>
      <c r="S7" s="69" t="s">
        <v>518</v>
      </c>
      <c r="T7" s="69" t="s">
        <v>519</v>
      </c>
      <c r="U7" s="69" t="s">
        <v>520</v>
      </c>
      <c r="W7" s="210">
        <v>9</v>
      </c>
      <c r="X7" s="173" t="s">
        <v>521</v>
      </c>
    </row>
    <row r="8" spans="1:24" ht="15" thickBot="1">
      <c r="A8" t="s">
        <v>81</v>
      </c>
      <c r="B8" s="15" t="s">
        <v>504</v>
      </c>
      <c r="C8" t="s">
        <v>505</v>
      </c>
      <c r="D8" s="1">
        <v>1.6</v>
      </c>
      <c r="E8" s="16">
        <f t="shared" si="0"/>
        <v>2.2727272727272728E-2</v>
      </c>
      <c r="F8" t="s">
        <v>405</v>
      </c>
      <c r="G8" t="s">
        <v>81</v>
      </c>
      <c r="I8" t="s">
        <v>506</v>
      </c>
      <c r="S8" s="69" t="s">
        <v>522</v>
      </c>
      <c r="W8" s="210">
        <v>10</v>
      </c>
      <c r="X8" s="173" t="s">
        <v>523</v>
      </c>
    </row>
    <row r="9" spans="1:24">
      <c r="A9" t="s">
        <v>82</v>
      </c>
      <c r="B9" s="15" t="s">
        <v>504</v>
      </c>
      <c r="C9" t="s">
        <v>505</v>
      </c>
      <c r="D9" s="1">
        <v>1.6</v>
      </c>
      <c r="E9" s="16">
        <f t="shared" si="0"/>
        <v>2.2727272727272728E-2</v>
      </c>
      <c r="F9" t="s">
        <v>406</v>
      </c>
      <c r="G9" t="s">
        <v>82</v>
      </c>
      <c r="I9" t="s">
        <v>506</v>
      </c>
      <c r="W9" s="210">
        <v>11</v>
      </c>
      <c r="X9" s="173" t="s">
        <v>524</v>
      </c>
    </row>
    <row r="10" spans="1:24">
      <c r="A10" t="s">
        <v>83</v>
      </c>
      <c r="B10" s="15" t="s">
        <v>504</v>
      </c>
      <c r="C10" t="s">
        <v>505</v>
      </c>
      <c r="D10" s="1">
        <v>1.6</v>
      </c>
      <c r="E10" s="16">
        <f t="shared" si="0"/>
        <v>2.2727272727272728E-2</v>
      </c>
      <c r="F10" t="s">
        <v>399</v>
      </c>
      <c r="G10" t="s">
        <v>83</v>
      </c>
      <c r="I10" t="s">
        <v>506</v>
      </c>
      <c r="S10" t="s">
        <v>925</v>
      </c>
      <c r="W10" s="210">
        <v>12</v>
      </c>
      <c r="X10" s="173" t="s">
        <v>525</v>
      </c>
    </row>
    <row r="11" spans="1:24">
      <c r="A11" t="s">
        <v>84</v>
      </c>
      <c r="B11" s="15" t="s">
        <v>504</v>
      </c>
      <c r="C11" t="s">
        <v>505</v>
      </c>
      <c r="D11" s="1">
        <v>1.6</v>
      </c>
      <c r="E11" s="16">
        <f t="shared" si="0"/>
        <v>2.2727272727272728E-2</v>
      </c>
      <c r="F11" t="s">
        <v>399</v>
      </c>
      <c r="G11" t="s">
        <v>84</v>
      </c>
      <c r="I11" t="s">
        <v>506</v>
      </c>
      <c r="S11" s="291" t="s">
        <v>926</v>
      </c>
      <c r="W11" s="210">
        <v>13</v>
      </c>
      <c r="X11" s="173" t="s">
        <v>526</v>
      </c>
    </row>
    <row r="12" spans="1:24">
      <c r="A12" t="s">
        <v>85</v>
      </c>
      <c r="B12" s="15" t="s">
        <v>504</v>
      </c>
      <c r="C12" t="s">
        <v>505</v>
      </c>
      <c r="D12" s="1">
        <v>1.6</v>
      </c>
      <c r="E12" s="16">
        <f t="shared" si="0"/>
        <v>2.2727272727272728E-2</v>
      </c>
      <c r="F12" t="s">
        <v>399</v>
      </c>
      <c r="G12" t="s">
        <v>85</v>
      </c>
      <c r="I12" t="s">
        <v>506</v>
      </c>
      <c r="S12" s="291" t="s">
        <v>359</v>
      </c>
      <c r="W12" s="210">
        <v>14</v>
      </c>
      <c r="X12" s="173" t="s">
        <v>527</v>
      </c>
    </row>
    <row r="13" spans="1:24">
      <c r="A13" t="s">
        <v>86</v>
      </c>
      <c r="B13" s="15" t="s">
        <v>504</v>
      </c>
      <c r="C13" t="s">
        <v>505</v>
      </c>
      <c r="D13" s="1">
        <v>1.6</v>
      </c>
      <c r="E13" s="16">
        <f t="shared" si="0"/>
        <v>2.2727272727272728E-2</v>
      </c>
      <c r="F13" t="s">
        <v>399</v>
      </c>
      <c r="G13" t="s">
        <v>86</v>
      </c>
      <c r="I13" t="s">
        <v>506</v>
      </c>
      <c r="S13" s="291" t="s">
        <v>927</v>
      </c>
      <c r="W13" s="210">
        <v>15</v>
      </c>
      <c r="X13" s="173" t="s">
        <v>528</v>
      </c>
    </row>
    <row r="14" spans="1:24">
      <c r="A14" t="s">
        <v>87</v>
      </c>
      <c r="B14" s="15" t="s">
        <v>504</v>
      </c>
      <c r="C14" t="s">
        <v>505</v>
      </c>
      <c r="D14" s="1">
        <v>1.6</v>
      </c>
      <c r="E14" s="16">
        <f t="shared" si="0"/>
        <v>2.2727272727272728E-2</v>
      </c>
      <c r="F14" t="s">
        <v>399</v>
      </c>
      <c r="G14" t="s">
        <v>87</v>
      </c>
      <c r="I14" t="s">
        <v>506</v>
      </c>
      <c r="W14" s="210">
        <v>16</v>
      </c>
      <c r="X14" s="173" t="s">
        <v>529</v>
      </c>
    </row>
    <row r="15" spans="1:24">
      <c r="A15" t="s">
        <v>88</v>
      </c>
      <c r="B15" s="15" t="s">
        <v>504</v>
      </c>
      <c r="C15" t="s">
        <v>505</v>
      </c>
      <c r="D15" s="1">
        <v>1.6</v>
      </c>
      <c r="E15" s="16">
        <f t="shared" si="0"/>
        <v>2.2727272727272728E-2</v>
      </c>
      <c r="F15" t="s">
        <v>399</v>
      </c>
      <c r="G15" t="s">
        <v>88</v>
      </c>
      <c r="I15" t="s">
        <v>506</v>
      </c>
      <c r="W15" s="210">
        <v>19</v>
      </c>
      <c r="X15" s="173" t="s">
        <v>530</v>
      </c>
    </row>
    <row r="16" spans="1:24">
      <c r="A16" t="s">
        <v>89</v>
      </c>
      <c r="B16" s="15" t="s">
        <v>504</v>
      </c>
      <c r="C16" t="s">
        <v>505</v>
      </c>
      <c r="D16" s="1">
        <v>1.6</v>
      </c>
      <c r="E16" s="16">
        <f t="shared" si="0"/>
        <v>2.2727272727272728E-2</v>
      </c>
      <c r="F16" t="s">
        <v>404</v>
      </c>
      <c r="G16" t="s">
        <v>89</v>
      </c>
      <c r="I16" t="s">
        <v>506</v>
      </c>
      <c r="W16" s="210">
        <v>20</v>
      </c>
      <c r="X16" s="173" t="s">
        <v>531</v>
      </c>
    </row>
    <row r="17" spans="1:24">
      <c r="A17" t="s">
        <v>90</v>
      </c>
      <c r="B17" s="15" t="s">
        <v>504</v>
      </c>
      <c r="C17" t="s">
        <v>505</v>
      </c>
      <c r="D17" s="1">
        <v>1.6</v>
      </c>
      <c r="E17" s="16">
        <f t="shared" si="0"/>
        <v>2.2727272727272728E-2</v>
      </c>
      <c r="F17" t="s">
        <v>404</v>
      </c>
      <c r="G17" t="s">
        <v>90</v>
      </c>
      <c r="I17" t="s">
        <v>506</v>
      </c>
      <c r="W17" s="210">
        <v>21</v>
      </c>
      <c r="X17" s="173" t="s">
        <v>532</v>
      </c>
    </row>
    <row r="18" spans="1:24">
      <c r="A18" t="s">
        <v>91</v>
      </c>
      <c r="B18" s="15" t="s">
        <v>504</v>
      </c>
      <c r="C18" t="s">
        <v>505</v>
      </c>
      <c r="D18" s="1">
        <v>1.6</v>
      </c>
      <c r="E18" s="16">
        <f t="shared" si="0"/>
        <v>2.2727272727272728E-2</v>
      </c>
      <c r="F18" t="s">
        <v>404</v>
      </c>
      <c r="G18" t="s">
        <v>91</v>
      </c>
      <c r="I18" t="s">
        <v>506</v>
      </c>
      <c r="W18" s="210">
        <v>22</v>
      </c>
      <c r="X18" s="173" t="s">
        <v>533</v>
      </c>
    </row>
    <row r="19" spans="1:24">
      <c r="A19" t="s">
        <v>92</v>
      </c>
      <c r="B19" s="15" t="s">
        <v>504</v>
      </c>
      <c r="C19" t="s">
        <v>505</v>
      </c>
      <c r="D19" s="1">
        <v>1.6</v>
      </c>
      <c r="E19" s="16">
        <f t="shared" si="0"/>
        <v>2.2727272727272728E-2</v>
      </c>
      <c r="F19" t="s">
        <v>404</v>
      </c>
      <c r="G19" t="s">
        <v>92</v>
      </c>
      <c r="I19" t="s">
        <v>506</v>
      </c>
      <c r="W19" s="210">
        <v>23</v>
      </c>
      <c r="X19" s="173" t="s">
        <v>534</v>
      </c>
    </row>
    <row r="20" spans="1:24">
      <c r="A20" t="s">
        <v>93</v>
      </c>
      <c r="B20" s="15" t="s">
        <v>504</v>
      </c>
      <c r="C20" t="s">
        <v>505</v>
      </c>
      <c r="D20" s="1">
        <v>1.6</v>
      </c>
      <c r="E20" s="16">
        <f t="shared" si="0"/>
        <v>2.2727272727272728E-2</v>
      </c>
      <c r="F20" t="s">
        <v>406</v>
      </c>
      <c r="G20" t="s">
        <v>93</v>
      </c>
      <c r="I20" t="s">
        <v>506</v>
      </c>
      <c r="W20" s="210">
        <v>24</v>
      </c>
      <c r="X20" s="173" t="s">
        <v>535</v>
      </c>
    </row>
    <row r="21" spans="1:24">
      <c r="A21" t="s">
        <v>94</v>
      </c>
      <c r="B21" s="15" t="s">
        <v>504</v>
      </c>
      <c r="C21" t="s">
        <v>505</v>
      </c>
      <c r="D21" s="1">
        <v>1.6</v>
      </c>
      <c r="E21" s="16">
        <f t="shared" si="0"/>
        <v>2.2727272727272728E-2</v>
      </c>
      <c r="F21" t="s">
        <v>404</v>
      </c>
      <c r="G21" t="s">
        <v>94</v>
      </c>
      <c r="I21" t="s">
        <v>506</v>
      </c>
      <c r="W21" s="210">
        <v>25</v>
      </c>
      <c r="X21" s="173" t="s">
        <v>536</v>
      </c>
    </row>
    <row r="22" spans="1:24">
      <c r="A22" t="s">
        <v>95</v>
      </c>
      <c r="B22" s="15" t="s">
        <v>504</v>
      </c>
      <c r="C22" t="s">
        <v>505</v>
      </c>
      <c r="D22" s="1">
        <v>1.6</v>
      </c>
      <c r="E22" s="16">
        <f t="shared" si="0"/>
        <v>2.2727272727272728E-2</v>
      </c>
      <c r="F22" t="s">
        <v>404</v>
      </c>
      <c r="G22" t="s">
        <v>95</v>
      </c>
      <c r="I22" t="s">
        <v>506</v>
      </c>
      <c r="W22" s="210">
        <v>27</v>
      </c>
      <c r="X22" s="173" t="s">
        <v>193</v>
      </c>
    </row>
    <row r="23" spans="1:24">
      <c r="A23" t="s">
        <v>96</v>
      </c>
      <c r="B23" s="15" t="s">
        <v>504</v>
      </c>
      <c r="C23" t="s">
        <v>505</v>
      </c>
      <c r="D23" s="1">
        <v>1.6</v>
      </c>
      <c r="E23" s="16">
        <f t="shared" si="0"/>
        <v>2.2727272727272728E-2</v>
      </c>
      <c r="F23" t="s">
        <v>404</v>
      </c>
      <c r="G23" t="s">
        <v>96</v>
      </c>
      <c r="I23" t="s">
        <v>506</v>
      </c>
      <c r="W23" s="210">
        <v>28</v>
      </c>
      <c r="X23" s="173" t="s">
        <v>185</v>
      </c>
    </row>
    <row r="24" spans="1:24">
      <c r="A24" t="s">
        <v>97</v>
      </c>
      <c r="B24" s="15" t="s">
        <v>504</v>
      </c>
      <c r="C24" t="s">
        <v>505</v>
      </c>
      <c r="D24" s="1">
        <v>1.6</v>
      </c>
      <c r="E24" s="16">
        <f t="shared" si="0"/>
        <v>2.2727272727272728E-2</v>
      </c>
      <c r="F24" t="s">
        <v>404</v>
      </c>
      <c r="G24" t="s">
        <v>97</v>
      </c>
      <c r="I24" t="s">
        <v>506</v>
      </c>
      <c r="W24" s="210">
        <v>31</v>
      </c>
      <c r="X24" s="173" t="s">
        <v>166</v>
      </c>
    </row>
    <row r="25" spans="1:24">
      <c r="A25" t="s">
        <v>98</v>
      </c>
      <c r="B25" s="15" t="s">
        <v>504</v>
      </c>
      <c r="C25" t="s">
        <v>505</v>
      </c>
      <c r="D25" s="1">
        <v>1.6</v>
      </c>
      <c r="E25" s="16">
        <f t="shared" si="0"/>
        <v>2.2727272727272728E-2</v>
      </c>
      <c r="F25" t="s">
        <v>399</v>
      </c>
      <c r="G25" t="s">
        <v>98</v>
      </c>
      <c r="I25" t="s">
        <v>506</v>
      </c>
      <c r="W25" s="210">
        <v>34</v>
      </c>
      <c r="X25" s="173" t="s">
        <v>159</v>
      </c>
    </row>
    <row r="26" spans="1:24">
      <c r="A26" t="s">
        <v>99</v>
      </c>
      <c r="B26" s="15" t="s">
        <v>504</v>
      </c>
      <c r="C26" t="s">
        <v>505</v>
      </c>
      <c r="D26" s="1">
        <v>1.6</v>
      </c>
      <c r="E26" s="16">
        <f t="shared" si="0"/>
        <v>2.2727272727272728E-2</v>
      </c>
      <c r="F26" t="s">
        <v>399</v>
      </c>
      <c r="G26" t="s">
        <v>99</v>
      </c>
      <c r="I26" t="s">
        <v>506</v>
      </c>
      <c r="W26" s="210">
        <v>35</v>
      </c>
      <c r="X26" s="173" t="s">
        <v>537</v>
      </c>
    </row>
    <row r="27" spans="1:24">
      <c r="A27" t="s">
        <v>100</v>
      </c>
      <c r="B27" s="15" t="s">
        <v>504</v>
      </c>
      <c r="C27" t="s">
        <v>505</v>
      </c>
      <c r="D27" s="1">
        <v>1.6</v>
      </c>
      <c r="E27" s="16">
        <f t="shared" si="0"/>
        <v>2.2727272727272728E-2</v>
      </c>
      <c r="F27" t="s">
        <v>399</v>
      </c>
      <c r="G27" t="s">
        <v>100</v>
      </c>
      <c r="I27" t="s">
        <v>506</v>
      </c>
      <c r="W27" s="210">
        <v>36</v>
      </c>
      <c r="X27" s="173" t="s">
        <v>538</v>
      </c>
    </row>
    <row r="28" spans="1:24">
      <c r="A28" t="s">
        <v>101</v>
      </c>
      <c r="B28" s="15" t="s">
        <v>504</v>
      </c>
      <c r="C28" t="s">
        <v>505</v>
      </c>
      <c r="D28" s="1">
        <v>1.6</v>
      </c>
      <c r="E28" s="16">
        <f t="shared" si="0"/>
        <v>2.2727272727272728E-2</v>
      </c>
      <c r="F28" t="s">
        <v>399</v>
      </c>
      <c r="G28" t="s">
        <v>101</v>
      </c>
      <c r="I28" t="s">
        <v>506</v>
      </c>
      <c r="W28" s="210">
        <v>38</v>
      </c>
      <c r="X28" s="173" t="s">
        <v>194</v>
      </c>
    </row>
    <row r="29" spans="1:24">
      <c r="A29" t="s">
        <v>102</v>
      </c>
      <c r="B29" s="15" t="s">
        <v>504</v>
      </c>
      <c r="C29" t="s">
        <v>505</v>
      </c>
      <c r="D29" s="1">
        <v>1.6</v>
      </c>
      <c r="E29" s="16">
        <f t="shared" si="0"/>
        <v>2.2727272727272728E-2</v>
      </c>
      <c r="F29" t="s">
        <v>406</v>
      </c>
      <c r="G29" t="s">
        <v>102</v>
      </c>
      <c r="I29" t="s">
        <v>506</v>
      </c>
      <c r="W29" s="210">
        <v>41</v>
      </c>
      <c r="X29" s="173" t="s">
        <v>539</v>
      </c>
    </row>
    <row r="30" spans="1:24">
      <c r="A30" t="s">
        <v>103</v>
      </c>
      <c r="B30" s="15" t="s">
        <v>504</v>
      </c>
      <c r="C30" t="s">
        <v>505</v>
      </c>
      <c r="D30" s="1">
        <v>1.6</v>
      </c>
      <c r="E30" s="16">
        <f t="shared" si="0"/>
        <v>2.2727272727272728E-2</v>
      </c>
      <c r="F30" t="s">
        <v>406</v>
      </c>
      <c r="G30" t="s">
        <v>103</v>
      </c>
      <c r="I30" t="s">
        <v>506</v>
      </c>
      <c r="W30" s="210">
        <v>42</v>
      </c>
      <c r="X30" s="173" t="s">
        <v>540</v>
      </c>
    </row>
    <row r="31" spans="1:24">
      <c r="A31" t="s">
        <v>104</v>
      </c>
      <c r="B31" s="15" t="s">
        <v>504</v>
      </c>
      <c r="C31" t="s">
        <v>505</v>
      </c>
      <c r="D31" s="1">
        <v>1.6</v>
      </c>
      <c r="E31" s="16">
        <f t="shared" si="0"/>
        <v>2.2727272727272728E-2</v>
      </c>
      <c r="F31" t="s">
        <v>404</v>
      </c>
      <c r="G31" t="s">
        <v>104</v>
      </c>
      <c r="I31" t="s">
        <v>506</v>
      </c>
      <c r="W31" s="210">
        <v>45</v>
      </c>
      <c r="X31" s="173" t="s">
        <v>541</v>
      </c>
    </row>
    <row r="32" spans="1:24">
      <c r="A32" t="s">
        <v>105</v>
      </c>
      <c r="B32" s="15" t="s">
        <v>504</v>
      </c>
      <c r="C32" t="s">
        <v>505</v>
      </c>
      <c r="D32" s="1">
        <v>1.6</v>
      </c>
      <c r="E32" s="16">
        <f t="shared" si="0"/>
        <v>2.2727272727272728E-2</v>
      </c>
      <c r="F32" t="s">
        <v>406</v>
      </c>
      <c r="G32" t="s">
        <v>105</v>
      </c>
      <c r="I32" t="s">
        <v>506</v>
      </c>
      <c r="W32" s="210">
        <v>46</v>
      </c>
      <c r="X32" s="173" t="s">
        <v>542</v>
      </c>
    </row>
    <row r="33" spans="1:24">
      <c r="A33" t="s">
        <v>106</v>
      </c>
      <c r="B33" s="15" t="s">
        <v>504</v>
      </c>
      <c r="C33" t="s">
        <v>505</v>
      </c>
      <c r="D33" s="1">
        <v>1.6</v>
      </c>
      <c r="E33" s="16">
        <f t="shared" si="0"/>
        <v>2.2727272727272728E-2</v>
      </c>
      <c r="F33" t="s">
        <v>404</v>
      </c>
      <c r="G33" t="s">
        <v>106</v>
      </c>
      <c r="I33" t="s">
        <v>506</v>
      </c>
      <c r="W33" s="210">
        <v>47</v>
      </c>
      <c r="X33" s="173" t="s">
        <v>543</v>
      </c>
    </row>
    <row r="34" spans="1:24">
      <c r="A34" t="s">
        <v>107</v>
      </c>
      <c r="B34" s="15" t="s">
        <v>504</v>
      </c>
      <c r="C34" t="s">
        <v>505</v>
      </c>
      <c r="D34" s="1">
        <v>1.6</v>
      </c>
      <c r="E34" s="16">
        <f t="shared" si="0"/>
        <v>2.2727272727272728E-2</v>
      </c>
      <c r="F34" t="s">
        <v>405</v>
      </c>
      <c r="G34" t="s">
        <v>107</v>
      </c>
      <c r="I34" t="s">
        <v>506</v>
      </c>
      <c r="W34" s="210">
        <v>48</v>
      </c>
      <c r="X34" s="173" t="s">
        <v>544</v>
      </c>
    </row>
    <row r="35" spans="1:24">
      <c r="A35" t="s">
        <v>108</v>
      </c>
      <c r="B35" s="15" t="s">
        <v>504</v>
      </c>
      <c r="C35" t="s">
        <v>505</v>
      </c>
      <c r="D35" s="1">
        <v>1.6</v>
      </c>
      <c r="E35" s="16">
        <f t="shared" si="0"/>
        <v>2.2727272727272728E-2</v>
      </c>
      <c r="F35" t="s">
        <v>405</v>
      </c>
      <c r="G35" t="s">
        <v>108</v>
      </c>
      <c r="I35" t="s">
        <v>506</v>
      </c>
      <c r="W35" s="210">
        <v>51</v>
      </c>
      <c r="X35" s="173" t="s">
        <v>164</v>
      </c>
    </row>
    <row r="36" spans="1:24">
      <c r="A36" t="s">
        <v>109</v>
      </c>
      <c r="B36" s="15" t="s">
        <v>504</v>
      </c>
      <c r="C36" t="s">
        <v>505</v>
      </c>
      <c r="D36" s="1">
        <v>1.6</v>
      </c>
      <c r="E36" s="16">
        <f t="shared" si="0"/>
        <v>2.2727272727272728E-2</v>
      </c>
      <c r="F36" t="s">
        <v>405</v>
      </c>
      <c r="G36" t="s">
        <v>109</v>
      </c>
      <c r="I36" t="s">
        <v>506</v>
      </c>
      <c r="W36" s="210">
        <v>52</v>
      </c>
      <c r="X36" s="173" t="s">
        <v>545</v>
      </c>
    </row>
    <row r="37" spans="1:24">
      <c r="A37" t="s">
        <v>110</v>
      </c>
      <c r="B37" s="15" t="s">
        <v>504</v>
      </c>
      <c r="C37" t="s">
        <v>505</v>
      </c>
      <c r="D37" s="1">
        <v>1.6</v>
      </c>
      <c r="E37" s="16">
        <f t="shared" si="0"/>
        <v>2.2727272727272728E-2</v>
      </c>
      <c r="F37" t="s">
        <v>404</v>
      </c>
      <c r="G37" t="s">
        <v>110</v>
      </c>
      <c r="I37" t="s">
        <v>506</v>
      </c>
      <c r="W37" s="210">
        <v>53</v>
      </c>
      <c r="X37" s="173" t="s">
        <v>546</v>
      </c>
    </row>
    <row r="38" spans="1:24">
      <c r="A38" t="s">
        <v>111</v>
      </c>
      <c r="B38" s="15" t="s">
        <v>504</v>
      </c>
      <c r="C38" t="s">
        <v>505</v>
      </c>
      <c r="D38" s="1">
        <v>1.6</v>
      </c>
      <c r="E38" s="16">
        <f t="shared" si="0"/>
        <v>2.2727272727272728E-2</v>
      </c>
      <c r="F38" t="s">
        <v>405</v>
      </c>
      <c r="G38" t="s">
        <v>111</v>
      </c>
      <c r="I38" t="s">
        <v>506</v>
      </c>
      <c r="W38" s="210">
        <v>54</v>
      </c>
      <c r="X38" s="173" t="s">
        <v>151</v>
      </c>
    </row>
    <row r="39" spans="1:24">
      <c r="A39" t="s">
        <v>112</v>
      </c>
      <c r="B39" s="15" t="s">
        <v>504</v>
      </c>
      <c r="C39" t="s">
        <v>505</v>
      </c>
      <c r="D39" s="1">
        <v>1.6</v>
      </c>
      <c r="E39" s="16">
        <f t="shared" si="0"/>
        <v>2.2727272727272728E-2</v>
      </c>
      <c r="F39" t="s">
        <v>405</v>
      </c>
      <c r="G39" t="s">
        <v>112</v>
      </c>
      <c r="I39" t="s">
        <v>506</v>
      </c>
      <c r="W39" s="210">
        <v>55</v>
      </c>
      <c r="X39" s="173" t="s">
        <v>547</v>
      </c>
    </row>
    <row r="40" spans="1:24">
      <c r="A40" t="s">
        <v>113</v>
      </c>
      <c r="B40" s="15" t="s">
        <v>504</v>
      </c>
      <c r="C40" t="s">
        <v>505</v>
      </c>
      <c r="D40" s="1">
        <v>1.6</v>
      </c>
      <c r="E40" s="16">
        <f t="shared" si="0"/>
        <v>2.2727272727272728E-2</v>
      </c>
      <c r="F40" t="s">
        <v>405</v>
      </c>
      <c r="G40" t="s">
        <v>113</v>
      </c>
      <c r="I40" t="s">
        <v>506</v>
      </c>
      <c r="W40" s="210">
        <v>56</v>
      </c>
      <c r="X40" s="173" t="s">
        <v>548</v>
      </c>
    </row>
    <row r="41" spans="1:24">
      <c r="A41" t="s">
        <v>114</v>
      </c>
      <c r="B41" s="15" t="s">
        <v>504</v>
      </c>
      <c r="C41" t="s">
        <v>505</v>
      </c>
      <c r="D41" s="1">
        <v>1.6</v>
      </c>
      <c r="E41" s="16">
        <f t="shared" si="0"/>
        <v>2.2727272727272728E-2</v>
      </c>
      <c r="F41" t="s">
        <v>405</v>
      </c>
      <c r="G41" t="s">
        <v>114</v>
      </c>
      <c r="I41" t="s">
        <v>506</v>
      </c>
      <c r="W41" s="210">
        <v>57</v>
      </c>
      <c r="X41" s="173" t="s">
        <v>181</v>
      </c>
    </row>
    <row r="42" spans="1:24">
      <c r="A42" t="s">
        <v>115</v>
      </c>
      <c r="B42" s="15" t="s">
        <v>504</v>
      </c>
      <c r="C42" t="s">
        <v>505</v>
      </c>
      <c r="D42" s="1">
        <v>1.6</v>
      </c>
      <c r="E42" s="16">
        <f t="shared" si="0"/>
        <v>2.2727272727272728E-2</v>
      </c>
      <c r="F42" t="s">
        <v>406</v>
      </c>
      <c r="G42" t="s">
        <v>115</v>
      </c>
      <c r="I42" t="s">
        <v>506</v>
      </c>
      <c r="W42" s="210">
        <v>58</v>
      </c>
      <c r="X42" s="173" t="s">
        <v>549</v>
      </c>
    </row>
    <row r="43" spans="1:24">
      <c r="A43" t="s">
        <v>116</v>
      </c>
      <c r="B43" s="15" t="s">
        <v>504</v>
      </c>
      <c r="C43" t="s">
        <v>505</v>
      </c>
      <c r="D43" s="1">
        <v>1.6</v>
      </c>
      <c r="E43" s="16">
        <f t="shared" si="0"/>
        <v>2.2727272727272728E-2</v>
      </c>
      <c r="F43" t="s">
        <v>406</v>
      </c>
      <c r="G43" t="s">
        <v>116</v>
      </c>
      <c r="I43" t="s">
        <v>506</v>
      </c>
      <c r="W43" s="210">
        <v>59</v>
      </c>
      <c r="X43" s="173" t="s">
        <v>550</v>
      </c>
    </row>
    <row r="44" spans="1:24">
      <c r="A44" t="s">
        <v>117</v>
      </c>
      <c r="B44" s="15" t="s">
        <v>504</v>
      </c>
      <c r="C44" t="s">
        <v>505</v>
      </c>
      <c r="D44" s="1">
        <v>1.6</v>
      </c>
      <c r="E44" s="16">
        <f t="shared" si="0"/>
        <v>2.2727272727272728E-2</v>
      </c>
      <c r="F44" t="s">
        <v>406</v>
      </c>
      <c r="G44" t="s">
        <v>117</v>
      </c>
      <c r="I44" t="s">
        <v>506</v>
      </c>
      <c r="W44" s="210">
        <v>60</v>
      </c>
      <c r="X44" s="173" t="s">
        <v>357</v>
      </c>
    </row>
    <row r="45" spans="1:24">
      <c r="A45" t="s">
        <v>118</v>
      </c>
      <c r="B45" s="15" t="s">
        <v>504</v>
      </c>
      <c r="C45" t="s">
        <v>505</v>
      </c>
      <c r="D45" s="1">
        <v>1.6</v>
      </c>
      <c r="E45" s="16">
        <f t="shared" si="0"/>
        <v>2.2727272727272728E-2</v>
      </c>
      <c r="F45" t="s">
        <v>406</v>
      </c>
      <c r="G45" t="s">
        <v>118</v>
      </c>
      <c r="I45" t="s">
        <v>506</v>
      </c>
      <c r="W45" s="210">
        <v>63</v>
      </c>
      <c r="X45" s="173" t="s">
        <v>189</v>
      </c>
    </row>
    <row r="46" spans="1:24">
      <c r="A46" t="s">
        <v>119</v>
      </c>
      <c r="B46" s="15" t="s">
        <v>504</v>
      </c>
      <c r="C46" t="s">
        <v>505</v>
      </c>
      <c r="D46" s="1">
        <v>1.6</v>
      </c>
      <c r="E46" s="16">
        <f t="shared" si="0"/>
        <v>2.2727272727272728E-2</v>
      </c>
      <c r="F46" t="s">
        <v>406</v>
      </c>
      <c r="G46" t="s">
        <v>119</v>
      </c>
      <c r="I46" t="s">
        <v>506</v>
      </c>
      <c r="W46" s="210">
        <v>65</v>
      </c>
      <c r="X46" s="173" t="s">
        <v>551</v>
      </c>
    </row>
    <row r="47" spans="1:24">
      <c r="A47" t="s">
        <v>399</v>
      </c>
      <c r="B47" s="15" t="s">
        <v>504</v>
      </c>
      <c r="C47" t="s">
        <v>505</v>
      </c>
      <c r="D47" s="1">
        <f>10*1.6</f>
        <v>16</v>
      </c>
      <c r="E47" s="16">
        <f t="shared" si="0"/>
        <v>0.22727272727272727</v>
      </c>
      <c r="I47" t="s">
        <v>506</v>
      </c>
      <c r="W47" s="210">
        <v>71</v>
      </c>
      <c r="X47" s="173" t="s">
        <v>552</v>
      </c>
    </row>
    <row r="48" spans="1:24">
      <c r="A48" t="s">
        <v>404</v>
      </c>
      <c r="B48" s="15" t="s">
        <v>504</v>
      </c>
      <c r="C48" t="s">
        <v>505</v>
      </c>
      <c r="D48" s="1">
        <f>12*1.6</f>
        <v>19.200000000000003</v>
      </c>
      <c r="E48" s="16">
        <f t="shared" si="0"/>
        <v>0.27272727272727276</v>
      </c>
      <c r="I48" t="s">
        <v>506</v>
      </c>
      <c r="W48" s="210">
        <v>72</v>
      </c>
      <c r="X48" s="173" t="s">
        <v>553</v>
      </c>
    </row>
    <row r="49" spans="1:24">
      <c r="A49" t="s">
        <v>405</v>
      </c>
      <c r="B49" s="15" t="s">
        <v>504</v>
      </c>
      <c r="C49" t="s">
        <v>505</v>
      </c>
      <c r="D49" s="1">
        <f>9*1.6</f>
        <v>14.4</v>
      </c>
      <c r="E49" s="16">
        <f t="shared" si="0"/>
        <v>0.20454545454545453</v>
      </c>
      <c r="I49" t="s">
        <v>506</v>
      </c>
      <c r="W49" s="210">
        <v>75</v>
      </c>
      <c r="X49" s="173" t="s">
        <v>554</v>
      </c>
    </row>
    <row r="50" spans="1:24">
      <c r="A50" t="s">
        <v>406</v>
      </c>
      <c r="B50" s="15" t="s">
        <v>504</v>
      </c>
      <c r="C50" t="s">
        <v>505</v>
      </c>
      <c r="D50" s="1">
        <f>13*1.6</f>
        <v>20.8</v>
      </c>
      <c r="E50" s="16">
        <f t="shared" si="0"/>
        <v>0.29545454545454541</v>
      </c>
      <c r="I50" t="s">
        <v>506</v>
      </c>
      <c r="W50" s="210">
        <v>76</v>
      </c>
      <c r="X50" s="173" t="s">
        <v>555</v>
      </c>
    </row>
    <row r="51" spans="1:24">
      <c r="W51" s="210">
        <v>77</v>
      </c>
      <c r="X51" s="173" t="s">
        <v>148</v>
      </c>
    </row>
    <row r="52" spans="1:24">
      <c r="W52" s="210">
        <v>78</v>
      </c>
      <c r="X52" s="173" t="s">
        <v>556</v>
      </c>
    </row>
    <row r="53" spans="1:24">
      <c r="W53" s="210">
        <v>81</v>
      </c>
      <c r="X53" s="173" t="s">
        <v>184</v>
      </c>
    </row>
    <row r="54" spans="1:24">
      <c r="W54" s="210">
        <v>82</v>
      </c>
      <c r="X54" s="173" t="s">
        <v>557</v>
      </c>
    </row>
    <row r="55" spans="1:24">
      <c r="W55" s="210">
        <v>84</v>
      </c>
      <c r="X55" s="173" t="s">
        <v>558</v>
      </c>
    </row>
    <row r="56" spans="1:24">
      <c r="W56" s="210">
        <v>86</v>
      </c>
      <c r="X56" s="173" t="s">
        <v>559</v>
      </c>
    </row>
    <row r="57" spans="1:24">
      <c r="W57" s="210">
        <v>87</v>
      </c>
      <c r="X57" s="173" t="s">
        <v>560</v>
      </c>
    </row>
    <row r="58" spans="1:24">
      <c r="W58" s="210">
        <v>88</v>
      </c>
      <c r="X58" s="173" t="s">
        <v>561</v>
      </c>
    </row>
    <row r="59" spans="1:24">
      <c r="W59" s="210">
        <v>89</v>
      </c>
      <c r="X59" s="173" t="s">
        <v>562</v>
      </c>
    </row>
    <row r="60" spans="1:24">
      <c r="W60" s="210">
        <v>91</v>
      </c>
      <c r="X60" s="173" t="s">
        <v>563</v>
      </c>
    </row>
    <row r="61" spans="1:24">
      <c r="W61" s="210">
        <v>97</v>
      </c>
      <c r="X61" s="173" t="s">
        <v>564</v>
      </c>
    </row>
    <row r="62" spans="1:24">
      <c r="W62" s="210">
        <v>98</v>
      </c>
      <c r="X62" s="173" t="s">
        <v>565</v>
      </c>
    </row>
    <row r="63" spans="1:24">
      <c r="W63" s="210">
        <v>99</v>
      </c>
      <c r="X63" s="173" t="s">
        <v>566</v>
      </c>
    </row>
    <row r="64" spans="1:24">
      <c r="W64" s="210">
        <v>100</v>
      </c>
      <c r="X64" s="173" t="s">
        <v>567</v>
      </c>
    </row>
    <row r="65" spans="23:24">
      <c r="W65" s="210">
        <v>101</v>
      </c>
      <c r="X65" s="173" t="s">
        <v>180</v>
      </c>
    </row>
    <row r="66" spans="23:24">
      <c r="W66" s="210">
        <v>102</v>
      </c>
      <c r="X66" s="173" t="s">
        <v>172</v>
      </c>
    </row>
    <row r="67" spans="23:24">
      <c r="W67" s="210">
        <v>105</v>
      </c>
      <c r="X67" s="173" t="s">
        <v>568</v>
      </c>
    </row>
    <row r="68" spans="23:24">
      <c r="W68" s="210">
        <v>106</v>
      </c>
      <c r="X68" s="173" t="s">
        <v>569</v>
      </c>
    </row>
    <row r="69" spans="23:24">
      <c r="W69" s="210">
        <v>107</v>
      </c>
      <c r="X69" s="173" t="s">
        <v>570</v>
      </c>
    </row>
    <row r="70" spans="23:24">
      <c r="W70" s="210">
        <v>108</v>
      </c>
      <c r="X70" s="173" t="s">
        <v>571</v>
      </c>
    </row>
    <row r="71" spans="23:24">
      <c r="W71" s="210">
        <v>110</v>
      </c>
      <c r="X71" s="173" t="s">
        <v>572</v>
      </c>
    </row>
    <row r="72" spans="23:24">
      <c r="W72" s="210">
        <v>112</v>
      </c>
      <c r="X72" s="173" t="s">
        <v>573</v>
      </c>
    </row>
    <row r="73" spans="23:24">
      <c r="W73" s="210">
        <v>113</v>
      </c>
      <c r="X73" s="173" t="s">
        <v>165</v>
      </c>
    </row>
    <row r="74" spans="23:24">
      <c r="W74" s="210">
        <v>114</v>
      </c>
      <c r="X74" s="173" t="s">
        <v>152</v>
      </c>
    </row>
    <row r="75" spans="23:24">
      <c r="W75" s="210">
        <v>115</v>
      </c>
      <c r="X75" s="173" t="s">
        <v>574</v>
      </c>
    </row>
    <row r="76" spans="23:24">
      <c r="W76" s="210">
        <v>116</v>
      </c>
      <c r="X76" s="173" t="s">
        <v>182</v>
      </c>
    </row>
    <row r="77" spans="23:24">
      <c r="W77" s="210">
        <v>117</v>
      </c>
      <c r="X77" s="173" t="s">
        <v>575</v>
      </c>
    </row>
    <row r="78" spans="23:24">
      <c r="W78" s="210">
        <v>118</v>
      </c>
      <c r="X78" s="173" t="s">
        <v>576</v>
      </c>
    </row>
    <row r="79" spans="23:24">
      <c r="W79" s="210">
        <v>120</v>
      </c>
      <c r="X79" s="173" t="s">
        <v>177</v>
      </c>
    </row>
    <row r="80" spans="23:24">
      <c r="W80" s="210">
        <v>121</v>
      </c>
      <c r="X80" s="173" t="s">
        <v>179</v>
      </c>
    </row>
    <row r="81" spans="23:24">
      <c r="W81" s="210">
        <v>122</v>
      </c>
      <c r="X81" s="173" t="s">
        <v>577</v>
      </c>
    </row>
    <row r="82" spans="23:24">
      <c r="W82" s="210">
        <v>124</v>
      </c>
      <c r="X82" s="173" t="s">
        <v>578</v>
      </c>
    </row>
    <row r="83" spans="23:24">
      <c r="W83" s="210">
        <v>125</v>
      </c>
      <c r="X83" s="173" t="s">
        <v>579</v>
      </c>
    </row>
    <row r="84" spans="23:24">
      <c r="W84" s="210">
        <v>127</v>
      </c>
      <c r="X84" s="173" t="s">
        <v>580</v>
      </c>
    </row>
    <row r="85" spans="23:24">
      <c r="W85" s="210">
        <v>129</v>
      </c>
      <c r="X85" s="173" t="s">
        <v>581</v>
      </c>
    </row>
    <row r="86" spans="23:24">
      <c r="W86" s="210">
        <v>130</v>
      </c>
      <c r="X86" s="173" t="s">
        <v>582</v>
      </c>
    </row>
    <row r="87" spans="23:24">
      <c r="W87" s="210">
        <v>131</v>
      </c>
      <c r="X87" s="173" t="s">
        <v>583</v>
      </c>
    </row>
    <row r="88" spans="23:24">
      <c r="W88" s="210">
        <v>132</v>
      </c>
      <c r="X88" s="173" t="s">
        <v>584</v>
      </c>
    </row>
    <row r="89" spans="23:24">
      <c r="W89" s="210">
        <v>133</v>
      </c>
      <c r="X89" s="173" t="s">
        <v>585</v>
      </c>
    </row>
    <row r="90" spans="23:24">
      <c r="W90" s="210">
        <v>134</v>
      </c>
      <c r="X90" s="173" t="s">
        <v>586</v>
      </c>
    </row>
    <row r="91" spans="23:24">
      <c r="W91" s="210">
        <v>135</v>
      </c>
      <c r="X91" s="173" t="s">
        <v>587</v>
      </c>
    </row>
    <row r="92" spans="23:24">
      <c r="W92" s="210">
        <v>136</v>
      </c>
      <c r="X92" s="173" t="s">
        <v>588</v>
      </c>
    </row>
    <row r="93" spans="23:24">
      <c r="W93" s="210">
        <v>137</v>
      </c>
      <c r="X93" s="173" t="s">
        <v>188</v>
      </c>
    </row>
    <row r="94" spans="23:24">
      <c r="W94" s="210">
        <v>138</v>
      </c>
      <c r="X94" s="173" t="s">
        <v>589</v>
      </c>
    </row>
    <row r="95" spans="23:24">
      <c r="W95" s="210">
        <v>139</v>
      </c>
      <c r="X95" s="173" t="s">
        <v>590</v>
      </c>
    </row>
    <row r="96" spans="23:24">
      <c r="W96" s="210">
        <v>140</v>
      </c>
      <c r="X96" s="173" t="s">
        <v>591</v>
      </c>
    </row>
    <row r="97" spans="23:24">
      <c r="W97" s="210">
        <v>141</v>
      </c>
      <c r="X97" s="173" t="s">
        <v>592</v>
      </c>
    </row>
    <row r="98" spans="23:24">
      <c r="W98" s="210">
        <v>142</v>
      </c>
      <c r="X98" s="173" t="s">
        <v>149</v>
      </c>
    </row>
    <row r="99" spans="23:24">
      <c r="W99" s="210">
        <v>143</v>
      </c>
      <c r="X99" s="173" t="s">
        <v>593</v>
      </c>
    </row>
    <row r="100" spans="23:24">
      <c r="W100" s="210">
        <v>144</v>
      </c>
      <c r="X100" s="173" t="s">
        <v>594</v>
      </c>
    </row>
    <row r="101" spans="23:24">
      <c r="W101" s="210">
        <v>145</v>
      </c>
      <c r="X101" s="173" t="s">
        <v>187</v>
      </c>
    </row>
    <row r="102" spans="23:24">
      <c r="W102" s="210">
        <v>146</v>
      </c>
      <c r="X102" s="173" t="s">
        <v>595</v>
      </c>
    </row>
    <row r="103" spans="23:24">
      <c r="W103" s="210">
        <v>147</v>
      </c>
      <c r="X103" s="173" t="s">
        <v>596</v>
      </c>
    </row>
    <row r="104" spans="23:24">
      <c r="W104" s="210">
        <v>148</v>
      </c>
      <c r="X104" s="173" t="s">
        <v>597</v>
      </c>
    </row>
    <row r="105" spans="23:24">
      <c r="W105" s="210">
        <v>149</v>
      </c>
      <c r="X105" s="173" t="s">
        <v>174</v>
      </c>
    </row>
    <row r="106" spans="23:24">
      <c r="W106" s="210">
        <v>150</v>
      </c>
      <c r="X106" s="173" t="s">
        <v>168</v>
      </c>
    </row>
    <row r="107" spans="23:24">
      <c r="W107" s="210">
        <v>152</v>
      </c>
      <c r="X107" s="173" t="s">
        <v>598</v>
      </c>
    </row>
    <row r="108" spans="23:24">
      <c r="W108" s="210">
        <v>153</v>
      </c>
      <c r="X108" s="173" t="s">
        <v>599</v>
      </c>
    </row>
    <row r="109" spans="23:24">
      <c r="W109" s="210">
        <v>155</v>
      </c>
      <c r="X109" s="173" t="s">
        <v>600</v>
      </c>
    </row>
    <row r="110" spans="23:24">
      <c r="W110" s="210">
        <v>156</v>
      </c>
      <c r="X110" s="173" t="s">
        <v>601</v>
      </c>
    </row>
    <row r="111" spans="23:24">
      <c r="W111" s="210">
        <v>157</v>
      </c>
      <c r="X111" s="173" t="s">
        <v>186</v>
      </c>
    </row>
    <row r="112" spans="23:24">
      <c r="W112" s="210">
        <v>161</v>
      </c>
      <c r="X112" s="173" t="s">
        <v>602</v>
      </c>
    </row>
    <row r="113" spans="23:24">
      <c r="W113" s="210">
        <v>163</v>
      </c>
      <c r="X113" s="173" t="s">
        <v>603</v>
      </c>
    </row>
    <row r="114" spans="23:24">
      <c r="W114" s="210">
        <v>164</v>
      </c>
      <c r="X114" s="173" t="s">
        <v>604</v>
      </c>
    </row>
    <row r="115" spans="23:24">
      <c r="W115" s="210">
        <v>165</v>
      </c>
      <c r="X115" s="173" t="s">
        <v>605</v>
      </c>
    </row>
    <row r="116" spans="23:24">
      <c r="W116" s="210">
        <v>166</v>
      </c>
      <c r="X116" s="173" t="s">
        <v>606</v>
      </c>
    </row>
    <row r="117" spans="23:24">
      <c r="W117" s="210">
        <v>167</v>
      </c>
      <c r="X117" s="173" t="s">
        <v>607</v>
      </c>
    </row>
    <row r="118" spans="23:24">
      <c r="W118" s="210">
        <v>168</v>
      </c>
      <c r="X118" s="173" t="s">
        <v>608</v>
      </c>
    </row>
    <row r="119" spans="23:24">
      <c r="W119" s="210">
        <v>169</v>
      </c>
      <c r="X119" s="173" t="s">
        <v>609</v>
      </c>
    </row>
    <row r="120" spans="23:24">
      <c r="W120" s="210">
        <v>170</v>
      </c>
      <c r="X120" s="173" t="s">
        <v>610</v>
      </c>
    </row>
    <row r="121" spans="23:24">
      <c r="W121" s="210">
        <v>171</v>
      </c>
      <c r="X121" s="173" t="s">
        <v>611</v>
      </c>
    </row>
    <row r="122" spans="23:24">
      <c r="W122" s="210">
        <v>173</v>
      </c>
      <c r="X122" s="173" t="s">
        <v>612</v>
      </c>
    </row>
    <row r="123" spans="23:24">
      <c r="W123" s="210">
        <v>174</v>
      </c>
      <c r="X123" s="173" t="s">
        <v>613</v>
      </c>
    </row>
    <row r="124" spans="23:24">
      <c r="W124" s="210">
        <v>175</v>
      </c>
      <c r="X124" s="173" t="s">
        <v>614</v>
      </c>
    </row>
    <row r="125" spans="23:24">
      <c r="W125" s="210">
        <v>176</v>
      </c>
      <c r="X125" s="173" t="s">
        <v>615</v>
      </c>
    </row>
    <row r="126" spans="23:24">
      <c r="W126" s="210">
        <v>177</v>
      </c>
      <c r="X126" s="173" t="s">
        <v>616</v>
      </c>
    </row>
    <row r="127" spans="23:24">
      <c r="W127" s="210">
        <v>178</v>
      </c>
      <c r="X127" s="173" t="s">
        <v>617</v>
      </c>
    </row>
    <row r="128" spans="23:24">
      <c r="W128" s="210">
        <v>179</v>
      </c>
      <c r="X128" s="173" t="s">
        <v>618</v>
      </c>
    </row>
    <row r="129" spans="23:24">
      <c r="W129" s="210">
        <v>180</v>
      </c>
      <c r="X129" s="173" t="s">
        <v>619</v>
      </c>
    </row>
    <row r="130" spans="23:24">
      <c r="W130" s="210">
        <v>181</v>
      </c>
      <c r="X130" s="173" t="s">
        <v>620</v>
      </c>
    </row>
    <row r="131" spans="23:24">
      <c r="W131" s="210">
        <v>182</v>
      </c>
      <c r="X131" s="173" t="s">
        <v>621</v>
      </c>
    </row>
    <row r="132" spans="23:24">
      <c r="W132" s="210">
        <v>183</v>
      </c>
      <c r="X132" s="173" t="s">
        <v>622</v>
      </c>
    </row>
    <row r="133" spans="23:24">
      <c r="W133" s="210">
        <v>184</v>
      </c>
      <c r="X133" s="173" t="s">
        <v>623</v>
      </c>
    </row>
    <row r="134" spans="23:24">
      <c r="W134" s="210">
        <v>185</v>
      </c>
      <c r="X134" s="173" t="s">
        <v>624</v>
      </c>
    </row>
    <row r="135" spans="23:24">
      <c r="W135" s="210">
        <v>186</v>
      </c>
      <c r="X135" s="173" t="s">
        <v>625</v>
      </c>
    </row>
    <row r="136" spans="23:24">
      <c r="W136" s="210">
        <v>187</v>
      </c>
      <c r="X136" s="173" t="s">
        <v>626</v>
      </c>
    </row>
    <row r="137" spans="23:24">
      <c r="W137" s="210">
        <v>188</v>
      </c>
      <c r="X137" s="173" t="s">
        <v>627</v>
      </c>
    </row>
    <row r="138" spans="23:24">
      <c r="W138" s="210">
        <v>189</v>
      </c>
      <c r="X138" s="173" t="s">
        <v>628</v>
      </c>
    </row>
    <row r="139" spans="23:24">
      <c r="W139" s="210">
        <v>190</v>
      </c>
      <c r="X139" s="173" t="s">
        <v>629</v>
      </c>
    </row>
    <row r="140" spans="23:24">
      <c r="W140" s="210">
        <v>191</v>
      </c>
      <c r="X140" s="173" t="s">
        <v>630</v>
      </c>
    </row>
    <row r="141" spans="23:24">
      <c r="W141" s="210">
        <v>193</v>
      </c>
      <c r="X141" s="173" t="s">
        <v>631</v>
      </c>
    </row>
    <row r="142" spans="23:24">
      <c r="W142" s="210">
        <v>194</v>
      </c>
      <c r="X142" s="173" t="s">
        <v>632</v>
      </c>
    </row>
    <row r="143" spans="23:24">
      <c r="W143" s="210">
        <v>195</v>
      </c>
      <c r="X143" s="173" t="s">
        <v>633</v>
      </c>
    </row>
    <row r="144" spans="23:24">
      <c r="W144" s="210">
        <v>201</v>
      </c>
      <c r="X144" s="173" t="s">
        <v>150</v>
      </c>
    </row>
    <row r="145" spans="23:24">
      <c r="W145" s="210">
        <v>203</v>
      </c>
      <c r="X145" s="173" t="s">
        <v>634</v>
      </c>
    </row>
    <row r="146" spans="23:24">
      <c r="W146" s="210">
        <v>205</v>
      </c>
      <c r="X146" s="173" t="s">
        <v>635</v>
      </c>
    </row>
    <row r="147" spans="23:24">
      <c r="W147" s="210">
        <v>207</v>
      </c>
      <c r="X147" s="173" t="s">
        <v>636</v>
      </c>
    </row>
    <row r="148" spans="23:24">
      <c r="W148" s="210">
        <v>208</v>
      </c>
      <c r="X148" s="173" t="s">
        <v>157</v>
      </c>
    </row>
    <row r="149" spans="23:24">
      <c r="W149" s="210">
        <v>212</v>
      </c>
      <c r="X149" s="173" t="s">
        <v>173</v>
      </c>
    </row>
    <row r="150" spans="23:24">
      <c r="W150" s="210">
        <v>213</v>
      </c>
      <c r="X150" s="173" t="s">
        <v>637</v>
      </c>
    </row>
    <row r="151" spans="23:24">
      <c r="W151" s="210">
        <v>214</v>
      </c>
      <c r="X151" s="173" t="s">
        <v>638</v>
      </c>
    </row>
    <row r="152" spans="23:24">
      <c r="W152" s="210">
        <v>215</v>
      </c>
      <c r="X152" s="173" t="s">
        <v>639</v>
      </c>
    </row>
    <row r="153" spans="23:24">
      <c r="W153" s="210">
        <v>218</v>
      </c>
      <c r="X153" s="173" t="s">
        <v>640</v>
      </c>
    </row>
    <row r="154" spans="23:24">
      <c r="W154" s="210">
        <v>220</v>
      </c>
      <c r="X154" s="173" t="s">
        <v>641</v>
      </c>
    </row>
    <row r="155" spans="23:24">
      <c r="W155" s="210">
        <v>221</v>
      </c>
      <c r="X155" s="173" t="s">
        <v>642</v>
      </c>
    </row>
    <row r="156" spans="23:24">
      <c r="W156" s="210">
        <v>222</v>
      </c>
      <c r="X156" s="173" t="s">
        <v>191</v>
      </c>
    </row>
    <row r="157" spans="23:24">
      <c r="W157" s="210">
        <v>223</v>
      </c>
      <c r="X157" s="173" t="s">
        <v>643</v>
      </c>
    </row>
    <row r="158" spans="23:24">
      <c r="W158" s="210">
        <v>224</v>
      </c>
      <c r="X158" s="173" t="s">
        <v>183</v>
      </c>
    </row>
    <row r="159" spans="23:24">
      <c r="W159" s="210">
        <v>235</v>
      </c>
      <c r="X159" s="173" t="s">
        <v>644</v>
      </c>
    </row>
    <row r="160" spans="23:24">
      <c r="W160" s="210">
        <v>237</v>
      </c>
      <c r="X160" s="173" t="s">
        <v>645</v>
      </c>
    </row>
    <row r="161" spans="23:24">
      <c r="W161" s="210">
        <v>250</v>
      </c>
      <c r="X161" s="173" t="s">
        <v>170</v>
      </c>
    </row>
    <row r="162" spans="23:24">
      <c r="W162" s="210">
        <v>251</v>
      </c>
      <c r="X162" s="173" t="s">
        <v>646</v>
      </c>
    </row>
    <row r="163" spans="23:24">
      <c r="W163" s="210">
        <v>252</v>
      </c>
      <c r="X163" s="173" t="s">
        <v>647</v>
      </c>
    </row>
    <row r="164" spans="23:24">
      <c r="W164" s="210">
        <v>261</v>
      </c>
      <c r="X164" s="173" t="s">
        <v>648</v>
      </c>
    </row>
    <row r="165" spans="23:24">
      <c r="W165" s="210">
        <v>269</v>
      </c>
      <c r="X165" s="173" t="s">
        <v>649</v>
      </c>
    </row>
    <row r="166" spans="23:24">
      <c r="W166" s="210">
        <v>271</v>
      </c>
      <c r="X166" s="173" t="s">
        <v>650</v>
      </c>
    </row>
    <row r="167" spans="23:24">
      <c r="W167" s="210">
        <v>272</v>
      </c>
      <c r="X167" s="173" t="s">
        <v>651</v>
      </c>
    </row>
    <row r="168" spans="23:24">
      <c r="W168" s="210">
        <v>273</v>
      </c>
      <c r="X168" s="173" t="s">
        <v>652</v>
      </c>
    </row>
    <row r="169" spans="23:24">
      <c r="W169" s="210">
        <v>274</v>
      </c>
      <c r="X169" s="173" t="s">
        <v>158</v>
      </c>
    </row>
    <row r="170" spans="23:24">
      <c r="W170" s="210">
        <v>275</v>
      </c>
      <c r="X170" s="173" t="s">
        <v>162</v>
      </c>
    </row>
    <row r="171" spans="23:24">
      <c r="W171" s="210">
        <v>276</v>
      </c>
      <c r="X171" s="173" t="s">
        <v>153</v>
      </c>
    </row>
    <row r="172" spans="23:24">
      <c r="W172" s="210">
        <v>277</v>
      </c>
      <c r="X172" s="173" t="s">
        <v>653</v>
      </c>
    </row>
    <row r="173" spans="23:24">
      <c r="W173" s="210">
        <v>278</v>
      </c>
      <c r="X173" s="173" t="s">
        <v>654</v>
      </c>
    </row>
    <row r="174" spans="23:24">
      <c r="W174" s="210">
        <v>279</v>
      </c>
      <c r="X174" s="173" t="s">
        <v>655</v>
      </c>
    </row>
    <row r="175" spans="23:24">
      <c r="W175" s="210">
        <v>280</v>
      </c>
      <c r="X175" s="173" t="s">
        <v>656</v>
      </c>
    </row>
    <row r="176" spans="23:24">
      <c r="W176" s="210">
        <v>281</v>
      </c>
      <c r="X176" s="173" t="s">
        <v>657</v>
      </c>
    </row>
    <row r="177" spans="23:24">
      <c r="W177" s="210">
        <v>282</v>
      </c>
      <c r="X177" s="173" t="s">
        <v>658</v>
      </c>
    </row>
    <row r="178" spans="23:24">
      <c r="W178" s="210">
        <v>286</v>
      </c>
      <c r="X178" s="173" t="s">
        <v>659</v>
      </c>
    </row>
    <row r="179" spans="23:24">
      <c r="W179" s="210">
        <v>287</v>
      </c>
      <c r="X179" s="173" t="s">
        <v>660</v>
      </c>
    </row>
    <row r="180" spans="23:24">
      <c r="W180" s="210">
        <v>288</v>
      </c>
      <c r="X180" s="173" t="s">
        <v>661</v>
      </c>
    </row>
    <row r="181" spans="23:24">
      <c r="W181" s="210">
        <v>289</v>
      </c>
      <c r="X181" s="173" t="s">
        <v>662</v>
      </c>
    </row>
    <row r="182" spans="23:24">
      <c r="W182" s="210">
        <v>290</v>
      </c>
      <c r="X182" s="173" t="s">
        <v>663</v>
      </c>
    </row>
    <row r="183" spans="23:24">
      <c r="W183" s="210">
        <v>291</v>
      </c>
      <c r="X183" s="173" t="s">
        <v>664</v>
      </c>
    </row>
    <row r="184" spans="23:24">
      <c r="W184" s="210">
        <v>294</v>
      </c>
      <c r="X184" s="173" t="s">
        <v>665</v>
      </c>
    </row>
    <row r="185" spans="23:24">
      <c r="W185" s="210">
        <v>295</v>
      </c>
      <c r="X185" s="173" t="s">
        <v>666</v>
      </c>
    </row>
    <row r="186" spans="23:24">
      <c r="W186" s="210">
        <v>297</v>
      </c>
      <c r="X186" s="173" t="s">
        <v>667</v>
      </c>
    </row>
    <row r="187" spans="23:24">
      <c r="W187" s="210">
        <v>302</v>
      </c>
      <c r="X187" s="173" t="s">
        <v>668</v>
      </c>
    </row>
    <row r="188" spans="23:24">
      <c r="W188" s="210">
        <v>306</v>
      </c>
      <c r="X188" s="173" t="s">
        <v>669</v>
      </c>
    </row>
    <row r="189" spans="23:24">
      <c r="W189" s="210">
        <v>308</v>
      </c>
      <c r="X189" s="173" t="s">
        <v>670</v>
      </c>
    </row>
    <row r="190" spans="23:24">
      <c r="W190" s="210">
        <v>310</v>
      </c>
      <c r="X190" s="173" t="s">
        <v>671</v>
      </c>
    </row>
    <row r="191" spans="23:24">
      <c r="W191" s="210">
        <v>313</v>
      </c>
      <c r="X191" s="173" t="s">
        <v>672</v>
      </c>
    </row>
    <row r="192" spans="23:24">
      <c r="W192" s="210">
        <v>314</v>
      </c>
      <c r="X192" s="173" t="s">
        <v>673</v>
      </c>
    </row>
    <row r="193" spans="23:24">
      <c r="W193" s="210">
        <v>317</v>
      </c>
      <c r="X193" s="173" t="s">
        <v>674</v>
      </c>
    </row>
    <row r="194" spans="23:24">
      <c r="W194" s="210">
        <v>319</v>
      </c>
      <c r="X194" s="173" t="s">
        <v>675</v>
      </c>
    </row>
    <row r="195" spans="23:24">
      <c r="W195" s="210">
        <v>324</v>
      </c>
      <c r="X195" s="173" t="s">
        <v>676</v>
      </c>
    </row>
    <row r="196" spans="23:24">
      <c r="W196" s="210">
        <v>333</v>
      </c>
      <c r="X196" s="173" t="s">
        <v>677</v>
      </c>
    </row>
    <row r="197" spans="23:24">
      <c r="W197" s="210">
        <v>334</v>
      </c>
      <c r="X197" s="173" t="s">
        <v>678</v>
      </c>
    </row>
    <row r="198" spans="23:24">
      <c r="W198" s="210">
        <v>335</v>
      </c>
      <c r="X198" s="173" t="s">
        <v>679</v>
      </c>
    </row>
    <row r="199" spans="23:24">
      <c r="W199" s="210">
        <v>336</v>
      </c>
      <c r="X199" s="173" t="s">
        <v>680</v>
      </c>
    </row>
    <row r="200" spans="23:24">
      <c r="W200" s="210">
        <v>337</v>
      </c>
      <c r="X200" s="173" t="s">
        <v>681</v>
      </c>
    </row>
    <row r="201" spans="23:24">
      <c r="W201" s="210">
        <v>338</v>
      </c>
      <c r="X201" s="173" t="s">
        <v>682</v>
      </c>
    </row>
    <row r="202" spans="23:24">
      <c r="W202" s="210">
        <v>340</v>
      </c>
      <c r="X202" s="173" t="s">
        <v>683</v>
      </c>
    </row>
    <row r="203" spans="23:24">
      <c r="W203" s="210">
        <v>341</v>
      </c>
      <c r="X203" s="173" t="s">
        <v>175</v>
      </c>
    </row>
    <row r="204" spans="23:24">
      <c r="W204" s="210">
        <v>342</v>
      </c>
      <c r="X204" s="173" t="s">
        <v>684</v>
      </c>
    </row>
    <row r="205" spans="23:24">
      <c r="W205" s="210">
        <v>343</v>
      </c>
      <c r="X205" s="173" t="s">
        <v>685</v>
      </c>
    </row>
    <row r="206" spans="23:24">
      <c r="W206" s="210">
        <v>344</v>
      </c>
      <c r="X206" s="173" t="s">
        <v>190</v>
      </c>
    </row>
    <row r="207" spans="23:24">
      <c r="W207" s="210">
        <v>345</v>
      </c>
      <c r="X207" s="173" t="s">
        <v>686</v>
      </c>
    </row>
    <row r="208" spans="23:24">
      <c r="W208" s="210">
        <v>346</v>
      </c>
      <c r="X208" s="173" t="s">
        <v>155</v>
      </c>
    </row>
    <row r="209" spans="23:24">
      <c r="W209" s="210">
        <v>348</v>
      </c>
      <c r="X209" s="173" t="s">
        <v>687</v>
      </c>
    </row>
    <row r="210" spans="23:24">
      <c r="W210" s="210">
        <v>349</v>
      </c>
      <c r="X210" s="173" t="s">
        <v>688</v>
      </c>
    </row>
    <row r="211" spans="23:24">
      <c r="W211" s="210">
        <v>352</v>
      </c>
      <c r="X211" s="173" t="s">
        <v>156</v>
      </c>
    </row>
    <row r="212" spans="23:24">
      <c r="W212" s="210">
        <v>353</v>
      </c>
      <c r="X212" s="173" t="s">
        <v>689</v>
      </c>
    </row>
    <row r="213" spans="23:24">
      <c r="W213" s="210">
        <v>355</v>
      </c>
      <c r="X213" s="173" t="s">
        <v>690</v>
      </c>
    </row>
    <row r="214" spans="23:24">
      <c r="W214" s="210">
        <v>357</v>
      </c>
      <c r="X214" s="173" t="s">
        <v>161</v>
      </c>
    </row>
    <row r="215" spans="23:24">
      <c r="W215" s="210">
        <v>359</v>
      </c>
      <c r="X215" s="173" t="s">
        <v>691</v>
      </c>
    </row>
    <row r="216" spans="23:24">
      <c r="W216" s="210">
        <v>360</v>
      </c>
      <c r="X216" s="173" t="s">
        <v>692</v>
      </c>
    </row>
    <row r="217" spans="23:24">
      <c r="W217" s="210">
        <v>361</v>
      </c>
      <c r="X217" s="173" t="s">
        <v>693</v>
      </c>
    </row>
    <row r="218" spans="23:24">
      <c r="W218" s="210">
        <v>362</v>
      </c>
      <c r="X218" s="173" t="s">
        <v>694</v>
      </c>
    </row>
    <row r="219" spans="23:24">
      <c r="W219" s="210">
        <v>363</v>
      </c>
      <c r="X219" s="173" t="s">
        <v>695</v>
      </c>
    </row>
    <row r="220" spans="23:24">
      <c r="W220" s="210">
        <v>365</v>
      </c>
      <c r="X220" s="173" t="s">
        <v>696</v>
      </c>
    </row>
    <row r="221" spans="23:24">
      <c r="W221" s="210">
        <v>366</v>
      </c>
      <c r="X221" s="173" t="s">
        <v>697</v>
      </c>
    </row>
    <row r="222" spans="23:24">
      <c r="W222" s="210">
        <v>368</v>
      </c>
      <c r="X222" s="173" t="s">
        <v>698</v>
      </c>
    </row>
    <row r="223" spans="23:24">
      <c r="W223" s="210">
        <v>371</v>
      </c>
      <c r="X223" s="173" t="s">
        <v>699</v>
      </c>
    </row>
    <row r="224" spans="23:24">
      <c r="W224" s="210">
        <v>377</v>
      </c>
      <c r="X224" s="173" t="s">
        <v>700</v>
      </c>
    </row>
    <row r="225" spans="22:24">
      <c r="W225" s="210">
        <v>381</v>
      </c>
      <c r="X225" s="173" t="s">
        <v>701</v>
      </c>
    </row>
    <row r="226" spans="22:24">
      <c r="W226" s="210">
        <v>382</v>
      </c>
      <c r="X226" s="173" t="s">
        <v>163</v>
      </c>
    </row>
    <row r="227" spans="22:24">
      <c r="W227" s="210">
        <v>383</v>
      </c>
      <c r="X227" s="173" t="s">
        <v>702</v>
      </c>
    </row>
    <row r="228" spans="22:24">
      <c r="W228" s="210">
        <v>394</v>
      </c>
      <c r="X228" s="173" t="s">
        <v>703</v>
      </c>
    </row>
    <row r="229" spans="22:24">
      <c r="W229" s="210">
        <v>395</v>
      </c>
      <c r="X229" s="173" t="s">
        <v>176</v>
      </c>
    </row>
    <row r="230" spans="22:24">
      <c r="W230" s="210">
        <v>396</v>
      </c>
      <c r="X230" s="173" t="s">
        <v>704</v>
      </c>
    </row>
    <row r="231" spans="22:24">
      <c r="V231" t="s">
        <v>705</v>
      </c>
      <c r="W231" s="79">
        <v>424</v>
      </c>
      <c r="X231" s="77" t="s">
        <v>171</v>
      </c>
    </row>
    <row r="232" spans="22:24">
      <c r="W232" s="82">
        <v>430</v>
      </c>
      <c r="X232" t="s">
        <v>154</v>
      </c>
    </row>
    <row r="233" spans="22:24">
      <c r="W233" s="82">
        <v>431</v>
      </c>
      <c r="X233" t="s">
        <v>167</v>
      </c>
    </row>
    <row r="234" spans="22:24">
      <c r="W234" s="82">
        <v>907</v>
      </c>
      <c r="X234" s="76" t="s">
        <v>169</v>
      </c>
    </row>
    <row r="235" spans="22:24">
      <c r="W235" s="82">
        <v>367</v>
      </c>
      <c r="X235" s="78" t="s">
        <v>160</v>
      </c>
    </row>
    <row r="236" spans="22:24">
      <c r="W236" t="s">
        <v>706</v>
      </c>
      <c r="X236" t="s">
        <v>178</v>
      </c>
    </row>
    <row r="237" spans="22:24">
      <c r="W237" t="s">
        <v>707</v>
      </c>
      <c r="X237" t="s">
        <v>192</v>
      </c>
    </row>
    <row r="238" spans="22:24">
      <c r="W238" t="s">
        <v>708</v>
      </c>
      <c r="X238" t="s">
        <v>359</v>
      </c>
    </row>
    <row r="239" spans="22:24">
      <c r="W239" t="s">
        <v>709</v>
      </c>
      <c r="X239" t="s">
        <v>710</v>
      </c>
    </row>
    <row r="240" spans="22:24">
      <c r="W240" t="s">
        <v>711</v>
      </c>
      <c r="X240" t="s">
        <v>712</v>
      </c>
    </row>
    <row r="241" spans="23:24">
      <c r="W241" t="s">
        <v>713</v>
      </c>
      <c r="X241" t="s">
        <v>714</v>
      </c>
    </row>
    <row r="242" spans="23:24">
      <c r="W242" t="s">
        <v>715</v>
      </c>
      <c r="X242" t="s">
        <v>716</v>
      </c>
    </row>
    <row r="243" spans="23:24">
      <c r="W243" t="s">
        <v>717</v>
      </c>
      <c r="X243" t="s">
        <v>718</v>
      </c>
    </row>
    <row r="244" spans="23:24">
      <c r="W244" t="s">
        <v>719</v>
      </c>
      <c r="X244" t="s">
        <v>720</v>
      </c>
    </row>
    <row r="245" spans="23:24">
      <c r="W245" t="s">
        <v>721</v>
      </c>
      <c r="X245" t="s">
        <v>722</v>
      </c>
    </row>
    <row r="246" spans="23:24">
      <c r="W246" t="s">
        <v>723</v>
      </c>
      <c r="X246" t="s">
        <v>724</v>
      </c>
    </row>
    <row r="247" spans="23:24">
      <c r="W247" t="s">
        <v>725</v>
      </c>
      <c r="X247" t="s">
        <v>726</v>
      </c>
    </row>
    <row r="248" spans="23:24">
      <c r="W248" t="s">
        <v>727</v>
      </c>
      <c r="X248" t="s">
        <v>728</v>
      </c>
    </row>
    <row r="249" spans="23:24">
      <c r="W249" t="s">
        <v>729</v>
      </c>
      <c r="X249" t="s">
        <v>730</v>
      </c>
    </row>
    <row r="250" spans="23:24">
      <c r="W250" t="s">
        <v>336</v>
      </c>
      <c r="X250" t="s">
        <v>731</v>
      </c>
    </row>
    <row r="251" spans="23:24">
      <c r="W251" t="s">
        <v>732</v>
      </c>
      <c r="X251" t="s">
        <v>733</v>
      </c>
    </row>
    <row r="252" spans="23:24">
      <c r="W252" t="s">
        <v>734</v>
      </c>
      <c r="X252" t="s">
        <v>735</v>
      </c>
    </row>
    <row r="253" spans="23:24">
      <c r="W253" t="s">
        <v>736</v>
      </c>
      <c r="X253" t="s">
        <v>737</v>
      </c>
    </row>
    <row r="254" spans="23:24">
      <c r="W254" t="s">
        <v>382</v>
      </c>
      <c r="X254" t="s">
        <v>738</v>
      </c>
    </row>
    <row r="255" spans="23:24">
      <c r="W255">
        <v>123</v>
      </c>
      <c r="X255" t="s">
        <v>380</v>
      </c>
    </row>
  </sheetData>
  <phoneticPr fontId="9" type="noConversion"/>
  <conditionalFormatting sqref="X231">
    <cfRule type="containsText" dxfId="1" priority="3" operator="containsText" text="Incorrect Error Code">
      <formula>NOT(ISERROR(SEARCH("Incorrect Error Code",X231)))</formula>
    </cfRule>
  </conditionalFormatting>
  <conditionalFormatting sqref="X234:X235">
    <cfRule type="containsText" dxfId="0" priority="1" operator="containsText" text="Incorrect Error Code">
      <formula>NOT(ISERROR(SEARCH("Incorrect Error Code",X234)))</formula>
    </cfRule>
  </conditionalFormatting>
  <hyperlinks>
    <hyperlink ref="B3" r:id="rId1" display="O@R1" xr:uid="{00000000-0004-0000-0B00-000000000000}"/>
    <hyperlink ref="B4:B46" r:id="rId2" display="O@R1" xr:uid="{00000000-0004-0000-0B00-000001000000}"/>
    <hyperlink ref="B47" r:id="rId3" display="O@R1" xr:uid="{00000000-0004-0000-0B00-000002000000}"/>
    <hyperlink ref="B48" r:id="rId4" display="O@R1" xr:uid="{00000000-0004-0000-0B00-000003000000}"/>
    <hyperlink ref="B49" r:id="rId5" display="O@R1" xr:uid="{00000000-0004-0000-0B00-000004000000}"/>
    <hyperlink ref="B50" r:id="rId6" display="O@R1" xr:uid="{00000000-0004-0000-0B00-000005000000}"/>
  </hyperlinks>
  <pageMargins left="0.7" right="0.7" top="0.75" bottom="0.75" header="0.3" footer="0.3"/>
  <pageSetup paperSize="9" orientation="portrait"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Y370"/>
  <sheetViews>
    <sheetView workbookViewId="0">
      <pane xSplit="4" ySplit="2" topLeftCell="E89" activePane="bottomRight" state="frozen"/>
      <selection pane="topRight" activeCell="E1" sqref="E1"/>
      <selection pane="bottomLeft" activeCell="A3" sqref="A3"/>
      <selection pane="bottomRight" activeCell="K109" sqref="K109"/>
    </sheetView>
  </sheetViews>
  <sheetFormatPr defaultColWidth="8.5546875" defaultRowHeight="14.4"/>
  <cols>
    <col min="1" max="1" width="10.109375" style="108" bestFit="1" customWidth="1"/>
    <col min="2" max="2" width="12.109375" style="108" customWidth="1"/>
    <col min="3" max="3" width="12.44140625" style="108" customWidth="1"/>
    <col min="4" max="4" width="10.88671875" style="108" customWidth="1"/>
    <col min="5" max="48" width="8.5546875" style="108"/>
    <col min="49" max="49" width="11.44140625" style="108" customWidth="1"/>
    <col min="50" max="16384" width="8.5546875" style="108"/>
  </cols>
  <sheetData>
    <row r="1" spans="1:51">
      <c r="A1" s="108">
        <v>1</v>
      </c>
      <c r="B1" s="108">
        <f>A1+1</f>
        <v>2</v>
      </c>
      <c r="C1" s="108">
        <f t="shared" ref="C1:AW1" si="0">B1+1</f>
        <v>3</v>
      </c>
      <c r="D1" s="108">
        <f t="shared" si="0"/>
        <v>4</v>
      </c>
      <c r="E1" s="108">
        <f t="shared" si="0"/>
        <v>5</v>
      </c>
      <c r="F1" s="108">
        <f t="shared" si="0"/>
        <v>6</v>
      </c>
      <c r="G1" s="108">
        <f t="shared" si="0"/>
        <v>7</v>
      </c>
      <c r="H1" s="108">
        <f t="shared" si="0"/>
        <v>8</v>
      </c>
      <c r="I1" s="108">
        <f t="shared" si="0"/>
        <v>9</v>
      </c>
      <c r="J1" s="108">
        <f t="shared" si="0"/>
        <v>10</v>
      </c>
      <c r="K1" s="108">
        <f t="shared" si="0"/>
        <v>11</v>
      </c>
      <c r="L1" s="108">
        <f t="shared" si="0"/>
        <v>12</v>
      </c>
      <c r="M1" s="108">
        <f t="shared" si="0"/>
        <v>13</v>
      </c>
      <c r="N1" s="108">
        <f t="shared" si="0"/>
        <v>14</v>
      </c>
      <c r="O1" s="108">
        <f t="shared" si="0"/>
        <v>15</v>
      </c>
      <c r="P1" s="108">
        <f t="shared" si="0"/>
        <v>16</v>
      </c>
      <c r="Q1" s="108">
        <f t="shared" si="0"/>
        <v>17</v>
      </c>
      <c r="R1" s="108">
        <f t="shared" si="0"/>
        <v>18</v>
      </c>
      <c r="S1" s="108">
        <f t="shared" si="0"/>
        <v>19</v>
      </c>
      <c r="T1" s="108">
        <f t="shared" si="0"/>
        <v>20</v>
      </c>
      <c r="U1" s="108">
        <f t="shared" si="0"/>
        <v>21</v>
      </c>
      <c r="V1" s="108">
        <f t="shared" si="0"/>
        <v>22</v>
      </c>
      <c r="W1" s="108">
        <f t="shared" si="0"/>
        <v>23</v>
      </c>
      <c r="X1" s="108">
        <f t="shared" si="0"/>
        <v>24</v>
      </c>
      <c r="Y1" s="108">
        <f t="shared" si="0"/>
        <v>25</v>
      </c>
      <c r="Z1" s="108">
        <f t="shared" si="0"/>
        <v>26</v>
      </c>
      <c r="AA1" s="108">
        <f t="shared" si="0"/>
        <v>27</v>
      </c>
      <c r="AB1" s="108">
        <f t="shared" si="0"/>
        <v>28</v>
      </c>
      <c r="AC1" s="108">
        <f t="shared" si="0"/>
        <v>29</v>
      </c>
      <c r="AD1" s="108">
        <f t="shared" si="0"/>
        <v>30</v>
      </c>
      <c r="AE1" s="108">
        <f t="shared" si="0"/>
        <v>31</v>
      </c>
      <c r="AF1" s="108">
        <f t="shared" si="0"/>
        <v>32</v>
      </c>
      <c r="AG1" s="108">
        <f t="shared" si="0"/>
        <v>33</v>
      </c>
      <c r="AH1" s="108">
        <f t="shared" si="0"/>
        <v>34</v>
      </c>
      <c r="AI1" s="108">
        <f t="shared" si="0"/>
        <v>35</v>
      </c>
      <c r="AJ1" s="108">
        <f t="shared" si="0"/>
        <v>36</v>
      </c>
      <c r="AK1" s="108">
        <f t="shared" si="0"/>
        <v>37</v>
      </c>
      <c r="AL1" s="108">
        <f t="shared" si="0"/>
        <v>38</v>
      </c>
      <c r="AM1" s="108">
        <f t="shared" si="0"/>
        <v>39</v>
      </c>
      <c r="AN1" s="108">
        <f t="shared" si="0"/>
        <v>40</v>
      </c>
      <c r="AO1" s="108">
        <f t="shared" si="0"/>
        <v>41</v>
      </c>
      <c r="AP1" s="108">
        <f t="shared" si="0"/>
        <v>42</v>
      </c>
      <c r="AQ1" s="108">
        <f t="shared" si="0"/>
        <v>43</v>
      </c>
      <c r="AR1" s="108">
        <f t="shared" si="0"/>
        <v>44</v>
      </c>
      <c r="AS1" s="108">
        <f t="shared" si="0"/>
        <v>45</v>
      </c>
      <c r="AT1" s="108">
        <f t="shared" si="0"/>
        <v>46</v>
      </c>
      <c r="AU1" s="108">
        <f t="shared" si="0"/>
        <v>47</v>
      </c>
      <c r="AV1" s="108">
        <f t="shared" si="0"/>
        <v>48</v>
      </c>
      <c r="AW1" s="108">
        <f t="shared" si="0"/>
        <v>49</v>
      </c>
    </row>
    <row r="2" spans="1:51" ht="41.4" customHeight="1">
      <c r="A2" s="144" t="s">
        <v>197</v>
      </c>
      <c r="B2" s="106" t="s">
        <v>3</v>
      </c>
      <c r="C2" s="106" t="s">
        <v>198</v>
      </c>
      <c r="D2" s="106" t="s">
        <v>199</v>
      </c>
      <c r="E2" s="106" t="s">
        <v>76</v>
      </c>
      <c r="F2" s="106" t="s">
        <v>77</v>
      </c>
      <c r="G2" s="106" t="s">
        <v>78</v>
      </c>
      <c r="H2" s="106" t="s">
        <v>79</v>
      </c>
      <c r="I2" s="106" t="s">
        <v>80</v>
      </c>
      <c r="J2" s="106" t="s">
        <v>81</v>
      </c>
      <c r="K2" s="106" t="s">
        <v>82</v>
      </c>
      <c r="L2" s="106" t="s">
        <v>83</v>
      </c>
      <c r="M2" s="106" t="s">
        <v>84</v>
      </c>
      <c r="N2" s="106" t="s">
        <v>85</v>
      </c>
      <c r="O2" s="106" t="s">
        <v>86</v>
      </c>
      <c r="P2" s="106" t="s">
        <v>87</v>
      </c>
      <c r="Q2" s="106" t="s">
        <v>88</v>
      </c>
      <c r="R2" s="106" t="s">
        <v>89</v>
      </c>
      <c r="S2" s="106" t="s">
        <v>90</v>
      </c>
      <c r="T2" s="106" t="s">
        <v>91</v>
      </c>
      <c r="U2" s="106" t="s">
        <v>92</v>
      </c>
      <c r="V2" s="106" t="s">
        <v>93</v>
      </c>
      <c r="W2" s="106" t="s">
        <v>94</v>
      </c>
      <c r="X2" s="106" t="s">
        <v>95</v>
      </c>
      <c r="Y2" s="106" t="s">
        <v>96</v>
      </c>
      <c r="Z2" s="106" t="s">
        <v>97</v>
      </c>
      <c r="AA2" s="106" t="s">
        <v>98</v>
      </c>
      <c r="AB2" s="106" t="s">
        <v>99</v>
      </c>
      <c r="AC2" s="106" t="s">
        <v>100</v>
      </c>
      <c r="AD2" s="106" t="s">
        <v>101</v>
      </c>
      <c r="AE2" s="106" t="s">
        <v>102</v>
      </c>
      <c r="AF2" s="106" t="s">
        <v>103</v>
      </c>
      <c r="AG2" s="106" t="s">
        <v>104</v>
      </c>
      <c r="AH2" s="106" t="s">
        <v>105</v>
      </c>
      <c r="AI2" s="106" t="s">
        <v>106</v>
      </c>
      <c r="AJ2" s="106" t="s">
        <v>107</v>
      </c>
      <c r="AK2" s="106" t="s">
        <v>108</v>
      </c>
      <c r="AL2" s="106" t="s">
        <v>109</v>
      </c>
      <c r="AM2" s="106" t="s">
        <v>110</v>
      </c>
      <c r="AN2" s="106" t="s">
        <v>111</v>
      </c>
      <c r="AO2" s="106" t="s">
        <v>112</v>
      </c>
      <c r="AP2" s="106" t="s">
        <v>113</v>
      </c>
      <c r="AQ2" s="106" t="s">
        <v>114</v>
      </c>
      <c r="AR2" s="106" t="s">
        <v>115</v>
      </c>
      <c r="AS2" s="106" t="s">
        <v>116</v>
      </c>
      <c r="AT2" s="106" t="s">
        <v>117</v>
      </c>
      <c r="AU2" s="106" t="s">
        <v>118</v>
      </c>
      <c r="AV2" s="106" t="s">
        <v>119</v>
      </c>
      <c r="AW2" s="106" t="s">
        <v>494</v>
      </c>
    </row>
    <row r="3" spans="1:51">
      <c r="A3" s="149">
        <v>45745</v>
      </c>
      <c r="B3" s="150">
        <f>YEAR(Table7[[#This Row],[Date]])+IF(MONTH(Table7[[#This Row],[Date]])&gt;=4,1,0)</f>
        <v>2025</v>
      </c>
      <c r="C3" s="151">
        <f>YEAR(Table7[[#This Row],[Date]])</f>
        <v>2025</v>
      </c>
      <c r="D3" s="152">
        <f>Daily_KPI[[#This Row],[Date]]-DAY(Daily_KPI[[#This Row],[Date]])+1</f>
        <v>45717</v>
      </c>
      <c r="AW3" s="108">
        <f t="shared" ref="AW3:AW61" si="1">SUM(E3:AV3)/1000</f>
        <v>0</v>
      </c>
    </row>
    <row r="4" spans="1:51">
      <c r="A4" s="145">
        <v>45746</v>
      </c>
      <c r="B4" s="146">
        <f>YEAR(Table7[[#This Row],[Date]])+IF(MONTH(Table7[[#This Row],[Date]])&gt;=4,1,0)</f>
        <v>2025</v>
      </c>
      <c r="C4" s="147">
        <f>YEAR(Table7[[#This Row],[Date]])</f>
        <v>2025</v>
      </c>
      <c r="D4" s="148">
        <f>Daily_KPI[[#This Row],[Date]]-DAY(Daily_KPI[[#This Row],[Date]])+1</f>
        <v>45717</v>
      </c>
      <c r="AW4" s="108">
        <f t="shared" si="1"/>
        <v>0</v>
      </c>
    </row>
    <row r="5" spans="1:51">
      <c r="A5" s="149">
        <v>45747</v>
      </c>
      <c r="B5" s="150">
        <f>YEAR(Table7[[#This Row],[Date]])+IF(MONTH(Table7[[#This Row],[Date]])&gt;=4,1,0)</f>
        <v>2025</v>
      </c>
      <c r="C5" s="151">
        <f>YEAR(Table7[[#This Row],[Date]])</f>
        <v>2025</v>
      </c>
      <c r="D5" s="152">
        <f>Daily_KPI[[#This Row],[Date]]-DAY(Daily_KPI[[#This Row],[Date]])+1</f>
        <v>45748</v>
      </c>
      <c r="AW5" s="108">
        <f t="shared" si="1"/>
        <v>0</v>
      </c>
    </row>
    <row r="6" spans="1:51">
      <c r="A6" s="145">
        <v>45748</v>
      </c>
      <c r="B6" s="146">
        <f>YEAR(Table7[[#This Row],[Date]])+IF(MONTH(Table7[[#This Row],[Date]])&gt;=4,1,0)</f>
        <v>2026</v>
      </c>
      <c r="C6" s="147">
        <f>YEAR(Table7[[#This Row],[Date]])</f>
        <v>2025</v>
      </c>
      <c r="D6" s="148">
        <f>Daily_KPI[[#This Row],[Date]]-DAY(Daily_KPI[[#This Row],[Date]])+1</f>
        <v>45748</v>
      </c>
      <c r="E6" s="108">
        <v>721.78549999999984</v>
      </c>
      <c r="F6" s="108">
        <v>706.55599999999993</v>
      </c>
      <c r="G6" s="108">
        <v>649.41683333333333</v>
      </c>
      <c r="H6" s="108">
        <v>1211.4641666666653</v>
      </c>
      <c r="I6" s="108">
        <v>927.19549999999981</v>
      </c>
      <c r="J6" s="108">
        <v>923.10349999999971</v>
      </c>
      <c r="K6" s="108">
        <v>457.29250000000002</v>
      </c>
      <c r="L6" s="108">
        <v>847.47816666666665</v>
      </c>
      <c r="M6" s="108">
        <v>717.88083333333316</v>
      </c>
      <c r="N6" s="108">
        <v>1008.006</v>
      </c>
      <c r="O6" s="108">
        <v>1258.9806666666666</v>
      </c>
      <c r="P6" s="108">
        <v>1222.2958333333331</v>
      </c>
      <c r="Q6" s="108">
        <v>1134.9851666666666</v>
      </c>
      <c r="R6" s="108">
        <v>1084.4103333333333</v>
      </c>
      <c r="S6" s="108">
        <v>898.1966666666666</v>
      </c>
      <c r="T6" s="108">
        <v>845.66483333333315</v>
      </c>
      <c r="U6" s="108">
        <v>759.94616666666661</v>
      </c>
      <c r="V6" s="108">
        <v>547.76233333333323</v>
      </c>
      <c r="W6" s="108">
        <v>994.58816666666644</v>
      </c>
      <c r="X6" s="108">
        <v>832.46983333333355</v>
      </c>
      <c r="Y6" s="108">
        <v>1290.206666666666</v>
      </c>
      <c r="Z6" s="108">
        <v>1277.8260000000005</v>
      </c>
      <c r="AA6" s="108">
        <v>1090.8723333333335</v>
      </c>
      <c r="AB6" s="108">
        <v>1058.6229999999998</v>
      </c>
      <c r="AC6" s="108">
        <v>592.31650000000002</v>
      </c>
      <c r="AD6" s="108">
        <v>982.13966666666693</v>
      </c>
      <c r="AE6" s="108">
        <v>599.53683333333345</v>
      </c>
      <c r="AF6" s="108">
        <v>424.31016666666665</v>
      </c>
      <c r="AG6" s="108">
        <v>1014.068666666667</v>
      </c>
      <c r="AH6" s="108">
        <v>450.90999999999985</v>
      </c>
      <c r="AI6" s="108">
        <v>926.22300000000007</v>
      </c>
      <c r="AJ6" s="108">
        <v>672.30550000000005</v>
      </c>
      <c r="AK6" s="108">
        <v>890.81383333333349</v>
      </c>
      <c r="AL6" s="108">
        <v>769.96400000000006</v>
      </c>
      <c r="AM6" s="108">
        <v>1258.6621666666667</v>
      </c>
      <c r="AN6" s="108">
        <v>1286.8588333333335</v>
      </c>
      <c r="AO6" s="108">
        <v>906.57933333333347</v>
      </c>
      <c r="AP6" s="108">
        <v>699.68316666666669</v>
      </c>
      <c r="AQ6" s="108">
        <v>802.40016666666645</v>
      </c>
      <c r="AR6" s="108">
        <v>384.66933333333327</v>
      </c>
      <c r="AS6" s="108">
        <v>475.28000000000003</v>
      </c>
      <c r="AT6" s="108">
        <v>544.08249999999987</v>
      </c>
      <c r="AU6" s="108">
        <v>639.41466666666668</v>
      </c>
      <c r="AV6" s="108">
        <v>531.53183333333334</v>
      </c>
      <c r="AW6" s="108">
        <f t="shared" si="1"/>
        <v>37.31875716666665</v>
      </c>
      <c r="AY6" s="197"/>
    </row>
    <row r="7" spans="1:51">
      <c r="A7" s="149">
        <v>45749</v>
      </c>
      <c r="B7" s="150">
        <f>YEAR(Table7[[#This Row],[Date]])+IF(MONTH(Table7[[#This Row],[Date]])&gt;=4,1,0)</f>
        <v>2026</v>
      </c>
      <c r="C7" s="151">
        <f>YEAR(Table7[[#This Row],[Date]])</f>
        <v>2025</v>
      </c>
      <c r="D7" s="152">
        <f>Daily_KPI[[#This Row],[Date]]-DAY(Daily_KPI[[#This Row],[Date]])+1</f>
        <v>45748</v>
      </c>
      <c r="E7" s="108">
        <v>1279.0201666666665</v>
      </c>
      <c r="F7" s="108">
        <v>1000.0011666666669</v>
      </c>
      <c r="G7" s="108">
        <v>826.36716666666655</v>
      </c>
      <c r="H7" s="108">
        <v>974.13600000000008</v>
      </c>
      <c r="I7" s="108">
        <v>2179.4880000000003</v>
      </c>
      <c r="J7" s="108">
        <v>1830.5526666666658</v>
      </c>
      <c r="K7" s="108">
        <v>1022.207666666667</v>
      </c>
      <c r="L7" s="108">
        <v>940.67550000000028</v>
      </c>
      <c r="M7" s="108">
        <v>648.24866666666662</v>
      </c>
      <c r="N7" s="108">
        <v>1004.622666666667</v>
      </c>
      <c r="O7" s="108">
        <v>1201.2533333333333</v>
      </c>
      <c r="P7" s="108">
        <v>1484.9563333333329</v>
      </c>
      <c r="Q7" s="108">
        <v>1740.9739999999995</v>
      </c>
      <c r="R7" s="108">
        <v>1764.8890000000001</v>
      </c>
      <c r="S7" s="108">
        <v>1291.661166666667</v>
      </c>
      <c r="T7" s="108">
        <v>1538.5458333333327</v>
      </c>
      <c r="U7" s="108">
        <v>1692.3156666666664</v>
      </c>
      <c r="V7" s="108">
        <v>1164.2563333333337</v>
      </c>
      <c r="W7" s="108">
        <v>2025.9788333333338</v>
      </c>
      <c r="X7" s="108">
        <v>1739.0328333333337</v>
      </c>
      <c r="Y7" s="108">
        <v>949.64933333333283</v>
      </c>
      <c r="Z7" s="108">
        <v>981.28050000000076</v>
      </c>
      <c r="AA7" s="108">
        <v>1364.3894999999995</v>
      </c>
      <c r="AB7" s="108">
        <v>1696.8098333333326</v>
      </c>
      <c r="AC7" s="108">
        <v>1684.1341666666674</v>
      </c>
      <c r="AD7" s="108">
        <v>1635.5490000000009</v>
      </c>
      <c r="AE7" s="108">
        <v>861.67366666666692</v>
      </c>
      <c r="AF7" s="108">
        <v>1131.5123333333333</v>
      </c>
      <c r="AG7" s="108">
        <v>711.77666666666676</v>
      </c>
      <c r="AH7" s="108">
        <v>1502.0344999999998</v>
      </c>
      <c r="AI7" s="108">
        <v>1956.7856666666669</v>
      </c>
      <c r="AJ7" s="108">
        <v>1168.4541666666667</v>
      </c>
      <c r="AK7" s="108">
        <v>2110.2431666666671</v>
      </c>
      <c r="AL7" s="108">
        <v>1617.4118333333336</v>
      </c>
      <c r="AM7" s="108">
        <v>1506.773833333333</v>
      </c>
      <c r="AN7" s="108">
        <v>2441.3996666666662</v>
      </c>
      <c r="AO7" s="108">
        <v>1560.4151666666655</v>
      </c>
      <c r="AP7" s="108">
        <v>1820.0439999999999</v>
      </c>
      <c r="AQ7" s="108">
        <v>1734.4628333333333</v>
      </c>
      <c r="AR7" s="108">
        <v>1280.4159999999999</v>
      </c>
      <c r="AS7" s="108">
        <v>1536.9064999999998</v>
      </c>
      <c r="AT7" s="108">
        <v>1486.0708333333325</v>
      </c>
      <c r="AU7" s="108">
        <v>1869.9906666666673</v>
      </c>
      <c r="AV7" s="108">
        <v>1636.3545000000001</v>
      </c>
      <c r="AW7" s="108">
        <f t="shared" si="1"/>
        <v>63.593721333333335</v>
      </c>
    </row>
    <row r="8" spans="1:51">
      <c r="A8" s="145">
        <v>45750</v>
      </c>
      <c r="B8" s="146">
        <f>YEAR(Table7[[#This Row],[Date]])+IF(MONTH(Table7[[#This Row],[Date]])&gt;=4,1,0)</f>
        <v>2026</v>
      </c>
      <c r="C8" s="147">
        <f>YEAR(Table7[[#This Row],[Date]])</f>
        <v>2025</v>
      </c>
      <c r="D8" s="148">
        <f>Daily_KPI[[#This Row],[Date]]-DAY(Daily_KPI[[#This Row],[Date]])+1</f>
        <v>45748</v>
      </c>
      <c r="E8" s="108">
        <v>554.48183333333373</v>
      </c>
      <c r="F8" s="108">
        <v>496.67583333333329</v>
      </c>
      <c r="G8" s="108">
        <v>503.44066666666669</v>
      </c>
      <c r="H8" s="108">
        <v>503.58033333333333</v>
      </c>
      <c r="I8" s="108">
        <v>461.6213333333335</v>
      </c>
      <c r="J8" s="108">
        <v>345.36133333333333</v>
      </c>
      <c r="K8" s="108">
        <v>403.03266666666667</v>
      </c>
      <c r="L8" s="108">
        <v>207.97100000000003</v>
      </c>
      <c r="M8" s="108">
        <v>150.51683333333335</v>
      </c>
      <c r="N8" s="108">
        <v>181.7885</v>
      </c>
      <c r="O8" s="108">
        <v>187.05466666666666</v>
      </c>
      <c r="P8" s="108">
        <v>200.02200000000002</v>
      </c>
      <c r="Q8" s="108">
        <v>200.48366666666666</v>
      </c>
      <c r="R8" s="108">
        <v>104.63516666666665</v>
      </c>
      <c r="S8" s="108">
        <v>108.93516666666669</v>
      </c>
      <c r="T8" s="108">
        <v>136.38316666666665</v>
      </c>
      <c r="U8" s="108">
        <v>171.52766666666662</v>
      </c>
      <c r="V8" s="108">
        <v>501.60383333333328</v>
      </c>
      <c r="W8" s="108">
        <v>188.55900000000005</v>
      </c>
      <c r="X8" s="108">
        <v>155.35649999999998</v>
      </c>
      <c r="Y8" s="108">
        <v>442.68099999999998</v>
      </c>
      <c r="Z8" s="108">
        <v>479.53616666666653</v>
      </c>
      <c r="AA8" s="108">
        <v>261.46283333333332</v>
      </c>
      <c r="AB8" s="108">
        <v>302.95949999999993</v>
      </c>
      <c r="AC8" s="108">
        <v>332.94066666666657</v>
      </c>
      <c r="AD8" s="108">
        <v>295.00616666666673</v>
      </c>
      <c r="AE8" s="108">
        <v>258.44249999999994</v>
      </c>
      <c r="AF8" s="108">
        <v>254.41633333333337</v>
      </c>
      <c r="AG8" s="108">
        <v>508.0893333333334</v>
      </c>
      <c r="AH8" s="108">
        <v>337.80366666666663</v>
      </c>
      <c r="AI8" s="108">
        <v>211.69383333333337</v>
      </c>
      <c r="AJ8" s="108">
        <v>294.40583333333342</v>
      </c>
      <c r="AK8" s="108">
        <v>416.0836666666666</v>
      </c>
      <c r="AL8" s="108">
        <v>507.03400000000005</v>
      </c>
      <c r="AM8" s="108">
        <v>280.36799999999999</v>
      </c>
      <c r="AN8" s="108">
        <v>575.45666666666659</v>
      </c>
      <c r="AO8" s="108">
        <v>529.66650000000016</v>
      </c>
      <c r="AP8" s="108">
        <v>474.1396666666667</v>
      </c>
      <c r="AQ8" s="108">
        <v>516.11333333333334</v>
      </c>
      <c r="AR8" s="108">
        <v>208.44433333333333</v>
      </c>
      <c r="AS8" s="108">
        <v>343.64649999999989</v>
      </c>
      <c r="AT8" s="108">
        <v>340.83483333333328</v>
      </c>
      <c r="AU8" s="108">
        <v>540.7648333333334</v>
      </c>
      <c r="AV8" s="108">
        <v>489.99616666666662</v>
      </c>
      <c r="AW8" s="108">
        <f t="shared" si="1"/>
        <v>14.965017499999998</v>
      </c>
    </row>
    <row r="9" spans="1:51">
      <c r="A9" s="149">
        <v>45751</v>
      </c>
      <c r="B9" s="150">
        <f>YEAR(Table7[[#This Row],[Date]])+IF(MONTH(Table7[[#This Row],[Date]])&gt;=4,1,0)</f>
        <v>2026</v>
      </c>
      <c r="C9" s="151">
        <f>YEAR(Table7[[#This Row],[Date]])</f>
        <v>2025</v>
      </c>
      <c r="D9" s="152">
        <f>Daily_KPI[[#This Row],[Date]]-DAY(Daily_KPI[[#This Row],[Date]])+1</f>
        <v>45748</v>
      </c>
      <c r="E9" s="108">
        <v>489.21983333333333</v>
      </c>
      <c r="F9" s="108">
        <v>529.73749999999984</v>
      </c>
      <c r="G9" s="108">
        <v>586.28533333333314</v>
      </c>
      <c r="H9" s="108">
        <v>564.45533333333321</v>
      </c>
      <c r="I9" s="108">
        <v>625.91166666666652</v>
      </c>
      <c r="J9" s="108">
        <v>482.95700000000011</v>
      </c>
      <c r="K9" s="108">
        <v>493.73300000000012</v>
      </c>
      <c r="L9" s="108">
        <v>420.31900000000002</v>
      </c>
      <c r="M9" s="108">
        <v>304.20099999999996</v>
      </c>
      <c r="N9" s="108">
        <v>337.34783333333331</v>
      </c>
      <c r="O9" s="108">
        <v>339.14550000000014</v>
      </c>
      <c r="P9" s="108">
        <v>342.33316666666656</v>
      </c>
      <c r="Q9" s="108">
        <v>405.76333333333326</v>
      </c>
      <c r="R9" s="108">
        <v>248.77766666666665</v>
      </c>
      <c r="S9" s="108">
        <v>127.59916666666665</v>
      </c>
      <c r="T9" s="108">
        <v>165.78183333333337</v>
      </c>
      <c r="U9" s="108">
        <v>220.4193333333333</v>
      </c>
      <c r="V9" s="108">
        <v>603.6431666666665</v>
      </c>
      <c r="W9" s="108">
        <v>226.83883333333335</v>
      </c>
      <c r="X9" s="108">
        <v>168.49550000000002</v>
      </c>
      <c r="Y9" s="108">
        <v>568.77800000000013</v>
      </c>
      <c r="Z9" s="108">
        <v>634.63150000000007</v>
      </c>
      <c r="AA9" s="108">
        <v>525.7253333333332</v>
      </c>
      <c r="AB9" s="108">
        <v>483.54216666666662</v>
      </c>
      <c r="AC9" s="108">
        <v>568.7924999999999</v>
      </c>
      <c r="AD9" s="108">
        <v>523.55133333333322</v>
      </c>
      <c r="AE9" s="108">
        <v>651.12483333333319</v>
      </c>
      <c r="AF9" s="108">
        <v>412.34633333333335</v>
      </c>
      <c r="AG9" s="108">
        <v>520.44633333333343</v>
      </c>
      <c r="AH9" s="108">
        <v>601.5575</v>
      </c>
      <c r="AI9" s="108">
        <v>226.29149999999996</v>
      </c>
      <c r="AJ9" s="108">
        <v>285.08566666666667</v>
      </c>
      <c r="AK9" s="108">
        <v>566.72899999999993</v>
      </c>
      <c r="AL9" s="108">
        <v>526.55583333333323</v>
      </c>
      <c r="AM9" s="108">
        <v>529.30600000000015</v>
      </c>
      <c r="AN9" s="108">
        <v>875.84800000000007</v>
      </c>
      <c r="AO9" s="108">
        <v>732.82683333333352</v>
      </c>
      <c r="AP9" s="108">
        <v>601.30433333333315</v>
      </c>
      <c r="AQ9" s="108">
        <v>561.92750000000012</v>
      </c>
      <c r="AR9" s="108">
        <v>282.43500000000006</v>
      </c>
      <c r="AS9" s="108">
        <v>496.27299999999991</v>
      </c>
      <c r="AT9" s="108">
        <v>574.69100000000014</v>
      </c>
      <c r="AU9" s="108">
        <v>638.17766666666682</v>
      </c>
      <c r="AV9" s="108">
        <v>607.9771666666669</v>
      </c>
      <c r="AW9" s="108">
        <f t="shared" si="1"/>
        <v>20.678889333333338</v>
      </c>
    </row>
    <row r="10" spans="1:51">
      <c r="A10" s="145">
        <v>45752</v>
      </c>
      <c r="B10" s="146">
        <f>YEAR(Table7[[#This Row],[Date]])+IF(MONTH(Table7[[#This Row],[Date]])&gt;=4,1,0)</f>
        <v>2026</v>
      </c>
      <c r="C10" s="147">
        <f>YEAR(Table7[[#This Row],[Date]])</f>
        <v>2025</v>
      </c>
      <c r="D10" s="148">
        <f>Daily_KPI[[#This Row],[Date]]-DAY(Daily_KPI[[#This Row],[Date]])+1</f>
        <v>45748</v>
      </c>
      <c r="E10" s="108">
        <f>E9/6</f>
        <v>81.536638888888888</v>
      </c>
      <c r="F10" s="108">
        <f t="shared" ref="F10:AV11" si="2">F9/6</f>
        <v>88.289583333333312</v>
      </c>
      <c r="G10" s="108">
        <f t="shared" si="2"/>
        <v>97.71422222222219</v>
      </c>
      <c r="H10" s="108">
        <f t="shared" si="2"/>
        <v>94.075888888888869</v>
      </c>
      <c r="I10" s="108">
        <f t="shared" si="2"/>
        <v>104.31861111111108</v>
      </c>
      <c r="J10" s="108">
        <f t="shared" si="2"/>
        <v>80.492833333333351</v>
      </c>
      <c r="K10" s="108">
        <f t="shared" si="2"/>
        <v>82.288833333333358</v>
      </c>
      <c r="L10" s="108">
        <f t="shared" si="2"/>
        <v>70.053166666666669</v>
      </c>
      <c r="M10" s="108">
        <f t="shared" si="2"/>
        <v>50.700166666666661</v>
      </c>
      <c r="N10" s="108">
        <f t="shared" si="2"/>
        <v>56.224638888888883</v>
      </c>
      <c r="O10" s="108">
        <f t="shared" si="2"/>
        <v>56.524250000000023</v>
      </c>
      <c r="P10" s="108">
        <f t="shared" si="2"/>
        <v>57.055527777777762</v>
      </c>
      <c r="Q10" s="108">
        <f t="shared" si="2"/>
        <v>67.627222222222215</v>
      </c>
      <c r="R10" s="108">
        <f t="shared" si="2"/>
        <v>41.462944444444439</v>
      </c>
      <c r="S10" s="108">
        <f t="shared" si="2"/>
        <v>21.266527777777775</v>
      </c>
      <c r="T10" s="108">
        <f t="shared" si="2"/>
        <v>27.630305555555562</v>
      </c>
      <c r="U10" s="108">
        <f t="shared" si="2"/>
        <v>36.736555555555547</v>
      </c>
      <c r="V10" s="108">
        <f t="shared" si="2"/>
        <v>100.60719444444442</v>
      </c>
      <c r="W10" s="108">
        <f t="shared" si="2"/>
        <v>37.806472222222226</v>
      </c>
      <c r="X10" s="108">
        <f t="shared" si="2"/>
        <v>28.082583333333336</v>
      </c>
      <c r="Y10" s="108">
        <f t="shared" si="2"/>
        <v>94.796333333333351</v>
      </c>
      <c r="Z10" s="108">
        <f t="shared" si="2"/>
        <v>105.77191666666668</v>
      </c>
      <c r="AA10" s="108">
        <f t="shared" si="2"/>
        <v>87.620888888888871</v>
      </c>
      <c r="AB10" s="108">
        <f t="shared" si="2"/>
        <v>80.590361111111108</v>
      </c>
      <c r="AC10" s="108">
        <f t="shared" si="2"/>
        <v>94.798749999999984</v>
      </c>
      <c r="AD10" s="108">
        <f t="shared" si="2"/>
        <v>87.258555555555532</v>
      </c>
      <c r="AE10" s="108">
        <f t="shared" si="2"/>
        <v>108.52080555555553</v>
      </c>
      <c r="AF10" s="108">
        <f t="shared" si="2"/>
        <v>68.724388888888896</v>
      </c>
      <c r="AG10" s="108">
        <f t="shared" si="2"/>
        <v>86.741055555555576</v>
      </c>
      <c r="AH10" s="108">
        <f t="shared" si="2"/>
        <v>100.25958333333334</v>
      </c>
      <c r="AI10" s="108">
        <f t="shared" si="2"/>
        <v>37.71524999999999</v>
      </c>
      <c r="AJ10" s="108">
        <f t="shared" si="2"/>
        <v>47.514277777777778</v>
      </c>
      <c r="AK10" s="108">
        <f t="shared" si="2"/>
        <v>94.454833333333326</v>
      </c>
      <c r="AL10" s="108">
        <f t="shared" si="2"/>
        <v>87.759305555555542</v>
      </c>
      <c r="AM10" s="108">
        <f t="shared" si="2"/>
        <v>88.217666666666688</v>
      </c>
      <c r="AN10" s="108">
        <f t="shared" si="2"/>
        <v>145.97466666666668</v>
      </c>
      <c r="AO10" s="108">
        <f t="shared" si="2"/>
        <v>122.13780555555559</v>
      </c>
      <c r="AP10" s="108">
        <f t="shared" si="2"/>
        <v>100.21738888888886</v>
      </c>
      <c r="AQ10" s="108">
        <f t="shared" si="2"/>
        <v>93.654583333333349</v>
      </c>
      <c r="AR10" s="108">
        <f t="shared" si="2"/>
        <v>47.072500000000012</v>
      </c>
      <c r="AS10" s="108">
        <f t="shared" si="2"/>
        <v>82.712166666666647</v>
      </c>
      <c r="AT10" s="108">
        <f t="shared" si="2"/>
        <v>95.781833333333353</v>
      </c>
      <c r="AU10" s="108">
        <f t="shared" si="2"/>
        <v>106.36294444444447</v>
      </c>
      <c r="AV10" s="108">
        <f t="shared" si="2"/>
        <v>101.32952777777781</v>
      </c>
      <c r="AW10" s="108">
        <f t="shared" si="1"/>
        <v>3.4464815555555566</v>
      </c>
    </row>
    <row r="11" spans="1:51">
      <c r="A11" s="149">
        <v>45753</v>
      </c>
      <c r="B11" s="150">
        <f>YEAR(Table7[[#This Row],[Date]])+IF(MONTH(Table7[[#This Row],[Date]])&gt;=4,1,0)</f>
        <v>2026</v>
      </c>
      <c r="C11" s="151">
        <f>YEAR(Table7[[#This Row],[Date]])</f>
        <v>2025</v>
      </c>
      <c r="D11" s="152">
        <f>Daily_KPI[[#This Row],[Date]]-DAY(Daily_KPI[[#This Row],[Date]])+1</f>
        <v>45748</v>
      </c>
      <c r="E11" s="108">
        <f>E10/6</f>
        <v>13.589439814814815</v>
      </c>
      <c r="F11" s="108">
        <f t="shared" si="2"/>
        <v>14.714930555555553</v>
      </c>
      <c r="G11" s="108">
        <f t="shared" si="2"/>
        <v>16.2857037037037</v>
      </c>
      <c r="H11" s="108">
        <f t="shared" si="2"/>
        <v>15.679314814814811</v>
      </c>
      <c r="I11" s="108">
        <f t="shared" si="2"/>
        <v>17.386435185185181</v>
      </c>
      <c r="J11" s="108">
        <f t="shared" si="2"/>
        <v>13.415472222222226</v>
      </c>
      <c r="K11" s="108">
        <f t="shared" si="2"/>
        <v>13.714805555555559</v>
      </c>
      <c r="L11" s="108">
        <f t="shared" si="2"/>
        <v>11.675527777777779</v>
      </c>
      <c r="M11" s="108">
        <f t="shared" si="2"/>
        <v>8.4500277777777768</v>
      </c>
      <c r="N11" s="108">
        <f t="shared" si="2"/>
        <v>9.3707731481481478</v>
      </c>
      <c r="O11" s="108">
        <f t="shared" si="2"/>
        <v>9.4207083333333372</v>
      </c>
      <c r="P11" s="108">
        <f t="shared" si="2"/>
        <v>9.509254629629627</v>
      </c>
      <c r="Q11" s="108">
        <f t="shared" si="2"/>
        <v>11.271203703703703</v>
      </c>
      <c r="R11" s="108">
        <f t="shared" si="2"/>
        <v>6.9104907407407401</v>
      </c>
      <c r="S11" s="108">
        <f t="shared" si="2"/>
        <v>3.5444212962962958</v>
      </c>
      <c r="T11" s="108">
        <f t="shared" si="2"/>
        <v>4.6050509259259274</v>
      </c>
      <c r="U11" s="108">
        <f t="shared" si="2"/>
        <v>6.1227592592592579</v>
      </c>
      <c r="V11" s="108">
        <f t="shared" si="2"/>
        <v>16.767865740740735</v>
      </c>
      <c r="W11" s="108">
        <f t="shared" si="2"/>
        <v>6.3010787037037046</v>
      </c>
      <c r="X11" s="108">
        <f t="shared" si="2"/>
        <v>4.6804305555555556</v>
      </c>
      <c r="Y11" s="108">
        <f t="shared" si="2"/>
        <v>15.799388888888892</v>
      </c>
      <c r="Z11" s="108">
        <f t="shared" si="2"/>
        <v>17.628652777777781</v>
      </c>
      <c r="AA11" s="108">
        <f t="shared" si="2"/>
        <v>14.603481481481479</v>
      </c>
      <c r="AB11" s="108">
        <f t="shared" si="2"/>
        <v>13.431726851851851</v>
      </c>
      <c r="AC11" s="108">
        <f t="shared" si="2"/>
        <v>15.799791666666664</v>
      </c>
      <c r="AD11" s="108">
        <f t="shared" si="2"/>
        <v>14.543092592592588</v>
      </c>
      <c r="AE11" s="108">
        <f t="shared" si="2"/>
        <v>18.086800925925921</v>
      </c>
      <c r="AF11" s="108">
        <f t="shared" si="2"/>
        <v>11.454064814814815</v>
      </c>
      <c r="AG11" s="108">
        <f t="shared" si="2"/>
        <v>14.456842592592595</v>
      </c>
      <c r="AH11" s="108">
        <f t="shared" si="2"/>
        <v>16.709930555555555</v>
      </c>
      <c r="AI11" s="108">
        <f t="shared" si="2"/>
        <v>6.2858749999999981</v>
      </c>
      <c r="AJ11" s="108">
        <f t="shared" si="2"/>
        <v>7.9190462962962966</v>
      </c>
      <c r="AK11" s="108">
        <f t="shared" si="2"/>
        <v>15.74247222222222</v>
      </c>
      <c r="AL11" s="108">
        <f t="shared" si="2"/>
        <v>14.626550925925924</v>
      </c>
      <c r="AM11" s="108">
        <f t="shared" si="2"/>
        <v>14.702944444444448</v>
      </c>
      <c r="AN11" s="108">
        <f t="shared" si="2"/>
        <v>24.329111111111114</v>
      </c>
      <c r="AO11" s="108">
        <f t="shared" si="2"/>
        <v>20.356300925925932</v>
      </c>
      <c r="AP11" s="108">
        <f t="shared" si="2"/>
        <v>16.702898148148144</v>
      </c>
      <c r="AQ11" s="108">
        <f t="shared" si="2"/>
        <v>15.609097222222225</v>
      </c>
      <c r="AR11" s="108">
        <f t="shared" si="2"/>
        <v>7.8454166666666687</v>
      </c>
      <c r="AS11" s="108">
        <f t="shared" si="2"/>
        <v>13.785361111111108</v>
      </c>
      <c r="AT11" s="108">
        <f t="shared" si="2"/>
        <v>15.963638888888893</v>
      </c>
      <c r="AU11" s="108">
        <f t="shared" si="2"/>
        <v>17.727157407407411</v>
      </c>
      <c r="AV11" s="108">
        <f t="shared" si="2"/>
        <v>16.888254629629635</v>
      </c>
      <c r="AW11" s="108">
        <f t="shared" si="1"/>
        <v>0.57441359259259239</v>
      </c>
    </row>
    <row r="12" spans="1:51">
      <c r="A12" s="145">
        <v>45754</v>
      </c>
      <c r="B12" s="146">
        <f>YEAR(Table7[[#This Row],[Date]])+IF(MONTH(Table7[[#This Row],[Date]])&gt;=4,1,0)</f>
        <v>2026</v>
      </c>
      <c r="C12" s="147">
        <f>YEAR(Table7[[#This Row],[Date]])</f>
        <v>2025</v>
      </c>
      <c r="D12" s="148">
        <f>Daily_KPI[[#This Row],[Date]]-DAY(Daily_KPI[[#This Row],[Date]])+1</f>
        <v>45748</v>
      </c>
      <c r="E12">
        <v>766.14049999999997</v>
      </c>
      <c r="F12">
        <v>953.84799999999984</v>
      </c>
      <c r="G12">
        <v>977.17349999999954</v>
      </c>
      <c r="H12">
        <v>218.83499999999992</v>
      </c>
      <c r="I12">
        <v>402.01649999999989</v>
      </c>
      <c r="J12">
        <v>71.012166666666673</v>
      </c>
      <c r="K12">
        <v>604.976</v>
      </c>
      <c r="L12">
        <v>210.81733333333329</v>
      </c>
      <c r="M12">
        <v>141.71666666666667</v>
      </c>
      <c r="N12">
        <v>174.92416666666668</v>
      </c>
      <c r="O12">
        <v>186.09183333333337</v>
      </c>
      <c r="P12">
        <v>246.55566666666655</v>
      </c>
      <c r="Q12">
        <v>260.53416666666664</v>
      </c>
      <c r="R12">
        <v>296.49949999999995</v>
      </c>
      <c r="S12">
        <v>275.00816666666668</v>
      </c>
      <c r="T12">
        <v>312.46183333333323</v>
      </c>
      <c r="U12">
        <v>322.50433333333342</v>
      </c>
      <c r="V12">
        <v>792.70533333333378</v>
      </c>
      <c r="W12">
        <v>383.83099999999996</v>
      </c>
      <c r="X12">
        <v>333.24433333333315</v>
      </c>
      <c r="Y12">
        <v>639.38016666666647</v>
      </c>
      <c r="Z12">
        <v>759.67183333333332</v>
      </c>
      <c r="AA12">
        <v>376.4815000000001</v>
      </c>
      <c r="AB12">
        <v>391.31650000000008</v>
      </c>
      <c r="AC12">
        <v>447.51583333333343</v>
      </c>
      <c r="AD12">
        <v>418.6393333333333</v>
      </c>
      <c r="AE12">
        <v>1054.5429999999994</v>
      </c>
      <c r="AF12">
        <v>442.23983333333376</v>
      </c>
      <c r="AG12">
        <v>651.26766666666674</v>
      </c>
      <c r="AH12">
        <v>600.4276666666666</v>
      </c>
      <c r="AI12">
        <v>346.38700000000017</v>
      </c>
      <c r="AJ12">
        <v>90.393666666666718</v>
      </c>
      <c r="AK12">
        <v>89.726666666666674</v>
      </c>
      <c r="AL12">
        <v>177.17133333333334</v>
      </c>
      <c r="AM12">
        <v>437.77816666666666</v>
      </c>
      <c r="AN12">
        <v>159.26133333333328</v>
      </c>
      <c r="AO12">
        <v>154.84283333333332</v>
      </c>
      <c r="AP12">
        <v>141.25000000000003</v>
      </c>
      <c r="AQ12">
        <v>134.81899999999999</v>
      </c>
      <c r="AR12">
        <v>511.16666666666697</v>
      </c>
      <c r="AS12">
        <v>768.8696666666666</v>
      </c>
      <c r="AT12">
        <v>804.64499999999953</v>
      </c>
      <c r="AU12">
        <v>819.69783333333316</v>
      </c>
      <c r="AV12">
        <v>661.00783333333322</v>
      </c>
      <c r="AW12" s="108">
        <f t="shared" si="1"/>
        <v>19.009396333333331</v>
      </c>
    </row>
    <row r="13" spans="1:51">
      <c r="A13" s="149">
        <v>45755</v>
      </c>
      <c r="B13" s="150">
        <f>YEAR(Table7[[#This Row],[Date]])+IF(MONTH(Table7[[#This Row],[Date]])&gt;=4,1,0)</f>
        <v>2026</v>
      </c>
      <c r="C13" s="151">
        <f>YEAR(Table7[[#This Row],[Date]])</f>
        <v>2025</v>
      </c>
      <c r="D13" s="152">
        <f>Daily_KPI[[#This Row],[Date]]-DAY(Daily_KPI[[#This Row],[Date]])+1</f>
        <v>45748</v>
      </c>
      <c r="E13" s="108">
        <v>322.8391666666667</v>
      </c>
      <c r="F13" s="108">
        <v>282.56150000000002</v>
      </c>
      <c r="G13" s="108">
        <v>252.75050000000007</v>
      </c>
      <c r="H13" s="108">
        <v>166.80333333333328</v>
      </c>
      <c r="I13" s="108">
        <v>257.20933333333335</v>
      </c>
      <c r="J13" s="108">
        <v>246.51150000000004</v>
      </c>
      <c r="K13" s="108">
        <v>265.04050000000001</v>
      </c>
      <c r="L13" s="108">
        <v>123.12366666666664</v>
      </c>
      <c r="M13" s="108">
        <v>67.971666666666664</v>
      </c>
      <c r="N13" s="108">
        <v>70.810833333333335</v>
      </c>
      <c r="O13" s="108">
        <v>76.451833333333354</v>
      </c>
      <c r="P13" s="108">
        <v>98.839499999999973</v>
      </c>
      <c r="Q13" s="108">
        <v>112.11149999999999</v>
      </c>
      <c r="R13" s="108">
        <v>103.00650000000002</v>
      </c>
      <c r="S13" s="108">
        <v>76.223833333333332</v>
      </c>
      <c r="T13" s="108">
        <v>78.028166666666678</v>
      </c>
      <c r="U13" s="108">
        <v>96.809666666666658</v>
      </c>
      <c r="V13" s="108">
        <v>267.80800000000005</v>
      </c>
      <c r="W13" s="108">
        <v>148.2381666666667</v>
      </c>
      <c r="X13" s="108">
        <v>104.99216666666666</v>
      </c>
      <c r="Y13" s="108">
        <v>228.0206666666667</v>
      </c>
      <c r="Z13" s="108">
        <v>243.11933333333334</v>
      </c>
      <c r="AA13" s="108">
        <v>164.64466666666667</v>
      </c>
      <c r="AB13" s="108">
        <v>150.21366666666665</v>
      </c>
      <c r="AC13" s="108">
        <v>183.56449999999995</v>
      </c>
      <c r="AD13" s="108">
        <v>187.91683333333336</v>
      </c>
      <c r="AE13" s="108">
        <v>132.58000000000004</v>
      </c>
      <c r="AF13" s="108">
        <v>77.80383333333333</v>
      </c>
      <c r="AG13" s="108">
        <v>116.6928333333333</v>
      </c>
      <c r="AH13" s="108">
        <v>184.89133333333334</v>
      </c>
      <c r="AI13" s="108">
        <v>99.638999999999967</v>
      </c>
      <c r="AJ13" s="108">
        <v>161.64483333333337</v>
      </c>
      <c r="AK13" s="108">
        <v>336.34900000000016</v>
      </c>
      <c r="AL13" s="108">
        <v>255.30233333333328</v>
      </c>
      <c r="AM13" s="108">
        <v>147.05750000000003</v>
      </c>
      <c r="AN13" s="108">
        <v>329.40500000000003</v>
      </c>
      <c r="AO13" s="108">
        <v>242.273</v>
      </c>
      <c r="AP13" s="108">
        <v>196.09133333333332</v>
      </c>
      <c r="AQ13" s="108">
        <v>234.42483333333337</v>
      </c>
      <c r="AR13" s="108">
        <v>79.887166666666673</v>
      </c>
      <c r="AS13" s="108">
        <v>143.55650000000003</v>
      </c>
      <c r="AT13" s="108">
        <v>193.26566666666665</v>
      </c>
      <c r="AU13" s="108">
        <v>393.99050000000005</v>
      </c>
      <c r="AV13" s="108">
        <v>279.16166666666669</v>
      </c>
      <c r="AW13" s="108">
        <f t="shared" si="1"/>
        <v>7.9796273333333341</v>
      </c>
    </row>
    <row r="14" spans="1:51">
      <c r="A14" s="145">
        <v>45756</v>
      </c>
      <c r="B14" s="146">
        <f>YEAR(Table7[[#This Row],[Date]])+IF(MONTH(Table7[[#This Row],[Date]])&gt;=4,1,0)</f>
        <v>2026</v>
      </c>
      <c r="C14" s="147">
        <f>YEAR(Table7[[#This Row],[Date]])</f>
        <v>2025</v>
      </c>
      <c r="D14" s="148">
        <f>Daily_KPI[[#This Row],[Date]]-DAY(Daily_KPI[[#This Row],[Date]])+1</f>
        <v>45748</v>
      </c>
      <c r="E14" s="108">
        <v>849.81333333333339</v>
      </c>
      <c r="F14" s="108">
        <v>757.32833333333326</v>
      </c>
      <c r="G14" s="108">
        <v>541.27783333333332</v>
      </c>
      <c r="H14" s="108">
        <v>580.88900000000024</v>
      </c>
      <c r="I14" s="108">
        <v>604.33966666666663</v>
      </c>
      <c r="J14" s="108">
        <v>594.16600000000017</v>
      </c>
      <c r="K14" s="108">
        <v>774.0386666666667</v>
      </c>
      <c r="L14" s="108">
        <v>311.0168333333333</v>
      </c>
      <c r="M14" s="108">
        <v>198.26933333333332</v>
      </c>
      <c r="N14" s="108">
        <v>243.04483333333334</v>
      </c>
      <c r="O14" s="108">
        <v>297.57750000000004</v>
      </c>
      <c r="P14" s="108">
        <v>330.31183333333331</v>
      </c>
      <c r="Q14" s="108">
        <v>350.69266666666658</v>
      </c>
      <c r="R14" s="108">
        <v>375.04050000000007</v>
      </c>
      <c r="S14" s="108">
        <v>349.04633333333328</v>
      </c>
      <c r="T14" s="108">
        <v>423.08133333333325</v>
      </c>
      <c r="U14" s="108">
        <v>449.911</v>
      </c>
      <c r="V14" s="108">
        <v>432.83116666666666</v>
      </c>
      <c r="W14" s="108">
        <v>448.44533333333339</v>
      </c>
      <c r="X14" s="108">
        <v>405.45199999999994</v>
      </c>
      <c r="Y14" s="108">
        <v>557.95066666666685</v>
      </c>
      <c r="Z14" s="108">
        <v>439.6465</v>
      </c>
      <c r="AA14" s="108">
        <v>333.30116666666669</v>
      </c>
      <c r="AB14" s="108">
        <v>417.11750000000012</v>
      </c>
      <c r="AC14" s="108">
        <v>413.44100000000003</v>
      </c>
      <c r="AD14" s="108">
        <v>417.84700000000004</v>
      </c>
      <c r="AE14" s="108">
        <v>443.93766666666653</v>
      </c>
      <c r="AF14" s="108">
        <v>322.28466666666674</v>
      </c>
      <c r="AG14" s="108">
        <v>606.30700000000013</v>
      </c>
      <c r="AH14" s="108">
        <v>417.10000000000014</v>
      </c>
      <c r="AI14" s="108">
        <v>453.23900000000003</v>
      </c>
      <c r="AJ14" s="108">
        <v>418.29533333333325</v>
      </c>
      <c r="AK14" s="108">
        <v>210.5095</v>
      </c>
      <c r="AL14" s="108">
        <v>615.09033333333309</v>
      </c>
      <c r="AM14" s="108">
        <v>383.08750000000009</v>
      </c>
      <c r="AN14" s="108">
        <v>636.40049999999997</v>
      </c>
      <c r="AO14" s="108">
        <v>360.67350000000005</v>
      </c>
      <c r="AP14" s="108">
        <v>419.1400000000001</v>
      </c>
      <c r="AQ14" s="108">
        <v>374.59400000000005</v>
      </c>
      <c r="AR14" s="108">
        <v>411.09216666666686</v>
      </c>
      <c r="AS14" s="108">
        <v>438.69350000000003</v>
      </c>
      <c r="AT14" s="108">
        <v>458.01366666666672</v>
      </c>
      <c r="AU14" s="108">
        <v>801.50849999999991</v>
      </c>
      <c r="AV14" s="108">
        <v>850.62099999999975</v>
      </c>
      <c r="AW14" s="108">
        <f t="shared" si="1"/>
        <v>20.51646516666667</v>
      </c>
    </row>
    <row r="15" spans="1:51">
      <c r="A15" s="149">
        <v>45757</v>
      </c>
      <c r="B15" s="150">
        <f>YEAR(Table7[[#This Row],[Date]])+IF(MONTH(Table7[[#This Row],[Date]])&gt;=4,1,0)</f>
        <v>2026</v>
      </c>
      <c r="C15" s="151">
        <f>YEAR(Table7[[#This Row],[Date]])</f>
        <v>2025</v>
      </c>
      <c r="D15" s="152">
        <f>Daily_KPI[[#This Row],[Date]]-DAY(Daily_KPI[[#This Row],[Date]])+1</f>
        <v>45748</v>
      </c>
      <c r="E15" s="108">
        <v>2114.2596666666664</v>
      </c>
      <c r="F15" s="108">
        <v>2469.970666666668</v>
      </c>
      <c r="G15" s="108">
        <v>1278.5826666666669</v>
      </c>
      <c r="H15" s="108">
        <v>1552.1751666666667</v>
      </c>
      <c r="I15" s="108">
        <v>1427.267000000001</v>
      </c>
      <c r="J15" s="108">
        <v>1568.134</v>
      </c>
      <c r="K15" s="108">
        <v>2346.9181666666664</v>
      </c>
      <c r="L15" s="108">
        <v>728.84650000000011</v>
      </c>
      <c r="M15" s="108">
        <v>402.85616666666675</v>
      </c>
      <c r="N15" s="108">
        <v>420.00799999999998</v>
      </c>
      <c r="O15" s="108">
        <v>566.89983333333328</v>
      </c>
      <c r="P15" s="108">
        <v>723.70400000000006</v>
      </c>
      <c r="Q15" s="108">
        <v>929.53633333333346</v>
      </c>
      <c r="R15" s="108">
        <v>888.34099999999978</v>
      </c>
      <c r="S15" s="108">
        <v>867.80316666666624</v>
      </c>
      <c r="T15" s="108">
        <v>904.2080000000002</v>
      </c>
      <c r="U15" s="108">
        <v>996.64083333333292</v>
      </c>
      <c r="V15" s="108">
        <v>1871.2138333333323</v>
      </c>
      <c r="W15" s="108">
        <v>1019.6708333333328</v>
      </c>
      <c r="X15" s="108">
        <v>845.13083333333361</v>
      </c>
      <c r="Y15" s="108">
        <v>1368.2078333333336</v>
      </c>
      <c r="Z15" s="108">
        <v>1056.7384999999999</v>
      </c>
      <c r="AA15" s="108">
        <v>755.37483333333319</v>
      </c>
      <c r="AB15" s="108">
        <v>867.16549999999961</v>
      </c>
      <c r="AC15" s="108">
        <v>879.73850000000004</v>
      </c>
      <c r="AD15" s="108">
        <v>821.77566666666689</v>
      </c>
      <c r="AE15" s="108">
        <v>851.95533333333333</v>
      </c>
      <c r="AF15" s="108">
        <v>271.60583333333329</v>
      </c>
      <c r="AG15" s="108">
        <v>1519.341999999999</v>
      </c>
      <c r="AH15" s="108">
        <v>392.44033333333351</v>
      </c>
      <c r="AI15" s="108">
        <v>960.69450000000006</v>
      </c>
      <c r="AJ15" s="108">
        <v>859.52383333333307</v>
      </c>
      <c r="AK15" s="108">
        <v>1392.5213333333331</v>
      </c>
      <c r="AL15" s="108">
        <v>1716.1448333333335</v>
      </c>
      <c r="AM15" s="108">
        <v>730.84516666666684</v>
      </c>
      <c r="AN15" s="108">
        <v>1851.0556666666662</v>
      </c>
      <c r="AO15" s="108">
        <v>1830.6424999999992</v>
      </c>
      <c r="AP15" s="108">
        <v>1329.8320000000001</v>
      </c>
      <c r="AQ15" s="108">
        <v>1792.7840000000006</v>
      </c>
      <c r="AR15" s="108">
        <v>527.92383333333328</v>
      </c>
      <c r="AS15" s="108">
        <v>565.9291666666694</v>
      </c>
      <c r="AT15" s="108">
        <v>627.12400000000025</v>
      </c>
      <c r="AU15" s="108">
        <v>2215.0409999999997</v>
      </c>
      <c r="AV15" s="108">
        <v>2454.9790000000003</v>
      </c>
      <c r="AW15" s="108">
        <f t="shared" si="1"/>
        <v>51.561551833333333</v>
      </c>
    </row>
    <row r="16" spans="1:51">
      <c r="A16" s="145">
        <v>45758</v>
      </c>
      <c r="B16" s="146">
        <f>YEAR(Table7[[#This Row],[Date]])+IF(MONTH(Table7[[#This Row],[Date]])&gt;=4,1,0)</f>
        <v>2026</v>
      </c>
      <c r="C16" s="147">
        <f>YEAR(Table7[[#This Row],[Date]])</f>
        <v>2025</v>
      </c>
      <c r="D16" s="148">
        <f>Daily_KPI[[#This Row],[Date]]-DAY(Daily_KPI[[#This Row],[Date]])+1</f>
        <v>45748</v>
      </c>
      <c r="E16" s="108">
        <v>1608.4338333333335</v>
      </c>
      <c r="F16" s="108">
        <v>1381.5393333333338</v>
      </c>
      <c r="G16" s="108">
        <v>1246.4048333333328</v>
      </c>
      <c r="H16" s="108">
        <v>1233.9241666666665</v>
      </c>
      <c r="I16" s="108">
        <v>1655.1191666666671</v>
      </c>
      <c r="J16" s="108">
        <v>1243.6768333333334</v>
      </c>
      <c r="K16" s="108">
        <v>874.83449999999993</v>
      </c>
      <c r="L16" s="108">
        <v>713.35233333333326</v>
      </c>
      <c r="M16" s="108">
        <v>510.96516666666656</v>
      </c>
      <c r="N16" s="108">
        <v>649.73183333333361</v>
      </c>
      <c r="O16" s="108">
        <v>750.99716666666643</v>
      </c>
      <c r="P16" s="108">
        <v>898.92699999999979</v>
      </c>
      <c r="Q16" s="108">
        <v>895.58816666666678</v>
      </c>
      <c r="R16" s="108">
        <v>908.6788333333335</v>
      </c>
      <c r="S16" s="108">
        <v>877.13233333333335</v>
      </c>
      <c r="T16" s="108">
        <v>1011.4341666666664</v>
      </c>
      <c r="U16" s="108">
        <v>1175.6393333333328</v>
      </c>
      <c r="V16" s="108">
        <v>1520.166833333333</v>
      </c>
      <c r="W16" s="108">
        <v>1085.9738333333335</v>
      </c>
      <c r="X16" s="108">
        <v>949.40333333333331</v>
      </c>
      <c r="Y16" s="108">
        <v>1250.7088333333329</v>
      </c>
      <c r="Z16" s="108">
        <v>1258.6676666666665</v>
      </c>
      <c r="AA16" s="108">
        <v>974.65033333333349</v>
      </c>
      <c r="AB16" s="108">
        <v>1072.6844999999998</v>
      </c>
      <c r="AC16" s="108">
        <v>1146.3010000000002</v>
      </c>
      <c r="AD16" s="108">
        <v>1054.3840000000002</v>
      </c>
      <c r="AE16" s="108">
        <v>989.64683333333312</v>
      </c>
      <c r="AF16" s="108">
        <v>93.630166666666923</v>
      </c>
      <c r="AG16" s="108">
        <v>1050.2753333333333</v>
      </c>
      <c r="AH16" s="108">
        <v>156.00950000000006</v>
      </c>
      <c r="AI16" s="108">
        <v>1266.7529999999999</v>
      </c>
      <c r="AJ16" s="108">
        <v>816.26883333333319</v>
      </c>
      <c r="AK16" s="108">
        <v>1571.8700000000001</v>
      </c>
      <c r="AL16" s="108">
        <v>1707.7953333333326</v>
      </c>
      <c r="AM16" s="108">
        <v>920.55300000000022</v>
      </c>
      <c r="AN16" s="108">
        <v>1421.6426666666666</v>
      </c>
      <c r="AO16" s="108">
        <v>1500.4216666666659</v>
      </c>
      <c r="AP16" s="108">
        <v>1326.6895000000004</v>
      </c>
      <c r="AQ16" s="108">
        <v>1558.4938333333332</v>
      </c>
      <c r="AR16" s="108">
        <v>599.00333333333344</v>
      </c>
      <c r="AS16" s="108">
        <v>619.68033333333335</v>
      </c>
      <c r="AT16" s="108">
        <v>712.90383333333284</v>
      </c>
      <c r="AU16" s="108">
        <v>1282.2733333333333</v>
      </c>
      <c r="AV16" s="108">
        <v>1461.959833333334</v>
      </c>
      <c r="AW16" s="108">
        <f t="shared" si="1"/>
        <v>47.005189666666666</v>
      </c>
    </row>
    <row r="17" spans="1:49">
      <c r="A17" s="149">
        <v>45759</v>
      </c>
      <c r="B17" s="150">
        <f>YEAR(Table7[[#This Row],[Date]])+IF(MONTH(Table7[[#This Row],[Date]])&gt;=4,1,0)</f>
        <v>2026</v>
      </c>
      <c r="C17" s="151">
        <f>YEAR(Table7[[#This Row],[Date]])</f>
        <v>2025</v>
      </c>
      <c r="D17" s="152">
        <f>Daily_KPI[[#This Row],[Date]]-DAY(Daily_KPI[[#This Row],[Date]])+1</f>
        <v>45748</v>
      </c>
      <c r="E17" s="108">
        <v>1891.5331666666673</v>
      </c>
      <c r="F17" s="108">
        <v>1542.1888333333325</v>
      </c>
      <c r="G17" s="108">
        <v>1482.7649999999987</v>
      </c>
      <c r="H17" s="108">
        <v>1458.7166666666656</v>
      </c>
      <c r="I17" s="108">
        <v>1396.886833333333</v>
      </c>
      <c r="J17" s="108">
        <v>1039.9976666666664</v>
      </c>
      <c r="K17" s="108">
        <v>1479.2026666666663</v>
      </c>
      <c r="L17" s="108">
        <v>735.70966666666652</v>
      </c>
      <c r="M17" s="108">
        <v>529.09433333333357</v>
      </c>
      <c r="N17" s="108">
        <v>683.76183333333347</v>
      </c>
      <c r="O17" s="108">
        <v>809.74266666666642</v>
      </c>
      <c r="P17" s="108">
        <v>949.32116666666661</v>
      </c>
      <c r="Q17" s="108">
        <v>969.23933333333343</v>
      </c>
      <c r="R17" s="108">
        <v>1048.0093333333336</v>
      </c>
      <c r="S17" s="108">
        <v>985.90399999999988</v>
      </c>
      <c r="T17" s="108">
        <v>1226.3091666666662</v>
      </c>
      <c r="U17" s="108">
        <v>1386.8810000000001</v>
      </c>
      <c r="V17" s="108">
        <v>1621.380833333332</v>
      </c>
      <c r="W17" s="108">
        <v>1232.396</v>
      </c>
      <c r="X17" s="108">
        <v>1066.1259999999991</v>
      </c>
      <c r="Y17" s="108">
        <v>1366.1548333333337</v>
      </c>
      <c r="Z17" s="108">
        <v>1616.0541666666659</v>
      </c>
      <c r="AA17" s="108">
        <v>990.99149999999997</v>
      </c>
      <c r="AB17" s="108">
        <v>1091.9384999999995</v>
      </c>
      <c r="AC17" s="108">
        <v>1276.1626666666668</v>
      </c>
      <c r="AD17" s="108">
        <v>1244.5188333333331</v>
      </c>
      <c r="AE17" s="108">
        <v>1147.5051666666666</v>
      </c>
      <c r="AF17" s="108">
        <v>634.19399999999996</v>
      </c>
      <c r="AG17" s="108">
        <v>1342.5976666666668</v>
      </c>
      <c r="AH17" s="108">
        <v>807.21516666666673</v>
      </c>
      <c r="AI17" s="108">
        <v>1470.8356666666666</v>
      </c>
      <c r="AJ17" s="108">
        <v>797.04883333333373</v>
      </c>
      <c r="AK17" s="108">
        <v>1292.2251666666668</v>
      </c>
      <c r="AL17" s="108">
        <v>1654.4411666666667</v>
      </c>
      <c r="AM17" s="108">
        <v>1175.9679999999998</v>
      </c>
      <c r="AN17" s="108">
        <v>2121.3305000000005</v>
      </c>
      <c r="AO17" s="108">
        <v>2039.987166666667</v>
      </c>
      <c r="AP17" s="108">
        <v>1705.4485000000004</v>
      </c>
      <c r="AQ17" s="108">
        <v>1645.0639999999996</v>
      </c>
      <c r="AR17" s="108">
        <v>635.08450000000005</v>
      </c>
      <c r="AS17" s="108">
        <v>482.07283333333316</v>
      </c>
      <c r="AT17" s="108">
        <v>971.99166666666633</v>
      </c>
      <c r="AU17" s="108">
        <v>1909.6391666666668</v>
      </c>
      <c r="AV17" s="108">
        <v>1559.747333333333</v>
      </c>
      <c r="AW17" s="108">
        <f t="shared" si="1"/>
        <v>54.513383166666657</v>
      </c>
    </row>
    <row r="18" spans="1:49">
      <c r="A18" s="145">
        <v>45760</v>
      </c>
      <c r="B18" s="146">
        <f>YEAR(Table7[[#This Row],[Date]])+IF(MONTH(Table7[[#This Row],[Date]])&gt;=4,1,0)</f>
        <v>2026</v>
      </c>
      <c r="C18" s="147">
        <f>YEAR(Table7[[#This Row],[Date]])</f>
        <v>2025</v>
      </c>
      <c r="D18" s="148">
        <f>Daily_KPI[[#This Row],[Date]]-DAY(Daily_KPI[[#This Row],[Date]])+1</f>
        <v>45748</v>
      </c>
      <c r="E18" s="108">
        <v>2080.7448333333341</v>
      </c>
      <c r="F18" s="108">
        <v>1721.4688333333331</v>
      </c>
      <c r="G18" s="108">
        <v>1831.6139999999994</v>
      </c>
      <c r="H18" s="108">
        <v>1113.559</v>
      </c>
      <c r="I18" s="108">
        <v>1107.5483333333332</v>
      </c>
      <c r="J18" s="108">
        <v>921.04416666666646</v>
      </c>
      <c r="K18" s="108">
        <v>1962.5254999999986</v>
      </c>
      <c r="L18" s="108">
        <v>387.77450000000016</v>
      </c>
      <c r="M18" s="108">
        <v>271.27816666666666</v>
      </c>
      <c r="N18" s="108">
        <v>304.43033333333329</v>
      </c>
      <c r="O18" s="108">
        <v>367.9083333333333</v>
      </c>
      <c r="P18" s="108">
        <v>434.94516666666658</v>
      </c>
      <c r="Q18" s="108">
        <v>410.4843333333335</v>
      </c>
      <c r="R18" s="108">
        <v>444.565</v>
      </c>
      <c r="S18" s="108">
        <v>398.78133333333335</v>
      </c>
      <c r="T18" s="108">
        <v>464.85099999999994</v>
      </c>
      <c r="U18" s="108">
        <v>591.96699999999987</v>
      </c>
      <c r="V18" s="108">
        <v>1817.9848333333327</v>
      </c>
      <c r="W18" s="108">
        <v>578.62016666666682</v>
      </c>
      <c r="X18" s="108">
        <v>591.2591666666666</v>
      </c>
      <c r="Y18" s="108">
        <v>1585.4321666666667</v>
      </c>
      <c r="Z18" s="108">
        <v>1704.2888333333337</v>
      </c>
      <c r="AA18" s="108">
        <v>768.7523333333337</v>
      </c>
      <c r="AB18" s="108">
        <v>792.33016666666651</v>
      </c>
      <c r="AC18" s="108">
        <v>952.30433333333315</v>
      </c>
      <c r="AD18" s="108">
        <v>767.52</v>
      </c>
      <c r="AE18" s="108">
        <v>1393.5975000000001</v>
      </c>
      <c r="AF18" s="108">
        <v>763.93316666666669</v>
      </c>
      <c r="AG18" s="108">
        <v>1085.2165000000007</v>
      </c>
      <c r="AH18" s="108">
        <v>1107.2801666666667</v>
      </c>
      <c r="AI18" s="108">
        <v>684.72266666666644</v>
      </c>
      <c r="AJ18" s="108">
        <v>408.25516666666658</v>
      </c>
      <c r="AK18" s="108">
        <v>1046.9241666666662</v>
      </c>
      <c r="AL18" s="108">
        <v>1612.7378333333334</v>
      </c>
      <c r="AM18" s="108">
        <v>773.67100000000028</v>
      </c>
      <c r="AN18" s="108">
        <v>1569.5888333333339</v>
      </c>
      <c r="AO18" s="108">
        <v>1224.4425000000006</v>
      </c>
      <c r="AP18" s="108">
        <v>1229.4849999999999</v>
      </c>
      <c r="AQ18" s="108">
        <v>1290.5341666666661</v>
      </c>
      <c r="AR18" s="108">
        <v>641.30916666666656</v>
      </c>
      <c r="AS18" s="108">
        <v>1128.9766666666669</v>
      </c>
      <c r="AT18" s="108">
        <v>1597.8045000000004</v>
      </c>
      <c r="AU18" s="108">
        <v>2266.8294999999994</v>
      </c>
      <c r="AV18" s="108">
        <v>1681.5146666666667</v>
      </c>
      <c r="AW18" s="108">
        <f t="shared" si="1"/>
        <v>45.880805000000002</v>
      </c>
    </row>
    <row r="19" spans="1:49">
      <c r="A19" s="149">
        <v>45761</v>
      </c>
      <c r="B19" s="150">
        <f>YEAR(Table7[[#This Row],[Date]])+IF(MONTH(Table7[[#This Row],[Date]])&gt;=4,1,0)</f>
        <v>2026</v>
      </c>
      <c r="C19" s="151">
        <f>YEAR(Table7[[#This Row],[Date]])</f>
        <v>2025</v>
      </c>
      <c r="D19" s="152">
        <f>Daily_KPI[[#This Row],[Date]]-DAY(Daily_KPI[[#This Row],[Date]])+1</f>
        <v>45748</v>
      </c>
      <c r="E19" s="108">
        <v>1760.9980000000003</v>
      </c>
      <c r="F19" s="108">
        <v>2114.2968333333333</v>
      </c>
      <c r="G19" s="108">
        <v>2290.7310000000002</v>
      </c>
      <c r="H19" s="108">
        <v>1070.9975000000004</v>
      </c>
      <c r="I19" s="108">
        <v>1129.1786666666665</v>
      </c>
      <c r="J19" s="108">
        <v>1090.5463333333335</v>
      </c>
      <c r="K19" s="108">
        <v>1294.9526666666673</v>
      </c>
      <c r="L19" s="108">
        <v>658.29333333333363</v>
      </c>
      <c r="M19" s="108">
        <v>467.12066666666675</v>
      </c>
      <c r="N19" s="108">
        <v>488.05633333333338</v>
      </c>
      <c r="O19" s="108">
        <v>525.34900000000027</v>
      </c>
      <c r="P19" s="108">
        <v>581.9281666666667</v>
      </c>
      <c r="Q19" s="108">
        <v>573.27333333333354</v>
      </c>
      <c r="R19" s="108">
        <v>490.74250000000006</v>
      </c>
      <c r="S19" s="108">
        <v>416.11766666666659</v>
      </c>
      <c r="T19" s="108">
        <v>506.48416666666679</v>
      </c>
      <c r="U19" s="108">
        <v>592.01633333333325</v>
      </c>
      <c r="V19" s="108">
        <v>1513.3086666666668</v>
      </c>
      <c r="W19" s="108">
        <v>511.02749999999997</v>
      </c>
      <c r="X19" s="108">
        <v>412.00700000000012</v>
      </c>
      <c r="Y19" s="108">
        <v>1051.1224999999997</v>
      </c>
      <c r="Z19" s="108">
        <v>1189.4933333333336</v>
      </c>
      <c r="AA19" s="108">
        <v>743.9376666666667</v>
      </c>
      <c r="AB19" s="108">
        <v>713.46333333333325</v>
      </c>
      <c r="AC19" s="108">
        <v>856.7233333333329</v>
      </c>
      <c r="AD19" s="108">
        <v>759.01616666666666</v>
      </c>
      <c r="AE19" s="108">
        <v>2129.8541666666674</v>
      </c>
      <c r="AF19" s="108">
        <v>1034.7615000000003</v>
      </c>
      <c r="AG19" s="108">
        <v>1207.2539999999999</v>
      </c>
      <c r="AH19" s="108">
        <v>1279.665</v>
      </c>
      <c r="AI19" s="108">
        <v>584.9233333333334</v>
      </c>
      <c r="AJ19" s="108">
        <v>675.7923333333332</v>
      </c>
      <c r="AK19" s="108">
        <v>1113.8684999999998</v>
      </c>
      <c r="AL19" s="108">
        <v>1264.3828333333336</v>
      </c>
      <c r="AM19" s="108">
        <v>755.81783333333351</v>
      </c>
      <c r="AN19" s="108">
        <v>1596.1131666666677</v>
      </c>
      <c r="AO19" s="108">
        <v>1459.4208333333336</v>
      </c>
      <c r="AP19" s="108">
        <v>1136.8318333333332</v>
      </c>
      <c r="AQ19" s="108">
        <v>1247.9865</v>
      </c>
      <c r="AR19" s="108">
        <v>1124.5064999999997</v>
      </c>
      <c r="AS19" s="108">
        <v>1487.9261666666669</v>
      </c>
      <c r="AT19" s="108">
        <v>1738.2153333333329</v>
      </c>
      <c r="AU19" s="108">
        <v>1553.4983333333332</v>
      </c>
      <c r="AV19" s="108">
        <v>1229.1473333333331</v>
      </c>
      <c r="AW19" s="108">
        <f t="shared" si="1"/>
        <v>46.421147500000011</v>
      </c>
    </row>
    <row r="20" spans="1:49">
      <c r="A20" s="145">
        <v>45762</v>
      </c>
      <c r="B20" s="146">
        <f>YEAR(Table7[[#This Row],[Date]])+IF(MONTH(Table7[[#This Row],[Date]])&gt;=4,1,0)</f>
        <v>2026</v>
      </c>
      <c r="C20" s="147">
        <f>YEAR(Table7[[#This Row],[Date]])</f>
        <v>2025</v>
      </c>
      <c r="D20" s="148">
        <f>Daily_KPI[[#This Row],[Date]]-DAY(Daily_KPI[[#This Row],[Date]])+1</f>
        <v>45748</v>
      </c>
      <c r="E20">
        <v>1164.4358333333332</v>
      </c>
      <c r="F20">
        <v>1117.97</v>
      </c>
      <c r="G20">
        <v>1274.8743333333339</v>
      </c>
      <c r="H20">
        <v>414.20200000000006</v>
      </c>
      <c r="I20">
        <v>687.50400000000002</v>
      </c>
      <c r="J20">
        <v>602.98883333333333</v>
      </c>
      <c r="K20">
        <v>883.98066666666671</v>
      </c>
      <c r="L20">
        <v>179.56399999999996</v>
      </c>
      <c r="M20">
        <v>94.935333333333332</v>
      </c>
      <c r="N20">
        <v>75.062833333333316</v>
      </c>
      <c r="O20">
        <v>74.114333333333335</v>
      </c>
      <c r="P20">
        <v>102.21816666666666</v>
      </c>
      <c r="Q20">
        <v>119.69533333333332</v>
      </c>
      <c r="R20">
        <v>143.67733333333337</v>
      </c>
      <c r="S20">
        <v>124.16866666666668</v>
      </c>
      <c r="T20">
        <v>168.47</v>
      </c>
      <c r="U20">
        <v>236.98100000000002</v>
      </c>
      <c r="V20">
        <v>761.9668333333334</v>
      </c>
      <c r="W20">
        <v>125.48749999999997</v>
      </c>
      <c r="X20">
        <v>98.1011666666667</v>
      </c>
      <c r="Y20">
        <v>694.78133333333335</v>
      </c>
      <c r="Z20">
        <v>868.64800000000002</v>
      </c>
      <c r="AA20">
        <v>264.89416666666659</v>
      </c>
      <c r="AB20">
        <v>273.40033333333332</v>
      </c>
      <c r="AC20">
        <v>364.56349999999998</v>
      </c>
      <c r="AD20">
        <v>321.48216666666673</v>
      </c>
      <c r="AE20">
        <v>1023.2859999999999</v>
      </c>
      <c r="AF20">
        <v>551.31516666666653</v>
      </c>
      <c r="AG20">
        <v>377.91150000000016</v>
      </c>
      <c r="AH20">
        <v>599.62516666666659</v>
      </c>
      <c r="AI20">
        <v>197.07366666666658</v>
      </c>
      <c r="AJ20">
        <v>264.82183333333325</v>
      </c>
      <c r="AK20">
        <v>696.55883333333315</v>
      </c>
      <c r="AL20">
        <v>781.51783333333344</v>
      </c>
      <c r="AM20">
        <v>281.57583333333332</v>
      </c>
      <c r="AN20">
        <v>664.61383333333333</v>
      </c>
      <c r="AO20">
        <v>526.27016666666646</v>
      </c>
      <c r="AP20">
        <v>555.96999999999991</v>
      </c>
      <c r="AQ20">
        <v>537.12083333333351</v>
      </c>
      <c r="AR20">
        <v>1017.6381666666666</v>
      </c>
      <c r="AS20">
        <v>891.65016666666668</v>
      </c>
      <c r="AT20">
        <v>1041.3666666666666</v>
      </c>
      <c r="AU20">
        <v>957.71499999999969</v>
      </c>
      <c r="AV20">
        <v>627.86750000000006</v>
      </c>
      <c r="AW20" s="108">
        <f t="shared" si="1"/>
        <v>22.832065833333331</v>
      </c>
    </row>
    <row r="21" spans="1:49">
      <c r="A21" s="149">
        <v>45763</v>
      </c>
      <c r="B21" s="150">
        <f>YEAR(Table7[[#This Row],[Date]])+IF(MONTH(Table7[[#This Row],[Date]])&gt;=4,1,0)</f>
        <v>2026</v>
      </c>
      <c r="C21" s="151">
        <f>YEAR(Table7[[#This Row],[Date]])</f>
        <v>2025</v>
      </c>
      <c r="D21" s="152">
        <f>Daily_KPI[[#This Row],[Date]]-DAY(Daily_KPI[[#This Row],[Date]])+1</f>
        <v>45748</v>
      </c>
      <c r="E21">
        <v>435.70650000000001</v>
      </c>
      <c r="F21">
        <v>290.26833333333326</v>
      </c>
      <c r="G21">
        <v>253.65416666666667</v>
      </c>
      <c r="H21">
        <v>379.81716666666665</v>
      </c>
      <c r="I21">
        <v>432.53449999999992</v>
      </c>
      <c r="J21">
        <v>295.59750000000003</v>
      </c>
      <c r="K21">
        <v>382.89716666666681</v>
      </c>
      <c r="L21">
        <v>167.49683333333337</v>
      </c>
      <c r="M21">
        <v>118.36616666666669</v>
      </c>
      <c r="N21">
        <v>196.0181666666667</v>
      </c>
      <c r="O21">
        <v>225.83250000000001</v>
      </c>
      <c r="P21">
        <v>266.02450000000005</v>
      </c>
      <c r="Q21">
        <v>288.29066666666671</v>
      </c>
      <c r="R21">
        <v>269.27516666666662</v>
      </c>
      <c r="S21">
        <v>245.52700000000002</v>
      </c>
      <c r="T21">
        <v>269.76266666666669</v>
      </c>
      <c r="U21">
        <v>341.9405000000001</v>
      </c>
      <c r="V21">
        <v>402.48016666666666</v>
      </c>
      <c r="W21">
        <v>284.91633333333328</v>
      </c>
      <c r="X21">
        <v>270.41683333333339</v>
      </c>
      <c r="Y21">
        <v>346.28766666666667</v>
      </c>
      <c r="Z21">
        <v>317.9906666666667</v>
      </c>
      <c r="AA21">
        <v>231.19000000000003</v>
      </c>
      <c r="AB21">
        <v>279.35533333333336</v>
      </c>
      <c r="AC21">
        <v>310.81416666666672</v>
      </c>
      <c r="AD21">
        <v>313.2643333333333</v>
      </c>
      <c r="AE21">
        <v>158.14100000000005</v>
      </c>
      <c r="AF21">
        <v>132.74566666666664</v>
      </c>
      <c r="AG21">
        <v>353.7523333333333</v>
      </c>
      <c r="AH21">
        <v>162.10916666666668</v>
      </c>
      <c r="AI21">
        <v>343.41399999999999</v>
      </c>
      <c r="AJ21">
        <v>193.48933333333332</v>
      </c>
      <c r="AK21">
        <v>383.5736666666665</v>
      </c>
      <c r="AL21">
        <v>448.80466666666661</v>
      </c>
      <c r="AM21">
        <v>253.7585</v>
      </c>
      <c r="AN21">
        <v>249.57733333333331</v>
      </c>
      <c r="AO21">
        <v>323.24816666666675</v>
      </c>
      <c r="AP21">
        <v>327.53016666666673</v>
      </c>
      <c r="AQ21">
        <v>387.54349999999999</v>
      </c>
      <c r="AR21">
        <v>191.97083333333333</v>
      </c>
      <c r="AS21">
        <v>190.20133333333339</v>
      </c>
      <c r="AT21">
        <v>242.30316666666667</v>
      </c>
      <c r="AU21">
        <v>377.03166666666658</v>
      </c>
      <c r="AV21">
        <v>194.20816666666667</v>
      </c>
      <c r="AW21" s="108">
        <f t="shared" si="1"/>
        <v>12.529127666666666</v>
      </c>
    </row>
    <row r="22" spans="1:49">
      <c r="A22" s="145">
        <v>45764</v>
      </c>
      <c r="B22" s="146">
        <f>YEAR(Table7[[#This Row],[Date]])+IF(MONTH(Table7[[#This Row],[Date]])&gt;=4,1,0)</f>
        <v>2026</v>
      </c>
      <c r="C22" s="147">
        <f>YEAR(Table7[[#This Row],[Date]])</f>
        <v>2025</v>
      </c>
      <c r="D22" s="148">
        <f>Daily_KPI[[#This Row],[Date]]-DAY(Daily_KPI[[#This Row],[Date]])+1</f>
        <v>45748</v>
      </c>
      <c r="E22" s="108">
        <v>1972.8161666666656</v>
      </c>
      <c r="F22" s="108">
        <v>1498.9121666666667</v>
      </c>
      <c r="G22" s="108">
        <v>1482.453166666666</v>
      </c>
      <c r="H22" s="108">
        <v>1133.7433333333331</v>
      </c>
      <c r="I22" s="108">
        <v>1727.8893333333333</v>
      </c>
      <c r="J22" s="108">
        <v>1778.6953333333338</v>
      </c>
      <c r="K22" s="108">
        <v>1717.9773333333339</v>
      </c>
      <c r="L22" s="108">
        <v>616.27216666666664</v>
      </c>
      <c r="M22" s="108">
        <v>448.18299999999994</v>
      </c>
      <c r="N22" s="108">
        <v>546.54683333333344</v>
      </c>
      <c r="O22" s="108">
        <v>563.88816666666651</v>
      </c>
      <c r="P22" s="108">
        <v>592.96083333333343</v>
      </c>
      <c r="Q22" s="108">
        <v>618.5250000000002</v>
      </c>
      <c r="R22" s="108">
        <v>638.45983333333334</v>
      </c>
      <c r="S22" s="108">
        <v>537.73716666666644</v>
      </c>
      <c r="T22" s="108">
        <v>644.34500000000003</v>
      </c>
      <c r="U22" s="108">
        <v>710.56533333333346</v>
      </c>
      <c r="V22" s="108">
        <v>1677.4428333333337</v>
      </c>
      <c r="W22" s="108">
        <v>703.90983333333304</v>
      </c>
      <c r="X22" s="108">
        <v>612.03183333333322</v>
      </c>
      <c r="Y22" s="108">
        <v>1350.4221666666665</v>
      </c>
      <c r="Z22" s="108">
        <v>1502.779833333334</v>
      </c>
      <c r="AA22" s="108">
        <v>967.42700000000002</v>
      </c>
      <c r="AB22" s="108">
        <v>941.83533333333344</v>
      </c>
      <c r="AC22" s="108">
        <v>1152.2888333333333</v>
      </c>
      <c r="AD22" s="108">
        <v>1002.5639999999999</v>
      </c>
      <c r="AE22" s="108">
        <v>1215.1803333333332</v>
      </c>
      <c r="AF22" s="108">
        <v>723.43599999999969</v>
      </c>
      <c r="AG22" s="108">
        <v>1118.2323333333329</v>
      </c>
      <c r="AH22" s="108">
        <v>1122.3370000000009</v>
      </c>
      <c r="AI22" s="108">
        <v>694.60049999999967</v>
      </c>
      <c r="AJ22" s="108">
        <v>726.98449999999991</v>
      </c>
      <c r="AK22" s="108">
        <v>1867.0476666666673</v>
      </c>
      <c r="AL22" s="108">
        <v>2293.4819999999995</v>
      </c>
      <c r="AM22" s="108">
        <v>880.67150000000026</v>
      </c>
      <c r="AN22" s="108">
        <v>1905.7311666666667</v>
      </c>
      <c r="AO22" s="108">
        <v>2019.7993333333334</v>
      </c>
      <c r="AP22" s="108">
        <v>1997.4906666666675</v>
      </c>
      <c r="AQ22" s="108">
        <v>2016.6896666666671</v>
      </c>
      <c r="AR22" s="108">
        <v>733.51033333333316</v>
      </c>
      <c r="AS22" s="108">
        <v>1206.4843333333329</v>
      </c>
      <c r="AT22" s="108">
        <v>1573.9703333333334</v>
      </c>
      <c r="AU22" s="108">
        <v>1848.9403333333328</v>
      </c>
      <c r="AV22" s="108">
        <v>1985.8330000000003</v>
      </c>
      <c r="AW22" s="108">
        <f t="shared" si="1"/>
        <v>53.07109283333331</v>
      </c>
    </row>
    <row r="23" spans="1:49">
      <c r="A23" s="149">
        <v>45765</v>
      </c>
      <c r="B23" s="150">
        <f>YEAR(Table7[[#This Row],[Date]])+IF(MONTH(Table7[[#This Row],[Date]])&gt;=4,1,0)</f>
        <v>2026</v>
      </c>
      <c r="C23" s="151">
        <f>YEAR(Table7[[#This Row],[Date]])</f>
        <v>2025</v>
      </c>
      <c r="D23" s="152">
        <f>Daily_KPI[[#This Row],[Date]]-DAY(Daily_KPI[[#This Row],[Date]])+1</f>
        <v>45748</v>
      </c>
      <c r="E23" s="108">
        <v>2078.1465000000003</v>
      </c>
      <c r="F23" s="108">
        <v>1629.2486666666662</v>
      </c>
      <c r="G23" s="108">
        <v>1619.6813333333346</v>
      </c>
      <c r="H23" s="108">
        <v>1382.1411666666663</v>
      </c>
      <c r="I23" s="108">
        <v>1666.8478333333333</v>
      </c>
      <c r="J23" s="108">
        <v>1081.0131666666668</v>
      </c>
      <c r="K23" s="108">
        <v>1837.0563333333337</v>
      </c>
      <c r="L23" s="108">
        <v>689.87216666666689</v>
      </c>
      <c r="M23" s="108">
        <v>454.37583333333328</v>
      </c>
      <c r="N23" s="108">
        <v>599.51200000000006</v>
      </c>
      <c r="O23" s="108">
        <v>674.07150000000001</v>
      </c>
      <c r="P23" s="108">
        <v>695.76333333333343</v>
      </c>
      <c r="Q23" s="108">
        <v>715.11333333333369</v>
      </c>
      <c r="R23" s="108">
        <v>714.55566666666664</v>
      </c>
      <c r="S23" s="108">
        <v>598.47466666666662</v>
      </c>
      <c r="T23" s="108">
        <v>806.57449999999972</v>
      </c>
      <c r="U23" s="108">
        <v>860.29650000000004</v>
      </c>
      <c r="V23" s="108">
        <v>1980.8495000000003</v>
      </c>
      <c r="W23" s="108">
        <v>866.24750000000006</v>
      </c>
      <c r="X23" s="108">
        <v>737.79349999999977</v>
      </c>
      <c r="Y23" s="108">
        <v>1541.7563333333344</v>
      </c>
      <c r="Z23" s="108">
        <v>1540.6816666666666</v>
      </c>
      <c r="AA23" s="108">
        <v>1056.4166666666665</v>
      </c>
      <c r="AB23" s="108">
        <v>1043.2535</v>
      </c>
      <c r="AC23" s="108">
        <v>1140.6380000000001</v>
      </c>
      <c r="AD23" s="108">
        <v>946.47033333333331</v>
      </c>
      <c r="AE23" s="108">
        <v>1077.4003333333335</v>
      </c>
      <c r="AF23" s="108">
        <v>640.82966666666687</v>
      </c>
      <c r="AG23" s="108">
        <v>1217.0738333333338</v>
      </c>
      <c r="AH23" s="108">
        <v>927.79200000000037</v>
      </c>
      <c r="AI23" s="108">
        <v>927.38766666666663</v>
      </c>
      <c r="AJ23" s="108">
        <v>550.57666666666671</v>
      </c>
      <c r="AK23" s="108">
        <v>1488.7143333333336</v>
      </c>
      <c r="AL23" s="108">
        <v>1596.0591666666669</v>
      </c>
      <c r="AM23" s="108">
        <v>923.53766666666672</v>
      </c>
      <c r="AN23" s="108">
        <v>962.37466666666649</v>
      </c>
      <c r="AO23" s="108">
        <v>1296.3574999999998</v>
      </c>
      <c r="AP23" s="108">
        <v>1275.2750000000001</v>
      </c>
      <c r="AQ23" s="108">
        <v>1420.7281666666668</v>
      </c>
      <c r="AR23" s="108">
        <v>847.69449999999995</v>
      </c>
      <c r="AS23" s="108">
        <v>1057.7461666666666</v>
      </c>
      <c r="AT23" s="108">
        <v>1358.1933333333334</v>
      </c>
      <c r="AU23" s="108">
        <v>1976.6916666666673</v>
      </c>
      <c r="AV23" s="108">
        <v>1852.6223333333335</v>
      </c>
      <c r="AW23" s="108">
        <f t="shared" si="1"/>
        <v>50.353906166666675</v>
      </c>
    </row>
    <row r="24" spans="1:49">
      <c r="A24" s="145">
        <v>45766</v>
      </c>
      <c r="B24" s="146">
        <f>YEAR(Table7[[#This Row],[Date]])+IF(MONTH(Table7[[#This Row],[Date]])&gt;=4,1,0)</f>
        <v>2026</v>
      </c>
      <c r="C24" s="147">
        <f>YEAR(Table7[[#This Row],[Date]])</f>
        <v>2025</v>
      </c>
      <c r="D24" s="148">
        <f>Daily_KPI[[#This Row],[Date]]-DAY(Daily_KPI[[#This Row],[Date]])+1</f>
        <v>45748</v>
      </c>
      <c r="E24" s="108">
        <v>2722.8896666666656</v>
      </c>
      <c r="F24" s="108">
        <v>2608.807666666667</v>
      </c>
      <c r="G24" s="108">
        <v>2678.8308333333334</v>
      </c>
      <c r="H24" s="108">
        <v>1666.5986666666658</v>
      </c>
      <c r="I24" s="108">
        <v>2052.9019999999996</v>
      </c>
      <c r="J24" s="108">
        <v>1482.2565000000002</v>
      </c>
      <c r="K24" s="108">
        <v>2153.1464999999994</v>
      </c>
      <c r="L24" s="108">
        <v>767.52216666666629</v>
      </c>
      <c r="M24" s="108">
        <v>565.39216666666664</v>
      </c>
      <c r="N24" s="108">
        <v>692.28650000000016</v>
      </c>
      <c r="O24" s="108">
        <v>709.75866666666673</v>
      </c>
      <c r="P24" s="108">
        <v>741.20400000000006</v>
      </c>
      <c r="Q24" s="108">
        <v>738.51283333333367</v>
      </c>
      <c r="R24" s="108">
        <v>779.8368333333334</v>
      </c>
      <c r="S24" s="108">
        <v>733.63333333333355</v>
      </c>
      <c r="T24" s="108">
        <v>903.68233333333364</v>
      </c>
      <c r="U24" s="108">
        <v>994.05116666666663</v>
      </c>
      <c r="V24" s="108">
        <v>2510.2020000000002</v>
      </c>
      <c r="W24" s="108">
        <v>986.99049999999954</v>
      </c>
      <c r="X24" s="108">
        <v>870.29550000000074</v>
      </c>
      <c r="Y24" s="108">
        <v>1840.5066666666671</v>
      </c>
      <c r="Z24" s="108">
        <v>2120.0230000000006</v>
      </c>
      <c r="AA24" s="108">
        <v>1175.3281666666669</v>
      </c>
      <c r="AB24" s="108">
        <v>1207.336333333333</v>
      </c>
      <c r="AC24" s="108">
        <v>1289.7186666666664</v>
      </c>
      <c r="AD24" s="108">
        <v>1116.9925000000001</v>
      </c>
      <c r="AE24" s="108">
        <v>2355.6053333333325</v>
      </c>
      <c r="AF24" s="108">
        <v>811.84266666666724</v>
      </c>
      <c r="AG24" s="108">
        <v>1597.0256666666655</v>
      </c>
      <c r="AH24" s="108">
        <v>1152.7723333333331</v>
      </c>
      <c r="AI24" s="108">
        <v>1136.702</v>
      </c>
      <c r="AJ24" s="108">
        <v>872.01599999999974</v>
      </c>
      <c r="AK24" s="108">
        <v>1918.8391666666676</v>
      </c>
      <c r="AL24" s="108">
        <v>1793.9929999999995</v>
      </c>
      <c r="AM24" s="108">
        <v>1082.1028333333334</v>
      </c>
      <c r="AN24" s="108">
        <v>1776.8249999999998</v>
      </c>
      <c r="AO24" s="108">
        <v>1055.4001666666668</v>
      </c>
      <c r="AP24" s="108">
        <v>1629.2564999999993</v>
      </c>
      <c r="AQ24" s="108">
        <v>1782.7551666666661</v>
      </c>
      <c r="AR24" s="108">
        <v>819.78583333333393</v>
      </c>
      <c r="AS24" s="108">
        <v>1271.6648333333344</v>
      </c>
      <c r="AT24" s="108">
        <v>1712.0558333333338</v>
      </c>
      <c r="AU24" s="108">
        <v>2335.7151666666664</v>
      </c>
      <c r="AV24" s="108">
        <v>2070.3726666666671</v>
      </c>
      <c r="AW24" s="108">
        <f t="shared" si="1"/>
        <v>63.283435333333351</v>
      </c>
    </row>
    <row r="25" spans="1:49">
      <c r="A25" s="149">
        <v>45767</v>
      </c>
      <c r="B25" s="150">
        <f>YEAR(Table7[[#This Row],[Date]])+IF(MONTH(Table7[[#This Row],[Date]])&gt;=4,1,0)</f>
        <v>2026</v>
      </c>
      <c r="C25" s="151">
        <f>YEAR(Table7[[#This Row],[Date]])</f>
        <v>2025</v>
      </c>
      <c r="D25" s="152">
        <f>Daily_KPI[[#This Row],[Date]]-DAY(Daily_KPI[[#This Row],[Date]])+1</f>
        <v>45748</v>
      </c>
      <c r="E25" s="108">
        <v>2862.763833333333</v>
      </c>
      <c r="F25" s="108">
        <v>2556.8226666666669</v>
      </c>
      <c r="G25" s="108">
        <v>2478.6698333333343</v>
      </c>
      <c r="H25" s="108">
        <v>1370.2926666666672</v>
      </c>
      <c r="I25" s="108">
        <v>1435.9765</v>
      </c>
      <c r="J25" s="108">
        <v>1130.4698333333333</v>
      </c>
      <c r="K25" s="108">
        <v>2483.1531666666674</v>
      </c>
      <c r="L25" s="108">
        <v>675.61316666666653</v>
      </c>
      <c r="M25" s="108">
        <v>425.6995</v>
      </c>
      <c r="N25" s="108">
        <v>494.82466666666687</v>
      </c>
      <c r="O25" s="108">
        <v>521.81983333333335</v>
      </c>
      <c r="P25" s="108">
        <v>597.12883333333355</v>
      </c>
      <c r="Q25" s="108">
        <v>553.69316666666668</v>
      </c>
      <c r="R25" s="108">
        <v>585.20466666666664</v>
      </c>
      <c r="S25" s="108">
        <v>551.26349999999979</v>
      </c>
      <c r="T25" s="108">
        <v>620.14466666666692</v>
      </c>
      <c r="U25" s="108">
        <v>721.0709999999998</v>
      </c>
      <c r="V25" s="108">
        <v>2527.9688333333338</v>
      </c>
      <c r="W25" s="108">
        <v>747.88016666666692</v>
      </c>
      <c r="X25" s="108">
        <v>705.8114999999998</v>
      </c>
      <c r="Y25" s="108">
        <v>1992.7833333333338</v>
      </c>
      <c r="Z25" s="108">
        <v>2342.4738333333325</v>
      </c>
      <c r="AA25" s="108">
        <v>1116.6204999999998</v>
      </c>
      <c r="AB25" s="108">
        <v>1117.8915</v>
      </c>
      <c r="AC25" s="108">
        <v>1336.0983333333331</v>
      </c>
      <c r="AD25" s="108">
        <v>1082.8584999999998</v>
      </c>
      <c r="AE25" s="108">
        <v>2025.8424999999991</v>
      </c>
      <c r="AF25" s="108">
        <v>1038.3293333333334</v>
      </c>
      <c r="AG25" s="108">
        <v>1274.1183333333336</v>
      </c>
      <c r="AH25" s="108">
        <v>1506.588</v>
      </c>
      <c r="AI25" s="108">
        <v>837.27483333333339</v>
      </c>
      <c r="AJ25" s="108">
        <v>671.93800000000022</v>
      </c>
      <c r="AK25" s="108">
        <v>1369.0401666666664</v>
      </c>
      <c r="AL25" s="108">
        <v>1570.0681666666669</v>
      </c>
      <c r="AM25" s="108">
        <v>1084.7991666666667</v>
      </c>
      <c r="AN25" s="108">
        <v>1960.0611666666673</v>
      </c>
      <c r="AO25" s="108">
        <v>1560.123166666667</v>
      </c>
      <c r="AP25" s="108">
        <v>1458.288833333334</v>
      </c>
      <c r="AQ25" s="108">
        <v>1464.8511666666673</v>
      </c>
      <c r="AR25" s="108">
        <v>1294.6816666666668</v>
      </c>
      <c r="AS25" s="108">
        <v>1400.3491666666675</v>
      </c>
      <c r="AT25" s="108">
        <v>2231.6618333333349</v>
      </c>
      <c r="AU25" s="108">
        <v>2756.8546666666666</v>
      </c>
      <c r="AV25" s="108">
        <v>2109.3881666666666</v>
      </c>
      <c r="AW25" s="108">
        <f t="shared" si="1"/>
        <v>60.649256333333334</v>
      </c>
    </row>
    <row r="26" spans="1:49">
      <c r="A26" s="145">
        <v>45768</v>
      </c>
      <c r="B26" s="146">
        <f>YEAR(Table7[[#This Row],[Date]])+IF(MONTH(Table7[[#This Row],[Date]])&gt;=4,1,0)</f>
        <v>2026</v>
      </c>
      <c r="C26" s="147">
        <f>YEAR(Table7[[#This Row],[Date]])</f>
        <v>2025</v>
      </c>
      <c r="D26" s="148">
        <f>Daily_KPI[[#This Row],[Date]]-DAY(Daily_KPI[[#This Row],[Date]])+1</f>
        <v>45748</v>
      </c>
      <c r="E26" s="108">
        <v>1430.9504999999997</v>
      </c>
      <c r="F26" s="108">
        <v>1604.0968333333333</v>
      </c>
      <c r="G26" s="108">
        <v>1691.203833333333</v>
      </c>
      <c r="H26" s="108">
        <v>824.11199999999974</v>
      </c>
      <c r="I26" s="108">
        <v>761.8000000000003</v>
      </c>
      <c r="J26" s="108">
        <v>651.97699999999998</v>
      </c>
      <c r="K26" s="108">
        <v>1297.8166666666662</v>
      </c>
      <c r="L26" s="108">
        <v>405.24083333333323</v>
      </c>
      <c r="M26" s="108">
        <v>211.84233333333341</v>
      </c>
      <c r="N26" s="108">
        <v>256.32366666666661</v>
      </c>
      <c r="O26" s="108">
        <v>281.81366666666673</v>
      </c>
      <c r="P26" s="108">
        <v>355.18416666666667</v>
      </c>
      <c r="Q26" s="108">
        <v>336.25933333333325</v>
      </c>
      <c r="R26" s="108">
        <v>360.68833333333345</v>
      </c>
      <c r="S26" s="108">
        <v>329.80799999999994</v>
      </c>
      <c r="T26" s="108">
        <v>358.34266666666662</v>
      </c>
      <c r="U26" s="108">
        <v>389.28349999999995</v>
      </c>
      <c r="V26" s="108">
        <v>1526.4459999999997</v>
      </c>
      <c r="W26" s="108">
        <v>472.19666666666649</v>
      </c>
      <c r="X26" s="108">
        <v>411.11583333333311</v>
      </c>
      <c r="Y26" s="108">
        <v>1304.5959999999995</v>
      </c>
      <c r="Z26" s="108">
        <v>1534.3645000000006</v>
      </c>
      <c r="AA26" s="108">
        <v>637.1971666666667</v>
      </c>
      <c r="AB26" s="108">
        <v>630.85133333333317</v>
      </c>
      <c r="AC26" s="108">
        <v>806.63933333333364</v>
      </c>
      <c r="AD26" s="108">
        <v>662.03666666666675</v>
      </c>
      <c r="AE26" s="108">
        <v>1580.6054999999994</v>
      </c>
      <c r="AF26" s="108">
        <v>1091.2405000000003</v>
      </c>
      <c r="AG26" s="108">
        <v>759.76733333333323</v>
      </c>
      <c r="AH26" s="108">
        <v>1379.9301666666663</v>
      </c>
      <c r="AI26" s="108">
        <v>459.4441666666666</v>
      </c>
      <c r="AJ26" s="108">
        <v>409.84399999999977</v>
      </c>
      <c r="AK26" s="108">
        <v>725.67700000000013</v>
      </c>
      <c r="AL26" s="108">
        <v>991.6239999999998</v>
      </c>
      <c r="AM26" s="108">
        <v>810.58099999999979</v>
      </c>
      <c r="AN26" s="108">
        <v>1332.1655000000003</v>
      </c>
      <c r="AO26" s="108">
        <v>974.992166666667</v>
      </c>
      <c r="AP26" s="108">
        <v>901.51433333333341</v>
      </c>
      <c r="AQ26" s="108">
        <v>880.15833333333342</v>
      </c>
      <c r="AR26" s="108">
        <v>1193.542333333334</v>
      </c>
      <c r="AS26" s="108">
        <v>1133.4868333333334</v>
      </c>
      <c r="AT26" s="108">
        <v>1710.4473333333333</v>
      </c>
      <c r="AU26" s="108">
        <v>1529.8729999999998</v>
      </c>
      <c r="AV26" s="108">
        <v>1264.9946666666663</v>
      </c>
      <c r="AW26" s="108">
        <f t="shared" si="1"/>
        <v>38.662074999999987</v>
      </c>
    </row>
    <row r="27" spans="1:49">
      <c r="A27" s="149">
        <v>45769</v>
      </c>
      <c r="B27" s="150">
        <f>YEAR(Table7[[#This Row],[Date]])+IF(MONTH(Table7[[#This Row],[Date]])&gt;=4,1,0)</f>
        <v>2026</v>
      </c>
      <c r="C27" s="151">
        <f>YEAR(Table7[[#This Row],[Date]])</f>
        <v>2025</v>
      </c>
      <c r="D27" s="152">
        <f>Daily_KPI[[#This Row],[Date]]-DAY(Daily_KPI[[#This Row],[Date]])+1</f>
        <v>45748</v>
      </c>
      <c r="E27" s="108">
        <v>707.63333333333355</v>
      </c>
      <c r="F27" s="108">
        <v>636.74583333333328</v>
      </c>
      <c r="G27" s="108">
        <v>517.64266666666629</v>
      </c>
      <c r="H27" s="108">
        <v>692.71916666666664</v>
      </c>
      <c r="I27" s="108">
        <v>414.75699999999989</v>
      </c>
      <c r="J27" s="108">
        <v>420.04033333333342</v>
      </c>
      <c r="K27" s="108">
        <v>668.92733333333331</v>
      </c>
      <c r="L27" s="108">
        <v>487.32833333333355</v>
      </c>
      <c r="M27" s="108">
        <v>377.20799999999991</v>
      </c>
      <c r="N27" s="108">
        <v>354.29533333333342</v>
      </c>
      <c r="O27" s="108">
        <v>604.3208333333331</v>
      </c>
      <c r="P27" s="108">
        <v>661.029</v>
      </c>
      <c r="Q27" s="108">
        <v>643.02833333333331</v>
      </c>
      <c r="R27" s="108">
        <v>572.90133333333313</v>
      </c>
      <c r="S27" s="108">
        <v>536.89366666666649</v>
      </c>
      <c r="T27" s="108">
        <v>589.64283333333321</v>
      </c>
      <c r="U27" s="108">
        <v>668.0233333333332</v>
      </c>
      <c r="V27" s="108">
        <v>712.32033333333345</v>
      </c>
      <c r="W27" s="108">
        <v>700.03399999999999</v>
      </c>
      <c r="X27" s="108">
        <v>636.10149999999976</v>
      </c>
      <c r="Y27" s="108">
        <v>839.4730000000003</v>
      </c>
      <c r="Z27" s="108">
        <v>819.65299999999991</v>
      </c>
      <c r="AA27" s="108">
        <v>622.58349999999996</v>
      </c>
      <c r="AB27" s="108">
        <v>694.62966666666659</v>
      </c>
      <c r="AC27" s="108">
        <v>768.41033333333326</v>
      </c>
      <c r="AD27" s="108">
        <v>713.65783333333331</v>
      </c>
      <c r="AE27" s="108">
        <v>424.66333333333336</v>
      </c>
      <c r="AF27" s="108">
        <v>178.982</v>
      </c>
      <c r="AG27" s="108">
        <v>631.25400000000002</v>
      </c>
      <c r="AH27" s="108">
        <v>245.38766666666666</v>
      </c>
      <c r="AI27" s="108">
        <v>730.37283333333323</v>
      </c>
      <c r="AJ27" s="108">
        <v>292.27633333333335</v>
      </c>
      <c r="AK27" s="108">
        <v>405.65483333333344</v>
      </c>
      <c r="AL27" s="108">
        <v>381.86166666666674</v>
      </c>
      <c r="AM27" s="108">
        <v>648.79166666666697</v>
      </c>
      <c r="AN27" s="108">
        <v>656.49416666666662</v>
      </c>
      <c r="AO27" s="108">
        <v>506.83183333333341</v>
      </c>
      <c r="AP27" s="108">
        <v>371.75250000000005</v>
      </c>
      <c r="AQ27" s="108">
        <v>423.73066666666665</v>
      </c>
      <c r="AR27" s="108">
        <v>253.6451666666666</v>
      </c>
      <c r="AS27" s="108">
        <v>229.41499999999999</v>
      </c>
      <c r="AT27" s="108">
        <v>335.7673333333334</v>
      </c>
      <c r="AU27" s="108">
        <v>753.89749999999992</v>
      </c>
      <c r="AV27" s="108">
        <v>649.1158333333334</v>
      </c>
      <c r="AW27" s="108">
        <f t="shared" si="1"/>
        <v>24.179894166666667</v>
      </c>
    </row>
    <row r="28" spans="1:49">
      <c r="A28" s="145">
        <v>45770</v>
      </c>
      <c r="B28" s="146">
        <f>YEAR(Table7[[#This Row],[Date]])+IF(MONTH(Table7[[#This Row],[Date]])&gt;=4,1,0)</f>
        <v>2026</v>
      </c>
      <c r="C28" s="147">
        <f>YEAR(Table7[[#This Row],[Date]])</f>
        <v>2025</v>
      </c>
      <c r="D28" s="148">
        <f>Daily_KPI[[#This Row],[Date]]-DAY(Daily_KPI[[#This Row],[Date]])+1</f>
        <v>45748</v>
      </c>
      <c r="E28" s="108">
        <v>1505.4293333333333</v>
      </c>
      <c r="F28" s="108">
        <v>1195.8596666666665</v>
      </c>
      <c r="G28" s="108">
        <v>1135.2429999999995</v>
      </c>
      <c r="H28" s="108">
        <v>395.03449999999998</v>
      </c>
      <c r="I28" s="108">
        <v>1115.4778333333336</v>
      </c>
      <c r="J28" s="108">
        <v>840.7738333333333</v>
      </c>
      <c r="K28" s="108">
        <v>1357.1359999999997</v>
      </c>
      <c r="L28" s="108">
        <v>200.36233333333325</v>
      </c>
      <c r="M28" s="108">
        <v>383.48433333333327</v>
      </c>
      <c r="N28" s="108">
        <v>522.40166666666676</v>
      </c>
      <c r="O28" s="108">
        <v>608.50283333333334</v>
      </c>
      <c r="P28" s="108">
        <v>685.6586666666667</v>
      </c>
      <c r="Q28" s="108">
        <v>702.26250000000027</v>
      </c>
      <c r="R28" s="108">
        <v>675.07133333333343</v>
      </c>
      <c r="S28" s="108">
        <v>646.80233333333308</v>
      </c>
      <c r="T28" s="108">
        <v>704.66316666666683</v>
      </c>
      <c r="U28" s="108">
        <v>799.69</v>
      </c>
      <c r="V28" s="108">
        <v>1409.1921666666665</v>
      </c>
      <c r="W28" s="108">
        <v>717.66083333333324</v>
      </c>
      <c r="X28" s="108">
        <v>653.40783333333331</v>
      </c>
      <c r="Y28" s="108">
        <v>579.58849999999995</v>
      </c>
      <c r="Z28" s="108">
        <v>601.29733333333331</v>
      </c>
      <c r="AA28" s="108">
        <v>316.12233333333342</v>
      </c>
      <c r="AB28" s="108">
        <v>305.69633333333337</v>
      </c>
      <c r="AC28" s="108">
        <v>372.52366666666677</v>
      </c>
      <c r="AD28" s="108">
        <v>260.91383333333329</v>
      </c>
      <c r="AE28" s="108">
        <v>823.88883333333342</v>
      </c>
      <c r="AF28" s="108">
        <v>541.95666666666671</v>
      </c>
      <c r="AG28" s="108">
        <v>276.6703333333333</v>
      </c>
      <c r="AH28" s="108">
        <v>753.48466666666707</v>
      </c>
      <c r="AI28" s="108">
        <v>768.4938333333331</v>
      </c>
      <c r="AJ28" s="108">
        <v>525.1638333333334</v>
      </c>
      <c r="AK28" s="108">
        <v>1042.3613333333331</v>
      </c>
      <c r="AL28" s="108">
        <v>1263.4588333333334</v>
      </c>
      <c r="AM28" s="108">
        <v>282.94783333333328</v>
      </c>
      <c r="AN28" s="108">
        <v>1234.4691666666668</v>
      </c>
      <c r="AO28" s="108">
        <v>1224.0398333333335</v>
      </c>
      <c r="AP28" s="108">
        <v>266.63483333333335</v>
      </c>
      <c r="AQ28" s="108">
        <v>1146.3631666666668</v>
      </c>
      <c r="AR28" s="108">
        <v>736.68483333333324</v>
      </c>
      <c r="AS28" s="108">
        <v>763.24299999999994</v>
      </c>
      <c r="AT28" s="108">
        <v>963.02999999999986</v>
      </c>
      <c r="AU28" s="108">
        <v>1592.4294999999995</v>
      </c>
      <c r="AV28" s="108">
        <v>1394.7381666666663</v>
      </c>
      <c r="AW28" s="108">
        <f t="shared" si="1"/>
        <v>34.290314833333333</v>
      </c>
    </row>
    <row r="29" spans="1:49">
      <c r="A29" s="149">
        <v>45771</v>
      </c>
      <c r="B29" s="150">
        <f>YEAR(Table7[[#This Row],[Date]])+IF(MONTH(Table7[[#This Row],[Date]])&gt;=4,1,0)</f>
        <v>2026</v>
      </c>
      <c r="C29" s="151">
        <f>YEAR(Table7[[#This Row],[Date]])</f>
        <v>2025</v>
      </c>
      <c r="D29" s="152">
        <f>Daily_KPI[[#This Row],[Date]]-DAY(Daily_KPI[[#This Row],[Date]])+1</f>
        <v>45748</v>
      </c>
      <c r="E29" s="108">
        <v>1505.4293333333333</v>
      </c>
      <c r="F29" s="108">
        <v>1195.8596666666665</v>
      </c>
      <c r="G29" s="108">
        <v>1135.2429999999995</v>
      </c>
      <c r="H29" s="108">
        <v>395.03449999999998</v>
      </c>
      <c r="I29" s="108">
        <v>1115.4778333333336</v>
      </c>
      <c r="J29" s="108">
        <v>840.7738333333333</v>
      </c>
      <c r="K29" s="108">
        <v>1357.1359999999997</v>
      </c>
      <c r="L29" s="108">
        <v>200.36233333333325</v>
      </c>
      <c r="M29" s="108">
        <v>383.48433333333327</v>
      </c>
      <c r="N29" s="108">
        <v>522.40166666666676</v>
      </c>
      <c r="O29" s="108">
        <v>608.50283333333334</v>
      </c>
      <c r="P29" s="108">
        <v>685.6586666666667</v>
      </c>
      <c r="Q29" s="108">
        <v>702.26250000000027</v>
      </c>
      <c r="R29" s="108">
        <v>675.07133333333343</v>
      </c>
      <c r="S29" s="108">
        <v>646.80233333333308</v>
      </c>
      <c r="T29" s="108">
        <v>704.66316666666683</v>
      </c>
      <c r="U29" s="108">
        <v>799.69</v>
      </c>
      <c r="V29" s="108">
        <v>1409.1921666666665</v>
      </c>
      <c r="W29" s="108">
        <v>717.66083333333324</v>
      </c>
      <c r="X29" s="108">
        <v>653.40783333333331</v>
      </c>
      <c r="Y29" s="108">
        <v>579.58849999999995</v>
      </c>
      <c r="Z29" s="108">
        <v>601.29733333333331</v>
      </c>
      <c r="AA29" s="108">
        <v>316.12233333333342</v>
      </c>
      <c r="AB29" s="108">
        <v>305.69633333333337</v>
      </c>
      <c r="AC29" s="108">
        <v>372.52366666666677</v>
      </c>
      <c r="AD29" s="108">
        <v>260.91383333333329</v>
      </c>
      <c r="AE29" s="108">
        <v>823.88883333333342</v>
      </c>
      <c r="AF29" s="108">
        <v>541.95666666666671</v>
      </c>
      <c r="AG29" s="108">
        <v>276.6703333333333</v>
      </c>
      <c r="AH29" s="108">
        <v>753.48466666666707</v>
      </c>
      <c r="AI29" s="108">
        <v>768.4938333333331</v>
      </c>
      <c r="AJ29" s="108">
        <v>525.1638333333334</v>
      </c>
      <c r="AK29" s="108">
        <v>1042.3613333333331</v>
      </c>
      <c r="AL29" s="108">
        <v>1263.4588333333334</v>
      </c>
      <c r="AM29" s="108">
        <v>282.94783333333328</v>
      </c>
      <c r="AN29" s="108">
        <v>1234.4691666666668</v>
      </c>
      <c r="AO29" s="108">
        <v>1224.0398333333335</v>
      </c>
      <c r="AP29" s="108">
        <v>266.63483333333335</v>
      </c>
      <c r="AQ29" s="108">
        <v>1146.3631666666668</v>
      </c>
      <c r="AR29" s="108">
        <v>736.68483333333324</v>
      </c>
      <c r="AS29" s="108">
        <v>763.24299999999994</v>
      </c>
      <c r="AT29" s="108">
        <v>963.02999999999986</v>
      </c>
      <c r="AU29" s="108">
        <v>1592.4294999999995</v>
      </c>
      <c r="AV29" s="108">
        <v>1394.7381666666663</v>
      </c>
      <c r="AW29" s="108">
        <f t="shared" ref="AW29" si="3">SUM(E29:AV29)/1000</f>
        <v>34.290314833333333</v>
      </c>
    </row>
    <row r="30" spans="1:49">
      <c r="A30" s="145">
        <v>45772</v>
      </c>
      <c r="B30" s="146">
        <f>YEAR(Table7[[#This Row],[Date]])+IF(MONTH(Table7[[#This Row],[Date]])&gt;=4,1,0)</f>
        <v>2026</v>
      </c>
      <c r="C30" s="147">
        <f>YEAR(Table7[[#This Row],[Date]])</f>
        <v>2025</v>
      </c>
      <c r="D30" s="148">
        <f>Daily_KPI[[#This Row],[Date]]-DAY(Daily_KPI[[#This Row],[Date]])+1</f>
        <v>45748</v>
      </c>
      <c r="E30" s="108">
        <v>1342.3078333333335</v>
      </c>
      <c r="F30" s="108">
        <v>957.62533333333351</v>
      </c>
      <c r="G30" s="108">
        <v>820.57783333333373</v>
      </c>
      <c r="H30" s="108">
        <v>1061.9793333333337</v>
      </c>
      <c r="I30" s="108">
        <v>1071.0781666666664</v>
      </c>
      <c r="J30" s="108">
        <v>720.28266666666684</v>
      </c>
      <c r="K30" s="108">
        <v>1200.8175000000001</v>
      </c>
      <c r="L30" s="108">
        <v>466.71650000000028</v>
      </c>
      <c r="M30" s="108">
        <v>239.37133333333335</v>
      </c>
      <c r="N30" s="108">
        <v>267.47966666666662</v>
      </c>
      <c r="O30" s="108">
        <v>308.43966666666671</v>
      </c>
      <c r="P30" s="108">
        <v>342.29483333333337</v>
      </c>
      <c r="Q30" s="108">
        <v>409.80950000000007</v>
      </c>
      <c r="R30" s="108">
        <v>467.09433333333328</v>
      </c>
      <c r="S30" s="108">
        <v>448.57299999999992</v>
      </c>
      <c r="T30" s="108">
        <v>546.11833333333311</v>
      </c>
      <c r="U30" s="108">
        <v>671.11933333333332</v>
      </c>
      <c r="V30" s="108">
        <v>1271.1873333333333</v>
      </c>
      <c r="W30" s="108">
        <v>683.26433333333341</v>
      </c>
      <c r="X30" s="108">
        <v>609.12100000000021</v>
      </c>
      <c r="Y30" s="108">
        <v>1207.4765</v>
      </c>
      <c r="Z30" s="108">
        <v>1221.4201666666665</v>
      </c>
      <c r="AA30" s="108">
        <v>722.64250000000027</v>
      </c>
      <c r="AB30" s="108">
        <v>729.21800000000019</v>
      </c>
      <c r="AC30" s="108">
        <v>866.55183333333343</v>
      </c>
      <c r="AD30" s="108">
        <v>805.23766666666677</v>
      </c>
      <c r="AE30" s="108">
        <v>687.49733333333359</v>
      </c>
      <c r="AF30" s="108">
        <v>253.86916666666662</v>
      </c>
      <c r="AG30" s="108">
        <v>827.32016666666675</v>
      </c>
      <c r="AH30" s="108">
        <v>520.74450000000013</v>
      </c>
      <c r="AI30" s="108">
        <v>758.53800000000012</v>
      </c>
      <c r="AJ30" s="108">
        <v>249.78983333333323</v>
      </c>
      <c r="AK30" s="108">
        <v>933.0614999999998</v>
      </c>
      <c r="AL30" s="108">
        <v>1103.5076666666664</v>
      </c>
      <c r="AM30" s="108">
        <v>822.08449999999993</v>
      </c>
      <c r="AN30" s="108">
        <v>1146.6616666666666</v>
      </c>
      <c r="AO30" s="108">
        <v>1060.1326666666669</v>
      </c>
      <c r="AP30" s="108">
        <v>965.46633333333341</v>
      </c>
      <c r="AQ30" s="108">
        <v>1297.3600000000001</v>
      </c>
      <c r="AR30" s="108">
        <v>361.34750000000008</v>
      </c>
      <c r="AS30" s="108">
        <v>426.38333333333321</v>
      </c>
      <c r="AT30" s="108">
        <v>647.8698333333333</v>
      </c>
      <c r="AU30" s="108">
        <v>1471.0760000000002</v>
      </c>
      <c r="AV30" s="108">
        <v>1502.4093333333333</v>
      </c>
      <c r="AW30" s="108">
        <f t="shared" si="1"/>
        <v>34.49292383333335</v>
      </c>
    </row>
    <row r="31" spans="1:49">
      <c r="A31" s="149">
        <v>45773</v>
      </c>
      <c r="B31" s="150">
        <f>YEAR(Table7[[#This Row],[Date]])+IF(MONTH(Table7[[#This Row],[Date]])&gt;=4,1,0)</f>
        <v>2026</v>
      </c>
      <c r="C31" s="151">
        <f>YEAR(Table7[[#This Row],[Date]])</f>
        <v>2025</v>
      </c>
      <c r="D31" s="152">
        <f>Daily_KPI[[#This Row],[Date]]-DAY(Daily_KPI[[#This Row],[Date]])+1</f>
        <v>45748</v>
      </c>
      <c r="E31" s="108">
        <v>1141.5353333333333</v>
      </c>
      <c r="F31" s="108">
        <v>923.90716666666697</v>
      </c>
      <c r="G31" s="108">
        <v>802.78433333333351</v>
      </c>
      <c r="H31" s="108">
        <v>853.19816666666668</v>
      </c>
      <c r="I31" s="108">
        <v>927.18266666666659</v>
      </c>
      <c r="J31" s="108">
        <v>336.62650000000008</v>
      </c>
      <c r="K31" s="108">
        <v>636.40750000000014</v>
      </c>
      <c r="L31" s="108">
        <v>490.23383333333351</v>
      </c>
      <c r="M31" s="108">
        <v>402.25183333333325</v>
      </c>
      <c r="N31" s="108">
        <v>451.15566666666655</v>
      </c>
      <c r="O31" s="108">
        <v>500.6875</v>
      </c>
      <c r="P31" s="108">
        <v>550.70449999999994</v>
      </c>
      <c r="Q31" s="108">
        <v>602.24999999999989</v>
      </c>
      <c r="R31" s="108">
        <v>163.07416666666663</v>
      </c>
      <c r="S31" s="108">
        <v>173.96933333333334</v>
      </c>
      <c r="T31" s="108">
        <v>190.98316666666668</v>
      </c>
      <c r="U31" s="108">
        <v>174.18966666666668</v>
      </c>
      <c r="V31" s="108">
        <v>1011.582666666667</v>
      </c>
      <c r="W31" s="108">
        <v>221.1958333333333</v>
      </c>
      <c r="X31" s="108">
        <v>173.93166666666664</v>
      </c>
      <c r="Y31" s="108">
        <v>836.66249999999991</v>
      </c>
      <c r="Z31" s="108">
        <v>779.03733333333332</v>
      </c>
      <c r="AA31" s="108">
        <v>623.26283333333356</v>
      </c>
      <c r="AB31" s="108">
        <v>675.56050000000016</v>
      </c>
      <c r="AC31" s="108">
        <v>761.06216666666649</v>
      </c>
      <c r="AD31" s="108">
        <v>658.62099999999998</v>
      </c>
      <c r="AE31" s="108">
        <v>835.58033333333333</v>
      </c>
      <c r="AF31" s="108">
        <v>402.31816666666668</v>
      </c>
      <c r="AG31" s="108">
        <v>757.1541666666667</v>
      </c>
      <c r="AH31" s="108">
        <v>663.94616666666661</v>
      </c>
      <c r="AI31" s="108">
        <v>144.19333333333333</v>
      </c>
      <c r="AJ31" s="108">
        <v>596.50149999999996</v>
      </c>
      <c r="AK31" s="108">
        <v>919.22716666666668</v>
      </c>
      <c r="AL31" s="108">
        <v>1184.9716666666668</v>
      </c>
      <c r="AM31" s="108">
        <v>682.50783333333345</v>
      </c>
      <c r="AN31" s="108">
        <v>1001.6180000000004</v>
      </c>
      <c r="AO31" s="108">
        <v>1041.0211666666664</v>
      </c>
      <c r="AP31" s="108">
        <v>947.53150000000005</v>
      </c>
      <c r="AQ31" s="108">
        <v>1077.3883333333333</v>
      </c>
      <c r="AR31" s="108">
        <v>349.73416666666668</v>
      </c>
      <c r="AS31" s="108">
        <v>509.13333333333338</v>
      </c>
      <c r="AT31" s="108">
        <v>670.2403333333333</v>
      </c>
      <c r="AU31" s="108">
        <v>1147.9366666666667</v>
      </c>
      <c r="AV31" s="108">
        <v>1068.3586666666665</v>
      </c>
      <c r="AW31" s="108">
        <f t="shared" si="1"/>
        <v>29.061420333333334</v>
      </c>
    </row>
    <row r="32" spans="1:49">
      <c r="A32" s="145">
        <v>45774</v>
      </c>
      <c r="B32" s="146">
        <f>YEAR(Table7[[#This Row],[Date]])+IF(MONTH(Table7[[#This Row],[Date]])&gt;=4,1,0)</f>
        <v>2026</v>
      </c>
      <c r="C32" s="147">
        <f>YEAR(Table7[[#This Row],[Date]])</f>
        <v>2025</v>
      </c>
      <c r="D32" s="148">
        <f>Daily_KPI[[#This Row],[Date]]-DAY(Daily_KPI[[#This Row],[Date]])+1</f>
        <v>45748</v>
      </c>
      <c r="E32" s="108">
        <v>772.65766666666661</v>
      </c>
      <c r="F32" s="108">
        <v>576.39716666666675</v>
      </c>
      <c r="G32" s="108">
        <v>575.5663333333332</v>
      </c>
      <c r="H32" s="108">
        <v>516.27100000000007</v>
      </c>
      <c r="I32" s="108">
        <v>816.84233333333339</v>
      </c>
      <c r="J32" s="108">
        <v>548.45983333333345</v>
      </c>
      <c r="K32" s="108">
        <v>596.87916666666661</v>
      </c>
      <c r="L32" s="108">
        <v>295.24499999999995</v>
      </c>
      <c r="M32" s="108">
        <v>213.28033333333335</v>
      </c>
      <c r="N32" s="108">
        <v>297.60566666666665</v>
      </c>
      <c r="O32" s="108">
        <v>345.77783333333332</v>
      </c>
      <c r="P32" s="108">
        <v>404.55399999999992</v>
      </c>
      <c r="Q32" s="108">
        <v>434.30183333333343</v>
      </c>
      <c r="R32" s="108">
        <v>400.15116666666654</v>
      </c>
      <c r="S32" s="108">
        <v>387.04700000000003</v>
      </c>
      <c r="T32" s="108">
        <v>403.78783333333325</v>
      </c>
      <c r="U32" s="108">
        <v>465.85583333333346</v>
      </c>
      <c r="V32" s="108">
        <v>682.31266666666659</v>
      </c>
      <c r="W32" s="108">
        <v>435.92816666666681</v>
      </c>
      <c r="X32" s="108">
        <v>405.12033333333352</v>
      </c>
      <c r="Y32" s="108">
        <v>586.5061666666669</v>
      </c>
      <c r="Z32" s="108">
        <v>549.06916666666666</v>
      </c>
      <c r="AA32" s="108">
        <v>454.35999999999996</v>
      </c>
      <c r="AB32" s="108">
        <v>500.63383333333314</v>
      </c>
      <c r="AC32" s="108">
        <v>558.99233333333348</v>
      </c>
      <c r="AD32" s="108">
        <v>501.60483333333332</v>
      </c>
      <c r="AE32" s="108">
        <v>484.25666666666672</v>
      </c>
      <c r="AF32" s="108">
        <v>311.52833333333325</v>
      </c>
      <c r="AG32" s="108">
        <v>523.99983333333353</v>
      </c>
      <c r="AH32" s="108">
        <v>423.98099999999977</v>
      </c>
      <c r="AI32" s="108">
        <v>483.65850000000006</v>
      </c>
      <c r="AJ32" s="108">
        <v>333.01399999999984</v>
      </c>
      <c r="AK32" s="108">
        <v>449.46683333333323</v>
      </c>
      <c r="AL32" s="108">
        <v>881.24099999999999</v>
      </c>
      <c r="AM32" s="108">
        <v>482.90049999999997</v>
      </c>
      <c r="AN32" s="108">
        <v>688.55566666666675</v>
      </c>
      <c r="AO32" s="108">
        <v>712.63599999999997</v>
      </c>
      <c r="AP32" s="108">
        <v>713.80749999999978</v>
      </c>
      <c r="AQ32" s="108">
        <v>796.7879999999999</v>
      </c>
      <c r="AR32" s="108">
        <v>396.31416666666678</v>
      </c>
      <c r="AS32" s="108">
        <v>433.37299999999988</v>
      </c>
      <c r="AT32" s="108">
        <v>532.58633333333353</v>
      </c>
      <c r="AU32" s="108">
        <v>766.48999999999967</v>
      </c>
      <c r="AV32" s="108">
        <v>774.07649999999978</v>
      </c>
      <c r="AW32" s="108">
        <f t="shared" si="1"/>
        <v>22.913881333333325</v>
      </c>
    </row>
    <row r="33" spans="1:49">
      <c r="A33" s="149">
        <v>45775</v>
      </c>
      <c r="B33" s="150">
        <f>YEAR(Table7[[#This Row],[Date]])+IF(MONTH(Table7[[#This Row],[Date]])&gt;=4,1,0)</f>
        <v>2026</v>
      </c>
      <c r="C33" s="151">
        <f>YEAR(Table7[[#This Row],[Date]])</f>
        <v>2025</v>
      </c>
      <c r="D33" s="152">
        <f>Daily_KPI[[#This Row],[Date]]-DAY(Daily_KPI[[#This Row],[Date]])+1</f>
        <v>45748</v>
      </c>
      <c r="E33" s="108">
        <v>772.65766666666661</v>
      </c>
      <c r="F33" s="108">
        <v>576.39716666666675</v>
      </c>
      <c r="G33" s="108">
        <v>575.5663333333332</v>
      </c>
      <c r="H33" s="108">
        <v>516.27100000000007</v>
      </c>
      <c r="I33" s="108">
        <v>816.84233333333339</v>
      </c>
      <c r="J33" s="108">
        <v>548.45983333333345</v>
      </c>
      <c r="K33" s="108">
        <v>596.87916666666661</v>
      </c>
      <c r="L33" s="108">
        <v>295.24499999999995</v>
      </c>
      <c r="M33" s="108">
        <v>213.28033333333335</v>
      </c>
      <c r="N33" s="108">
        <v>297.60566666666665</v>
      </c>
      <c r="O33" s="108">
        <v>345.77783333333332</v>
      </c>
      <c r="P33" s="108">
        <v>404.55399999999992</v>
      </c>
      <c r="Q33" s="108">
        <v>434.30183333333343</v>
      </c>
      <c r="R33" s="108">
        <v>400.15116666666654</v>
      </c>
      <c r="S33" s="108">
        <v>387.04700000000003</v>
      </c>
      <c r="T33" s="108">
        <v>403.78783333333325</v>
      </c>
      <c r="U33" s="108">
        <v>465.85583333333346</v>
      </c>
      <c r="V33" s="108">
        <v>682.31266666666659</v>
      </c>
      <c r="W33" s="108">
        <v>435.92816666666681</v>
      </c>
      <c r="X33" s="108">
        <v>405.12033333333352</v>
      </c>
      <c r="Y33" s="108">
        <v>586.5061666666669</v>
      </c>
      <c r="Z33" s="108">
        <v>549.06916666666666</v>
      </c>
      <c r="AA33" s="108">
        <v>454.35999999999996</v>
      </c>
      <c r="AB33" s="108">
        <v>500.63383333333314</v>
      </c>
      <c r="AC33" s="108">
        <v>558.99233333333348</v>
      </c>
      <c r="AD33" s="108">
        <v>501.60483333333332</v>
      </c>
      <c r="AE33" s="108">
        <v>484.25666666666672</v>
      </c>
      <c r="AF33" s="108">
        <v>311.52833333333325</v>
      </c>
      <c r="AG33" s="108">
        <v>523.99983333333353</v>
      </c>
      <c r="AH33" s="108">
        <v>423.98099999999977</v>
      </c>
      <c r="AI33" s="108">
        <v>483.65850000000006</v>
      </c>
      <c r="AJ33" s="108">
        <v>333.01399999999984</v>
      </c>
      <c r="AK33" s="108">
        <v>449.46683333333323</v>
      </c>
      <c r="AL33" s="108">
        <v>881.24099999999999</v>
      </c>
      <c r="AM33" s="108">
        <v>482.90049999999997</v>
      </c>
      <c r="AN33" s="108">
        <v>688.55566666666675</v>
      </c>
      <c r="AO33" s="108">
        <v>712.63599999999997</v>
      </c>
      <c r="AP33" s="108">
        <v>713.80749999999978</v>
      </c>
      <c r="AQ33" s="108">
        <v>796.7879999999999</v>
      </c>
      <c r="AR33" s="108">
        <v>396.31416666666678</v>
      </c>
      <c r="AS33" s="108">
        <v>433.37299999999988</v>
      </c>
      <c r="AT33" s="108">
        <v>532.58633333333353</v>
      </c>
      <c r="AU33" s="108">
        <v>766.48999999999967</v>
      </c>
      <c r="AV33" s="108">
        <v>774.07649999999978</v>
      </c>
      <c r="AW33" s="108">
        <f t="shared" ref="AW33" si="4">SUM(E33:AV33)/1000</f>
        <v>22.913881333333325</v>
      </c>
    </row>
    <row r="34" spans="1:49">
      <c r="A34" s="145">
        <v>45776</v>
      </c>
      <c r="B34" s="146">
        <f>YEAR(Table7[[#This Row],[Date]])+IF(MONTH(Table7[[#This Row],[Date]])&gt;=4,1,0)</f>
        <v>2026</v>
      </c>
      <c r="C34" s="147">
        <f>YEAR(Table7[[#This Row],[Date]])</f>
        <v>2025</v>
      </c>
      <c r="D34" s="148">
        <f>Daily_KPI[[#This Row],[Date]]-DAY(Daily_KPI[[#This Row],[Date]])+1</f>
        <v>45748</v>
      </c>
      <c r="E34" s="108">
        <v>1560.4041666666669</v>
      </c>
      <c r="F34" s="108">
        <v>1329.7775000000004</v>
      </c>
      <c r="G34" s="108">
        <v>1080.5256666666664</v>
      </c>
      <c r="H34" s="108">
        <v>1083.6691666666663</v>
      </c>
      <c r="I34" s="108">
        <v>1356.5601666666669</v>
      </c>
      <c r="J34" s="108">
        <v>1046.6589999999994</v>
      </c>
      <c r="K34" s="108">
        <v>1238.1288333333334</v>
      </c>
      <c r="L34" s="108">
        <v>553.54749999999979</v>
      </c>
      <c r="M34" s="108">
        <v>408.44166666666666</v>
      </c>
      <c r="N34" s="108">
        <v>539.64566666666667</v>
      </c>
      <c r="O34" s="108">
        <v>596.56550000000004</v>
      </c>
      <c r="P34" s="108">
        <v>679.3694999999999</v>
      </c>
      <c r="Q34" s="108">
        <v>682.37099999999975</v>
      </c>
      <c r="R34" s="108">
        <v>687.45583333333354</v>
      </c>
      <c r="S34" s="108">
        <v>658.90666666666687</v>
      </c>
      <c r="T34" s="108">
        <v>782.96366666666654</v>
      </c>
      <c r="U34" s="108">
        <v>892.04566666666653</v>
      </c>
      <c r="V34" s="108">
        <v>1634.1246666666664</v>
      </c>
      <c r="W34" s="108">
        <v>864.4613333333333</v>
      </c>
      <c r="X34" s="108">
        <v>711.02449999999965</v>
      </c>
      <c r="Y34" s="108">
        <v>1052.3590000000002</v>
      </c>
      <c r="Z34" s="108">
        <v>1190.8056666666669</v>
      </c>
      <c r="AA34" s="108">
        <v>816.22766666666678</v>
      </c>
      <c r="AB34" s="108">
        <v>933.36183333333327</v>
      </c>
      <c r="AC34" s="108">
        <v>1061.0876666666668</v>
      </c>
      <c r="AD34" s="108">
        <v>912.84100000000001</v>
      </c>
      <c r="AE34" s="108">
        <v>695.85516666666683</v>
      </c>
      <c r="AF34" s="108">
        <v>359.39566666666678</v>
      </c>
      <c r="AG34" s="108">
        <v>976.17766666666705</v>
      </c>
      <c r="AH34" s="108">
        <v>559.59950000000015</v>
      </c>
      <c r="AI34" s="108">
        <v>859.52716666666674</v>
      </c>
      <c r="AJ34" s="108">
        <v>249.22816666666674</v>
      </c>
      <c r="AK34" s="108">
        <v>1290.2076666666667</v>
      </c>
      <c r="AL34" s="108">
        <v>1610.1578333333334</v>
      </c>
      <c r="AM34" s="108">
        <v>748.87149999999986</v>
      </c>
      <c r="AN34" s="108">
        <v>1336.8385000000005</v>
      </c>
      <c r="AO34" s="108">
        <v>1281.2798333333333</v>
      </c>
      <c r="AP34" s="108">
        <v>1266.9823333333331</v>
      </c>
      <c r="AQ34" s="108">
        <v>1459.8041666666668</v>
      </c>
      <c r="AR34" s="108">
        <v>403.88733333333334</v>
      </c>
      <c r="AS34" s="108">
        <v>492.50616666666696</v>
      </c>
      <c r="AT34" s="108">
        <v>662.7974999999999</v>
      </c>
      <c r="AU34" s="108">
        <v>1416.8054999999997</v>
      </c>
      <c r="AV34" s="108">
        <v>1400.1438333333335</v>
      </c>
      <c r="AW34" s="108">
        <f t="shared" si="1"/>
        <v>41.423396000000011</v>
      </c>
    </row>
    <row r="35" spans="1:49">
      <c r="A35" s="149">
        <v>45777</v>
      </c>
      <c r="B35" s="150">
        <f>YEAR(Table7[[#This Row],[Date]])+IF(MONTH(Table7[[#This Row],[Date]])&gt;=4,1,0)</f>
        <v>2026</v>
      </c>
      <c r="C35" s="151">
        <f>YEAR(Table7[[#This Row],[Date]])</f>
        <v>2025</v>
      </c>
      <c r="D35" s="152">
        <f>Daily_KPI[[#This Row],[Date]]-DAY(Daily_KPI[[#This Row],[Date]])+1</f>
        <v>45778</v>
      </c>
      <c r="E35" s="108">
        <v>2636.7143333333329</v>
      </c>
      <c r="F35" s="108">
        <v>2208.6974999999998</v>
      </c>
      <c r="G35" s="108">
        <v>2127.2431666666671</v>
      </c>
      <c r="H35" s="108">
        <v>1695.6358333333328</v>
      </c>
      <c r="I35" s="108">
        <v>2056.9986666666668</v>
      </c>
      <c r="J35" s="108">
        <v>1534.8863333333336</v>
      </c>
      <c r="K35" s="108">
        <v>2086.4804999999992</v>
      </c>
      <c r="L35" s="108">
        <v>654.37399999999968</v>
      </c>
      <c r="M35" s="108">
        <v>504.99683333333337</v>
      </c>
      <c r="N35" s="108">
        <v>620.14550000000008</v>
      </c>
      <c r="O35" s="108">
        <v>656.65916666666692</v>
      </c>
      <c r="P35" s="108">
        <v>619.46833333333336</v>
      </c>
      <c r="Q35" s="108">
        <v>711.43766666666681</v>
      </c>
      <c r="R35" s="108">
        <v>782.9060000000004</v>
      </c>
      <c r="S35" s="108">
        <v>752.46900000000005</v>
      </c>
      <c r="T35" s="108">
        <v>886.59083333333331</v>
      </c>
      <c r="U35" s="108">
        <v>970.82633333333331</v>
      </c>
      <c r="V35" s="108">
        <v>2382.119666666666</v>
      </c>
      <c r="W35" s="108">
        <v>922.58350000000007</v>
      </c>
      <c r="X35" s="108">
        <v>726.24883333333321</v>
      </c>
      <c r="Y35" s="108">
        <v>1725.471666666667</v>
      </c>
      <c r="Z35" s="108">
        <v>1957.0940000000012</v>
      </c>
      <c r="AA35" s="108">
        <v>1152.0231666666666</v>
      </c>
      <c r="AB35" s="108">
        <v>1223.6320000000003</v>
      </c>
      <c r="AC35" s="108">
        <v>1362.8791666666664</v>
      </c>
      <c r="AD35" s="108">
        <v>1159.3218333333336</v>
      </c>
      <c r="AE35" s="108">
        <v>1753.5924999999997</v>
      </c>
      <c r="AF35" s="108">
        <v>854.0923333333335</v>
      </c>
      <c r="AG35" s="108">
        <v>1596.458333333333</v>
      </c>
      <c r="AH35" s="108">
        <v>1144.0068333333336</v>
      </c>
      <c r="AI35" s="108">
        <v>1025.1496666666665</v>
      </c>
      <c r="AJ35" s="108">
        <v>750.27699999999993</v>
      </c>
      <c r="AK35" s="108">
        <v>1967.0766666666675</v>
      </c>
      <c r="AL35" s="108">
        <v>2065.9718333333326</v>
      </c>
      <c r="AM35" s="108">
        <v>1080.9808333333333</v>
      </c>
      <c r="AN35" s="108">
        <v>1675.2664999999997</v>
      </c>
      <c r="AO35" s="108">
        <v>1551.2895000000008</v>
      </c>
      <c r="AP35" s="108">
        <v>1637.1128333333336</v>
      </c>
      <c r="AQ35" s="108">
        <v>1833.6531666666669</v>
      </c>
      <c r="AR35" s="108">
        <v>696.95849999999973</v>
      </c>
      <c r="AS35" s="108">
        <v>1401.390333333333</v>
      </c>
      <c r="AT35" s="108">
        <v>1799.533333333334</v>
      </c>
      <c r="AU35" s="108">
        <v>2491.8758333333335</v>
      </c>
      <c r="AV35" s="108">
        <v>2067.6248333333333</v>
      </c>
      <c r="AW35" s="108">
        <f t="shared" si="1"/>
        <v>61.510214666666684</v>
      </c>
    </row>
    <row r="36" spans="1:49">
      <c r="A36" s="145">
        <v>45778</v>
      </c>
      <c r="B36" s="146">
        <f>YEAR(Table7[[#This Row],[Date]])+IF(MONTH(Table7[[#This Row],[Date]])&gt;=4,1,0)</f>
        <v>2026</v>
      </c>
      <c r="C36" s="147">
        <f>YEAR(Table7[[#This Row],[Date]])</f>
        <v>2025</v>
      </c>
      <c r="D36" s="148">
        <f>Daily_KPI[[#This Row],[Date]]-DAY(Daily_KPI[[#This Row],[Date]])+1</f>
        <v>45778</v>
      </c>
      <c r="E36" s="108">
        <v>2769.0955000000008</v>
      </c>
      <c r="F36" s="108">
        <v>2678.2778333333331</v>
      </c>
      <c r="G36" s="108">
        <v>2886.2608333333342</v>
      </c>
      <c r="H36" s="108">
        <v>1881.9640000000006</v>
      </c>
      <c r="I36" s="108">
        <v>1955.3051666666663</v>
      </c>
      <c r="J36" s="108">
        <v>1484.6278333333337</v>
      </c>
      <c r="K36" s="108">
        <v>2409.6514999999995</v>
      </c>
      <c r="L36" s="108">
        <v>632.69833333333304</v>
      </c>
      <c r="M36" s="108">
        <v>376.20250000000004</v>
      </c>
      <c r="N36" s="108">
        <v>436.01049999999987</v>
      </c>
      <c r="O36" s="108">
        <v>451.3138333333336</v>
      </c>
      <c r="P36" s="108">
        <v>512.77866666666671</v>
      </c>
      <c r="Q36" s="108">
        <v>512.03700000000015</v>
      </c>
      <c r="R36" s="108">
        <v>567.84583333333342</v>
      </c>
      <c r="S36" s="108">
        <v>544.72233333333349</v>
      </c>
      <c r="T36" s="108">
        <v>644.23466666666673</v>
      </c>
      <c r="U36" s="108">
        <v>902.35683333333293</v>
      </c>
      <c r="V36" s="108">
        <v>2515.4774999999991</v>
      </c>
      <c r="W36" s="108">
        <v>764.04133333333323</v>
      </c>
      <c r="X36" s="108">
        <v>711.74033333333318</v>
      </c>
      <c r="Y36" s="108">
        <v>2312.384</v>
      </c>
      <c r="Z36" s="108">
        <v>2569.8946666666666</v>
      </c>
      <c r="AA36" s="108">
        <v>1114.3946666666668</v>
      </c>
      <c r="AB36" s="108">
        <v>1070.2673333333332</v>
      </c>
      <c r="AC36" s="108">
        <v>1283.0125</v>
      </c>
      <c r="AD36" s="108">
        <v>975.68399999999974</v>
      </c>
      <c r="AE36" s="108">
        <v>2491.1844999999998</v>
      </c>
      <c r="AF36" s="108">
        <v>1074.3276666666668</v>
      </c>
      <c r="AG36" s="108">
        <v>1669.3173333333334</v>
      </c>
      <c r="AH36" s="108">
        <v>1524.1458333333339</v>
      </c>
      <c r="AI36" s="108">
        <v>927.12666666666644</v>
      </c>
      <c r="AJ36" s="108">
        <v>626.62066666666669</v>
      </c>
      <c r="AK36" s="108">
        <v>1792.999</v>
      </c>
      <c r="AL36" s="108">
        <v>2147.1846666666665</v>
      </c>
      <c r="AM36" s="108">
        <v>1070.2181666666663</v>
      </c>
      <c r="AN36" s="108">
        <v>2270.9491666666663</v>
      </c>
      <c r="AO36" s="108">
        <v>1760.6210000000008</v>
      </c>
      <c r="AP36" s="108">
        <v>1692.9671666666679</v>
      </c>
      <c r="AQ36" s="108">
        <v>1754.4548333333335</v>
      </c>
      <c r="AR36" s="108">
        <v>1639.040666666667</v>
      </c>
      <c r="AS36" s="108">
        <v>1928.2031666666669</v>
      </c>
      <c r="AT36" s="108">
        <v>2523.9095000000002</v>
      </c>
      <c r="AU36" s="108">
        <v>2965.3643333333343</v>
      </c>
      <c r="AV36" s="108">
        <v>2171.5975000000003</v>
      </c>
      <c r="AW36" s="108">
        <f t="shared" si="1"/>
        <v>66.99251133333334</v>
      </c>
    </row>
    <row r="37" spans="1:49">
      <c r="A37" s="149">
        <v>45779</v>
      </c>
      <c r="B37" s="150">
        <f>YEAR(Table7[[#This Row],[Date]])+IF(MONTH(Table7[[#This Row],[Date]])&gt;=4,1,0)</f>
        <v>2026</v>
      </c>
      <c r="C37" s="151">
        <f>YEAR(Table7[[#This Row],[Date]])</f>
        <v>2025</v>
      </c>
      <c r="D37" s="152">
        <f>Daily_KPI[[#This Row],[Date]]-DAY(Daily_KPI[[#This Row],[Date]])+1</f>
        <v>45778</v>
      </c>
      <c r="E37">
        <v>3635.813333333333</v>
      </c>
      <c r="F37">
        <v>3561.9400000000005</v>
      </c>
      <c r="G37">
        <v>3863.5488333333324</v>
      </c>
      <c r="H37">
        <v>1761.8271666666669</v>
      </c>
      <c r="I37">
        <v>2677.8894999999998</v>
      </c>
      <c r="J37">
        <v>2947.3106666666667</v>
      </c>
      <c r="K37">
        <v>3172.9808333333326</v>
      </c>
      <c r="L37">
        <v>1070.1908333333331</v>
      </c>
      <c r="M37">
        <v>725.77549999999974</v>
      </c>
      <c r="N37">
        <v>781.96549999999979</v>
      </c>
      <c r="O37">
        <v>816.15250000000003</v>
      </c>
      <c r="P37">
        <v>921.5865000000008</v>
      </c>
      <c r="Q37">
        <v>940.53516666666701</v>
      </c>
      <c r="R37">
        <v>1097.327666666667</v>
      </c>
      <c r="S37">
        <v>1101.1423333333335</v>
      </c>
      <c r="T37">
        <v>1567.5758333333331</v>
      </c>
      <c r="U37">
        <v>1664.4449999999995</v>
      </c>
      <c r="V37">
        <v>3186.4858333333323</v>
      </c>
      <c r="W37">
        <v>1351.0998333333334</v>
      </c>
      <c r="X37">
        <v>1033.9711666666665</v>
      </c>
      <c r="Y37">
        <v>2183.2716666666661</v>
      </c>
      <c r="Z37">
        <v>2856.9694999999997</v>
      </c>
      <c r="AA37">
        <v>1516.3416666666669</v>
      </c>
      <c r="AB37">
        <v>1518.6858333333339</v>
      </c>
      <c r="AC37">
        <v>1795.4558333333334</v>
      </c>
      <c r="AD37">
        <v>1684.6346666666661</v>
      </c>
      <c r="AE37">
        <v>3743.7538333333337</v>
      </c>
      <c r="AF37">
        <v>2080.3363333333341</v>
      </c>
      <c r="AG37">
        <v>1966.847</v>
      </c>
      <c r="AH37">
        <v>2738.766333333333</v>
      </c>
      <c r="AI37">
        <v>1405.9540000000004</v>
      </c>
      <c r="AJ37">
        <v>1457.938666666666</v>
      </c>
      <c r="AK37">
        <v>2963.6228333333306</v>
      </c>
      <c r="AL37">
        <v>3441.1665000000025</v>
      </c>
      <c r="AM37">
        <v>1510.5094999999999</v>
      </c>
      <c r="AN37">
        <v>3774.8488333333339</v>
      </c>
      <c r="AO37">
        <v>3507.2211666666667</v>
      </c>
      <c r="AP37">
        <v>3175.574833333334</v>
      </c>
      <c r="AQ37">
        <v>3105.6546666666668</v>
      </c>
      <c r="AR37">
        <v>2699.2059999999997</v>
      </c>
      <c r="AS37">
        <v>2875.7876666666666</v>
      </c>
      <c r="AT37">
        <v>3491.4565000000007</v>
      </c>
      <c r="AU37">
        <v>3452.3818333333347</v>
      </c>
      <c r="AV37">
        <v>2937.441666666668</v>
      </c>
      <c r="AW37" s="108">
        <f t="shared" si="1"/>
        <v>99.76339133333336</v>
      </c>
    </row>
    <row r="38" spans="1:49">
      <c r="A38" s="145">
        <v>45780</v>
      </c>
      <c r="B38" s="146">
        <f>YEAR(Table7[[#This Row],[Date]])+IF(MONTH(Table7[[#This Row],[Date]])&gt;=4,1,0)</f>
        <v>2026</v>
      </c>
      <c r="C38" s="147">
        <f>YEAR(Table7[[#This Row],[Date]])</f>
        <v>2025</v>
      </c>
      <c r="D38" s="148">
        <f>Daily_KPI[[#This Row],[Date]]-DAY(Daily_KPI[[#This Row],[Date]])+1</f>
        <v>45778</v>
      </c>
      <c r="E38" s="108">
        <v>3192.2991666666653</v>
      </c>
      <c r="F38" s="108">
        <v>3465.0250000000015</v>
      </c>
      <c r="G38" s="108">
        <v>3522.575166666667</v>
      </c>
      <c r="H38" s="108">
        <v>2322.4706666666661</v>
      </c>
      <c r="I38" s="108">
        <v>2763.052000000001</v>
      </c>
      <c r="J38" s="108">
        <v>2686.4420000000005</v>
      </c>
      <c r="K38" s="108">
        <v>2439.9804999999992</v>
      </c>
      <c r="L38" s="108">
        <v>1117.7605000000001</v>
      </c>
      <c r="M38" s="108">
        <v>1003.5300000000003</v>
      </c>
      <c r="N38" s="108">
        <v>1043.5331666666673</v>
      </c>
      <c r="O38" s="108">
        <v>1050.9514999999999</v>
      </c>
      <c r="P38" s="108">
        <v>1027.5568333333333</v>
      </c>
      <c r="Q38" s="108">
        <v>1037.3063333333334</v>
      </c>
      <c r="R38" s="108">
        <v>1048.2038333333328</v>
      </c>
      <c r="S38" s="108">
        <v>1006.4511666666667</v>
      </c>
      <c r="T38" s="108">
        <v>1139.3343333333335</v>
      </c>
      <c r="U38" s="108">
        <v>1317.8508333333334</v>
      </c>
      <c r="V38" s="108">
        <v>3244.2894999999994</v>
      </c>
      <c r="W38" s="108">
        <v>1396.4378333333334</v>
      </c>
      <c r="X38" s="108">
        <v>1301.4770000000001</v>
      </c>
      <c r="Y38" s="108">
        <v>2247.9969999999989</v>
      </c>
      <c r="Z38" s="108">
        <v>2763.2198333333322</v>
      </c>
      <c r="AA38" s="108">
        <v>1567.8518333333325</v>
      </c>
      <c r="AB38" s="108">
        <v>1552.753333333334</v>
      </c>
      <c r="AC38" s="108">
        <v>1743.8286666666665</v>
      </c>
      <c r="AD38" s="108">
        <v>1562.3963333333331</v>
      </c>
      <c r="AE38" s="108">
        <v>3438.0474999999983</v>
      </c>
      <c r="AF38" s="108">
        <v>2267.6191666666664</v>
      </c>
      <c r="AG38" s="108">
        <v>2776.5668333333324</v>
      </c>
      <c r="AH38" s="108">
        <v>2828.1383333333329</v>
      </c>
      <c r="AI38" s="108">
        <v>1604.7576666666675</v>
      </c>
      <c r="AJ38" s="108">
        <v>2091.074666666666</v>
      </c>
      <c r="AK38" s="108">
        <v>2866.3546666666662</v>
      </c>
      <c r="AL38" s="108">
        <v>2964.5378333333333</v>
      </c>
      <c r="AM38" s="108">
        <v>1452.5079999999991</v>
      </c>
      <c r="AN38" s="108">
        <v>3796.2570000000001</v>
      </c>
      <c r="AO38" s="108">
        <v>3571.4974999999999</v>
      </c>
      <c r="AP38" s="108">
        <v>2946.9928333333341</v>
      </c>
      <c r="AQ38" s="108">
        <v>2942.4300000000003</v>
      </c>
      <c r="AR38" s="108">
        <v>1820.0211666666671</v>
      </c>
      <c r="AS38" s="108">
        <v>2563.9478333333336</v>
      </c>
      <c r="AT38" s="108">
        <v>2812.1283333333326</v>
      </c>
      <c r="AU38" s="108">
        <v>2999.8795000000009</v>
      </c>
      <c r="AV38" s="108">
        <v>2493.598500000001</v>
      </c>
      <c r="AW38" s="108">
        <f t="shared" si="1"/>
        <v>96.800931666666671</v>
      </c>
    </row>
    <row r="39" spans="1:49">
      <c r="A39" s="149">
        <v>45781</v>
      </c>
      <c r="B39" s="150">
        <f>YEAR(Table7[[#This Row],[Date]])+IF(MONTH(Table7[[#This Row],[Date]])&gt;=4,1,0)</f>
        <v>2026</v>
      </c>
      <c r="C39" s="151">
        <f>YEAR(Table7[[#This Row],[Date]])</f>
        <v>2025</v>
      </c>
      <c r="D39" s="152">
        <f>Daily_KPI[[#This Row],[Date]]-DAY(Daily_KPI[[#This Row],[Date]])+1</f>
        <v>45778</v>
      </c>
      <c r="E39" s="108">
        <v>2912.651333333331</v>
      </c>
      <c r="F39" s="108">
        <v>2691.9805000000001</v>
      </c>
      <c r="G39" s="108">
        <v>2363.4183333333335</v>
      </c>
      <c r="H39" s="108">
        <v>3021.5619999999994</v>
      </c>
      <c r="I39" s="108">
        <v>3578.7296666666666</v>
      </c>
      <c r="J39" s="108">
        <v>3305.4008333333313</v>
      </c>
      <c r="K39" s="108">
        <v>2505.4768333333327</v>
      </c>
      <c r="L39" s="108">
        <v>1039.3208333333334</v>
      </c>
      <c r="M39" s="108">
        <v>976.20733333333339</v>
      </c>
      <c r="N39" s="108">
        <v>1108.7759999999996</v>
      </c>
      <c r="O39" s="108">
        <v>1203.0945000000002</v>
      </c>
      <c r="P39" s="108">
        <v>1349.6293333333329</v>
      </c>
      <c r="Q39" s="108">
        <v>1171.0998333333332</v>
      </c>
      <c r="R39" s="108">
        <v>1295.2288333333336</v>
      </c>
      <c r="S39" s="108">
        <v>1154.9283333333335</v>
      </c>
      <c r="T39" s="108">
        <v>1385.1190000000004</v>
      </c>
      <c r="U39" s="108">
        <v>1469.4134999999997</v>
      </c>
      <c r="V39" s="108">
        <v>3309.0896666666667</v>
      </c>
      <c r="W39" s="108">
        <v>1459.9470000000008</v>
      </c>
      <c r="X39" s="108">
        <v>1247.7488333333331</v>
      </c>
      <c r="Y39" s="108">
        <v>2579.8973333333342</v>
      </c>
      <c r="Z39" s="108">
        <v>3084.5384999999987</v>
      </c>
      <c r="AA39" s="108">
        <v>1727.9383333333328</v>
      </c>
      <c r="AB39" s="108">
        <v>1789.027166666667</v>
      </c>
      <c r="AC39" s="108">
        <v>1947.5800000000006</v>
      </c>
      <c r="AD39" s="108">
        <v>1664.8684999999989</v>
      </c>
      <c r="AE39" s="108">
        <v>2652.5443333333333</v>
      </c>
      <c r="AF39" s="108">
        <v>2141.9396666666662</v>
      </c>
      <c r="AG39" s="108">
        <v>3184.0918333333325</v>
      </c>
      <c r="AH39" s="108">
        <v>2928.3898333333309</v>
      </c>
      <c r="AI39" s="108">
        <v>1695.9543333333331</v>
      </c>
      <c r="AJ39" s="108">
        <v>2173.7210000000009</v>
      </c>
      <c r="AK39" s="108">
        <v>3614.1863333333345</v>
      </c>
      <c r="AL39" s="108">
        <v>3520.4679999999994</v>
      </c>
      <c r="AM39" s="108">
        <v>1751.3676666666668</v>
      </c>
      <c r="AN39" s="108">
        <v>4173.4835000000021</v>
      </c>
      <c r="AO39" s="108">
        <v>4010.3185000000008</v>
      </c>
      <c r="AP39" s="108">
        <v>3478.1203333333328</v>
      </c>
      <c r="AQ39" s="108">
        <v>3456.3464999999997</v>
      </c>
      <c r="AR39" s="108">
        <v>866.07400000000007</v>
      </c>
      <c r="AS39" s="108">
        <v>1609.9666666666665</v>
      </c>
      <c r="AT39" s="108">
        <v>2150.098</v>
      </c>
      <c r="AU39" s="108">
        <v>3089.2284999999979</v>
      </c>
      <c r="AV39" s="108">
        <v>3015.6313333333328</v>
      </c>
      <c r="AW39" s="108">
        <f t="shared" si="1"/>
        <v>100.85460266666665</v>
      </c>
    </row>
    <row r="40" spans="1:49">
      <c r="A40" s="145">
        <v>45782</v>
      </c>
      <c r="B40" s="146">
        <f>YEAR(Table7[[#This Row],[Date]])+IF(MONTH(Table7[[#This Row],[Date]])&gt;=4,1,0)</f>
        <v>2026</v>
      </c>
      <c r="C40" s="147">
        <f>YEAR(Table7[[#This Row],[Date]])</f>
        <v>2025</v>
      </c>
      <c r="D40" s="148">
        <f>Daily_KPI[[#This Row],[Date]]-DAY(Daily_KPI[[#This Row],[Date]])+1</f>
        <v>45778</v>
      </c>
      <c r="E40" s="108">
        <v>3489.8154999999992</v>
      </c>
      <c r="F40" s="108">
        <v>3695.5154999999991</v>
      </c>
      <c r="G40" s="108">
        <v>3732.9093333333335</v>
      </c>
      <c r="H40" s="108">
        <v>2669.0658333333336</v>
      </c>
      <c r="I40" s="108">
        <v>2470.9790000000007</v>
      </c>
      <c r="J40" s="108">
        <v>2153.7321666666662</v>
      </c>
      <c r="K40" s="108">
        <v>2417.1913333333323</v>
      </c>
      <c r="L40" s="108">
        <v>756.61783333333312</v>
      </c>
      <c r="M40" s="108">
        <v>829.57799999999997</v>
      </c>
      <c r="N40" s="108">
        <v>1008.9793333333338</v>
      </c>
      <c r="O40" s="108">
        <v>1113.2724999999998</v>
      </c>
      <c r="P40" s="108">
        <v>1224.799</v>
      </c>
      <c r="Q40" s="108">
        <v>1158.9653333333333</v>
      </c>
      <c r="R40" s="108">
        <v>1126.7583333333325</v>
      </c>
      <c r="S40" s="108">
        <v>1010.4368333333335</v>
      </c>
      <c r="T40" s="108">
        <v>1164.7913333333331</v>
      </c>
      <c r="U40" s="108">
        <v>1447.1666666666658</v>
      </c>
      <c r="V40" s="108">
        <v>3277.4523333333332</v>
      </c>
      <c r="W40" s="108">
        <v>1311.0528333333341</v>
      </c>
      <c r="X40" s="108">
        <v>1126.8211666666668</v>
      </c>
      <c r="Y40" s="108">
        <v>2603.3745000000004</v>
      </c>
      <c r="Z40" s="108">
        <v>3088.4918333333321</v>
      </c>
      <c r="AA40" s="108">
        <v>1600.3346666666669</v>
      </c>
      <c r="AB40" s="108">
        <v>1673.9815000000006</v>
      </c>
      <c r="AC40" s="108">
        <v>1904.0848333333331</v>
      </c>
      <c r="AD40" s="108">
        <v>1618.6278333333337</v>
      </c>
      <c r="AE40" s="108">
        <v>3548.7738333333327</v>
      </c>
      <c r="AF40" s="108">
        <v>1915.0051666666666</v>
      </c>
      <c r="AG40" s="108">
        <v>2862.9034999999999</v>
      </c>
      <c r="AH40" s="108">
        <v>2504.1575000000007</v>
      </c>
      <c r="AI40" s="108">
        <v>1595.5933333333339</v>
      </c>
      <c r="AJ40" s="108">
        <v>1450.7693333333336</v>
      </c>
      <c r="AK40" s="108">
        <v>2422.1705000000011</v>
      </c>
      <c r="AL40" s="108">
        <v>2745.9004999999997</v>
      </c>
      <c r="AM40" s="108">
        <v>1708.8076666666666</v>
      </c>
      <c r="AN40" s="108">
        <v>3144.1271666666671</v>
      </c>
      <c r="AO40" s="108">
        <v>2879.0488333333342</v>
      </c>
      <c r="AP40" s="108">
        <v>2490.1526666666659</v>
      </c>
      <c r="AQ40" s="108">
        <v>2472.1531666666679</v>
      </c>
      <c r="AR40" s="108">
        <v>1308.8186666666661</v>
      </c>
      <c r="AS40" s="108">
        <v>2160.5126666666674</v>
      </c>
      <c r="AT40" s="108">
        <v>2748.0033333333326</v>
      </c>
      <c r="AU40" s="108">
        <v>3109.7724999999991</v>
      </c>
      <c r="AV40" s="108">
        <v>2488.9073333333336</v>
      </c>
      <c r="AW40" s="108">
        <f t="shared" si="1"/>
        <v>93.230373000000014</v>
      </c>
    </row>
    <row r="41" spans="1:49">
      <c r="A41" s="149">
        <v>45783</v>
      </c>
      <c r="B41" s="150">
        <f>YEAR(Table7[[#This Row],[Date]])+IF(MONTH(Table7[[#This Row],[Date]])&gt;=4,1,0)</f>
        <v>2026</v>
      </c>
      <c r="C41" s="151">
        <f>YEAR(Table7[[#This Row],[Date]])</f>
        <v>2025</v>
      </c>
      <c r="D41" s="152">
        <f>Daily_KPI[[#This Row],[Date]]-DAY(Daily_KPI[[#This Row],[Date]])+1</f>
        <v>45778</v>
      </c>
      <c r="E41" s="108">
        <v>2575.6895000000009</v>
      </c>
      <c r="F41" s="108">
        <v>2385.0829999999996</v>
      </c>
      <c r="G41" s="108">
        <v>1967.999500000001</v>
      </c>
      <c r="H41" s="108">
        <v>2063.7696666666666</v>
      </c>
      <c r="I41" s="108">
        <v>2218.233333333334</v>
      </c>
      <c r="J41" s="108">
        <v>2078.7281666666654</v>
      </c>
      <c r="K41" s="108">
        <v>1635.1080000000004</v>
      </c>
      <c r="L41" s="108">
        <v>947.31033333333346</v>
      </c>
      <c r="M41" s="108">
        <v>1007.0768333333332</v>
      </c>
      <c r="N41" s="108">
        <v>1242.5616666666667</v>
      </c>
      <c r="O41" s="108">
        <v>1264.0975000000001</v>
      </c>
      <c r="P41" s="108">
        <v>1305.970333333333</v>
      </c>
      <c r="Q41" s="108">
        <v>1227.0705000000003</v>
      </c>
      <c r="R41" s="108">
        <v>1231.9076666666672</v>
      </c>
      <c r="S41" s="108">
        <v>1145.838833333333</v>
      </c>
      <c r="T41" s="108">
        <v>1307.2853333333335</v>
      </c>
      <c r="U41" s="108">
        <v>1424.0314999999994</v>
      </c>
      <c r="V41" s="108">
        <v>2317.528166666666</v>
      </c>
      <c r="W41" s="108">
        <v>1253.5958333333333</v>
      </c>
      <c r="X41" s="108">
        <v>1071.9403333333332</v>
      </c>
      <c r="Y41" s="108">
        <v>1879.0558333333336</v>
      </c>
      <c r="Z41" s="108">
        <v>2062.6849999999986</v>
      </c>
      <c r="AA41" s="108">
        <v>1360.1533333333336</v>
      </c>
      <c r="AB41" s="108">
        <v>1451.4268333333328</v>
      </c>
      <c r="AC41" s="108">
        <v>1546.6249999999998</v>
      </c>
      <c r="AD41" s="108">
        <v>1390.8668333333335</v>
      </c>
      <c r="AE41" s="108">
        <v>2091.0819999999999</v>
      </c>
      <c r="AF41" s="108">
        <v>1468.7154999999996</v>
      </c>
      <c r="AG41" s="108">
        <v>2144.9429999999993</v>
      </c>
      <c r="AH41" s="108">
        <v>1934.3969999999993</v>
      </c>
      <c r="AI41" s="108">
        <v>1475.2290000000005</v>
      </c>
      <c r="AJ41" s="108">
        <v>1484.4491666666656</v>
      </c>
      <c r="AK41" s="108">
        <v>2178.5494999999996</v>
      </c>
      <c r="AL41" s="108">
        <v>2327.8029999999999</v>
      </c>
      <c r="AM41" s="108">
        <v>1505.8514999999998</v>
      </c>
      <c r="AN41" s="108">
        <v>2777.5786666666668</v>
      </c>
      <c r="AO41" s="108">
        <v>2727.5193333333332</v>
      </c>
      <c r="AP41" s="108">
        <v>2418.8174999999992</v>
      </c>
      <c r="AQ41" s="108">
        <v>2413.1078333333348</v>
      </c>
      <c r="AR41" s="108">
        <v>801.96800000000019</v>
      </c>
      <c r="AS41" s="108">
        <v>1613.1078333333332</v>
      </c>
      <c r="AT41" s="108">
        <v>1839.0876666666666</v>
      </c>
      <c r="AU41" s="108">
        <v>2501.23</v>
      </c>
      <c r="AV41" s="108">
        <v>2053.9558333333343</v>
      </c>
      <c r="AW41" s="108">
        <f t="shared" si="1"/>
        <v>77.119031166666659</v>
      </c>
    </row>
    <row r="42" spans="1:49">
      <c r="A42" s="145">
        <v>45784</v>
      </c>
      <c r="B42" s="146">
        <f>YEAR(Table7[[#This Row],[Date]])+IF(MONTH(Table7[[#This Row],[Date]])&gt;=4,1,0)</f>
        <v>2026</v>
      </c>
      <c r="C42" s="147">
        <f>YEAR(Table7[[#This Row],[Date]])</f>
        <v>2025</v>
      </c>
      <c r="D42" s="148">
        <f>Daily_KPI[[#This Row],[Date]]-DAY(Daily_KPI[[#This Row],[Date]])+1</f>
        <v>45778</v>
      </c>
      <c r="E42" s="108">
        <v>3167.049166666668</v>
      </c>
      <c r="F42" s="108">
        <v>2323.4594999999995</v>
      </c>
      <c r="G42" s="108">
        <v>2539.6636666666686</v>
      </c>
      <c r="H42" s="108">
        <v>2376.6853333333343</v>
      </c>
      <c r="I42" s="108">
        <v>3364.5236666666665</v>
      </c>
      <c r="J42" s="108">
        <v>2855.5404999999992</v>
      </c>
      <c r="K42" s="108">
        <v>2300.8849999999998</v>
      </c>
      <c r="L42" s="108">
        <v>1565.3019999999999</v>
      </c>
      <c r="M42" s="108">
        <v>1333.5391666666671</v>
      </c>
      <c r="N42" s="108">
        <v>1919.5543333333319</v>
      </c>
      <c r="O42" s="108">
        <v>2154.2375000000015</v>
      </c>
      <c r="P42" s="108">
        <v>2389.3745000000004</v>
      </c>
      <c r="Q42" s="108">
        <v>2182.8349999999996</v>
      </c>
      <c r="R42" s="108">
        <v>1978.9248333333335</v>
      </c>
      <c r="S42" s="108">
        <v>1749.169666666666</v>
      </c>
      <c r="T42" s="108">
        <v>2029.0158333333338</v>
      </c>
      <c r="U42" s="108">
        <v>1957.2880000000011</v>
      </c>
      <c r="V42" s="108">
        <v>2537.0851666666663</v>
      </c>
      <c r="W42" s="108">
        <v>1963.6389999999994</v>
      </c>
      <c r="X42" s="108">
        <v>1620.0066666666664</v>
      </c>
      <c r="Y42" s="108">
        <v>2184.2623333333345</v>
      </c>
      <c r="Z42" s="108">
        <v>2305.2673333333319</v>
      </c>
      <c r="AA42" s="108">
        <v>1918.3186666666677</v>
      </c>
      <c r="AB42" s="108">
        <v>2091.983166666666</v>
      </c>
      <c r="AC42" s="108">
        <v>2348.2114999999999</v>
      </c>
      <c r="AD42" s="108">
        <v>2055.7453333333319</v>
      </c>
      <c r="AE42" s="108">
        <v>2286.2375000000002</v>
      </c>
      <c r="AF42" s="108">
        <v>1985.6511666666675</v>
      </c>
      <c r="AG42" s="108">
        <v>2387.7089999999985</v>
      </c>
      <c r="AH42" s="108">
        <v>2453.6388333333325</v>
      </c>
      <c r="AI42" s="108">
        <v>2019.6455000000003</v>
      </c>
      <c r="AJ42" s="108">
        <v>2140.3630000000016</v>
      </c>
      <c r="AK42" s="108">
        <v>3354.5283333333314</v>
      </c>
      <c r="AL42" s="108">
        <v>3302.5356666666648</v>
      </c>
      <c r="AM42" s="108">
        <v>1732.3578333333326</v>
      </c>
      <c r="AN42" s="108">
        <v>3803.0048333333325</v>
      </c>
      <c r="AO42" s="108">
        <v>3891.3751666666653</v>
      </c>
      <c r="AP42" s="108">
        <v>3284.6316666666662</v>
      </c>
      <c r="AQ42" s="108">
        <v>3403.6491666666661</v>
      </c>
      <c r="AR42" s="108">
        <v>1747.0783333333331</v>
      </c>
      <c r="AS42" s="108">
        <v>2520.8648333333317</v>
      </c>
      <c r="AT42" s="108">
        <v>2608.574000000001</v>
      </c>
      <c r="AU42" s="108">
        <v>3390.2356666666669</v>
      </c>
      <c r="AV42" s="108">
        <v>2985.8745000000013</v>
      </c>
      <c r="AW42" s="108">
        <f t="shared" si="1"/>
        <v>106.50952183333332</v>
      </c>
    </row>
    <row r="43" spans="1:49">
      <c r="A43" s="149">
        <v>45785</v>
      </c>
      <c r="B43" s="150">
        <f>YEAR(Table7[[#This Row],[Date]])+IF(MONTH(Table7[[#This Row],[Date]])&gt;=4,1,0)</f>
        <v>2026</v>
      </c>
      <c r="C43" s="151">
        <f>YEAR(Table7[[#This Row],[Date]])</f>
        <v>2025</v>
      </c>
      <c r="D43" s="152">
        <f>Daily_KPI[[#This Row],[Date]]-DAY(Daily_KPI[[#This Row],[Date]])+1</f>
        <v>45778</v>
      </c>
      <c r="E43" s="108">
        <v>4065.4566666666656</v>
      </c>
      <c r="F43" s="108">
        <v>3435.2856666666653</v>
      </c>
      <c r="G43" s="108">
        <v>2766.1313333333342</v>
      </c>
      <c r="H43" s="108">
        <v>3294.3103333333347</v>
      </c>
      <c r="I43" s="108">
        <v>3728.4224999999988</v>
      </c>
      <c r="J43" s="108">
        <v>3987.7821666666678</v>
      </c>
      <c r="K43" s="108">
        <v>3706.0016666666652</v>
      </c>
      <c r="L43" s="108">
        <v>2228.0403333333334</v>
      </c>
      <c r="M43" s="108">
        <v>1399.5234999999993</v>
      </c>
      <c r="N43" s="108">
        <v>1508.1715000000002</v>
      </c>
      <c r="O43" s="108">
        <v>1651.0941666666665</v>
      </c>
      <c r="P43" s="108">
        <v>2483.2530000000002</v>
      </c>
      <c r="Q43" s="108">
        <v>2551.748833333334</v>
      </c>
      <c r="R43" s="108">
        <v>2441.0623333333319</v>
      </c>
      <c r="S43" s="108">
        <v>1881.8766666666652</v>
      </c>
      <c r="T43" s="108">
        <v>2447.3368333333356</v>
      </c>
      <c r="U43" s="108">
        <v>2342.2658333333329</v>
      </c>
      <c r="V43" s="108">
        <v>2906.3696666666669</v>
      </c>
      <c r="W43" s="108">
        <v>2215.9841666666662</v>
      </c>
      <c r="X43" s="108">
        <v>1977.9760000000003</v>
      </c>
      <c r="Y43" s="108">
        <v>3058.4283333333328</v>
      </c>
      <c r="Z43" s="108">
        <v>2638.924833333333</v>
      </c>
      <c r="AA43" s="108">
        <v>2365.4576666666671</v>
      </c>
      <c r="AB43" s="108">
        <v>1451.2468333333336</v>
      </c>
      <c r="AC43" s="108">
        <v>2444.7693333333332</v>
      </c>
      <c r="AD43" s="108">
        <v>2044.4481666666677</v>
      </c>
      <c r="AE43" s="108">
        <v>2278.2346666666663</v>
      </c>
      <c r="AF43" s="108">
        <v>2349.8060000000009</v>
      </c>
      <c r="AG43" s="108">
        <v>3179.316166666666</v>
      </c>
      <c r="AH43" s="108">
        <v>2805.5953333333327</v>
      </c>
      <c r="AI43" s="108">
        <v>2081.0681666666669</v>
      </c>
      <c r="AJ43" s="108">
        <v>2820.0561666666654</v>
      </c>
      <c r="AK43" s="108">
        <v>3705.4851666666668</v>
      </c>
      <c r="AL43" s="108">
        <v>3115.2644999999998</v>
      </c>
      <c r="AM43" s="108">
        <v>2056.2139999999995</v>
      </c>
      <c r="AN43" s="108">
        <v>4720.8911666666672</v>
      </c>
      <c r="AO43" s="108">
        <v>4424.1213333333353</v>
      </c>
      <c r="AP43" s="108">
        <v>2863.244999999999</v>
      </c>
      <c r="AQ43" s="108">
        <v>3996.1731666666656</v>
      </c>
      <c r="AR43" s="108">
        <v>2593.5676666666664</v>
      </c>
      <c r="AS43" s="108">
        <v>3003.5839999999989</v>
      </c>
      <c r="AT43" s="108">
        <v>3319.5478333333344</v>
      </c>
      <c r="AU43" s="108">
        <v>4639.753333333334</v>
      </c>
      <c r="AV43" s="108">
        <v>4285.2591666666658</v>
      </c>
      <c r="AW43" s="108">
        <f t="shared" si="1"/>
        <v>125.25855116666663</v>
      </c>
    </row>
    <row r="44" spans="1:49">
      <c r="A44" s="145">
        <v>45786</v>
      </c>
      <c r="B44" s="146">
        <f>YEAR(Table7[[#This Row],[Date]])+IF(MONTH(Table7[[#This Row],[Date]])&gt;=4,1,0)</f>
        <v>2026</v>
      </c>
      <c r="C44" s="147">
        <f>YEAR(Table7[[#This Row],[Date]])</f>
        <v>2025</v>
      </c>
      <c r="D44" s="148">
        <f>Daily_KPI[[#This Row],[Date]]-DAY(Daily_KPI[[#This Row],[Date]])+1</f>
        <v>45778</v>
      </c>
      <c r="E44" s="108">
        <v>1668.5601666666669</v>
      </c>
      <c r="F44" s="108">
        <v>1826.4508333333333</v>
      </c>
      <c r="G44" s="108">
        <v>1226.6009999999999</v>
      </c>
      <c r="H44" s="108">
        <v>1495.9443333333336</v>
      </c>
      <c r="I44" s="108">
        <v>946.58966666666674</v>
      </c>
      <c r="J44" s="108">
        <v>1410.7058333333327</v>
      </c>
      <c r="K44" s="108">
        <v>1571.9698333333336</v>
      </c>
      <c r="L44" s="108">
        <v>899.88300000000015</v>
      </c>
      <c r="M44" s="108">
        <v>516.2299999999999</v>
      </c>
      <c r="N44" s="108">
        <v>352.24733333333347</v>
      </c>
      <c r="O44" s="108">
        <v>364.72966666666667</v>
      </c>
      <c r="P44" s="108">
        <v>742.34333333333313</v>
      </c>
      <c r="Q44" s="108">
        <v>631.44649999999979</v>
      </c>
      <c r="R44" s="108">
        <v>504.31933333333353</v>
      </c>
      <c r="S44" s="108">
        <v>540.34066666666661</v>
      </c>
      <c r="T44" s="108">
        <v>707.62183333333348</v>
      </c>
      <c r="U44" s="108">
        <v>682.27150000000006</v>
      </c>
      <c r="V44" s="108">
        <v>1326.4771666666661</v>
      </c>
      <c r="W44" s="108">
        <v>1015.6376666666662</v>
      </c>
      <c r="X44" s="108">
        <v>677.14433333333329</v>
      </c>
      <c r="Y44" s="108">
        <v>1418.6136666666673</v>
      </c>
      <c r="Z44" s="108">
        <v>1252.0545000000004</v>
      </c>
      <c r="AA44" s="108">
        <v>389.62166666666684</v>
      </c>
      <c r="AB44" s="108">
        <v>273.03316666666666</v>
      </c>
      <c r="AC44" s="108">
        <v>527.66633333333345</v>
      </c>
      <c r="AD44" s="108">
        <v>759.07366666666678</v>
      </c>
      <c r="AE44" s="108">
        <v>897.79433333333327</v>
      </c>
      <c r="AF44" s="108">
        <v>618.59516666666661</v>
      </c>
      <c r="AG44" s="108">
        <v>1453.6958333333334</v>
      </c>
      <c r="AH44" s="108">
        <v>754.95800000000008</v>
      </c>
      <c r="AI44" s="108">
        <v>680.90033333333338</v>
      </c>
      <c r="AJ44" s="108">
        <v>918.24883333333355</v>
      </c>
      <c r="AK44" s="108">
        <v>1158.6008333333343</v>
      </c>
      <c r="AL44" s="108">
        <v>761.23333333333323</v>
      </c>
      <c r="AM44" s="108">
        <v>995.8328333333335</v>
      </c>
      <c r="AN44" s="108">
        <v>1546.3996666666669</v>
      </c>
      <c r="AO44" s="108">
        <v>1387.2356666666672</v>
      </c>
      <c r="AP44" s="108">
        <v>705.17333333333329</v>
      </c>
      <c r="AQ44" s="108">
        <v>1228.8013333333336</v>
      </c>
      <c r="AR44" s="108">
        <v>621.34333333333359</v>
      </c>
      <c r="AS44" s="108">
        <v>725.49450000000013</v>
      </c>
      <c r="AT44" s="108">
        <v>925.04833333333318</v>
      </c>
      <c r="AU44" s="108">
        <v>1703.0403333333336</v>
      </c>
      <c r="AV44" s="108">
        <v>1534.64</v>
      </c>
      <c r="AW44" s="108">
        <f t="shared" si="1"/>
        <v>42.344613000000003</v>
      </c>
    </row>
    <row r="45" spans="1:49">
      <c r="A45" s="145">
        <v>45787</v>
      </c>
      <c r="B45" s="150">
        <f>YEAR(Table7[[#This Row],[Date]])+IF(MONTH(Table7[[#This Row],[Date]])&gt;=4,1,0)</f>
        <v>2026</v>
      </c>
      <c r="C45" s="151">
        <f>YEAR(Table7[[#This Row],[Date]])</f>
        <v>2025</v>
      </c>
      <c r="D45" s="152">
        <f>Daily_KPI[[#This Row],[Date]]-DAY(Daily_KPI[[#This Row],[Date]])+1</f>
        <v>45778</v>
      </c>
      <c r="E45" s="108">
        <v>1130.5383333333332</v>
      </c>
      <c r="F45" s="108">
        <v>1420.1586666666662</v>
      </c>
      <c r="G45" s="108">
        <v>1047.7381666666672</v>
      </c>
      <c r="H45" s="108">
        <v>1086.2245</v>
      </c>
      <c r="I45" s="108">
        <v>781.44516666666652</v>
      </c>
      <c r="J45" s="108">
        <v>983.02300000000048</v>
      </c>
      <c r="K45" s="108">
        <v>1106.5243333333335</v>
      </c>
      <c r="L45" s="108">
        <v>604.32450000000006</v>
      </c>
      <c r="M45" s="108">
        <v>396.02183333333329</v>
      </c>
      <c r="N45" s="108">
        <v>283.81616666666667</v>
      </c>
      <c r="O45" s="108">
        <v>356.31966666666682</v>
      </c>
      <c r="P45" s="108">
        <v>437.69566666666651</v>
      </c>
      <c r="Q45" s="108">
        <v>406.99966666666654</v>
      </c>
      <c r="R45" s="108">
        <v>100.77049999999998</v>
      </c>
      <c r="S45" s="108">
        <v>440.83833333333342</v>
      </c>
      <c r="T45" s="108">
        <v>504.03749999999985</v>
      </c>
      <c r="U45" s="108">
        <v>572.47366666666642</v>
      </c>
      <c r="V45" s="108">
        <v>1087.6328333333333</v>
      </c>
      <c r="W45" s="108">
        <v>738.67666666666662</v>
      </c>
      <c r="X45" s="108">
        <v>580.45850000000007</v>
      </c>
      <c r="Y45" s="108">
        <v>1001.955166666667</v>
      </c>
      <c r="Z45" s="108">
        <v>252.24666666666664</v>
      </c>
      <c r="AA45" s="108">
        <v>531.93166666666673</v>
      </c>
      <c r="AB45" s="108">
        <v>591.49549999999988</v>
      </c>
      <c r="AC45" s="108">
        <v>328.69383333333343</v>
      </c>
      <c r="AD45" s="108">
        <v>456.97500000000008</v>
      </c>
      <c r="AE45" s="108">
        <v>837.00633333333326</v>
      </c>
      <c r="AF45" s="108">
        <v>290.77716666666669</v>
      </c>
      <c r="AG45" s="108">
        <v>1082.4945</v>
      </c>
      <c r="AH45" s="108">
        <v>363.4528333333331</v>
      </c>
      <c r="AI45" s="108">
        <v>558.90066666666644</v>
      </c>
      <c r="AJ45" s="108">
        <v>631.97533333333331</v>
      </c>
      <c r="AK45" s="108">
        <v>698.90216666666629</v>
      </c>
      <c r="AL45" s="108">
        <v>791.88049999999976</v>
      </c>
      <c r="AM45" s="108">
        <v>647.43033333333335</v>
      </c>
      <c r="AN45" s="108">
        <v>1148.8771666666664</v>
      </c>
      <c r="AO45" s="108">
        <v>1028.3548333333329</v>
      </c>
      <c r="AP45" s="108">
        <v>588.46666666666658</v>
      </c>
      <c r="AQ45" s="108">
        <v>942.94883333333291</v>
      </c>
      <c r="AR45" s="108">
        <v>286.12416666666667</v>
      </c>
      <c r="AS45" s="108">
        <v>375.59899999999999</v>
      </c>
      <c r="AT45" s="108">
        <v>443.83216666666664</v>
      </c>
      <c r="AU45" s="108">
        <v>1129.5836666666673</v>
      </c>
      <c r="AV45" s="108">
        <v>1074.8840000000002</v>
      </c>
      <c r="AW45" s="108">
        <f t="shared" si="1"/>
        <v>30.150505833333334</v>
      </c>
    </row>
    <row r="46" spans="1:49">
      <c r="A46" s="145">
        <v>45788</v>
      </c>
      <c r="B46" s="146">
        <f>YEAR(Table7[[#This Row],[Date]])+IF(MONTH(Table7[[#This Row],[Date]])&gt;=4,1,0)</f>
        <v>2026</v>
      </c>
      <c r="C46" s="147">
        <f>YEAR(Table7[[#This Row],[Date]])</f>
        <v>2025</v>
      </c>
      <c r="D46" s="148">
        <f>Daily_KPI[[#This Row],[Date]]-DAY(Daily_KPI[[#This Row],[Date]])+1</f>
        <v>45778</v>
      </c>
      <c r="E46" s="108">
        <v>840.27783333333321</v>
      </c>
      <c r="F46" s="108">
        <v>871.64066666666668</v>
      </c>
      <c r="G46" s="108">
        <v>495.53699999999998</v>
      </c>
      <c r="H46" s="108">
        <v>631.97333333333347</v>
      </c>
      <c r="I46" s="108">
        <v>520.7533333333331</v>
      </c>
      <c r="J46" s="108">
        <v>708.21699999999976</v>
      </c>
      <c r="K46" s="108">
        <v>786.27233333333334</v>
      </c>
      <c r="L46" s="108">
        <v>353.91516666666666</v>
      </c>
      <c r="M46" s="108">
        <v>192.26049999999995</v>
      </c>
      <c r="N46" s="108">
        <v>198.10866666666664</v>
      </c>
      <c r="O46" s="108">
        <v>230.50650000000005</v>
      </c>
      <c r="P46" s="108">
        <v>399.49916666666667</v>
      </c>
      <c r="Q46" s="108">
        <v>363.39233333333328</v>
      </c>
      <c r="R46" s="108">
        <v>380.65633333333335</v>
      </c>
      <c r="S46" s="108">
        <v>336.42850000000004</v>
      </c>
      <c r="T46" s="108">
        <v>385.0598333333333</v>
      </c>
      <c r="U46" s="108">
        <v>384.04866666666663</v>
      </c>
      <c r="V46" s="108">
        <v>563.71016666666662</v>
      </c>
      <c r="W46" s="108">
        <v>484.87866666666673</v>
      </c>
      <c r="X46" s="108">
        <v>370.52316666666667</v>
      </c>
      <c r="Y46" s="108">
        <v>582.27899999999988</v>
      </c>
      <c r="Z46" s="108">
        <v>343.42949999999996</v>
      </c>
      <c r="AA46" s="108">
        <v>368.23349999999988</v>
      </c>
      <c r="AB46" s="108">
        <v>364.3384999999999</v>
      </c>
      <c r="AC46" s="108">
        <v>401.11000000000007</v>
      </c>
      <c r="AD46" s="108">
        <v>340.1181666666667</v>
      </c>
      <c r="AE46" s="108">
        <v>405.5693333333333</v>
      </c>
      <c r="AF46" s="108">
        <v>385.49566666666669</v>
      </c>
      <c r="AG46" s="108">
        <v>641.15749999999991</v>
      </c>
      <c r="AH46" s="108">
        <v>512.01600000000019</v>
      </c>
      <c r="AI46" s="108">
        <v>388.17366666666658</v>
      </c>
      <c r="AJ46" s="108">
        <v>472.44516666666647</v>
      </c>
      <c r="AK46" s="108">
        <v>606.4318333333332</v>
      </c>
      <c r="AL46" s="108">
        <v>529.10216666666668</v>
      </c>
      <c r="AM46" s="108">
        <v>357.90816666666677</v>
      </c>
      <c r="AN46" s="108">
        <v>932.98733333333303</v>
      </c>
      <c r="AO46" s="108">
        <v>837.50716666666631</v>
      </c>
      <c r="AP46" s="108">
        <v>507.05549999999994</v>
      </c>
      <c r="AQ46" s="108">
        <v>723.80150000000003</v>
      </c>
      <c r="AR46" s="108">
        <v>43.30916666666667</v>
      </c>
      <c r="AS46" s="108">
        <v>491.83433333333323</v>
      </c>
      <c r="AT46" s="108">
        <v>153.13533333333336</v>
      </c>
      <c r="AU46" s="108">
        <v>919.58166666666648</v>
      </c>
      <c r="AV46" s="108">
        <v>825.12200000000018</v>
      </c>
      <c r="AW46" s="108">
        <f t="shared" si="1"/>
        <v>21.629801333333329</v>
      </c>
    </row>
    <row r="47" spans="1:49">
      <c r="A47" s="149">
        <v>45789</v>
      </c>
      <c r="B47" s="150">
        <f>YEAR(Table7[[#This Row],[Date]])+IF(MONTH(Table7[[#This Row],[Date]])&gt;=4,1,0)</f>
        <v>2026</v>
      </c>
      <c r="C47" s="151">
        <f>YEAR(Table7[[#This Row],[Date]])</f>
        <v>2025</v>
      </c>
      <c r="D47" s="152">
        <f>Daily_KPI[[#This Row],[Date]]-DAY(Daily_KPI[[#This Row],[Date]])+1</f>
        <v>45778</v>
      </c>
      <c r="E47" s="108">
        <v>948.99983333333296</v>
      </c>
      <c r="F47" s="108">
        <v>291.08316666666661</v>
      </c>
      <c r="G47" s="108">
        <v>788.20333333333372</v>
      </c>
      <c r="H47" s="108">
        <v>521.49</v>
      </c>
      <c r="I47" s="108">
        <v>325.64133333333331</v>
      </c>
      <c r="J47" s="108">
        <v>551.63900000000001</v>
      </c>
      <c r="K47" s="108">
        <v>708.64133333333302</v>
      </c>
      <c r="L47" s="108">
        <v>255.16533333333325</v>
      </c>
      <c r="M47" s="108">
        <v>496.64616666666649</v>
      </c>
      <c r="N47" s="108">
        <v>546.46899999999994</v>
      </c>
      <c r="O47" s="108">
        <v>542.59866666666676</v>
      </c>
      <c r="P47" s="108">
        <v>535.52600000000007</v>
      </c>
      <c r="Q47" s="108">
        <v>518.15233333333333</v>
      </c>
      <c r="R47" s="108">
        <v>579.69033333333357</v>
      </c>
      <c r="S47" s="108">
        <v>593.13349999999991</v>
      </c>
      <c r="T47" s="108">
        <v>644.34233333333339</v>
      </c>
      <c r="U47" s="108">
        <v>703.08966666666663</v>
      </c>
      <c r="V47" s="108">
        <v>708.90666666666687</v>
      </c>
      <c r="W47" s="108">
        <v>672.25450000000001</v>
      </c>
      <c r="X47" s="108">
        <v>664.73983333333331</v>
      </c>
      <c r="Y47" s="108">
        <v>505.90266666666685</v>
      </c>
      <c r="Z47" s="108">
        <v>458.91600000000011</v>
      </c>
      <c r="AA47" s="108">
        <v>290.59199999999998</v>
      </c>
      <c r="AB47" s="108">
        <v>329.86883333333338</v>
      </c>
      <c r="AC47" s="108">
        <v>371.68499999999995</v>
      </c>
      <c r="AD47" s="108">
        <v>353.58899999999994</v>
      </c>
      <c r="AE47" s="108">
        <v>713.21850000000006</v>
      </c>
      <c r="AF47" s="108">
        <v>187.8876666666666</v>
      </c>
      <c r="AG47" s="108">
        <v>525.92700000000002</v>
      </c>
      <c r="AH47" s="108">
        <v>345.84416666666669</v>
      </c>
      <c r="AI47" s="108">
        <v>740.21166666666693</v>
      </c>
      <c r="AJ47" s="108">
        <v>250.43516666666665</v>
      </c>
      <c r="AK47" s="108">
        <v>96.787500000000009</v>
      </c>
      <c r="AL47" s="108">
        <v>464.05583333333334</v>
      </c>
      <c r="AM47" s="108">
        <v>349.65633333333341</v>
      </c>
      <c r="AN47" s="108">
        <v>658.20083333333343</v>
      </c>
      <c r="AO47" s="108">
        <v>543.2734999999999</v>
      </c>
      <c r="AP47" s="108">
        <v>390.72199999999981</v>
      </c>
      <c r="AQ47" s="108">
        <v>565.49133333333327</v>
      </c>
      <c r="AR47" s="108">
        <v>237.96000000000004</v>
      </c>
      <c r="AS47" s="108">
        <v>375.04133333333334</v>
      </c>
      <c r="AT47" s="108">
        <v>174.02449999999999</v>
      </c>
      <c r="AU47" s="108">
        <v>897.72183333333317</v>
      </c>
      <c r="AV47" s="108">
        <v>917.99116666666703</v>
      </c>
      <c r="AW47" s="108">
        <f t="shared" si="1"/>
        <v>22.341416166666665</v>
      </c>
    </row>
    <row r="48" spans="1:49">
      <c r="A48" s="145">
        <v>45790</v>
      </c>
      <c r="B48" s="146">
        <f>YEAR(Table7[[#This Row],[Date]])+IF(MONTH(Table7[[#This Row],[Date]])&gt;=4,1,0)</f>
        <v>2026</v>
      </c>
      <c r="C48" s="147">
        <f>YEAR(Table7[[#This Row],[Date]])</f>
        <v>2025</v>
      </c>
      <c r="D48" s="148">
        <f>Daily_KPI[[#This Row],[Date]]-DAY(Daily_KPI[[#This Row],[Date]])+1</f>
        <v>45778</v>
      </c>
      <c r="E48" s="108">
        <v>344.56383333333338</v>
      </c>
      <c r="F48" s="108">
        <v>251.18166666666664</v>
      </c>
      <c r="G48" s="108">
        <v>290.76016666666663</v>
      </c>
      <c r="H48" s="108">
        <v>611.3806666666668</v>
      </c>
      <c r="I48" s="108">
        <v>398.92683333333338</v>
      </c>
      <c r="J48" s="108">
        <v>268.29183333333339</v>
      </c>
      <c r="K48" s="108">
        <v>221.58549999999994</v>
      </c>
      <c r="L48" s="108">
        <v>365.81816666666674</v>
      </c>
      <c r="M48" s="108">
        <v>267.84366666666665</v>
      </c>
      <c r="N48" s="108">
        <v>318.04000000000013</v>
      </c>
      <c r="O48" s="108">
        <v>449.53466666666662</v>
      </c>
      <c r="P48" s="108">
        <v>377.87133333333327</v>
      </c>
      <c r="Q48" s="108">
        <v>355.74616666666662</v>
      </c>
      <c r="R48" s="108">
        <v>315.37366666666679</v>
      </c>
      <c r="S48" s="108">
        <v>316.92766666666671</v>
      </c>
      <c r="T48" s="108">
        <v>389.68299999999994</v>
      </c>
      <c r="U48" s="108">
        <v>481.23399999999998</v>
      </c>
      <c r="V48" s="108">
        <v>300.49900000000002</v>
      </c>
      <c r="W48" s="108">
        <v>318.63633333333331</v>
      </c>
      <c r="X48" s="108">
        <v>338.70366666666672</v>
      </c>
      <c r="Y48" s="108">
        <v>598.91633333333334</v>
      </c>
      <c r="Z48" s="108">
        <v>581.00349999999992</v>
      </c>
      <c r="AA48" s="108">
        <v>492.35750000000002</v>
      </c>
      <c r="AB48" s="108">
        <v>537.74583333333339</v>
      </c>
      <c r="AC48" s="108">
        <v>549.60616666666681</v>
      </c>
      <c r="AD48" s="108">
        <v>483.27333333333337</v>
      </c>
      <c r="AE48" s="108">
        <v>251.50166666666664</v>
      </c>
      <c r="AF48" s="108">
        <v>177.01866666666669</v>
      </c>
      <c r="AG48" s="108">
        <v>579.59966666666662</v>
      </c>
      <c r="AH48" s="108">
        <v>212.87683333333334</v>
      </c>
      <c r="AI48" s="108">
        <v>496.26683333333335</v>
      </c>
      <c r="AJ48" s="108">
        <v>165.65633333333332</v>
      </c>
      <c r="AK48" s="108">
        <v>0</v>
      </c>
      <c r="AL48" s="108">
        <v>353.14216666666658</v>
      </c>
      <c r="AM48" s="108">
        <v>111.47416666666668</v>
      </c>
      <c r="AN48" s="108">
        <v>386.73383333333339</v>
      </c>
      <c r="AO48" s="108">
        <v>335.63816666666656</v>
      </c>
      <c r="AP48" s="108">
        <v>358.21900000000005</v>
      </c>
      <c r="AQ48" s="108">
        <v>377.48166666666663</v>
      </c>
      <c r="AR48" s="108">
        <v>214.96116666666671</v>
      </c>
      <c r="AS48" s="108">
        <v>262.41366666666664</v>
      </c>
      <c r="AT48" s="108">
        <v>223.18783333333337</v>
      </c>
      <c r="AU48" s="108">
        <v>348.5743333333333</v>
      </c>
      <c r="AV48" s="108">
        <v>303.86733333333336</v>
      </c>
      <c r="AW48" s="108">
        <f t="shared" si="1"/>
        <v>15.384117833333333</v>
      </c>
    </row>
    <row r="49" spans="1:49">
      <c r="A49" s="149">
        <v>45791</v>
      </c>
      <c r="B49" s="150">
        <f>YEAR(Table7[[#This Row],[Date]])+IF(MONTH(Table7[[#This Row],[Date]])&gt;=4,1,0)</f>
        <v>2026</v>
      </c>
      <c r="C49" s="151">
        <f>YEAR(Table7[[#This Row],[Date]])</f>
        <v>2025</v>
      </c>
      <c r="D49" s="152">
        <f>Daily_KPI[[#This Row],[Date]]-DAY(Daily_KPI[[#This Row],[Date]])+1</f>
        <v>45778</v>
      </c>
      <c r="E49" s="108">
        <v>754.6305000000001</v>
      </c>
      <c r="F49" s="108">
        <v>703.53283333333354</v>
      </c>
      <c r="G49" s="108">
        <v>605.72</v>
      </c>
      <c r="H49" s="108">
        <v>100.99033333333334</v>
      </c>
      <c r="I49" s="108">
        <v>114.02433333333335</v>
      </c>
      <c r="J49" s="108">
        <v>328.99233333333342</v>
      </c>
      <c r="K49" s="108">
        <v>471.02233333333334</v>
      </c>
      <c r="L49" s="108">
        <v>293.4108333333333</v>
      </c>
      <c r="M49" s="108">
        <v>220.12716666666674</v>
      </c>
      <c r="N49" s="108">
        <v>250.62566666666666</v>
      </c>
      <c r="O49" s="108">
        <v>241.6106666666667</v>
      </c>
      <c r="P49" s="108">
        <v>286.58266666666674</v>
      </c>
      <c r="Q49" s="108">
        <v>302.97616666666664</v>
      </c>
      <c r="R49" s="108">
        <v>300.99183333333332</v>
      </c>
      <c r="S49" s="108">
        <v>287.12299999999999</v>
      </c>
      <c r="T49" s="108">
        <v>338.59366666666671</v>
      </c>
      <c r="U49" s="108">
        <v>364.51483333333323</v>
      </c>
      <c r="V49" s="108">
        <v>716.7120000000001</v>
      </c>
      <c r="W49" s="108">
        <v>408.53849999999989</v>
      </c>
      <c r="X49" s="108">
        <v>366.98633333333345</v>
      </c>
      <c r="Y49" s="108">
        <v>602.49749999999995</v>
      </c>
      <c r="Z49" s="108">
        <v>637.94016666666641</v>
      </c>
      <c r="AA49" s="108">
        <v>438.23866666666663</v>
      </c>
      <c r="AB49" s="108">
        <v>426.76133333333343</v>
      </c>
      <c r="AC49" s="108">
        <v>499.90616666666665</v>
      </c>
      <c r="AD49" s="108">
        <v>451.68733333333336</v>
      </c>
      <c r="AE49" s="108">
        <v>611.59366666666676</v>
      </c>
      <c r="AF49" s="108">
        <v>318.30416666666662</v>
      </c>
      <c r="AG49" s="108">
        <v>604.31366666666656</v>
      </c>
      <c r="AH49" s="108">
        <v>756.07399999999996</v>
      </c>
      <c r="AI49" s="108">
        <v>327.88600000000014</v>
      </c>
      <c r="AJ49" s="108">
        <v>185.71466666666663</v>
      </c>
      <c r="AK49" s="108">
        <v>227.32883333333339</v>
      </c>
      <c r="AL49" s="108">
        <v>570.01366666666684</v>
      </c>
      <c r="AM49" s="108">
        <v>222.9376666666667</v>
      </c>
      <c r="AN49" s="108">
        <v>631.76716666666664</v>
      </c>
      <c r="AO49" s="108">
        <v>493.95983333333339</v>
      </c>
      <c r="AP49" s="108">
        <v>476.47149999999993</v>
      </c>
      <c r="AQ49" s="108">
        <v>516.91100000000017</v>
      </c>
      <c r="AR49" s="108">
        <v>243.79933333333329</v>
      </c>
      <c r="AS49" s="108">
        <v>409.05500000000001</v>
      </c>
      <c r="AT49" s="108">
        <v>592.93183333333309</v>
      </c>
      <c r="AU49" s="108">
        <v>826.66183333333368</v>
      </c>
      <c r="AV49" s="108">
        <v>761.41866666666635</v>
      </c>
      <c r="AW49" s="108">
        <f t="shared" si="1"/>
        <v>19.29187966666667</v>
      </c>
    </row>
    <row r="50" spans="1:49">
      <c r="A50" s="145">
        <v>45792</v>
      </c>
      <c r="B50" s="146">
        <f>YEAR(Table7[[#This Row],[Date]])+IF(MONTH(Table7[[#This Row],[Date]])&gt;=4,1,0)</f>
        <v>2026</v>
      </c>
      <c r="C50" s="147">
        <f>YEAR(Table7[[#This Row],[Date]])</f>
        <v>2025</v>
      </c>
      <c r="D50" s="148">
        <f>Daily_KPI[[#This Row],[Date]]-DAY(Daily_KPI[[#This Row],[Date]])+1</f>
        <v>45778</v>
      </c>
      <c r="E50" s="108">
        <v>706.18866666666679</v>
      </c>
      <c r="F50" s="108">
        <v>607.49016666666671</v>
      </c>
      <c r="G50" s="108">
        <v>576.33233333333294</v>
      </c>
      <c r="H50" s="108">
        <v>228.49066666666656</v>
      </c>
      <c r="I50" s="108">
        <v>349.63316666666657</v>
      </c>
      <c r="J50" s="108">
        <v>472.89333333333337</v>
      </c>
      <c r="K50" s="108">
        <v>522.61200000000019</v>
      </c>
      <c r="L50" s="108">
        <v>244.23049999999998</v>
      </c>
      <c r="M50" s="108">
        <v>135.84899999999999</v>
      </c>
      <c r="N50" s="108">
        <v>153.64449999999997</v>
      </c>
      <c r="O50" s="108">
        <v>181.21083333333334</v>
      </c>
      <c r="P50" s="108">
        <v>216.67400000000001</v>
      </c>
      <c r="Q50" s="108">
        <v>213.33516666666671</v>
      </c>
      <c r="R50" s="108">
        <v>217.55950000000007</v>
      </c>
      <c r="S50" s="108">
        <v>186.18600000000004</v>
      </c>
      <c r="T50" s="108">
        <v>242.83316666666667</v>
      </c>
      <c r="U50" s="108">
        <v>304.86683333333332</v>
      </c>
      <c r="V50" s="108">
        <v>711.21549999999991</v>
      </c>
      <c r="W50" s="108">
        <v>322.32449999999994</v>
      </c>
      <c r="X50" s="108">
        <v>303.10433333333339</v>
      </c>
      <c r="Y50" s="108">
        <v>704.88666666666677</v>
      </c>
      <c r="Z50" s="108">
        <v>744.51516666666691</v>
      </c>
      <c r="AA50" s="108">
        <v>406.05416666666662</v>
      </c>
      <c r="AB50" s="108">
        <v>428.73033333333319</v>
      </c>
      <c r="AC50" s="108">
        <v>465.62349999999998</v>
      </c>
      <c r="AD50" s="108">
        <v>374.19866666666661</v>
      </c>
      <c r="AE50" s="108">
        <v>508.31416666666678</v>
      </c>
      <c r="AF50" s="108">
        <v>262.96766666666667</v>
      </c>
      <c r="AG50" s="108">
        <v>747.26699999999971</v>
      </c>
      <c r="AH50" s="108">
        <v>504.52816666666678</v>
      </c>
      <c r="AI50" s="108">
        <v>371.00500000000005</v>
      </c>
      <c r="AJ50" s="108">
        <v>244.971</v>
      </c>
      <c r="AK50" s="108">
        <v>501.71583333333319</v>
      </c>
      <c r="AL50" s="108">
        <v>795.75133333333406</v>
      </c>
      <c r="AM50" s="108">
        <v>473.49766666666665</v>
      </c>
      <c r="AN50" s="108">
        <v>709.20416666666699</v>
      </c>
      <c r="AO50" s="108">
        <v>630.74816666666663</v>
      </c>
      <c r="AP50" s="108">
        <v>622.26716666666664</v>
      </c>
      <c r="AQ50" s="108">
        <v>721.5851666666664</v>
      </c>
      <c r="AR50" s="108">
        <v>218.22066666666669</v>
      </c>
      <c r="AS50" s="108">
        <v>367.47666666666669</v>
      </c>
      <c r="AT50" s="108">
        <v>529.98716666666655</v>
      </c>
      <c r="AU50" s="108">
        <v>792.51416666666626</v>
      </c>
      <c r="AV50" s="108">
        <v>774.10966666666684</v>
      </c>
      <c r="AW50" s="108">
        <f t="shared" si="1"/>
        <v>19.796813499999999</v>
      </c>
    </row>
    <row r="51" spans="1:49">
      <c r="A51" s="149">
        <v>45793</v>
      </c>
      <c r="B51" s="150">
        <f>YEAR(Table7[[#This Row],[Date]])+IF(MONTH(Table7[[#This Row],[Date]])&gt;=4,1,0)</f>
        <v>2026</v>
      </c>
      <c r="C51" s="151">
        <f>YEAR(Table7[[#This Row],[Date]])</f>
        <v>2025</v>
      </c>
      <c r="D51" s="152">
        <f>Daily_KPI[[#This Row],[Date]]-DAY(Daily_KPI[[#This Row],[Date]])+1</f>
        <v>45778</v>
      </c>
      <c r="E51" s="108">
        <v>38.431333333333335</v>
      </c>
      <c r="F51" s="108">
        <v>26.578166666666672</v>
      </c>
      <c r="G51" s="108">
        <v>19.451166666666666</v>
      </c>
      <c r="H51" s="108">
        <v>22.724499999999995</v>
      </c>
      <c r="I51" s="108">
        <v>38.141500000000001</v>
      </c>
      <c r="J51" s="108">
        <v>18.758166666666664</v>
      </c>
      <c r="K51" s="108">
        <v>23.164333333333335</v>
      </c>
      <c r="L51" s="108">
        <v>0.81049999999999989</v>
      </c>
      <c r="M51" s="108">
        <v>0</v>
      </c>
      <c r="N51" s="108">
        <v>0</v>
      </c>
      <c r="O51" s="108">
        <v>0</v>
      </c>
      <c r="P51" s="108">
        <v>2.6968333333333336</v>
      </c>
      <c r="Q51" s="108">
        <v>1.3351666666666666</v>
      </c>
      <c r="R51" s="108">
        <v>1.1443333333333332</v>
      </c>
      <c r="S51" s="108">
        <v>1.8928333333333329</v>
      </c>
      <c r="T51" s="108">
        <v>9.1228333333333325</v>
      </c>
      <c r="U51" s="108">
        <v>17.275333333333336</v>
      </c>
      <c r="V51" s="108">
        <v>25.343499999999995</v>
      </c>
      <c r="W51" s="108">
        <v>19.561666666666667</v>
      </c>
      <c r="X51" s="108">
        <v>22.692499999999999</v>
      </c>
      <c r="Y51" s="108">
        <v>24.297666666666661</v>
      </c>
      <c r="Z51" s="108">
        <v>24.759333333333331</v>
      </c>
      <c r="AA51" s="108">
        <v>4.2179999999999991</v>
      </c>
      <c r="AB51" s="108">
        <v>8.2223333333333315</v>
      </c>
      <c r="AC51" s="108">
        <v>10.190166666666665</v>
      </c>
      <c r="AD51" s="108">
        <v>9.3466666666666676</v>
      </c>
      <c r="AE51" s="108">
        <v>5.8356666666666657</v>
      </c>
      <c r="AF51" s="108">
        <v>0.89833333333333332</v>
      </c>
      <c r="AG51" s="108">
        <v>21.205500000000001</v>
      </c>
      <c r="AH51" s="108">
        <v>3.5420000000000003</v>
      </c>
      <c r="AI51" s="108">
        <v>18.334333333333333</v>
      </c>
      <c r="AJ51" s="108">
        <v>3.3249999999999997</v>
      </c>
      <c r="AK51" s="108">
        <v>25.980833333333333</v>
      </c>
      <c r="AL51" s="108">
        <v>54.505166666666675</v>
      </c>
      <c r="AM51" s="108">
        <v>14.353499999999999</v>
      </c>
      <c r="AN51" s="108">
        <v>18.481999999999996</v>
      </c>
      <c r="AO51" s="108">
        <v>19.192</v>
      </c>
      <c r="AP51" s="108">
        <v>24.204333333333334</v>
      </c>
      <c r="AQ51" s="108">
        <v>39.534833333333339</v>
      </c>
      <c r="AR51" s="108">
        <v>12.788833333333335</v>
      </c>
      <c r="AS51" s="108">
        <v>12.155499999999998</v>
      </c>
      <c r="AT51" s="108">
        <v>9.5103333333333335</v>
      </c>
      <c r="AU51" s="108">
        <v>25.825166666666664</v>
      </c>
      <c r="AV51" s="108">
        <v>27.976833333333332</v>
      </c>
      <c r="AW51" s="108">
        <f t="shared" si="1"/>
        <v>0.70780899999999969</v>
      </c>
    </row>
    <row r="52" spans="1:49">
      <c r="A52" s="145">
        <v>45794</v>
      </c>
      <c r="B52" s="146">
        <f>YEAR(Table7[[#This Row],[Date]])+IF(MONTH(Table7[[#This Row],[Date]])&gt;=4,1,0)</f>
        <v>2026</v>
      </c>
      <c r="C52" s="147">
        <f>YEAR(Table7[[#This Row],[Date]])</f>
        <v>2025</v>
      </c>
      <c r="D52" s="148">
        <f>Daily_KPI[[#This Row],[Date]]-DAY(Daily_KPI[[#This Row],[Date]])+1</f>
        <v>45778</v>
      </c>
      <c r="E52" s="108">
        <v>344.56383333333338</v>
      </c>
      <c r="F52" s="108">
        <v>251.18166666666664</v>
      </c>
      <c r="G52" s="108">
        <v>290.76016666666663</v>
      </c>
      <c r="H52" s="108">
        <v>611.3806666666668</v>
      </c>
      <c r="I52" s="108">
        <v>398.92683333333338</v>
      </c>
      <c r="J52" s="108">
        <v>268.29183333333339</v>
      </c>
      <c r="K52" s="108">
        <v>221.58549999999994</v>
      </c>
      <c r="L52" s="108">
        <v>365.81816666666674</v>
      </c>
      <c r="M52" s="108">
        <v>267.84366666666665</v>
      </c>
      <c r="N52" s="108">
        <v>318.04000000000013</v>
      </c>
      <c r="O52" s="108">
        <v>449.53466666666662</v>
      </c>
      <c r="P52" s="108">
        <v>377.87133333333327</v>
      </c>
      <c r="Q52" s="108">
        <v>355.74616666666662</v>
      </c>
      <c r="R52" s="108">
        <v>315.37366666666679</v>
      </c>
      <c r="S52" s="108">
        <v>316.92766666666671</v>
      </c>
      <c r="T52" s="108">
        <v>389.68299999999994</v>
      </c>
      <c r="U52" s="108">
        <v>481.23399999999998</v>
      </c>
      <c r="V52" s="108">
        <v>300.49900000000002</v>
      </c>
      <c r="W52" s="108">
        <v>318.63633333333331</v>
      </c>
      <c r="X52" s="108">
        <v>338.70366666666672</v>
      </c>
      <c r="Y52" s="108">
        <v>598.91633333333334</v>
      </c>
      <c r="Z52" s="108">
        <v>581.00349999999992</v>
      </c>
      <c r="AA52" s="108">
        <v>492.35750000000002</v>
      </c>
      <c r="AB52" s="108">
        <v>537.74583333333339</v>
      </c>
      <c r="AC52" s="108">
        <v>549.60616666666681</v>
      </c>
      <c r="AD52" s="108">
        <v>483.27333333333337</v>
      </c>
      <c r="AE52" s="108">
        <v>251.50166666666664</v>
      </c>
      <c r="AF52" s="108">
        <v>177.01866666666669</v>
      </c>
      <c r="AG52" s="108">
        <v>579.59966666666662</v>
      </c>
      <c r="AH52" s="108">
        <v>212.87683333333334</v>
      </c>
      <c r="AI52" s="108">
        <v>496.26683333333335</v>
      </c>
      <c r="AJ52" s="108">
        <v>165.65633333333332</v>
      </c>
      <c r="AK52" s="108">
        <v>0</v>
      </c>
      <c r="AL52" s="108">
        <v>353.14216666666658</v>
      </c>
      <c r="AM52" s="108">
        <v>111.47416666666668</v>
      </c>
      <c r="AN52" s="108">
        <v>386.73383333333339</v>
      </c>
      <c r="AO52" s="108">
        <v>335.63816666666656</v>
      </c>
      <c r="AP52" s="108">
        <v>358.21900000000005</v>
      </c>
      <c r="AQ52" s="108">
        <v>377.48166666666663</v>
      </c>
      <c r="AR52" s="108">
        <v>214.96116666666671</v>
      </c>
      <c r="AS52" s="108">
        <v>262.41366666666664</v>
      </c>
      <c r="AT52" s="108">
        <v>223.18783333333337</v>
      </c>
      <c r="AU52" s="108">
        <v>348.5743333333333</v>
      </c>
      <c r="AV52" s="108">
        <v>303.86733333333336</v>
      </c>
      <c r="AW52" s="108">
        <f t="shared" ref="AW52:AW53" si="5">SUM(E52:AV52)/1000</f>
        <v>15.384117833333333</v>
      </c>
    </row>
    <row r="53" spans="1:49">
      <c r="A53" s="149">
        <v>45795</v>
      </c>
      <c r="B53" s="150">
        <f>YEAR(Table7[[#This Row],[Date]])+IF(MONTH(Table7[[#This Row],[Date]])&gt;=4,1,0)</f>
        <v>2026</v>
      </c>
      <c r="C53" s="151">
        <f>YEAR(Table7[[#This Row],[Date]])</f>
        <v>2025</v>
      </c>
      <c r="D53" s="152">
        <f>Daily_KPI[[#This Row],[Date]]-DAY(Daily_KPI[[#This Row],[Date]])+1</f>
        <v>45778</v>
      </c>
      <c r="E53" s="108">
        <f>E52/6</f>
        <v>57.427305555555563</v>
      </c>
      <c r="F53" s="108">
        <f t="shared" ref="F53:AV53" si="6">F52/6</f>
        <v>41.863611111111105</v>
      </c>
      <c r="G53" s="108">
        <f t="shared" si="6"/>
        <v>48.460027777777775</v>
      </c>
      <c r="H53" s="108">
        <f t="shared" si="6"/>
        <v>101.8967777777778</v>
      </c>
      <c r="I53" s="108">
        <f t="shared" si="6"/>
        <v>66.487805555555568</v>
      </c>
      <c r="J53" s="108">
        <f t="shared" si="6"/>
        <v>44.715305555555567</v>
      </c>
      <c r="K53" s="108">
        <f t="shared" si="6"/>
        <v>36.930916666666654</v>
      </c>
      <c r="L53" s="108">
        <f t="shared" si="6"/>
        <v>60.969694444444457</v>
      </c>
      <c r="M53" s="108">
        <f t="shared" si="6"/>
        <v>44.640611111111106</v>
      </c>
      <c r="N53" s="108">
        <f t="shared" si="6"/>
        <v>53.006666666666689</v>
      </c>
      <c r="O53" s="108">
        <f t="shared" si="6"/>
        <v>74.922444444444437</v>
      </c>
      <c r="P53" s="108">
        <f t="shared" si="6"/>
        <v>62.978555555555545</v>
      </c>
      <c r="Q53" s="108">
        <f t="shared" si="6"/>
        <v>59.291027777777771</v>
      </c>
      <c r="R53" s="108">
        <f t="shared" si="6"/>
        <v>52.562277777777801</v>
      </c>
      <c r="S53" s="108">
        <f t="shared" si="6"/>
        <v>52.821277777777787</v>
      </c>
      <c r="T53" s="108">
        <f t="shared" si="6"/>
        <v>64.947166666666661</v>
      </c>
      <c r="U53" s="108">
        <f t="shared" si="6"/>
        <v>80.205666666666659</v>
      </c>
      <c r="V53" s="108">
        <f t="shared" si="6"/>
        <v>50.083166666666671</v>
      </c>
      <c r="W53" s="108">
        <f t="shared" si="6"/>
        <v>53.10605555555555</v>
      </c>
      <c r="X53" s="108">
        <f t="shared" si="6"/>
        <v>56.450611111111122</v>
      </c>
      <c r="Y53" s="108">
        <f t="shared" si="6"/>
        <v>99.819388888888895</v>
      </c>
      <c r="Z53" s="108">
        <f t="shared" si="6"/>
        <v>96.833916666666653</v>
      </c>
      <c r="AA53" s="108">
        <f t="shared" si="6"/>
        <v>82.059583333333336</v>
      </c>
      <c r="AB53" s="108">
        <f t="shared" si="6"/>
        <v>89.624305555555566</v>
      </c>
      <c r="AC53" s="108">
        <f t="shared" si="6"/>
        <v>91.601027777777801</v>
      </c>
      <c r="AD53" s="108">
        <f t="shared" si="6"/>
        <v>80.545555555555566</v>
      </c>
      <c r="AE53" s="108">
        <f t="shared" si="6"/>
        <v>41.916944444444439</v>
      </c>
      <c r="AF53" s="108">
        <f t="shared" si="6"/>
        <v>29.503111111111114</v>
      </c>
      <c r="AG53" s="108">
        <f t="shared" si="6"/>
        <v>96.599944444444432</v>
      </c>
      <c r="AH53" s="108">
        <f t="shared" si="6"/>
        <v>35.479472222222221</v>
      </c>
      <c r="AI53" s="108">
        <f t="shared" si="6"/>
        <v>82.711138888888897</v>
      </c>
      <c r="AJ53" s="108">
        <f t="shared" si="6"/>
        <v>27.609388888888887</v>
      </c>
      <c r="AK53" s="108">
        <f t="shared" si="6"/>
        <v>0</v>
      </c>
      <c r="AL53" s="108">
        <f t="shared" si="6"/>
        <v>58.857027777777766</v>
      </c>
      <c r="AM53" s="108">
        <f t="shared" si="6"/>
        <v>18.579027777777778</v>
      </c>
      <c r="AN53" s="108">
        <f t="shared" si="6"/>
        <v>64.455638888888899</v>
      </c>
      <c r="AO53" s="108">
        <f t="shared" si="6"/>
        <v>55.939694444444427</v>
      </c>
      <c r="AP53" s="108">
        <f t="shared" si="6"/>
        <v>59.703166666666675</v>
      </c>
      <c r="AQ53" s="108">
        <f t="shared" si="6"/>
        <v>62.913611111111102</v>
      </c>
      <c r="AR53" s="108">
        <f t="shared" si="6"/>
        <v>35.826861111111121</v>
      </c>
      <c r="AS53" s="108">
        <f t="shared" si="6"/>
        <v>43.735611111111105</v>
      </c>
      <c r="AT53" s="108">
        <f t="shared" si="6"/>
        <v>37.197972222222226</v>
      </c>
      <c r="AU53" s="108">
        <f t="shared" si="6"/>
        <v>58.095722222222214</v>
      </c>
      <c r="AV53" s="108">
        <f t="shared" si="6"/>
        <v>50.644555555555563</v>
      </c>
      <c r="AW53" s="108">
        <f t="shared" si="5"/>
        <v>2.5640196388888894</v>
      </c>
    </row>
    <row r="54" spans="1:49">
      <c r="A54" s="145">
        <v>45796</v>
      </c>
      <c r="B54" s="146">
        <f>YEAR(Table7[[#This Row],[Date]])+IF(MONTH(Table7[[#This Row],[Date]])&gt;=4,1,0)</f>
        <v>2026</v>
      </c>
      <c r="C54" s="147">
        <f>YEAR(Table7[[#This Row],[Date]])</f>
        <v>2025</v>
      </c>
      <c r="D54" s="148">
        <f>Daily_KPI[[#This Row],[Date]]-DAY(Daily_KPI[[#This Row],[Date]])+1</f>
        <v>45778</v>
      </c>
      <c r="E54" s="108">
        <v>70.279249999999976</v>
      </c>
      <c r="F54" s="108">
        <v>62.259333333333338</v>
      </c>
      <c r="G54" s="108">
        <v>62.926666666666655</v>
      </c>
      <c r="H54" s="108">
        <v>56.805</v>
      </c>
      <c r="I54" s="108">
        <v>38.028749999999995</v>
      </c>
      <c r="J54" s="108">
        <v>37.086916666666667</v>
      </c>
      <c r="K54" s="108">
        <v>52.239666666666665</v>
      </c>
      <c r="L54" s="108">
        <v>18.281416666666669</v>
      </c>
      <c r="M54" s="108">
        <v>14.515083333333331</v>
      </c>
      <c r="N54" s="108">
        <v>13.475749999999998</v>
      </c>
      <c r="O54" s="108">
        <v>8.3176666666666659</v>
      </c>
      <c r="P54" s="108">
        <v>11.90025</v>
      </c>
      <c r="Q54" s="108">
        <v>10.980749999999999</v>
      </c>
      <c r="R54" s="108">
        <v>7.9328333333333338</v>
      </c>
      <c r="S54" s="108">
        <v>10.580250000000001</v>
      </c>
      <c r="T54" s="108">
        <v>12.102499999999999</v>
      </c>
      <c r="U54" s="108">
        <v>15.746833333333335</v>
      </c>
      <c r="V54" s="108">
        <v>61.385666666666673</v>
      </c>
      <c r="W54" s="108">
        <v>17.921249999999997</v>
      </c>
      <c r="X54" s="108">
        <v>13.060666666666668</v>
      </c>
      <c r="Y54" s="108">
        <v>57.070416666666667</v>
      </c>
      <c r="Z54" s="108">
        <v>57.296333333333337</v>
      </c>
      <c r="AA54" s="108">
        <v>30.745333333333331</v>
      </c>
      <c r="AB54" s="108">
        <v>26.572749999999999</v>
      </c>
      <c r="AC54" s="108">
        <v>19.633499999999998</v>
      </c>
      <c r="AD54" s="108">
        <v>25.672666666666668</v>
      </c>
      <c r="AE54" s="108">
        <v>76.775166666666664</v>
      </c>
      <c r="AF54" s="108">
        <v>35.589666666666659</v>
      </c>
      <c r="AG54" s="108">
        <v>45.238250000000001</v>
      </c>
      <c r="AH54" s="108">
        <v>43.894749999999995</v>
      </c>
      <c r="AI54" s="108">
        <v>17.431750000000001</v>
      </c>
      <c r="AJ54" s="108">
        <v>21.309416666666667</v>
      </c>
      <c r="AK54" s="108">
        <v>29.491833333333332</v>
      </c>
      <c r="AL54" s="108">
        <v>56.623583333333336</v>
      </c>
      <c r="AM54" s="108">
        <v>39.7455</v>
      </c>
      <c r="AN54" s="108">
        <v>60.06933333333334</v>
      </c>
      <c r="AO54" s="108">
        <v>53.968249999999991</v>
      </c>
      <c r="AP54" s="108">
        <v>48.062916666666673</v>
      </c>
      <c r="AQ54" s="108">
        <v>54.822416666666662</v>
      </c>
      <c r="AR54" s="108">
        <v>11.922666666666666</v>
      </c>
      <c r="AS54" s="108">
        <v>44.41075</v>
      </c>
      <c r="AT54" s="108">
        <v>44.279583333333328</v>
      </c>
      <c r="AU54" s="108">
        <v>67.677583333333331</v>
      </c>
      <c r="AV54" s="108">
        <v>54.911333333333346</v>
      </c>
      <c r="AW54" s="108">
        <f t="shared" si="1"/>
        <v>1.6190422499999999</v>
      </c>
    </row>
    <row r="55" spans="1:49">
      <c r="A55" s="149">
        <v>45797</v>
      </c>
      <c r="B55" s="150">
        <f>YEAR(Table7[[#This Row],[Date]])+IF(MONTH(Table7[[#This Row],[Date]])&gt;=4,1,0)</f>
        <v>2026</v>
      </c>
      <c r="C55" s="151">
        <f>YEAR(Table7[[#This Row],[Date]])</f>
        <v>2025</v>
      </c>
      <c r="D55" s="152">
        <f>Daily_KPI[[#This Row],[Date]]-DAY(Daily_KPI[[#This Row],[Date]])+1</f>
        <v>45778</v>
      </c>
      <c r="E55" s="108">
        <v>10.354333333333335</v>
      </c>
      <c r="F55" s="108">
        <v>8.5570000000000004</v>
      </c>
      <c r="G55" s="108">
        <v>1.1524999999999999</v>
      </c>
      <c r="H55" s="108">
        <v>10.870666666666667</v>
      </c>
      <c r="I55" s="108">
        <v>2.7775000000000003</v>
      </c>
      <c r="J55" s="108">
        <v>6.4840000000000009</v>
      </c>
      <c r="K55" s="108">
        <v>2.6726666666666663</v>
      </c>
      <c r="L55" s="108">
        <v>5.1319999999999997</v>
      </c>
      <c r="M55" s="108">
        <v>9.3113333333333319</v>
      </c>
      <c r="N55" s="108">
        <v>7.25</v>
      </c>
      <c r="O55" s="108">
        <v>12.9285</v>
      </c>
      <c r="P55" s="108">
        <v>10.489333333333335</v>
      </c>
      <c r="Q55" s="108">
        <v>9.7488333333333337</v>
      </c>
      <c r="R55" s="108">
        <v>8.4478333333333335</v>
      </c>
      <c r="S55" s="108">
        <v>3.8361666666666667</v>
      </c>
      <c r="T55" s="108">
        <v>1.4568333333333332</v>
      </c>
      <c r="U55" s="108">
        <v>1.8588333333333333</v>
      </c>
      <c r="V55" s="108">
        <v>0.314</v>
      </c>
      <c r="W55" s="108">
        <v>4.4726666666666661</v>
      </c>
      <c r="X55" s="108">
        <v>0</v>
      </c>
      <c r="Y55" s="108">
        <v>20.177666666666667</v>
      </c>
      <c r="Z55" s="108">
        <v>18.424500000000002</v>
      </c>
      <c r="AA55" s="108">
        <v>16.871333333333336</v>
      </c>
      <c r="AB55" s="108">
        <v>18.402000000000001</v>
      </c>
      <c r="AC55" s="108">
        <v>15.164999999999999</v>
      </c>
      <c r="AD55" s="108">
        <v>16.508666666666667</v>
      </c>
      <c r="AE55" s="108">
        <v>0.29633333333333334</v>
      </c>
      <c r="AF55" s="108">
        <v>4.6191666666666675</v>
      </c>
      <c r="AG55" s="108">
        <v>3.4641666666666668</v>
      </c>
      <c r="AH55" s="108">
        <v>18.387</v>
      </c>
      <c r="AI55" s="108">
        <v>0</v>
      </c>
      <c r="AJ55" s="108">
        <v>3.5728333333333331</v>
      </c>
      <c r="AK55" s="108">
        <v>4.3073333333333332</v>
      </c>
      <c r="AL55" s="108">
        <v>4.5701666666666663</v>
      </c>
      <c r="AM55" s="108">
        <v>19.428999999999998</v>
      </c>
      <c r="AN55" s="108">
        <v>19.669333333333331</v>
      </c>
      <c r="AO55" s="108">
        <v>2.5833333333333335</v>
      </c>
      <c r="AP55" s="108">
        <v>0</v>
      </c>
      <c r="AQ55" s="108">
        <v>4.1188333333333338</v>
      </c>
      <c r="AR55" s="108">
        <v>3.0355000000000003</v>
      </c>
      <c r="AS55" s="108">
        <v>4.3</v>
      </c>
      <c r="AT55" s="108">
        <v>19.753499999999999</v>
      </c>
      <c r="AU55" s="108">
        <v>15.302</v>
      </c>
      <c r="AV55" s="108">
        <v>2.7643333333333331</v>
      </c>
      <c r="AW55" s="108">
        <f t="shared" si="1"/>
        <v>0.35383700000000007</v>
      </c>
    </row>
    <row r="56" spans="1:49">
      <c r="A56" s="145">
        <v>45798</v>
      </c>
      <c r="B56" s="146">
        <f>YEAR(Table7[[#This Row],[Date]])+IF(MONTH(Table7[[#This Row],[Date]])&gt;=4,1,0)</f>
        <v>2026</v>
      </c>
      <c r="C56" s="147">
        <f>YEAR(Table7[[#This Row],[Date]])</f>
        <v>2025</v>
      </c>
      <c r="D56" s="148">
        <f>Daily_KPI[[#This Row],[Date]]-DAY(Daily_KPI[[#This Row],[Date]])+1</f>
        <v>45778</v>
      </c>
      <c r="AW56" s="108">
        <f t="shared" si="1"/>
        <v>0</v>
      </c>
    </row>
    <row r="57" spans="1:49">
      <c r="A57" s="149">
        <v>45799</v>
      </c>
      <c r="B57" s="150">
        <f>YEAR(Table7[[#This Row],[Date]])+IF(MONTH(Table7[[#This Row],[Date]])&gt;=4,1,0)</f>
        <v>2026</v>
      </c>
      <c r="C57" s="151">
        <f>YEAR(Table7[[#This Row],[Date]])</f>
        <v>2025</v>
      </c>
      <c r="D57" s="152">
        <f>Daily_KPI[[#This Row],[Date]]-DAY(Daily_KPI[[#This Row],[Date]])+1</f>
        <v>45778</v>
      </c>
      <c r="E57" s="108">
        <v>568.17416666666702</v>
      </c>
      <c r="F57" s="108">
        <v>641.58516666666549</v>
      </c>
      <c r="G57" s="108">
        <v>539.29133333333323</v>
      </c>
      <c r="H57" s="108">
        <v>251.50833333333298</v>
      </c>
      <c r="I57" s="108">
        <v>93.513833333333324</v>
      </c>
      <c r="J57" s="108">
        <v>346.26100000000019</v>
      </c>
      <c r="K57" s="108">
        <v>485.01699999999954</v>
      </c>
      <c r="L57" s="108">
        <v>521.79783333333364</v>
      </c>
      <c r="M57" s="108">
        <v>583.87216666666723</v>
      </c>
      <c r="N57" s="108">
        <v>397.20516666666708</v>
      </c>
      <c r="O57" s="108">
        <v>510.09133333333244</v>
      </c>
      <c r="P57" s="108">
        <v>579.91783333333387</v>
      </c>
      <c r="Q57" s="108">
        <v>463.48100000000045</v>
      </c>
      <c r="R57" s="108">
        <v>483.87866666666645</v>
      </c>
      <c r="S57" s="108">
        <v>268.8848333333338</v>
      </c>
      <c r="T57" s="108">
        <v>453.72766666666644</v>
      </c>
      <c r="U57" s="108">
        <v>388.05999999999995</v>
      </c>
      <c r="V57" s="108">
        <v>436.75033333333425</v>
      </c>
      <c r="W57" s="108">
        <v>399.42816666666704</v>
      </c>
      <c r="X57" s="108">
        <v>237.33599999999981</v>
      </c>
      <c r="Y57" s="108">
        <v>402.3813333333332</v>
      </c>
      <c r="Z57" s="108">
        <v>472.7203333333336</v>
      </c>
      <c r="AA57" s="108">
        <v>466.16100000000029</v>
      </c>
      <c r="AB57" s="108">
        <v>454.67416666666765</v>
      </c>
      <c r="AC57" s="108">
        <v>524.54233333333229</v>
      </c>
      <c r="AD57" s="108">
        <v>531.33433333333357</v>
      </c>
      <c r="AE57" s="108">
        <v>453.29383333333288</v>
      </c>
      <c r="AF57" s="108">
        <v>61.689833333333333</v>
      </c>
      <c r="AG57" s="108">
        <v>239.3499999999998</v>
      </c>
      <c r="AH57" s="108">
        <v>202.71733333333339</v>
      </c>
      <c r="AI57" s="108">
        <v>152.09200000000007</v>
      </c>
      <c r="AJ57" s="108">
        <v>261.89750000000055</v>
      </c>
      <c r="AK57" s="108">
        <v>222.11250000000049</v>
      </c>
      <c r="AL57" s="108">
        <v>420.35433333333316</v>
      </c>
      <c r="AM57" s="108">
        <v>277.26516666666708</v>
      </c>
      <c r="AN57" s="108">
        <v>753.58450000000039</v>
      </c>
      <c r="AO57" s="108">
        <v>376.55416666666656</v>
      </c>
      <c r="AP57" s="108">
        <v>518.22299999999962</v>
      </c>
      <c r="AQ57" s="108">
        <v>593.20633333333365</v>
      </c>
      <c r="AR57" s="108">
        <v>92.548833333333349</v>
      </c>
      <c r="AS57" s="108">
        <v>128.62883333333335</v>
      </c>
      <c r="AT57" s="108">
        <v>192.07866666666635</v>
      </c>
      <c r="AU57" s="108">
        <v>901.46383333333381</v>
      </c>
      <c r="AV57" s="108">
        <v>593.91966666666747</v>
      </c>
      <c r="AW57" s="108">
        <f t="shared" si="1"/>
        <v>17.942575666666677</v>
      </c>
    </row>
    <row r="58" spans="1:49">
      <c r="A58" s="145">
        <v>45800</v>
      </c>
      <c r="B58" s="146">
        <f>YEAR(Table7[[#This Row],[Date]])+IF(MONTH(Table7[[#This Row],[Date]])&gt;=4,1,0)</f>
        <v>2026</v>
      </c>
      <c r="C58" s="147">
        <f>YEAR(Table7[[#This Row],[Date]])</f>
        <v>2025</v>
      </c>
      <c r="D58" s="148">
        <f>Daily_KPI[[#This Row],[Date]]-DAY(Daily_KPI[[#This Row],[Date]])+1</f>
        <v>45778</v>
      </c>
      <c r="E58" s="108">
        <v>784.08000000000129</v>
      </c>
      <c r="F58" s="108">
        <v>1028.9759999999969</v>
      </c>
      <c r="G58" s="108">
        <v>652.8719999999995</v>
      </c>
      <c r="H58" s="108">
        <v>29.135999999999971</v>
      </c>
      <c r="I58" s="108">
        <v>0</v>
      </c>
      <c r="J58" s="108">
        <v>329.04000000000059</v>
      </c>
      <c r="K58" s="108">
        <v>848.40000000000055</v>
      </c>
      <c r="L58" s="108">
        <v>398.95200000000085</v>
      </c>
      <c r="M58" s="108">
        <v>691.77600000000109</v>
      </c>
      <c r="N58" s="108">
        <v>191.20800000000006</v>
      </c>
      <c r="O58" s="108">
        <v>604.05599999999924</v>
      </c>
      <c r="P58" s="108">
        <v>843.59999999999957</v>
      </c>
      <c r="Q58" s="108">
        <v>530.20800000000145</v>
      </c>
      <c r="R58" s="108">
        <v>812.35199999999907</v>
      </c>
      <c r="S58" s="108">
        <v>250.9920000000005</v>
      </c>
      <c r="T58" s="108">
        <v>846.74399999999889</v>
      </c>
      <c r="U58" s="108">
        <v>471.3599999999999</v>
      </c>
      <c r="V58" s="108">
        <v>391.68000000000006</v>
      </c>
      <c r="W58" s="108">
        <v>444.76800000000031</v>
      </c>
      <c r="X58" s="108">
        <v>208.41599999999968</v>
      </c>
      <c r="Y58" s="108">
        <v>508.53599999999932</v>
      </c>
      <c r="Z58" s="108">
        <v>878.63999999999896</v>
      </c>
      <c r="AA58" s="108">
        <v>467.04000000000065</v>
      </c>
      <c r="AB58" s="108">
        <v>326.37599999999946</v>
      </c>
      <c r="AC58" s="108">
        <v>712.58399999999767</v>
      </c>
      <c r="AD58" s="108">
        <v>466.08000000000101</v>
      </c>
      <c r="AE58" s="108">
        <v>647.3999999999985</v>
      </c>
      <c r="AF58" s="108">
        <v>0</v>
      </c>
      <c r="AG58" s="108">
        <v>210.0479999999994</v>
      </c>
      <c r="AH58" s="108">
        <v>258.62400000000019</v>
      </c>
      <c r="AI58" s="108">
        <v>43.032000000000103</v>
      </c>
      <c r="AJ58" s="108">
        <v>55.295999999999886</v>
      </c>
      <c r="AK58" s="108">
        <v>189.14399999999975</v>
      </c>
      <c r="AL58" s="108">
        <v>523.27199999999982</v>
      </c>
      <c r="AM58" s="108">
        <v>74.928000000000239</v>
      </c>
      <c r="AN58" s="108">
        <v>1051.8959999999988</v>
      </c>
      <c r="AO58" s="108">
        <v>422.92799999999983</v>
      </c>
      <c r="AP58" s="108">
        <v>780.52799999999888</v>
      </c>
      <c r="AQ58" s="108">
        <v>926.95199999999807</v>
      </c>
      <c r="AR58" s="108">
        <v>0</v>
      </c>
      <c r="AS58" s="108">
        <v>0</v>
      </c>
      <c r="AT58" s="108">
        <v>171.79200000000023</v>
      </c>
      <c r="AU58" s="108">
        <v>2005.5120000000022</v>
      </c>
      <c r="AV58" s="108">
        <v>1072.6799999999987</v>
      </c>
      <c r="AW58" s="108">
        <f t="shared" si="1"/>
        <v>22.151903999999991</v>
      </c>
    </row>
    <row r="59" spans="1:49">
      <c r="A59" s="149">
        <v>45801</v>
      </c>
      <c r="B59" s="150">
        <f>YEAR(Table7[[#This Row],[Date]])+IF(MONTH(Table7[[#This Row],[Date]])&gt;=4,1,0)</f>
        <v>2026</v>
      </c>
      <c r="C59" s="151">
        <f>YEAR(Table7[[#This Row],[Date]])</f>
        <v>2025</v>
      </c>
      <c r="D59" s="152">
        <f>Daily_KPI[[#This Row],[Date]]-DAY(Daily_KPI[[#This Row],[Date]])+1</f>
        <v>45778</v>
      </c>
      <c r="E59" s="108">
        <v>784.08000000000129</v>
      </c>
      <c r="F59" s="108">
        <v>1028.9759999999969</v>
      </c>
      <c r="G59" s="108">
        <v>652.8719999999995</v>
      </c>
      <c r="H59" s="108">
        <v>29.135999999999971</v>
      </c>
      <c r="I59" s="108">
        <v>0</v>
      </c>
      <c r="J59" s="108">
        <v>329.04000000000059</v>
      </c>
      <c r="K59" s="108">
        <v>848.40000000000055</v>
      </c>
      <c r="L59" s="108">
        <v>398.95200000000085</v>
      </c>
      <c r="M59" s="108">
        <v>691.77600000000109</v>
      </c>
      <c r="N59" s="108">
        <v>191.20800000000006</v>
      </c>
      <c r="O59" s="108">
        <v>604.05599999999924</v>
      </c>
      <c r="P59" s="108">
        <v>843.59999999999957</v>
      </c>
      <c r="Q59" s="108">
        <v>530.20800000000145</v>
      </c>
      <c r="R59" s="108">
        <v>812.35199999999907</v>
      </c>
      <c r="S59" s="108">
        <v>250.9920000000005</v>
      </c>
      <c r="T59" s="108">
        <v>846.74399999999889</v>
      </c>
      <c r="U59" s="108">
        <v>471.3599999999999</v>
      </c>
      <c r="V59" s="108">
        <v>391.68000000000006</v>
      </c>
      <c r="W59" s="108">
        <v>444.76800000000031</v>
      </c>
      <c r="X59" s="108">
        <v>208.41599999999968</v>
      </c>
      <c r="Y59" s="108">
        <v>508.53599999999932</v>
      </c>
      <c r="Z59" s="108">
        <v>878.63999999999896</v>
      </c>
      <c r="AA59" s="108">
        <v>467.04000000000065</v>
      </c>
      <c r="AB59" s="108">
        <v>326.37599999999946</v>
      </c>
      <c r="AC59" s="108">
        <v>712.58399999999767</v>
      </c>
      <c r="AD59" s="108">
        <v>466.08000000000101</v>
      </c>
      <c r="AE59" s="108">
        <v>647.3999999999985</v>
      </c>
      <c r="AF59" s="108">
        <v>0</v>
      </c>
      <c r="AG59" s="108">
        <v>210.0479999999994</v>
      </c>
      <c r="AH59" s="108">
        <v>258.62400000000019</v>
      </c>
      <c r="AI59" s="108">
        <v>43.032000000000103</v>
      </c>
      <c r="AJ59" s="108">
        <v>55.295999999999886</v>
      </c>
      <c r="AK59" s="108">
        <v>189.14399999999975</v>
      </c>
      <c r="AL59" s="108">
        <v>523.27199999999982</v>
      </c>
      <c r="AM59" s="108">
        <v>74.928000000000239</v>
      </c>
      <c r="AN59" s="108">
        <v>1051.8959999999988</v>
      </c>
      <c r="AO59" s="108">
        <v>422.92799999999983</v>
      </c>
      <c r="AP59" s="108">
        <v>780.52799999999888</v>
      </c>
      <c r="AQ59" s="108">
        <v>926.95199999999807</v>
      </c>
      <c r="AR59" s="108">
        <v>0</v>
      </c>
      <c r="AS59" s="108">
        <v>0</v>
      </c>
      <c r="AT59" s="108">
        <v>171.79200000000023</v>
      </c>
      <c r="AU59" s="108">
        <v>2005.5120000000022</v>
      </c>
      <c r="AV59" s="108">
        <v>1072.6799999999987</v>
      </c>
      <c r="AW59" s="108">
        <f t="shared" si="1"/>
        <v>22.151903999999991</v>
      </c>
    </row>
    <row r="60" spans="1:49">
      <c r="A60" s="145">
        <v>45802</v>
      </c>
      <c r="B60" s="146">
        <f>YEAR(Table7[[#This Row],[Date]])+IF(MONTH(Table7[[#This Row],[Date]])&gt;=4,1,0)</f>
        <v>2026</v>
      </c>
      <c r="C60" s="147">
        <f>YEAR(Table7[[#This Row],[Date]])</f>
        <v>2025</v>
      </c>
      <c r="D60" s="148">
        <f>Daily_KPI[[#This Row],[Date]]-DAY(Daily_KPI[[#This Row],[Date]])+1</f>
        <v>45778</v>
      </c>
      <c r="E60" s="108">
        <v>784.08000000000129</v>
      </c>
      <c r="F60" s="108">
        <v>1028.9759999999969</v>
      </c>
      <c r="G60" s="108">
        <v>652.8719999999995</v>
      </c>
      <c r="H60" s="108">
        <v>29.135999999999971</v>
      </c>
      <c r="I60" s="108">
        <v>0</v>
      </c>
      <c r="J60" s="108">
        <v>329.04000000000059</v>
      </c>
      <c r="K60" s="108">
        <v>848.40000000000055</v>
      </c>
      <c r="L60" s="108">
        <v>398.95200000000085</v>
      </c>
      <c r="M60" s="108">
        <v>691.77600000000109</v>
      </c>
      <c r="N60" s="108">
        <v>191.20800000000006</v>
      </c>
      <c r="O60" s="108">
        <v>604.05599999999924</v>
      </c>
      <c r="P60" s="108">
        <v>843.59999999999957</v>
      </c>
      <c r="Q60" s="108">
        <v>530.20800000000145</v>
      </c>
      <c r="R60" s="108">
        <v>812.35199999999907</v>
      </c>
      <c r="S60" s="108">
        <v>250.9920000000005</v>
      </c>
      <c r="T60" s="108">
        <v>846.74399999999889</v>
      </c>
      <c r="U60" s="108">
        <v>471.3599999999999</v>
      </c>
      <c r="V60" s="108">
        <v>391.68000000000006</v>
      </c>
      <c r="W60" s="108">
        <v>444.76800000000031</v>
      </c>
      <c r="X60" s="108">
        <v>208.41599999999968</v>
      </c>
      <c r="Y60" s="108">
        <v>508.53599999999932</v>
      </c>
      <c r="Z60" s="108">
        <v>878.63999999999896</v>
      </c>
      <c r="AA60" s="108">
        <v>467.04000000000065</v>
      </c>
      <c r="AB60" s="108">
        <v>326.37599999999946</v>
      </c>
      <c r="AC60" s="108">
        <v>712.58399999999767</v>
      </c>
      <c r="AD60" s="108">
        <v>466.08000000000101</v>
      </c>
      <c r="AE60" s="108">
        <v>647.3999999999985</v>
      </c>
      <c r="AF60" s="108">
        <v>0</v>
      </c>
      <c r="AG60" s="108">
        <v>210.0479999999994</v>
      </c>
      <c r="AH60" s="108">
        <v>258.62400000000019</v>
      </c>
      <c r="AI60" s="108">
        <v>43.032000000000103</v>
      </c>
      <c r="AJ60" s="108">
        <v>55.295999999999886</v>
      </c>
      <c r="AK60" s="108">
        <v>189.14399999999975</v>
      </c>
      <c r="AL60" s="108">
        <v>523.27199999999982</v>
      </c>
      <c r="AM60" s="108">
        <v>74.928000000000239</v>
      </c>
      <c r="AN60" s="108">
        <v>1051.8959999999988</v>
      </c>
      <c r="AO60" s="108">
        <v>422.92799999999983</v>
      </c>
      <c r="AP60" s="108">
        <v>780.52799999999888</v>
      </c>
      <c r="AQ60" s="108">
        <v>926.95199999999807</v>
      </c>
      <c r="AR60" s="108">
        <v>0</v>
      </c>
      <c r="AS60" s="108">
        <v>0</v>
      </c>
      <c r="AT60" s="108">
        <v>171.79200000000023</v>
      </c>
      <c r="AU60" s="108">
        <v>2005.5120000000022</v>
      </c>
      <c r="AV60" s="108">
        <v>1072.6799999999987</v>
      </c>
      <c r="AW60" s="108">
        <f t="shared" si="1"/>
        <v>22.151903999999991</v>
      </c>
    </row>
    <row r="61" spans="1:49">
      <c r="A61" s="149">
        <v>45803</v>
      </c>
      <c r="B61" s="150">
        <f>YEAR(Table7[[#This Row],[Date]])+IF(MONTH(Table7[[#This Row],[Date]])&gt;=4,1,0)</f>
        <v>2026</v>
      </c>
      <c r="C61" s="151">
        <f>YEAR(Table7[[#This Row],[Date]])</f>
        <v>2025</v>
      </c>
      <c r="D61" s="152">
        <f>Daily_KPI[[#This Row],[Date]]-DAY(Daily_KPI[[#This Row],[Date]])+1</f>
        <v>45778</v>
      </c>
      <c r="E61" s="108">
        <v>784.08000000000129</v>
      </c>
      <c r="F61" s="108">
        <v>1028.9759999999969</v>
      </c>
      <c r="G61" s="108">
        <v>652.8719999999995</v>
      </c>
      <c r="H61" s="108">
        <v>29.135999999999971</v>
      </c>
      <c r="I61" s="108">
        <v>0</v>
      </c>
      <c r="J61" s="108">
        <v>329.04000000000059</v>
      </c>
      <c r="K61" s="108">
        <v>848.40000000000055</v>
      </c>
      <c r="L61" s="108">
        <v>398.95200000000085</v>
      </c>
      <c r="M61" s="108">
        <v>691.77600000000109</v>
      </c>
      <c r="N61" s="108">
        <v>191.20800000000006</v>
      </c>
      <c r="O61" s="108">
        <v>604.05599999999924</v>
      </c>
      <c r="P61" s="108">
        <v>843.59999999999957</v>
      </c>
      <c r="Q61" s="108">
        <v>530.20800000000145</v>
      </c>
      <c r="R61" s="108">
        <v>812.35199999999907</v>
      </c>
      <c r="S61" s="108">
        <v>250.9920000000005</v>
      </c>
      <c r="T61" s="108">
        <v>846.74399999999889</v>
      </c>
      <c r="U61" s="108">
        <v>471.3599999999999</v>
      </c>
      <c r="V61" s="108">
        <v>391.68000000000006</v>
      </c>
      <c r="W61" s="108">
        <v>444.76800000000031</v>
      </c>
      <c r="X61" s="108">
        <v>208.41599999999968</v>
      </c>
      <c r="Y61" s="108">
        <v>508.53599999999932</v>
      </c>
      <c r="Z61" s="108">
        <v>878.63999999999896</v>
      </c>
      <c r="AA61" s="108">
        <v>467.04000000000065</v>
      </c>
      <c r="AB61" s="108">
        <v>326.37599999999946</v>
      </c>
      <c r="AC61" s="108">
        <v>712.58399999999767</v>
      </c>
      <c r="AD61" s="108">
        <v>466.08000000000101</v>
      </c>
      <c r="AE61" s="108">
        <v>647.3999999999985</v>
      </c>
      <c r="AF61" s="108">
        <v>0</v>
      </c>
      <c r="AG61" s="108">
        <v>210.0479999999994</v>
      </c>
      <c r="AH61" s="108">
        <v>258.62400000000019</v>
      </c>
      <c r="AI61" s="108">
        <v>43.032000000000103</v>
      </c>
      <c r="AJ61" s="108">
        <v>55.295999999999886</v>
      </c>
      <c r="AK61" s="108">
        <v>189.14399999999975</v>
      </c>
      <c r="AL61" s="108">
        <v>523.27199999999982</v>
      </c>
      <c r="AM61" s="108">
        <v>74.928000000000239</v>
      </c>
      <c r="AN61" s="108">
        <v>1051.8959999999988</v>
      </c>
      <c r="AO61" s="108">
        <v>422.92799999999983</v>
      </c>
      <c r="AP61" s="108">
        <v>780.52799999999888</v>
      </c>
      <c r="AQ61" s="108">
        <v>926.95199999999807</v>
      </c>
      <c r="AR61" s="108">
        <v>0</v>
      </c>
      <c r="AS61" s="108">
        <v>0</v>
      </c>
      <c r="AT61" s="108">
        <v>171.79200000000023</v>
      </c>
      <c r="AU61" s="108">
        <v>2005.5120000000022</v>
      </c>
      <c r="AV61" s="108">
        <v>1072.6799999999987</v>
      </c>
      <c r="AW61" s="108">
        <f t="shared" si="1"/>
        <v>22.151903999999991</v>
      </c>
    </row>
    <row r="62" spans="1:49">
      <c r="A62" s="145">
        <v>45804</v>
      </c>
      <c r="B62" s="146">
        <f>YEAR(Table7[[#This Row],[Date]])+IF(MONTH(Table7[[#This Row],[Date]])&gt;=4,1,0)</f>
        <v>2026</v>
      </c>
      <c r="C62" s="147">
        <f>YEAR(Table7[[#This Row],[Date]])</f>
        <v>2025</v>
      </c>
      <c r="D62" s="148">
        <f>Daily_KPI[[#This Row],[Date]]-DAY(Daily_KPI[[#This Row],[Date]])+1</f>
        <v>45778</v>
      </c>
      <c r="E62" s="108">
        <v>784.08000000000129</v>
      </c>
      <c r="F62" s="108">
        <v>1028.9759999999969</v>
      </c>
      <c r="G62" s="108">
        <v>652.8719999999995</v>
      </c>
      <c r="H62" s="108">
        <v>29.135999999999971</v>
      </c>
      <c r="I62" s="108">
        <v>0</v>
      </c>
      <c r="J62" s="108">
        <v>329.04000000000059</v>
      </c>
      <c r="K62" s="108">
        <v>848.40000000000055</v>
      </c>
      <c r="L62" s="108">
        <v>398.95200000000085</v>
      </c>
      <c r="M62" s="108">
        <v>691.77600000000109</v>
      </c>
      <c r="N62" s="108">
        <v>191.20800000000006</v>
      </c>
      <c r="O62" s="108">
        <v>604.05599999999924</v>
      </c>
      <c r="P62" s="108">
        <v>843.59999999999957</v>
      </c>
      <c r="Q62" s="108">
        <v>530.20800000000145</v>
      </c>
      <c r="R62" s="108">
        <v>812.35199999999907</v>
      </c>
      <c r="S62" s="108">
        <v>250.9920000000005</v>
      </c>
      <c r="T62" s="108">
        <v>846.74399999999889</v>
      </c>
      <c r="U62" s="108">
        <v>471.3599999999999</v>
      </c>
      <c r="V62" s="108">
        <v>391.68000000000006</v>
      </c>
      <c r="W62" s="108">
        <v>444.76800000000031</v>
      </c>
      <c r="X62" s="108">
        <v>208.41599999999968</v>
      </c>
      <c r="Y62" s="108">
        <v>508.53599999999932</v>
      </c>
      <c r="Z62" s="108">
        <v>878.63999999999896</v>
      </c>
      <c r="AA62" s="108">
        <v>467.04000000000065</v>
      </c>
      <c r="AB62" s="108">
        <v>326.37599999999946</v>
      </c>
      <c r="AC62" s="108">
        <v>712.58399999999767</v>
      </c>
      <c r="AD62" s="108">
        <v>466.08000000000101</v>
      </c>
      <c r="AE62" s="108">
        <v>647.3999999999985</v>
      </c>
      <c r="AF62" s="108">
        <v>0</v>
      </c>
      <c r="AG62" s="108">
        <v>210.0479999999994</v>
      </c>
      <c r="AH62" s="108">
        <v>258.62400000000019</v>
      </c>
      <c r="AI62" s="108">
        <v>43.032000000000103</v>
      </c>
      <c r="AJ62" s="108">
        <v>55.295999999999886</v>
      </c>
      <c r="AK62" s="108">
        <v>189.14399999999975</v>
      </c>
      <c r="AL62" s="108">
        <v>523.27199999999982</v>
      </c>
      <c r="AM62" s="108">
        <v>74.928000000000239</v>
      </c>
      <c r="AN62" s="108">
        <v>1051.8959999999988</v>
      </c>
      <c r="AO62" s="108">
        <v>422.92799999999983</v>
      </c>
      <c r="AP62" s="108">
        <v>780.52799999999888</v>
      </c>
      <c r="AQ62" s="108">
        <v>926.95199999999807</v>
      </c>
      <c r="AR62" s="108">
        <v>0</v>
      </c>
      <c r="AS62" s="108">
        <v>0</v>
      </c>
      <c r="AT62" s="108">
        <v>171.79200000000023</v>
      </c>
      <c r="AU62" s="108">
        <v>2005.5120000000022</v>
      </c>
      <c r="AV62" s="108">
        <v>1072.6799999999987</v>
      </c>
      <c r="AW62" s="108">
        <f t="shared" ref="AW62:AW125" si="7">SUM(E62:AV62)/1000</f>
        <v>22.151903999999991</v>
      </c>
    </row>
    <row r="63" spans="1:49">
      <c r="A63" s="149">
        <v>45805</v>
      </c>
      <c r="B63" s="150">
        <f>YEAR(Table7[[#This Row],[Date]])+IF(MONTH(Table7[[#This Row],[Date]])&gt;=4,1,0)</f>
        <v>2026</v>
      </c>
      <c r="C63" s="151">
        <f>YEAR(Table7[[#This Row],[Date]])</f>
        <v>2025</v>
      </c>
      <c r="D63" s="152">
        <f>Daily_KPI[[#This Row],[Date]]-DAY(Daily_KPI[[#This Row],[Date]])+1</f>
        <v>45778</v>
      </c>
      <c r="E63" s="108">
        <v>784.08000000000129</v>
      </c>
      <c r="F63" s="108">
        <v>1028.9759999999969</v>
      </c>
      <c r="G63" s="108">
        <v>652.8719999999995</v>
      </c>
      <c r="H63" s="108">
        <v>29.135999999999971</v>
      </c>
      <c r="I63" s="108">
        <v>0</v>
      </c>
      <c r="J63" s="108">
        <v>329.04000000000059</v>
      </c>
      <c r="K63" s="108">
        <v>848.40000000000055</v>
      </c>
      <c r="L63" s="108">
        <v>398.95200000000085</v>
      </c>
      <c r="M63" s="108">
        <v>691.77600000000109</v>
      </c>
      <c r="N63" s="108">
        <v>191.20800000000006</v>
      </c>
      <c r="O63" s="108">
        <v>604.05599999999924</v>
      </c>
      <c r="P63" s="108">
        <v>843.59999999999957</v>
      </c>
      <c r="Q63" s="108">
        <v>530.20800000000145</v>
      </c>
      <c r="R63" s="108">
        <v>812.35199999999907</v>
      </c>
      <c r="S63" s="108">
        <v>250.9920000000005</v>
      </c>
      <c r="T63" s="108">
        <v>846.74399999999889</v>
      </c>
      <c r="U63" s="108">
        <v>471.3599999999999</v>
      </c>
      <c r="V63" s="108">
        <v>391.68000000000006</v>
      </c>
      <c r="W63" s="108">
        <v>444.76800000000031</v>
      </c>
      <c r="X63" s="108">
        <v>208.41599999999968</v>
      </c>
      <c r="Y63" s="108">
        <v>508.53599999999932</v>
      </c>
      <c r="Z63" s="108">
        <v>878.63999999999896</v>
      </c>
      <c r="AA63" s="108">
        <v>467.04000000000065</v>
      </c>
      <c r="AB63" s="108">
        <v>326.37599999999946</v>
      </c>
      <c r="AC63" s="108">
        <v>712.58399999999767</v>
      </c>
      <c r="AD63" s="108">
        <v>466.08000000000101</v>
      </c>
      <c r="AE63" s="108">
        <v>647.3999999999985</v>
      </c>
      <c r="AF63" s="108">
        <v>0</v>
      </c>
      <c r="AG63" s="108">
        <v>210.0479999999994</v>
      </c>
      <c r="AH63" s="108">
        <v>258.62400000000019</v>
      </c>
      <c r="AI63" s="108">
        <v>43.032000000000103</v>
      </c>
      <c r="AJ63" s="108">
        <v>55.295999999999886</v>
      </c>
      <c r="AK63" s="108">
        <v>189.14399999999975</v>
      </c>
      <c r="AL63" s="108">
        <v>523.27199999999982</v>
      </c>
      <c r="AM63" s="108">
        <v>74.928000000000239</v>
      </c>
      <c r="AN63" s="108">
        <v>1051.8959999999988</v>
      </c>
      <c r="AO63" s="108">
        <v>422.92799999999983</v>
      </c>
      <c r="AP63" s="108">
        <v>780.52799999999888</v>
      </c>
      <c r="AQ63" s="108">
        <v>926.95199999999807</v>
      </c>
      <c r="AR63" s="108">
        <v>0</v>
      </c>
      <c r="AS63" s="108">
        <v>0</v>
      </c>
      <c r="AT63" s="108">
        <v>171.79200000000023</v>
      </c>
      <c r="AU63" s="108">
        <v>2005.5120000000022</v>
      </c>
      <c r="AV63" s="108">
        <v>1072.6799999999987</v>
      </c>
      <c r="AW63" s="108">
        <f t="shared" si="7"/>
        <v>22.151903999999991</v>
      </c>
    </row>
    <row r="64" spans="1:49">
      <c r="A64" s="145">
        <v>45806</v>
      </c>
      <c r="B64" s="146">
        <f>YEAR(Table7[[#This Row],[Date]])+IF(MONTH(Table7[[#This Row],[Date]])&gt;=4,1,0)</f>
        <v>2026</v>
      </c>
      <c r="C64" s="147">
        <f>YEAR(Table7[[#This Row],[Date]])</f>
        <v>2025</v>
      </c>
      <c r="D64" s="148">
        <f>Daily_KPI[[#This Row],[Date]]-DAY(Daily_KPI[[#This Row],[Date]])+1</f>
        <v>45778</v>
      </c>
      <c r="E64" s="108">
        <v>784.08000000000129</v>
      </c>
      <c r="F64" s="108">
        <v>1028.9759999999969</v>
      </c>
      <c r="G64" s="108">
        <v>652.8719999999995</v>
      </c>
      <c r="H64" s="108">
        <v>29.135999999999971</v>
      </c>
      <c r="I64" s="108">
        <v>0</v>
      </c>
      <c r="J64" s="108">
        <v>329.04000000000059</v>
      </c>
      <c r="K64" s="108">
        <v>848.40000000000055</v>
      </c>
      <c r="L64" s="108">
        <v>398.95200000000085</v>
      </c>
      <c r="M64" s="108">
        <v>691.77600000000109</v>
      </c>
      <c r="N64" s="108">
        <v>191.20800000000006</v>
      </c>
      <c r="O64" s="108">
        <v>604.05599999999924</v>
      </c>
      <c r="P64" s="108">
        <v>843.59999999999957</v>
      </c>
      <c r="Q64" s="108">
        <v>530.20800000000145</v>
      </c>
      <c r="R64" s="108">
        <v>812.35199999999907</v>
      </c>
      <c r="S64" s="108">
        <v>250.9920000000005</v>
      </c>
      <c r="T64" s="108">
        <v>846.74399999999889</v>
      </c>
      <c r="U64" s="108">
        <v>471.3599999999999</v>
      </c>
      <c r="V64" s="108">
        <v>391.68000000000006</v>
      </c>
      <c r="W64" s="108">
        <v>444.76800000000031</v>
      </c>
      <c r="X64" s="108">
        <v>208.41599999999968</v>
      </c>
      <c r="Y64" s="108">
        <v>508.53599999999932</v>
      </c>
      <c r="Z64" s="108">
        <v>878.63999999999896</v>
      </c>
      <c r="AA64" s="108">
        <v>467.04000000000065</v>
      </c>
      <c r="AB64" s="108">
        <v>326.37599999999946</v>
      </c>
      <c r="AC64" s="108">
        <v>712.58399999999767</v>
      </c>
      <c r="AD64" s="108">
        <v>466.08000000000101</v>
      </c>
      <c r="AE64" s="108">
        <v>647.3999999999985</v>
      </c>
      <c r="AF64" s="108">
        <v>0</v>
      </c>
      <c r="AG64" s="108">
        <v>210.0479999999994</v>
      </c>
      <c r="AH64" s="108">
        <v>258.62400000000019</v>
      </c>
      <c r="AI64" s="108">
        <v>43.032000000000103</v>
      </c>
      <c r="AJ64" s="108">
        <v>55.295999999999886</v>
      </c>
      <c r="AK64" s="108">
        <v>189.14399999999975</v>
      </c>
      <c r="AL64" s="108">
        <v>523.27199999999982</v>
      </c>
      <c r="AM64" s="108">
        <v>74.928000000000239</v>
      </c>
      <c r="AN64" s="108">
        <v>1051.8959999999988</v>
      </c>
      <c r="AO64" s="108">
        <v>422.92799999999983</v>
      </c>
      <c r="AP64" s="108">
        <v>780.52799999999888</v>
      </c>
      <c r="AQ64" s="108">
        <v>926.95199999999807</v>
      </c>
      <c r="AR64" s="108">
        <v>0</v>
      </c>
      <c r="AS64" s="108">
        <v>0</v>
      </c>
      <c r="AT64" s="108">
        <v>171.79200000000023</v>
      </c>
      <c r="AU64" s="108">
        <v>2005.5120000000022</v>
      </c>
      <c r="AV64" s="108">
        <v>1072.6799999999987</v>
      </c>
      <c r="AW64" s="108">
        <f t="shared" si="7"/>
        <v>22.151903999999991</v>
      </c>
    </row>
    <row r="65" spans="1:49">
      <c r="A65" s="149">
        <v>45807</v>
      </c>
      <c r="B65" s="150">
        <f>YEAR(Table7[[#This Row],[Date]])+IF(MONTH(Table7[[#This Row],[Date]])&gt;=4,1,0)</f>
        <v>2026</v>
      </c>
      <c r="C65" s="151">
        <f>YEAR(Table7[[#This Row],[Date]])</f>
        <v>2025</v>
      </c>
      <c r="D65" s="152">
        <f>Daily_KPI[[#This Row],[Date]]-DAY(Daily_KPI[[#This Row],[Date]])+1</f>
        <v>45778</v>
      </c>
      <c r="E65" s="108">
        <v>784.08000000000129</v>
      </c>
      <c r="F65" s="108">
        <v>1028.9759999999969</v>
      </c>
      <c r="G65" s="108">
        <v>652.8719999999995</v>
      </c>
      <c r="H65" s="108">
        <v>29.135999999999971</v>
      </c>
      <c r="I65" s="108">
        <v>0</v>
      </c>
      <c r="J65" s="108">
        <v>329.04000000000059</v>
      </c>
      <c r="K65" s="108">
        <v>848.40000000000055</v>
      </c>
      <c r="L65" s="108">
        <v>398.95200000000085</v>
      </c>
      <c r="M65" s="108">
        <v>691.77600000000109</v>
      </c>
      <c r="N65" s="108">
        <v>191.20800000000006</v>
      </c>
      <c r="O65" s="108">
        <v>604.05599999999924</v>
      </c>
      <c r="P65" s="108">
        <v>843.59999999999957</v>
      </c>
      <c r="Q65" s="108">
        <v>530.20800000000145</v>
      </c>
      <c r="R65" s="108">
        <v>812.35199999999907</v>
      </c>
      <c r="S65" s="108">
        <v>250.9920000000005</v>
      </c>
      <c r="T65" s="108">
        <v>846.74399999999889</v>
      </c>
      <c r="U65" s="108">
        <v>471.3599999999999</v>
      </c>
      <c r="V65" s="108">
        <v>391.68000000000006</v>
      </c>
      <c r="W65" s="108">
        <v>444.76800000000031</v>
      </c>
      <c r="X65" s="108">
        <v>208.41599999999968</v>
      </c>
      <c r="Y65" s="108">
        <v>508.53599999999932</v>
      </c>
      <c r="Z65" s="108">
        <v>878.63999999999896</v>
      </c>
      <c r="AA65" s="108">
        <v>467.04000000000065</v>
      </c>
      <c r="AB65" s="108">
        <v>326.37599999999946</v>
      </c>
      <c r="AC65" s="108">
        <v>712.58399999999767</v>
      </c>
      <c r="AD65" s="108">
        <v>466.08000000000101</v>
      </c>
      <c r="AE65" s="108">
        <v>647.3999999999985</v>
      </c>
      <c r="AF65" s="108">
        <v>0</v>
      </c>
      <c r="AG65" s="108">
        <v>210.0479999999994</v>
      </c>
      <c r="AH65" s="108">
        <v>258.62400000000019</v>
      </c>
      <c r="AI65" s="108">
        <v>43.032000000000103</v>
      </c>
      <c r="AJ65" s="108">
        <v>55.295999999999886</v>
      </c>
      <c r="AK65" s="108">
        <v>189.14399999999975</v>
      </c>
      <c r="AL65" s="108">
        <v>523.27199999999982</v>
      </c>
      <c r="AM65" s="108">
        <v>74.928000000000239</v>
      </c>
      <c r="AN65" s="108">
        <v>1051.8959999999988</v>
      </c>
      <c r="AO65" s="108">
        <v>422.92799999999983</v>
      </c>
      <c r="AP65" s="108">
        <v>780.52799999999888</v>
      </c>
      <c r="AQ65" s="108">
        <v>926.95199999999807</v>
      </c>
      <c r="AR65" s="108">
        <v>0</v>
      </c>
      <c r="AS65" s="108">
        <v>0</v>
      </c>
      <c r="AT65" s="108">
        <v>171.79200000000023</v>
      </c>
      <c r="AU65" s="108">
        <v>2005.5120000000022</v>
      </c>
      <c r="AV65" s="108">
        <v>1072.6799999999987</v>
      </c>
      <c r="AW65" s="108">
        <f t="shared" ref="AW65" si="8">SUM(E65:AV65)/1000</f>
        <v>22.151903999999991</v>
      </c>
    </row>
    <row r="66" spans="1:49">
      <c r="A66" s="145">
        <v>45808</v>
      </c>
      <c r="B66" s="146">
        <f>YEAR(Table7[[#This Row],[Date]])+IF(MONTH(Table7[[#This Row],[Date]])&gt;=4,1,0)</f>
        <v>2026</v>
      </c>
      <c r="C66" s="147">
        <f>YEAR(Table7[[#This Row],[Date]])</f>
        <v>2025</v>
      </c>
      <c r="D66" s="148">
        <f>Daily_KPI[[#This Row],[Date]]-DAY(Daily_KPI[[#This Row],[Date]])+1</f>
        <v>45809</v>
      </c>
      <c r="E66" s="108">
        <v>784.08000000000129</v>
      </c>
      <c r="F66" s="108">
        <v>1028.9759999999969</v>
      </c>
      <c r="G66" s="108">
        <v>652.8719999999995</v>
      </c>
      <c r="H66" s="108">
        <v>29.135999999999971</v>
      </c>
      <c r="I66" s="108">
        <v>0</v>
      </c>
      <c r="J66" s="108">
        <v>329.04000000000059</v>
      </c>
      <c r="K66" s="108">
        <v>848.40000000000055</v>
      </c>
      <c r="L66" s="108">
        <v>398.95200000000085</v>
      </c>
      <c r="M66" s="108">
        <v>691.77600000000109</v>
      </c>
      <c r="N66" s="108">
        <v>191.20800000000006</v>
      </c>
      <c r="O66" s="108">
        <v>604.05599999999924</v>
      </c>
      <c r="P66" s="108">
        <v>843.59999999999957</v>
      </c>
      <c r="Q66" s="108">
        <v>530.20800000000145</v>
      </c>
      <c r="R66" s="108">
        <v>812.35199999999907</v>
      </c>
      <c r="S66" s="108">
        <v>250.9920000000005</v>
      </c>
      <c r="T66" s="108">
        <v>846.74399999999889</v>
      </c>
      <c r="U66" s="108">
        <v>471.3599999999999</v>
      </c>
      <c r="V66" s="108">
        <v>391.68000000000006</v>
      </c>
      <c r="W66" s="108">
        <v>444.76800000000031</v>
      </c>
      <c r="X66" s="108">
        <v>208.41599999999968</v>
      </c>
      <c r="Y66" s="108">
        <v>508.53599999999932</v>
      </c>
      <c r="Z66" s="108">
        <v>878.63999999999896</v>
      </c>
      <c r="AA66" s="108">
        <v>467.04000000000065</v>
      </c>
      <c r="AB66" s="108">
        <v>326.37599999999946</v>
      </c>
      <c r="AC66" s="108">
        <v>712.58399999999767</v>
      </c>
      <c r="AD66" s="108">
        <v>466.08000000000101</v>
      </c>
      <c r="AE66" s="108">
        <v>647.3999999999985</v>
      </c>
      <c r="AF66" s="108">
        <v>0</v>
      </c>
      <c r="AG66" s="108">
        <v>210.0479999999994</v>
      </c>
      <c r="AH66" s="108">
        <v>258.62400000000019</v>
      </c>
      <c r="AI66" s="108">
        <v>43.032000000000103</v>
      </c>
      <c r="AJ66" s="108">
        <v>55.295999999999886</v>
      </c>
      <c r="AK66" s="108">
        <v>189.14399999999975</v>
      </c>
      <c r="AL66" s="108">
        <v>523.27199999999982</v>
      </c>
      <c r="AM66" s="108">
        <v>74.928000000000239</v>
      </c>
      <c r="AN66" s="108">
        <v>1051.8959999999988</v>
      </c>
      <c r="AO66" s="108">
        <v>422.92799999999983</v>
      </c>
      <c r="AP66" s="108">
        <v>780.52799999999888</v>
      </c>
      <c r="AQ66" s="108">
        <v>926.95199999999807</v>
      </c>
      <c r="AR66" s="108">
        <v>0</v>
      </c>
      <c r="AS66" s="108">
        <v>0</v>
      </c>
      <c r="AT66" s="108">
        <v>171.79200000000023</v>
      </c>
      <c r="AU66" s="108">
        <v>2005.5120000000022</v>
      </c>
      <c r="AV66" s="108">
        <v>1072.6799999999987</v>
      </c>
      <c r="AW66" s="108">
        <f t="shared" ref="AW66" si="9">SUM(E66:AV66)/1000</f>
        <v>22.151903999999991</v>
      </c>
    </row>
    <row r="67" spans="1:49">
      <c r="A67" s="149">
        <v>45809</v>
      </c>
      <c r="B67" s="150">
        <f>YEAR(Table7[[#This Row],[Date]])+IF(MONTH(Table7[[#This Row],[Date]])&gt;=4,1,0)</f>
        <v>2026</v>
      </c>
      <c r="C67" s="151">
        <f>YEAR(Table7[[#This Row],[Date]])</f>
        <v>2025</v>
      </c>
      <c r="D67" s="152">
        <f>Daily_KPI[[#This Row],[Date]]-DAY(Daily_KPI[[#This Row],[Date]])+1</f>
        <v>45809</v>
      </c>
      <c r="E67" s="108">
        <v>784.08000000000129</v>
      </c>
      <c r="F67" s="108">
        <v>1028.9759999999969</v>
      </c>
      <c r="G67" s="108">
        <v>652.8719999999995</v>
      </c>
      <c r="H67" s="108">
        <v>29.135999999999971</v>
      </c>
      <c r="I67" s="108">
        <v>0</v>
      </c>
      <c r="J67" s="108">
        <v>329.04000000000059</v>
      </c>
      <c r="K67" s="108">
        <v>848.40000000000055</v>
      </c>
      <c r="L67" s="108">
        <v>398.95200000000085</v>
      </c>
      <c r="M67" s="108">
        <v>691.77600000000109</v>
      </c>
      <c r="N67" s="108">
        <v>191.20800000000006</v>
      </c>
      <c r="O67" s="108">
        <v>604.05599999999924</v>
      </c>
      <c r="P67" s="108">
        <v>843.59999999999957</v>
      </c>
      <c r="Q67" s="108">
        <v>530.20800000000145</v>
      </c>
      <c r="R67" s="108">
        <v>812.35199999999907</v>
      </c>
      <c r="S67" s="108">
        <v>250.9920000000005</v>
      </c>
      <c r="T67" s="108">
        <v>846.74399999999889</v>
      </c>
      <c r="U67" s="108">
        <v>471.3599999999999</v>
      </c>
      <c r="V67" s="108">
        <v>391.68000000000006</v>
      </c>
      <c r="W67" s="108">
        <v>444.76800000000031</v>
      </c>
      <c r="X67" s="108">
        <v>208.41599999999968</v>
      </c>
      <c r="Y67" s="108">
        <v>508.53599999999932</v>
      </c>
      <c r="Z67" s="108">
        <v>878.63999999999896</v>
      </c>
      <c r="AA67" s="108">
        <v>467.04000000000065</v>
      </c>
      <c r="AB67" s="108">
        <v>326.37599999999946</v>
      </c>
      <c r="AC67" s="108">
        <v>712.58399999999767</v>
      </c>
      <c r="AD67" s="108">
        <v>466.08000000000101</v>
      </c>
      <c r="AE67" s="108">
        <v>647.3999999999985</v>
      </c>
      <c r="AF67" s="108">
        <v>0</v>
      </c>
      <c r="AG67" s="108">
        <v>210.0479999999994</v>
      </c>
      <c r="AH67" s="108">
        <v>258.62400000000019</v>
      </c>
      <c r="AI67" s="108">
        <v>43.032000000000103</v>
      </c>
      <c r="AJ67" s="108">
        <v>55.295999999999886</v>
      </c>
      <c r="AK67" s="108">
        <v>189.14399999999975</v>
      </c>
      <c r="AL67" s="108">
        <v>523.27199999999982</v>
      </c>
      <c r="AM67" s="108">
        <v>74.928000000000239</v>
      </c>
      <c r="AN67" s="108">
        <v>1051.8959999999988</v>
      </c>
      <c r="AO67" s="108">
        <v>422.92799999999983</v>
      </c>
      <c r="AP67" s="108">
        <v>780.52799999999888</v>
      </c>
      <c r="AQ67" s="108">
        <v>926.95199999999807</v>
      </c>
      <c r="AR67" s="108">
        <v>0</v>
      </c>
      <c r="AS67" s="108">
        <v>0</v>
      </c>
      <c r="AT67" s="108">
        <v>171.79200000000023</v>
      </c>
      <c r="AU67" s="108">
        <v>2005.5120000000022</v>
      </c>
      <c r="AV67" s="108">
        <v>1072.6799999999987</v>
      </c>
      <c r="AW67" s="108">
        <f t="shared" ref="AW67" si="10">SUM(E67:AV67)/1000</f>
        <v>22.151903999999991</v>
      </c>
    </row>
    <row r="68" spans="1:49">
      <c r="A68" s="145">
        <v>45810</v>
      </c>
      <c r="B68" s="146">
        <f>YEAR(Table7[[#This Row],[Date]])+IF(MONTH(Table7[[#This Row],[Date]])&gt;=4,1,0)</f>
        <v>2026</v>
      </c>
      <c r="C68" s="147">
        <f>YEAR(Table7[[#This Row],[Date]])</f>
        <v>2025</v>
      </c>
      <c r="D68" s="148">
        <f>Daily_KPI[[#This Row],[Date]]-DAY(Daily_KPI[[#This Row],[Date]])+1</f>
        <v>45809</v>
      </c>
      <c r="E68" s="108">
        <v>1183.049</v>
      </c>
      <c r="F68" s="108">
        <v>1271.1273333333336</v>
      </c>
      <c r="G68" s="108">
        <v>761.36733333333325</v>
      </c>
      <c r="H68" s="108">
        <v>883.47883333333357</v>
      </c>
      <c r="I68" s="108">
        <v>992.85483333333343</v>
      </c>
      <c r="J68" s="108">
        <v>1179.9508333333335</v>
      </c>
      <c r="K68" s="108">
        <v>1107.8433333333335</v>
      </c>
      <c r="L68" s="108">
        <v>555.83883333333324</v>
      </c>
      <c r="M68" s="108">
        <v>357.89616666666672</v>
      </c>
      <c r="N68" s="108">
        <v>331.75816666666668</v>
      </c>
      <c r="O68" s="108">
        <v>352.54533333333325</v>
      </c>
      <c r="P68" s="108">
        <v>633.54616666666652</v>
      </c>
      <c r="Q68" s="108">
        <v>648.57716666666659</v>
      </c>
      <c r="R68" s="108">
        <v>718.39166666666677</v>
      </c>
      <c r="S68" s="108">
        <v>539.26399999999978</v>
      </c>
      <c r="T68" s="108">
        <v>629.55799999999988</v>
      </c>
      <c r="U68" s="108">
        <v>431.15533333333332</v>
      </c>
      <c r="V68" s="108">
        <v>792.56500000000005</v>
      </c>
      <c r="W68" s="108">
        <v>723.70999999999992</v>
      </c>
      <c r="X68" s="108">
        <v>451.30700000000002</v>
      </c>
      <c r="Y68" s="108">
        <v>776.67433333333338</v>
      </c>
      <c r="Z68" s="108">
        <v>724.45616666666672</v>
      </c>
      <c r="AA68" s="108">
        <v>620.71833333333325</v>
      </c>
      <c r="AB68" s="108">
        <v>544.3365</v>
      </c>
      <c r="AC68" s="108">
        <v>608.03500000000008</v>
      </c>
      <c r="AD68" s="108">
        <v>490.27733333333327</v>
      </c>
      <c r="AE68" s="108">
        <v>350.78199999999993</v>
      </c>
      <c r="AF68" s="108">
        <v>587.22783333333336</v>
      </c>
      <c r="AG68" s="108">
        <v>905.89716666666664</v>
      </c>
      <c r="AH68" s="108">
        <v>798.02116666666677</v>
      </c>
      <c r="AI68" s="108">
        <v>398.97966666666667</v>
      </c>
      <c r="AJ68" s="108">
        <v>777.36233333333337</v>
      </c>
      <c r="AK68" s="108">
        <v>956.15899999999965</v>
      </c>
      <c r="AL68" s="108">
        <v>678.87716666666654</v>
      </c>
      <c r="AM68" s="108">
        <v>540.24850000000004</v>
      </c>
      <c r="AN68" s="108">
        <v>1402.0771666666667</v>
      </c>
      <c r="AO68" s="108">
        <v>983.75733333333335</v>
      </c>
      <c r="AP68" s="108">
        <v>741.77433333333329</v>
      </c>
      <c r="AQ68" s="108">
        <v>1199.3075000000001</v>
      </c>
      <c r="AR68" s="108">
        <v>694.99466666666683</v>
      </c>
      <c r="AS68" s="108">
        <v>800.06983333333346</v>
      </c>
      <c r="AT68" s="108">
        <v>950.63183333333302</v>
      </c>
      <c r="AU68" s="108">
        <v>1337.6396666666665</v>
      </c>
      <c r="AV68" s="108">
        <v>1251.5353333333333</v>
      </c>
      <c r="AW68" s="108">
        <f t="shared" si="7"/>
        <v>33.6656245</v>
      </c>
    </row>
    <row r="69" spans="1:49">
      <c r="A69" s="149">
        <v>45811</v>
      </c>
      <c r="B69" s="150">
        <f>YEAR(Table7[[#This Row],[Date]])+IF(MONTH(Table7[[#This Row],[Date]])&gt;=4,1,0)</f>
        <v>2026</v>
      </c>
      <c r="C69" s="151">
        <f>YEAR(Table7[[#This Row],[Date]])</f>
        <v>2025</v>
      </c>
      <c r="D69" s="152">
        <f>Daily_KPI[[#This Row],[Date]]-DAY(Daily_KPI[[#This Row],[Date]])+1</f>
        <v>45809</v>
      </c>
      <c r="E69" s="108">
        <v>3036.7900000000068</v>
      </c>
      <c r="F69" s="108">
        <v>2787.6084999999998</v>
      </c>
      <c r="G69" s="108">
        <v>2206.308833333338</v>
      </c>
      <c r="H69" s="108">
        <v>2234.110000000001</v>
      </c>
      <c r="I69" s="108">
        <v>2660.4151666666717</v>
      </c>
      <c r="J69" s="108">
        <v>2844.3665000000015</v>
      </c>
      <c r="K69" s="108">
        <v>2592.8893333333285</v>
      </c>
      <c r="L69" s="108">
        <v>1578.1536666666673</v>
      </c>
      <c r="M69" s="108">
        <v>924.22083333333296</v>
      </c>
      <c r="N69" s="108">
        <v>1176.4079999999997</v>
      </c>
      <c r="O69" s="108">
        <v>2059.5643333333296</v>
      </c>
      <c r="P69" s="108">
        <v>2797.8759999999988</v>
      </c>
      <c r="Q69" s="108">
        <v>2523.2265000000011</v>
      </c>
      <c r="R69" s="108">
        <v>2038.8833333333298</v>
      </c>
      <c r="S69" s="108">
        <v>1798.087833333336</v>
      </c>
      <c r="T69" s="108">
        <v>1804.3424999999977</v>
      </c>
      <c r="U69" s="108">
        <v>1502.5970000000043</v>
      </c>
      <c r="V69" s="108">
        <v>1900.9288333333359</v>
      </c>
      <c r="W69" s="108">
        <v>1791.0951666666622</v>
      </c>
      <c r="X69" s="108">
        <v>1151.6105000000023</v>
      </c>
      <c r="Y69" s="108">
        <v>2126.6659999999997</v>
      </c>
      <c r="Z69" s="108">
        <v>1706.8418333333341</v>
      </c>
      <c r="AA69" s="108">
        <v>1627.1854999999998</v>
      </c>
      <c r="AB69" s="108">
        <v>1761.3403333333329</v>
      </c>
      <c r="AC69" s="108">
        <v>1972.9295000000004</v>
      </c>
      <c r="AD69" s="108">
        <v>1262.6764999999996</v>
      </c>
      <c r="AE69" s="108">
        <v>1790.1241666666649</v>
      </c>
      <c r="AF69" s="108">
        <v>1747.6391666666696</v>
      </c>
      <c r="AG69" s="108">
        <v>2154.3148333333374</v>
      </c>
      <c r="AH69" s="108">
        <v>2300.3379999999943</v>
      </c>
      <c r="AI69" s="108">
        <v>1324.2870000000025</v>
      </c>
      <c r="AJ69" s="108">
        <v>1972.8075000000038</v>
      </c>
      <c r="AK69" s="108">
        <v>2357.1703333333321</v>
      </c>
      <c r="AL69" s="108">
        <v>2611.1196666666624</v>
      </c>
      <c r="AM69" s="108">
        <v>1492.1466666666686</v>
      </c>
      <c r="AN69" s="108">
        <v>3319.5803333333261</v>
      </c>
      <c r="AO69" s="108">
        <v>3419.671666666658</v>
      </c>
      <c r="AP69" s="108">
        <v>2207.2770000000019</v>
      </c>
      <c r="AQ69" s="108">
        <v>3098.3794999999986</v>
      </c>
      <c r="AR69" s="108">
        <v>1813.5995000000014</v>
      </c>
      <c r="AS69" s="108">
        <v>2284.1556666666702</v>
      </c>
      <c r="AT69" s="108">
        <v>2743.8393333333329</v>
      </c>
      <c r="AU69" s="108">
        <v>3434.9161666666769</v>
      </c>
      <c r="AV69" s="108">
        <v>3104.7780000000025</v>
      </c>
      <c r="AW69" s="108">
        <f t="shared" si="7"/>
        <v>95.043267000000029</v>
      </c>
    </row>
    <row r="70" spans="1:49">
      <c r="A70" s="145">
        <v>45812</v>
      </c>
      <c r="B70" s="146">
        <f>YEAR(Table7[[#This Row],[Date]])+IF(MONTH(Table7[[#This Row],[Date]])&gt;=4,1,0)</f>
        <v>2026</v>
      </c>
      <c r="C70" s="147">
        <f>YEAR(Table7[[#This Row],[Date]])</f>
        <v>2025</v>
      </c>
      <c r="D70" s="148">
        <f>Daily_KPI[[#This Row],[Date]]-DAY(Daily_KPI[[#This Row],[Date]])+1</f>
        <v>45809</v>
      </c>
      <c r="E70" s="268">
        <v>3124.5850000000009</v>
      </c>
      <c r="F70" s="268">
        <v>2930.4908333333337</v>
      </c>
      <c r="G70" s="268">
        <v>2925.4906666666666</v>
      </c>
      <c r="H70" s="268">
        <v>2339.7386666666657</v>
      </c>
      <c r="I70" s="268">
        <v>2657.7821666666655</v>
      </c>
      <c r="J70" s="268">
        <v>2863.3913333333344</v>
      </c>
      <c r="K70" s="268">
        <v>2564.2971666666667</v>
      </c>
      <c r="L70" s="268">
        <v>1901.2288333333329</v>
      </c>
      <c r="M70" s="268">
        <v>1678.3185000000001</v>
      </c>
      <c r="N70" s="268">
        <v>1456.0294999999994</v>
      </c>
      <c r="O70" s="268">
        <v>1587.1850000000002</v>
      </c>
      <c r="P70" s="268">
        <v>1712.9484999999997</v>
      </c>
      <c r="Q70" s="268">
        <v>1490.3196666666661</v>
      </c>
      <c r="R70" s="268">
        <v>1509.1541666666665</v>
      </c>
      <c r="S70" s="268">
        <v>1384.5256666666667</v>
      </c>
      <c r="T70" s="268">
        <v>1632.4833333333329</v>
      </c>
      <c r="U70" s="268">
        <v>1801.8911666666663</v>
      </c>
      <c r="V70" s="268">
        <v>2236.5505000000007</v>
      </c>
      <c r="W70" s="268">
        <v>1979.0331666666668</v>
      </c>
      <c r="X70" s="268">
        <v>1410.2003333333334</v>
      </c>
      <c r="Y70" s="268">
        <v>2435.0858333333331</v>
      </c>
      <c r="Z70" s="268">
        <v>2194.4671666666659</v>
      </c>
      <c r="AA70" s="268">
        <v>2407.2573333333335</v>
      </c>
      <c r="AB70" s="268">
        <v>1841.6298333333336</v>
      </c>
      <c r="AC70" s="268">
        <v>1994.9009999999998</v>
      </c>
      <c r="AD70" s="268">
        <v>898.21333333333325</v>
      </c>
      <c r="AE70" s="268">
        <v>2672.5243333333333</v>
      </c>
      <c r="AF70" s="268">
        <v>1746.410666666666</v>
      </c>
      <c r="AG70" s="268">
        <v>2330.1291666666652</v>
      </c>
      <c r="AH70" s="268">
        <v>2079.4133333333339</v>
      </c>
      <c r="AI70" s="268">
        <v>1811.1310000000003</v>
      </c>
      <c r="AJ70" s="268">
        <v>1987.0713333333333</v>
      </c>
      <c r="AK70" s="268">
        <v>2619.2376666666673</v>
      </c>
      <c r="AL70" s="268">
        <v>2256.1960000000008</v>
      </c>
      <c r="AM70" s="268">
        <v>1939.2750000000005</v>
      </c>
      <c r="AN70" s="268">
        <v>3802.0741666666636</v>
      </c>
      <c r="AO70" s="268">
        <v>3331.6131666666647</v>
      </c>
      <c r="AP70" s="268">
        <v>2463.8073333333346</v>
      </c>
      <c r="AQ70" s="268">
        <v>2307.7431666666666</v>
      </c>
      <c r="AR70" s="268">
        <v>1871.2565000000004</v>
      </c>
      <c r="AS70" s="268">
        <v>2261.2651666666675</v>
      </c>
      <c r="AT70" s="268">
        <v>2267.3286666666663</v>
      </c>
      <c r="AU70" s="268">
        <v>3442.9576666666671</v>
      </c>
      <c r="AV70" s="268">
        <v>2492.7375000000002</v>
      </c>
      <c r="AW70" s="108">
        <f t="shared" si="7"/>
        <v>96.639370499999984</v>
      </c>
    </row>
    <row r="71" spans="1:49">
      <c r="A71" s="149">
        <v>45813</v>
      </c>
      <c r="B71" s="150">
        <f>YEAR(Table7[[#This Row],[Date]])+IF(MONTH(Table7[[#This Row],[Date]])&gt;=4,1,0)</f>
        <v>2026</v>
      </c>
      <c r="C71" s="151">
        <f>YEAR(Table7[[#This Row],[Date]])</f>
        <v>2025</v>
      </c>
      <c r="D71" s="152">
        <f>Daily_KPI[[#This Row],[Date]]-DAY(Daily_KPI[[#This Row],[Date]])+1</f>
        <v>45809</v>
      </c>
      <c r="E71" s="108">
        <v>2031.0356666666669</v>
      </c>
      <c r="F71" s="108">
        <v>2167.9003333333335</v>
      </c>
      <c r="G71" s="108">
        <v>2191.7554999999998</v>
      </c>
      <c r="H71" s="108">
        <v>1690.9686666666673</v>
      </c>
      <c r="I71" s="108">
        <v>2146.5250000000001</v>
      </c>
      <c r="J71" s="108">
        <v>2073.3271666666674</v>
      </c>
      <c r="K71" s="108">
        <v>1432.8646666666664</v>
      </c>
      <c r="L71" s="108">
        <v>918.07599999999968</v>
      </c>
      <c r="M71" s="108">
        <v>1078.4706666666659</v>
      </c>
      <c r="N71" s="108">
        <v>1287.7354999999995</v>
      </c>
      <c r="O71" s="108">
        <v>1210.3648333333329</v>
      </c>
      <c r="P71" s="108">
        <v>1222.4653333333335</v>
      </c>
      <c r="Q71" s="108">
        <v>1038.3501666666668</v>
      </c>
      <c r="R71" s="108">
        <v>1132.8109999999995</v>
      </c>
      <c r="S71" s="108">
        <v>941.31166666666684</v>
      </c>
      <c r="T71" s="108">
        <v>1060.7414999999999</v>
      </c>
      <c r="U71" s="108">
        <v>1035.7569999999996</v>
      </c>
      <c r="V71" s="108">
        <v>2085.0216666666679</v>
      </c>
      <c r="W71" s="108">
        <v>907.89933333333408</v>
      </c>
      <c r="X71" s="108">
        <v>751.33899999999994</v>
      </c>
      <c r="Y71" s="108">
        <v>1548.2011666666669</v>
      </c>
      <c r="Z71" s="108">
        <v>1620.847166666668</v>
      </c>
      <c r="AA71" s="108">
        <v>1527.7260000000003</v>
      </c>
      <c r="AB71" s="108">
        <v>1439.3544999999995</v>
      </c>
      <c r="AC71" s="108">
        <v>1386.4013333333332</v>
      </c>
      <c r="AD71" s="108">
        <v>773.50383333333332</v>
      </c>
      <c r="AE71" s="108">
        <v>2689.8836666666662</v>
      </c>
      <c r="AF71" s="108">
        <v>1047.3359999999996</v>
      </c>
      <c r="AG71" s="108">
        <v>1657.2388333333329</v>
      </c>
      <c r="AH71" s="108">
        <v>1440.5699999999997</v>
      </c>
      <c r="AI71" s="108">
        <v>1017.700833333333</v>
      </c>
      <c r="AJ71" s="108">
        <v>1341.7149999999995</v>
      </c>
      <c r="AK71" s="108">
        <v>2267.0226666666672</v>
      </c>
      <c r="AL71" s="108">
        <v>2274.5541666666659</v>
      </c>
      <c r="AM71" s="108">
        <v>1076.6833333333332</v>
      </c>
      <c r="AN71" s="108">
        <v>2270.9686666666676</v>
      </c>
      <c r="AO71" s="108">
        <v>2240.6569999999992</v>
      </c>
      <c r="AP71" s="108">
        <v>2039.2306666666673</v>
      </c>
      <c r="AQ71" s="108">
        <v>2201.6273333333324</v>
      </c>
      <c r="AR71" s="108">
        <v>835.82833333333303</v>
      </c>
      <c r="AS71" s="108">
        <v>1432.0103333333329</v>
      </c>
      <c r="AT71" s="108">
        <v>1587.9913333333336</v>
      </c>
      <c r="AU71" s="108">
        <v>1864.095500000001</v>
      </c>
      <c r="AV71" s="108">
        <v>1705.3730000000005</v>
      </c>
      <c r="AW71" s="108">
        <f t="shared" si="7"/>
        <v>67.691241333333352</v>
      </c>
    </row>
    <row r="72" spans="1:49">
      <c r="A72" s="145">
        <v>45814</v>
      </c>
      <c r="B72" s="146">
        <f>YEAR(Table7[[#This Row],[Date]])+IF(MONTH(Table7[[#This Row],[Date]])&gt;=4,1,0)</f>
        <v>2026</v>
      </c>
      <c r="C72" s="147">
        <f>YEAR(Table7[[#This Row],[Date]])</f>
        <v>2025</v>
      </c>
      <c r="D72" s="148">
        <f>Daily_KPI[[#This Row],[Date]]-DAY(Daily_KPI[[#This Row],[Date]])+1</f>
        <v>45809</v>
      </c>
      <c r="E72" s="108">
        <v>1982.9333333333334</v>
      </c>
      <c r="F72" s="108">
        <v>1957.4334999999994</v>
      </c>
      <c r="G72" s="108">
        <v>1623.2539999999997</v>
      </c>
      <c r="H72" s="108">
        <v>1194.5976666666668</v>
      </c>
      <c r="I72" s="108">
        <v>1122.0001666666669</v>
      </c>
      <c r="J72" s="108">
        <v>1044.1206666666662</v>
      </c>
      <c r="K72" s="108">
        <v>1127.3991666666666</v>
      </c>
      <c r="L72" s="108">
        <v>480.4491666666666</v>
      </c>
      <c r="M72" s="108">
        <v>330.90666666666658</v>
      </c>
      <c r="N72" s="108">
        <v>346.98133333333317</v>
      </c>
      <c r="O72" s="108">
        <v>352.58766666666662</v>
      </c>
      <c r="P72" s="108">
        <v>347.63299999999998</v>
      </c>
      <c r="Q72" s="108">
        <v>214.30000000000015</v>
      </c>
      <c r="R72" s="108">
        <v>376.38300000000004</v>
      </c>
      <c r="S72" s="108">
        <v>344.07933333333341</v>
      </c>
      <c r="T72" s="108">
        <v>406.95866666666649</v>
      </c>
      <c r="U72" s="108">
        <v>509.31449999999995</v>
      </c>
      <c r="V72" s="108">
        <v>1997.2519999999995</v>
      </c>
      <c r="W72" s="108">
        <v>533.38083333333338</v>
      </c>
      <c r="X72" s="108">
        <v>471.58850000000001</v>
      </c>
      <c r="Y72" s="108">
        <v>1245.3435000000002</v>
      </c>
      <c r="Z72" s="108">
        <v>1391.8548333333331</v>
      </c>
      <c r="AA72" s="108">
        <v>734.50066666666669</v>
      </c>
      <c r="AB72" s="108">
        <v>744.69883333333382</v>
      </c>
      <c r="AC72" s="108">
        <v>844.78616666666676</v>
      </c>
      <c r="AD72" s="108">
        <v>737.64633333333325</v>
      </c>
      <c r="AE72" s="108">
        <v>1489.5536666666669</v>
      </c>
      <c r="AF72" s="108">
        <v>737.45666666666693</v>
      </c>
      <c r="AG72" s="108">
        <v>1251.9993333333337</v>
      </c>
      <c r="AH72" s="108">
        <v>1164.2105000000001</v>
      </c>
      <c r="AI72" s="108">
        <v>619.39300000000003</v>
      </c>
      <c r="AJ72" s="108">
        <v>680.07633333333331</v>
      </c>
      <c r="AK72" s="108">
        <v>1131.8051666666674</v>
      </c>
      <c r="AL72" s="108">
        <v>1086.9159999999999</v>
      </c>
      <c r="AM72" s="108">
        <v>960.19516666666652</v>
      </c>
      <c r="AN72" s="108">
        <v>1565.376166666666</v>
      </c>
      <c r="AO72" s="108">
        <v>1373.5471666666665</v>
      </c>
      <c r="AP72" s="108">
        <v>1277.2013333333341</v>
      </c>
      <c r="AQ72" s="108">
        <v>1419.1235000000008</v>
      </c>
      <c r="AR72" s="108">
        <v>302.55</v>
      </c>
      <c r="AS72" s="108">
        <v>1035.0331666666668</v>
      </c>
      <c r="AT72" s="108">
        <v>1354.2916666666667</v>
      </c>
      <c r="AU72" s="108">
        <v>1741.3113333333331</v>
      </c>
      <c r="AV72" s="108">
        <v>1619.2059999999994</v>
      </c>
      <c r="AW72" s="108">
        <f t="shared" si="7"/>
        <v>43.271629666666669</v>
      </c>
    </row>
    <row r="73" spans="1:49">
      <c r="A73" s="149">
        <v>45815</v>
      </c>
      <c r="B73" s="150">
        <f>YEAR(Table7[[#This Row],[Date]])+IF(MONTH(Table7[[#This Row],[Date]])&gt;=4,1,0)</f>
        <v>2026</v>
      </c>
      <c r="C73" s="151">
        <f>YEAR(Table7[[#This Row],[Date]])</f>
        <v>2025</v>
      </c>
      <c r="D73" s="152">
        <f>Daily_KPI[[#This Row],[Date]]-DAY(Daily_KPI[[#This Row],[Date]])+1</f>
        <v>45809</v>
      </c>
      <c r="E73" s="108">
        <v>2079.4483333333333</v>
      </c>
      <c r="F73" s="108">
        <v>1974.6708333333333</v>
      </c>
      <c r="G73" s="108">
        <v>1547.3071666666674</v>
      </c>
      <c r="H73" s="108">
        <v>1640.9431666666667</v>
      </c>
      <c r="I73" s="108">
        <v>1485.2194999999999</v>
      </c>
      <c r="J73" s="108">
        <v>1462.4531666666664</v>
      </c>
      <c r="K73" s="108">
        <v>1217.1478333333337</v>
      </c>
      <c r="L73" s="108">
        <v>659.63200000000018</v>
      </c>
      <c r="M73" s="108">
        <v>570.56899999999996</v>
      </c>
      <c r="N73" s="108">
        <v>619.27649999999983</v>
      </c>
      <c r="O73" s="108">
        <v>612.21450000000016</v>
      </c>
      <c r="P73" s="108">
        <v>592.24016666666671</v>
      </c>
      <c r="Q73" s="108">
        <v>536.2446666666666</v>
      </c>
      <c r="R73" s="108">
        <v>612.44916666666654</v>
      </c>
      <c r="S73" s="108">
        <v>566.75083333333339</v>
      </c>
      <c r="T73" s="108">
        <v>638.73416666666674</v>
      </c>
      <c r="U73" s="108">
        <v>738.96533333333321</v>
      </c>
      <c r="V73" s="108">
        <v>2178.6326666666673</v>
      </c>
      <c r="W73" s="108">
        <v>718.22399999999982</v>
      </c>
      <c r="X73" s="108">
        <v>575.35766666666723</v>
      </c>
      <c r="Y73" s="108">
        <v>1557.0406666666668</v>
      </c>
      <c r="Z73" s="108">
        <v>1661.3696666666665</v>
      </c>
      <c r="AA73" s="108">
        <v>1116.7753333333337</v>
      </c>
      <c r="AB73" s="108">
        <v>1067.1501666666663</v>
      </c>
      <c r="AC73" s="108">
        <v>1146.1476666666665</v>
      </c>
      <c r="AD73" s="108">
        <v>1016.4759999999997</v>
      </c>
      <c r="AE73" s="108">
        <v>1596.6358333333335</v>
      </c>
      <c r="AF73" s="108">
        <v>712.60616666666704</v>
      </c>
      <c r="AG73" s="108">
        <v>1448.9178333333327</v>
      </c>
      <c r="AH73" s="108">
        <v>1187.3393333333336</v>
      </c>
      <c r="AI73" s="108">
        <v>829.64366666666672</v>
      </c>
      <c r="AJ73" s="108">
        <v>975.62999999999977</v>
      </c>
      <c r="AK73" s="108">
        <v>1539.8781666666664</v>
      </c>
      <c r="AL73" s="108">
        <v>2043.8736666666662</v>
      </c>
      <c r="AM73" s="108">
        <v>1196.0390000000004</v>
      </c>
      <c r="AN73" s="108">
        <v>1913.313166666667</v>
      </c>
      <c r="AO73" s="108">
        <v>1766.7399999999996</v>
      </c>
      <c r="AP73" s="108">
        <v>1716.0736666666655</v>
      </c>
      <c r="AQ73" s="108">
        <v>1765.5408333333341</v>
      </c>
      <c r="AR73" s="108">
        <v>288.39199999999988</v>
      </c>
      <c r="AS73" s="108">
        <v>919.03349999999989</v>
      </c>
      <c r="AT73" s="108">
        <v>1228.412</v>
      </c>
      <c r="AU73" s="108">
        <v>1934.6551666666664</v>
      </c>
      <c r="AV73" s="108">
        <v>1788.0708333333348</v>
      </c>
      <c r="AW73" s="108">
        <f t="shared" si="7"/>
        <v>53.442234999999975</v>
      </c>
    </row>
    <row r="74" spans="1:49">
      <c r="A74" s="145">
        <v>45816</v>
      </c>
      <c r="B74" s="146">
        <f>YEAR(Table7[[#This Row],[Date]])+IF(MONTH(Table7[[#This Row],[Date]])&gt;=4,1,0)</f>
        <v>2026</v>
      </c>
      <c r="C74" s="147">
        <f>YEAR(Table7[[#This Row],[Date]])</f>
        <v>2025</v>
      </c>
      <c r="D74" s="148">
        <f>Daily_KPI[[#This Row],[Date]]-DAY(Daily_KPI[[#This Row],[Date]])+1</f>
        <v>45809</v>
      </c>
      <c r="E74" s="108">
        <v>3006.875166666669</v>
      </c>
      <c r="F74" s="108">
        <v>3043.5466666666675</v>
      </c>
      <c r="G74" s="108">
        <v>2686.2795000000006</v>
      </c>
      <c r="H74" s="108">
        <v>2796.2018333333344</v>
      </c>
      <c r="I74" s="108">
        <v>2974.2289999999994</v>
      </c>
      <c r="J74" s="108">
        <v>2898.6975000000016</v>
      </c>
      <c r="K74" s="108">
        <v>2072.6989999999992</v>
      </c>
      <c r="L74" s="108">
        <v>1206.8466666666666</v>
      </c>
      <c r="M74" s="108">
        <v>1221.1431666666674</v>
      </c>
      <c r="N74" s="108">
        <v>1367.0016666666672</v>
      </c>
      <c r="O74" s="108">
        <v>1355.2938333333334</v>
      </c>
      <c r="P74" s="108">
        <v>1333.3394999999998</v>
      </c>
      <c r="Q74" s="108">
        <v>1167.3104999999998</v>
      </c>
      <c r="R74" s="108">
        <v>1283.8678333333339</v>
      </c>
      <c r="S74" s="108">
        <v>1158.4188333333334</v>
      </c>
      <c r="T74" s="108">
        <v>1329.4583333333333</v>
      </c>
      <c r="U74" s="108">
        <v>1357.5438333333334</v>
      </c>
      <c r="V74" s="108">
        <v>3412.8694999999993</v>
      </c>
      <c r="W74" s="108">
        <v>1352.7621666666666</v>
      </c>
      <c r="X74" s="108">
        <v>1152.9491666666663</v>
      </c>
      <c r="Y74" s="108">
        <v>2576.2146666666663</v>
      </c>
      <c r="Z74" s="108">
        <v>2821.6211666666677</v>
      </c>
      <c r="AA74" s="108">
        <v>1980.4156666666668</v>
      </c>
      <c r="AB74" s="108">
        <v>2004.0960000000002</v>
      </c>
      <c r="AC74" s="108">
        <v>2025.8586666666667</v>
      </c>
      <c r="AD74" s="108">
        <v>1729.4663333333328</v>
      </c>
      <c r="AE74" s="108">
        <v>2806.66</v>
      </c>
      <c r="AF74" s="108">
        <v>1308.681499999999</v>
      </c>
      <c r="AG74" s="108">
        <v>2668.1474999999996</v>
      </c>
      <c r="AH74" s="108">
        <v>1927.1199999999997</v>
      </c>
      <c r="AI74" s="108">
        <v>1581.9359999999999</v>
      </c>
      <c r="AJ74" s="108">
        <v>2000.126166666666</v>
      </c>
      <c r="AK74" s="108">
        <v>3107.5846666666675</v>
      </c>
      <c r="AL74" s="108">
        <v>3592.8521666666657</v>
      </c>
      <c r="AM74" s="108">
        <v>1902.8191666666671</v>
      </c>
      <c r="AN74" s="108">
        <v>3176.1011666666677</v>
      </c>
      <c r="AO74" s="108">
        <v>3059.2394999999992</v>
      </c>
      <c r="AP74" s="108">
        <v>2959.7156666666683</v>
      </c>
      <c r="AQ74" s="108">
        <v>3153.4511666666676</v>
      </c>
      <c r="AR74" s="108">
        <v>826.77266666666685</v>
      </c>
      <c r="AS74" s="108">
        <v>1579.1333333333339</v>
      </c>
      <c r="AT74" s="108">
        <v>1989.9150000000006</v>
      </c>
      <c r="AU74" s="108">
        <v>2760.3985000000007</v>
      </c>
      <c r="AV74" s="108">
        <v>2656.7203333333341</v>
      </c>
      <c r="AW74" s="108">
        <f t="shared" si="7"/>
        <v>94.372380666666658</v>
      </c>
    </row>
    <row r="75" spans="1:49">
      <c r="A75" s="149">
        <v>45817</v>
      </c>
      <c r="B75" s="150">
        <f>YEAR(Table7[[#This Row],[Date]])+IF(MONTH(Table7[[#This Row],[Date]])&gt;=4,1,0)</f>
        <v>2026</v>
      </c>
      <c r="C75" s="151">
        <f>YEAR(Table7[[#This Row],[Date]])</f>
        <v>2025</v>
      </c>
      <c r="D75" s="152">
        <f>Daily_KPI[[#This Row],[Date]]-DAY(Daily_KPI[[#This Row],[Date]])+1</f>
        <v>45809</v>
      </c>
      <c r="E75" s="108">
        <v>3091.1316666666676</v>
      </c>
      <c r="F75" s="108">
        <v>3316.7351666666659</v>
      </c>
      <c r="G75" s="108">
        <v>3090.34</v>
      </c>
      <c r="H75" s="108">
        <v>3054.5341666666668</v>
      </c>
      <c r="I75" s="108">
        <v>3846.4001666666682</v>
      </c>
      <c r="J75" s="108">
        <v>3871.6211666666677</v>
      </c>
      <c r="K75" s="108">
        <v>2247.4246666666663</v>
      </c>
      <c r="L75" s="108">
        <v>1627.4771666666666</v>
      </c>
      <c r="M75" s="108">
        <v>1781.2720000000006</v>
      </c>
      <c r="N75" s="108">
        <v>1957.4499999999991</v>
      </c>
      <c r="O75" s="108">
        <v>1925.7440000000004</v>
      </c>
      <c r="P75" s="108">
        <v>1875.1131666666668</v>
      </c>
      <c r="Q75" s="108">
        <v>1692.6070000000002</v>
      </c>
      <c r="R75" s="108">
        <v>1809.0698333333332</v>
      </c>
      <c r="S75" s="108">
        <v>1676.4513333333334</v>
      </c>
      <c r="T75" s="108">
        <v>1762.8601666666664</v>
      </c>
      <c r="U75" s="108">
        <v>1750.7524999999989</v>
      </c>
      <c r="V75" s="108">
        <v>3670.0606666666663</v>
      </c>
      <c r="W75" s="108">
        <v>1842.5351666666668</v>
      </c>
      <c r="X75" s="108">
        <v>1754.5445000000002</v>
      </c>
      <c r="Y75" s="108">
        <v>2998.0393333333309</v>
      </c>
      <c r="Z75" s="108">
        <v>3105.9924999999998</v>
      </c>
      <c r="AA75" s="108">
        <v>2502.991833333333</v>
      </c>
      <c r="AB75" s="108">
        <v>2559.0924999999993</v>
      </c>
      <c r="AC75" s="108">
        <v>2741.112833333334</v>
      </c>
      <c r="AD75" s="108">
        <v>2502.3135000000002</v>
      </c>
      <c r="AE75" s="108">
        <v>3255.5683333333345</v>
      </c>
      <c r="AF75" s="108">
        <v>1688.205666666667</v>
      </c>
      <c r="AG75" s="108">
        <v>2904.9043333333325</v>
      </c>
      <c r="AH75" s="108">
        <v>2421.2949999999996</v>
      </c>
      <c r="AI75" s="108">
        <v>2134.860666666666</v>
      </c>
      <c r="AJ75" s="108">
        <v>2536.141000000001</v>
      </c>
      <c r="AK75" s="108">
        <v>4087.3651666666688</v>
      </c>
      <c r="AL75" s="108">
        <v>4460.3619999999983</v>
      </c>
      <c r="AM75" s="108">
        <v>2541.8953333333334</v>
      </c>
      <c r="AN75" s="108">
        <v>4121.8111666666673</v>
      </c>
      <c r="AO75" s="108">
        <v>4030.2318333333328</v>
      </c>
      <c r="AP75" s="108">
        <v>3832.6203333333342</v>
      </c>
      <c r="AQ75" s="108">
        <v>4197.3928333333315</v>
      </c>
      <c r="AR75" s="108">
        <v>885.64016666666703</v>
      </c>
      <c r="AS75" s="108">
        <v>1982.1976666666669</v>
      </c>
      <c r="AT75" s="108">
        <v>2311.4148333333342</v>
      </c>
      <c r="AU75" s="108">
        <v>3185.3269999999989</v>
      </c>
      <c r="AV75" s="108">
        <v>3239.9229999999989</v>
      </c>
      <c r="AW75" s="108">
        <f t="shared" si="7"/>
        <v>117.87082333333332</v>
      </c>
    </row>
    <row r="76" spans="1:49">
      <c r="A76" s="145">
        <v>45818</v>
      </c>
      <c r="B76" s="146">
        <f>YEAR(Table7[[#This Row],[Date]])+IF(MONTH(Table7[[#This Row],[Date]])&gt;=4,1,0)</f>
        <v>2026</v>
      </c>
      <c r="C76" s="147">
        <f>YEAR(Table7[[#This Row],[Date]])</f>
        <v>2025</v>
      </c>
      <c r="D76" s="148">
        <f>Daily_KPI[[#This Row],[Date]]-DAY(Daily_KPI[[#This Row],[Date]])+1</f>
        <v>45809</v>
      </c>
      <c r="E76" s="108">
        <v>2482.4426666666664</v>
      </c>
      <c r="F76" s="108">
        <v>2485.5340000000001</v>
      </c>
      <c r="G76" s="108">
        <v>2291.8115000000003</v>
      </c>
      <c r="H76" s="108">
        <v>1922.6110000000001</v>
      </c>
      <c r="I76" s="108">
        <v>1825.4868333333336</v>
      </c>
      <c r="J76" s="108">
        <v>1796.0508333333337</v>
      </c>
      <c r="K76" s="108">
        <v>1613.3111666666671</v>
      </c>
      <c r="L76" s="108">
        <v>909.07666666666682</v>
      </c>
      <c r="M76" s="108">
        <v>707.58533333333332</v>
      </c>
      <c r="N76" s="108">
        <v>711.15783333333354</v>
      </c>
      <c r="O76" s="108">
        <v>641.9425</v>
      </c>
      <c r="P76" s="108">
        <v>568.6456666666669</v>
      </c>
      <c r="Q76" s="108">
        <v>547.47816666666688</v>
      </c>
      <c r="R76" s="108">
        <v>637.22816666666665</v>
      </c>
      <c r="S76" s="108">
        <v>600.74733333333336</v>
      </c>
      <c r="T76" s="108">
        <v>641.3180000000001</v>
      </c>
      <c r="U76" s="108">
        <v>614.93283333333341</v>
      </c>
      <c r="V76" s="108">
        <v>2458.4621666666676</v>
      </c>
      <c r="W76" s="108">
        <v>787.2144999999997</v>
      </c>
      <c r="X76" s="108">
        <v>678.85966666666684</v>
      </c>
      <c r="Y76" s="108">
        <v>2069.0888333333323</v>
      </c>
      <c r="Z76" s="108">
        <v>2122.5815000000007</v>
      </c>
      <c r="AA76" s="108">
        <v>1306.3179999999995</v>
      </c>
      <c r="AB76" s="108">
        <v>1236.2758333333336</v>
      </c>
      <c r="AC76" s="108">
        <v>1239.8081666666671</v>
      </c>
      <c r="AD76" s="108">
        <v>1131.2663333333335</v>
      </c>
      <c r="AE76" s="108">
        <v>1838.8234999999995</v>
      </c>
      <c r="AF76" s="108">
        <v>1447.6295000000007</v>
      </c>
      <c r="AG76" s="108">
        <v>2032.4634999999998</v>
      </c>
      <c r="AH76" s="108">
        <v>1935.6473333333324</v>
      </c>
      <c r="AI76" s="108">
        <v>817.63183333333336</v>
      </c>
      <c r="AJ76" s="108">
        <v>1115.8049999999998</v>
      </c>
      <c r="AK76" s="108">
        <v>1879.8508333333336</v>
      </c>
      <c r="AL76" s="108">
        <v>2490.6555000000003</v>
      </c>
      <c r="AM76" s="108">
        <v>1600.6271666666664</v>
      </c>
      <c r="AN76" s="108">
        <v>2401.0671666666672</v>
      </c>
      <c r="AO76" s="108">
        <v>2068.1696666666658</v>
      </c>
      <c r="AP76" s="108">
        <v>2035.912333333333</v>
      </c>
      <c r="AQ76" s="108">
        <v>2267.9216666666675</v>
      </c>
      <c r="AR76" s="108">
        <v>684.03716666666662</v>
      </c>
      <c r="AS76" s="108">
        <v>1925.4353333333336</v>
      </c>
      <c r="AT76" s="108">
        <v>2214.9025000000001</v>
      </c>
      <c r="AU76" s="108">
        <v>2430.1224999999999</v>
      </c>
      <c r="AV76" s="108">
        <v>2248.3428333333336</v>
      </c>
      <c r="AW76" s="108">
        <f t="shared" si="7"/>
        <v>67.462280833333338</v>
      </c>
    </row>
    <row r="77" spans="1:49">
      <c r="A77" s="149">
        <v>45819</v>
      </c>
      <c r="B77" s="150">
        <f>YEAR(Table7[[#This Row],[Date]])+IF(MONTH(Table7[[#This Row],[Date]])&gt;=4,1,0)</f>
        <v>2026</v>
      </c>
      <c r="C77" s="151">
        <f>YEAR(Table7[[#This Row],[Date]])</f>
        <v>2025</v>
      </c>
      <c r="D77" s="152">
        <f>Daily_KPI[[#This Row],[Date]]-DAY(Daily_KPI[[#This Row],[Date]])+1</f>
        <v>45809</v>
      </c>
      <c r="E77" s="108">
        <v>1790.7096666666664</v>
      </c>
      <c r="F77" s="108">
        <v>2166.0123333333327</v>
      </c>
      <c r="G77" s="108">
        <v>2299.6973333333331</v>
      </c>
      <c r="H77" s="108">
        <v>1543.8738333333329</v>
      </c>
      <c r="I77" s="108">
        <v>1963.1891666666663</v>
      </c>
      <c r="J77" s="108">
        <v>1889.0648333333336</v>
      </c>
      <c r="K77" s="108">
        <v>1268.6629999999996</v>
      </c>
      <c r="L77" s="108">
        <v>973.04616666666618</v>
      </c>
      <c r="M77" s="108">
        <v>1118.2548333333332</v>
      </c>
      <c r="N77" s="108">
        <v>1132.2886666666666</v>
      </c>
      <c r="O77" s="108">
        <v>1126.4021666666663</v>
      </c>
      <c r="P77" s="108">
        <v>1089.8483333333338</v>
      </c>
      <c r="Q77" s="108">
        <v>1094.278</v>
      </c>
      <c r="R77" s="108">
        <v>1135.0103333333334</v>
      </c>
      <c r="S77" s="108">
        <v>1046.0923333333337</v>
      </c>
      <c r="T77" s="108">
        <v>1140.6743333333334</v>
      </c>
      <c r="U77" s="108">
        <v>1033.0766666666666</v>
      </c>
      <c r="V77" s="108">
        <v>1918.0006666666666</v>
      </c>
      <c r="W77" s="108">
        <v>1108.5931666666665</v>
      </c>
      <c r="X77" s="108">
        <v>1062.3941666666667</v>
      </c>
      <c r="Y77" s="108">
        <v>1443.9965000000002</v>
      </c>
      <c r="Z77" s="108">
        <v>1619.8076666666668</v>
      </c>
      <c r="AA77" s="108">
        <v>1311.8056666666669</v>
      </c>
      <c r="AB77" s="108">
        <v>1412.9708333333331</v>
      </c>
      <c r="AC77" s="108">
        <v>1456.3166666666668</v>
      </c>
      <c r="AD77" s="108">
        <v>1398.4928333333335</v>
      </c>
      <c r="AE77" s="108">
        <v>2567.8254999999999</v>
      </c>
      <c r="AF77" s="108">
        <v>1093.7773333333341</v>
      </c>
      <c r="AG77" s="108">
        <v>1516.2781666666676</v>
      </c>
      <c r="AH77" s="108">
        <v>1339.617</v>
      </c>
      <c r="AI77" s="108">
        <v>1284.4355</v>
      </c>
      <c r="AJ77" s="108">
        <v>1410.7018333333335</v>
      </c>
      <c r="AK77" s="108">
        <v>2080.1928333333331</v>
      </c>
      <c r="AL77" s="108">
        <v>2135.7103333333334</v>
      </c>
      <c r="AM77" s="108">
        <v>1386.0825000000004</v>
      </c>
      <c r="AN77" s="108">
        <v>1904.7391666666656</v>
      </c>
      <c r="AO77" s="108">
        <v>1898.8708333333332</v>
      </c>
      <c r="AP77" s="108">
        <v>1801.1908333333329</v>
      </c>
      <c r="AQ77" s="108">
        <v>1966.4069999999999</v>
      </c>
      <c r="AR77" s="108">
        <v>743.51483333333329</v>
      </c>
      <c r="AS77" s="108">
        <v>1562.1753333333334</v>
      </c>
      <c r="AT77" s="108">
        <v>1577.8973333333331</v>
      </c>
      <c r="AU77" s="108">
        <v>1519.4418333333335</v>
      </c>
      <c r="AV77" s="108">
        <v>1414.8338333333331</v>
      </c>
      <c r="AW77" s="108">
        <f t="shared" si="7"/>
        <v>65.746252166666665</v>
      </c>
    </row>
    <row r="78" spans="1:49">
      <c r="A78" s="145">
        <v>45820</v>
      </c>
      <c r="B78" s="146">
        <f>YEAR(Table7[[#This Row],[Date]])+IF(MONTH(Table7[[#This Row],[Date]])&gt;=4,1,0)</f>
        <v>2026</v>
      </c>
      <c r="C78" s="147">
        <f>YEAR(Table7[[#This Row],[Date]])</f>
        <v>2025</v>
      </c>
      <c r="D78" s="148">
        <f>Daily_KPI[[#This Row],[Date]]-DAY(Daily_KPI[[#This Row],[Date]])+1</f>
        <v>45809</v>
      </c>
      <c r="E78" s="108">
        <v>4597.7643333333372</v>
      </c>
      <c r="F78" s="108">
        <v>5485.3198333333312</v>
      </c>
      <c r="G78" s="108">
        <v>5601.8051666666661</v>
      </c>
      <c r="H78" s="108">
        <v>2940.9631666666683</v>
      </c>
      <c r="I78" s="108">
        <v>3084.8661666666662</v>
      </c>
      <c r="J78" s="108">
        <v>3149.6283333333336</v>
      </c>
      <c r="K78" s="108">
        <v>3112.2870000000016</v>
      </c>
      <c r="L78" s="108">
        <v>2135.7506666666654</v>
      </c>
      <c r="M78" s="108">
        <v>1934.8241666666681</v>
      </c>
      <c r="N78" s="108">
        <v>1938.6196666666658</v>
      </c>
      <c r="O78" s="108">
        <v>1721.4251666666667</v>
      </c>
      <c r="P78" s="108">
        <v>1587.9643333333336</v>
      </c>
      <c r="Q78" s="108">
        <v>1565.9048333333328</v>
      </c>
      <c r="R78" s="108">
        <v>1628.0686666666663</v>
      </c>
      <c r="S78" s="108">
        <v>1501.1651666666669</v>
      </c>
      <c r="T78" s="108">
        <v>1478.824333333333</v>
      </c>
      <c r="U78" s="108">
        <v>1662.0485000000006</v>
      </c>
      <c r="V78" s="108">
        <v>4492.1826666666666</v>
      </c>
      <c r="W78" s="108">
        <v>1744.6599999999999</v>
      </c>
      <c r="X78" s="108">
        <v>1538.6324999999997</v>
      </c>
      <c r="Y78" s="108">
        <v>3086.2789999999986</v>
      </c>
      <c r="Z78" s="108">
        <v>3640.4603333333343</v>
      </c>
      <c r="AA78" s="108">
        <v>2461.1788333333334</v>
      </c>
      <c r="AB78" s="108">
        <v>2425.4995000000013</v>
      </c>
      <c r="AC78" s="108">
        <v>2579.014666666666</v>
      </c>
      <c r="AD78" s="108">
        <v>2471.1448333333333</v>
      </c>
      <c r="AE78" s="108">
        <v>5611.3319999999985</v>
      </c>
      <c r="AF78" s="108">
        <v>2213.9443333333338</v>
      </c>
      <c r="AG78" s="108">
        <v>3274.2256666666667</v>
      </c>
      <c r="AH78" s="108">
        <v>2897.9889999999978</v>
      </c>
      <c r="AI78" s="108">
        <v>1835.8108333333328</v>
      </c>
      <c r="AJ78" s="108">
        <v>2198.8635000000008</v>
      </c>
      <c r="AK78" s="108">
        <v>3222.4398333333343</v>
      </c>
      <c r="AL78" s="108">
        <v>4201.9018333333352</v>
      </c>
      <c r="AM78" s="108">
        <v>2739.6938333333328</v>
      </c>
      <c r="AN78" s="108">
        <v>4187.0806666666631</v>
      </c>
      <c r="AO78" s="108">
        <v>3985.758333333335</v>
      </c>
      <c r="AP78" s="108">
        <v>3572.6008333333316</v>
      </c>
      <c r="AQ78" s="108">
        <v>3742.4840000000008</v>
      </c>
      <c r="AR78" s="108">
        <v>1735.6668333333328</v>
      </c>
      <c r="AS78" s="108">
        <v>3650.9501666666661</v>
      </c>
      <c r="AT78" s="108">
        <v>3973.7079999999983</v>
      </c>
      <c r="AU78" s="108">
        <v>3897.5101666666669</v>
      </c>
      <c r="AV78" s="108">
        <v>3729.9206666666637</v>
      </c>
      <c r="AW78" s="108">
        <f t="shared" si="7"/>
        <v>130.23816233333332</v>
      </c>
    </row>
    <row r="79" spans="1:49">
      <c r="A79" s="149">
        <v>45821</v>
      </c>
      <c r="B79" s="150">
        <f>YEAR(Table7[[#This Row],[Date]])+IF(MONTH(Table7[[#This Row],[Date]])&gt;=4,1,0)</f>
        <v>2026</v>
      </c>
      <c r="C79" s="151">
        <f>YEAR(Table7[[#This Row],[Date]])</f>
        <v>2025</v>
      </c>
      <c r="D79" s="152">
        <f>Daily_KPI[[#This Row],[Date]]-DAY(Daily_KPI[[#This Row],[Date]])+1</f>
        <v>45809</v>
      </c>
      <c r="E79" s="108">
        <v>117.39583333333333</v>
      </c>
      <c r="F79" s="108">
        <v>134.56550000000001</v>
      </c>
      <c r="G79" s="108">
        <v>145.68749999999997</v>
      </c>
      <c r="H79" s="108">
        <v>90.843333333333348</v>
      </c>
      <c r="I79" s="108">
        <v>49.590833333333336</v>
      </c>
      <c r="J79" s="108">
        <v>48.270166666666675</v>
      </c>
      <c r="K79" s="108">
        <v>118.19416666666667</v>
      </c>
      <c r="L79" s="108">
        <v>51.166666666666657</v>
      </c>
      <c r="M79" s="108">
        <v>34.965166666666669</v>
      </c>
      <c r="N79" s="108">
        <v>27.091999999999999</v>
      </c>
      <c r="O79" s="108">
        <v>49.877833333333335</v>
      </c>
      <c r="P79" s="108">
        <v>42.841333333333324</v>
      </c>
      <c r="Q79" s="108">
        <v>43.051333333333339</v>
      </c>
      <c r="R79" s="108">
        <v>50.124999999999993</v>
      </c>
      <c r="S79" s="108">
        <v>8.153666666666668</v>
      </c>
      <c r="T79" s="108">
        <v>32.867999999999995</v>
      </c>
      <c r="U79" s="108">
        <v>19.518666666666668</v>
      </c>
      <c r="V79" s="108">
        <v>104.11866666666663</v>
      </c>
      <c r="W79" s="108">
        <v>45.999333333333333</v>
      </c>
      <c r="X79" s="108">
        <v>50.015999999999998</v>
      </c>
      <c r="Y79" s="108">
        <v>137.5541666666667</v>
      </c>
      <c r="Z79" s="108">
        <v>65.186833333333325</v>
      </c>
      <c r="AA79" s="108">
        <v>74.659166666666664</v>
      </c>
      <c r="AB79" s="108">
        <v>55.985166666666679</v>
      </c>
      <c r="AC79" s="108">
        <v>67.241500000000002</v>
      </c>
      <c r="AD79" s="108">
        <v>77.289666666666662</v>
      </c>
      <c r="AE79" s="108">
        <v>108.73616666666668</v>
      </c>
      <c r="AF79" s="108">
        <v>54.795666666666676</v>
      </c>
      <c r="AG79" s="108">
        <v>39.410166666666662</v>
      </c>
      <c r="AH79" s="108">
        <v>126.486</v>
      </c>
      <c r="AI79" s="108">
        <v>56.220833333333331</v>
      </c>
      <c r="AJ79" s="108">
        <v>25.666166666666669</v>
      </c>
      <c r="AK79" s="108">
        <v>26.78533333333333</v>
      </c>
      <c r="AL79" s="108">
        <v>66.884500000000003</v>
      </c>
      <c r="AM79" s="108">
        <v>81.643666666666689</v>
      </c>
      <c r="AN79" s="108">
        <v>178.22850000000008</v>
      </c>
      <c r="AO79" s="108">
        <v>89.834666666666649</v>
      </c>
      <c r="AP79" s="108">
        <v>61.038499999999999</v>
      </c>
      <c r="AQ79" s="108">
        <v>73.9405</v>
      </c>
      <c r="AR79" s="108">
        <v>63.923333333333346</v>
      </c>
      <c r="AS79" s="108">
        <v>81.371000000000024</v>
      </c>
      <c r="AT79" s="108">
        <v>128.24683333333334</v>
      </c>
      <c r="AU79" s="108">
        <v>176.53033333333335</v>
      </c>
      <c r="AV79" s="108">
        <v>108.77250000000002</v>
      </c>
      <c r="AW79" s="108">
        <f t="shared" si="7"/>
        <v>3.2907721666666672</v>
      </c>
    </row>
    <row r="80" spans="1:49">
      <c r="A80" s="145">
        <v>45822</v>
      </c>
      <c r="B80" s="146">
        <f>YEAR(Table7[[#This Row],[Date]])+IF(MONTH(Table7[[#This Row],[Date]])&gt;=4,1,0)</f>
        <v>2026</v>
      </c>
      <c r="C80" s="147">
        <f>YEAR(Table7[[#This Row],[Date]])</f>
        <v>2025</v>
      </c>
      <c r="D80" s="148">
        <f>Daily_KPI[[#This Row],[Date]]-DAY(Daily_KPI[[#This Row],[Date]])+1</f>
        <v>45809</v>
      </c>
      <c r="E80" s="108">
        <v>480.64066666666662</v>
      </c>
      <c r="F80" s="108">
        <v>543.3658333333334</v>
      </c>
      <c r="G80" s="108">
        <v>592.59399999999994</v>
      </c>
      <c r="H80" s="108">
        <v>303.42733333333337</v>
      </c>
      <c r="I80" s="108">
        <v>363.75283333333329</v>
      </c>
      <c r="J80" s="108">
        <v>488.28283333333337</v>
      </c>
      <c r="K80" s="108">
        <v>440.98333333333312</v>
      </c>
      <c r="L80" s="108">
        <v>279.13116666666662</v>
      </c>
      <c r="M80" s="108">
        <v>188.30833333333331</v>
      </c>
      <c r="N80" s="108">
        <v>159.89183333333332</v>
      </c>
      <c r="O80" s="108">
        <v>183.12783333333343</v>
      </c>
      <c r="P80" s="108">
        <v>191.99700000000004</v>
      </c>
      <c r="Q80" s="108">
        <v>195.49566666666661</v>
      </c>
      <c r="R80" s="108">
        <v>202.83700000000002</v>
      </c>
      <c r="S80" s="108">
        <v>108.44350000000001</v>
      </c>
      <c r="T80" s="108">
        <v>244.88299999999992</v>
      </c>
      <c r="U80" s="108">
        <v>303.10000000000002</v>
      </c>
      <c r="V80" s="108">
        <v>428.23483333333326</v>
      </c>
      <c r="W80" s="108">
        <v>311.9931666666667</v>
      </c>
      <c r="X80" s="108">
        <v>269.50416666666666</v>
      </c>
      <c r="Y80" s="108">
        <v>300.71016666666662</v>
      </c>
      <c r="Z80" s="108">
        <v>234.83316666666664</v>
      </c>
      <c r="AA80" s="108">
        <v>254.44466666666665</v>
      </c>
      <c r="AB80" s="108">
        <v>236.07283333333328</v>
      </c>
      <c r="AC80" s="108">
        <v>264.89800000000008</v>
      </c>
      <c r="AD80" s="108">
        <v>249.74916666666661</v>
      </c>
      <c r="AE80" s="108">
        <v>568.39716666666664</v>
      </c>
      <c r="AF80" s="108">
        <v>104.70599999999995</v>
      </c>
      <c r="AG80" s="108">
        <v>300.06766666666664</v>
      </c>
      <c r="AH80" s="108">
        <v>148.17116666666666</v>
      </c>
      <c r="AI80" s="108">
        <v>293.76716666666658</v>
      </c>
      <c r="AJ80" s="108">
        <v>431.63116666666673</v>
      </c>
      <c r="AK80" s="108">
        <v>354.2023333333334</v>
      </c>
      <c r="AL80" s="108">
        <v>505.76383333333337</v>
      </c>
      <c r="AM80" s="108">
        <v>185.60666666666668</v>
      </c>
      <c r="AN80" s="108">
        <v>552.72799999999984</v>
      </c>
      <c r="AO80" s="108">
        <v>415.60733333333337</v>
      </c>
      <c r="AP80" s="108">
        <v>403.83516666666657</v>
      </c>
      <c r="AQ80" s="108">
        <v>456.9413333333332</v>
      </c>
      <c r="AR80" s="108">
        <v>109.17133333333332</v>
      </c>
      <c r="AS80" s="108">
        <v>151.39066666666668</v>
      </c>
      <c r="AT80" s="108">
        <v>156.58516666666665</v>
      </c>
      <c r="AU80" s="108">
        <v>509.43633333333315</v>
      </c>
      <c r="AV80" s="108">
        <v>302.91983333333332</v>
      </c>
      <c r="AW80" s="108">
        <f t="shared" si="7"/>
        <v>13.771630666666663</v>
      </c>
    </row>
    <row r="81" spans="1:49">
      <c r="A81" s="149">
        <v>45823</v>
      </c>
      <c r="B81" s="150">
        <f>YEAR(Table7[[#This Row],[Date]])+IF(MONTH(Table7[[#This Row],[Date]])&gt;=4,1,0)</f>
        <v>2026</v>
      </c>
      <c r="C81" s="151">
        <f>YEAR(Table7[[#This Row],[Date]])</f>
        <v>2025</v>
      </c>
      <c r="D81" s="152">
        <f>Daily_KPI[[#This Row],[Date]]-DAY(Daily_KPI[[#This Row],[Date]])+1</f>
        <v>45809</v>
      </c>
      <c r="E81" s="108">
        <v>2571.2254999999996</v>
      </c>
      <c r="F81" s="108">
        <v>2423.61</v>
      </c>
      <c r="G81" s="108">
        <v>1978.6509999999989</v>
      </c>
      <c r="H81" s="108">
        <v>2332.5835000000002</v>
      </c>
      <c r="I81" s="108">
        <v>1689.8610000000001</v>
      </c>
      <c r="J81" s="108">
        <v>2384.6479999999997</v>
      </c>
      <c r="K81" s="108">
        <v>2367.1623333333332</v>
      </c>
      <c r="L81" s="108">
        <v>1851.3523333333335</v>
      </c>
      <c r="M81" s="108">
        <v>1453.7215000000003</v>
      </c>
      <c r="N81" s="108">
        <v>1206.6181666666669</v>
      </c>
      <c r="O81" s="108">
        <v>1494.1131666666668</v>
      </c>
      <c r="P81" s="108">
        <v>1661.1194999999998</v>
      </c>
      <c r="Q81" s="108">
        <v>1070.6785000000002</v>
      </c>
      <c r="R81" s="108">
        <v>1734.1458333333339</v>
      </c>
      <c r="S81" s="108">
        <v>1508.1643333333338</v>
      </c>
      <c r="T81" s="108">
        <v>1664.466999999999</v>
      </c>
      <c r="U81" s="108">
        <v>1695.6016666666676</v>
      </c>
      <c r="V81" s="108">
        <v>1762.4011666666668</v>
      </c>
      <c r="W81" s="108">
        <v>2117.2615000000001</v>
      </c>
      <c r="X81" s="108">
        <v>1469.6791666666668</v>
      </c>
      <c r="Y81" s="108">
        <v>2427.081999999999</v>
      </c>
      <c r="Z81" s="108">
        <v>1930.6516666666673</v>
      </c>
      <c r="AA81" s="108">
        <v>2078.4439999999995</v>
      </c>
      <c r="AB81" s="108">
        <v>1586.3591666666671</v>
      </c>
      <c r="AC81" s="108">
        <v>1773.1274999999998</v>
      </c>
      <c r="AD81" s="108">
        <v>1885.7036666666663</v>
      </c>
      <c r="AE81" s="108">
        <v>1504.9308333333336</v>
      </c>
      <c r="AF81" s="108">
        <v>1404.0316666666668</v>
      </c>
      <c r="AG81" s="108">
        <v>2408.1113333333342</v>
      </c>
      <c r="AH81" s="108">
        <v>1675.2228333333339</v>
      </c>
      <c r="AI81" s="108">
        <v>1596.7359999999992</v>
      </c>
      <c r="AJ81" s="108">
        <v>1746.265333333333</v>
      </c>
      <c r="AK81" s="108">
        <v>1753.4775000000006</v>
      </c>
      <c r="AL81" s="108">
        <v>1813.5200000000002</v>
      </c>
      <c r="AM81" s="108">
        <v>1837.9616666666673</v>
      </c>
      <c r="AN81" s="108">
        <v>3223.1730000000002</v>
      </c>
      <c r="AO81" s="108">
        <v>2578.400833333334</v>
      </c>
      <c r="AP81" s="108">
        <v>1937.8925000000011</v>
      </c>
      <c r="AQ81" s="108">
        <v>1879.0423333333338</v>
      </c>
      <c r="AR81" s="108">
        <v>1549.8238333333331</v>
      </c>
      <c r="AS81" s="108">
        <v>1766.7843333333333</v>
      </c>
      <c r="AT81" s="108">
        <v>1641.6266666666677</v>
      </c>
      <c r="AU81" s="108">
        <v>3152.8356666666677</v>
      </c>
      <c r="AV81" s="108">
        <v>2102.1248333333328</v>
      </c>
      <c r="AW81" s="108">
        <f t="shared" si="7"/>
        <v>83.69039433333333</v>
      </c>
    </row>
    <row r="82" spans="1:49">
      <c r="A82" s="145">
        <v>45824</v>
      </c>
      <c r="B82" s="146">
        <f>YEAR(Table7[[#This Row],[Date]])+IF(MONTH(Table7[[#This Row],[Date]])&gt;=4,1,0)</f>
        <v>2026</v>
      </c>
      <c r="C82" s="147">
        <f>YEAR(Table7[[#This Row],[Date]])</f>
        <v>2025</v>
      </c>
      <c r="D82" s="148">
        <f>Daily_KPI[[#This Row],[Date]]-DAY(Daily_KPI[[#This Row],[Date]])+1</f>
        <v>45809</v>
      </c>
      <c r="E82" s="108">
        <v>6659.6316666666671</v>
      </c>
      <c r="F82" s="108">
        <v>6339.9976666666707</v>
      </c>
      <c r="G82" s="108">
        <v>6052.7018333333317</v>
      </c>
      <c r="H82" s="108">
        <v>6227.5328333333346</v>
      </c>
      <c r="I82" s="108">
        <v>6470.0028333333321</v>
      </c>
      <c r="J82" s="108">
        <v>6420.4954999999982</v>
      </c>
      <c r="K82" s="108">
        <v>6387.555833333332</v>
      </c>
      <c r="L82" s="108">
        <v>5677.1194999999998</v>
      </c>
      <c r="M82" s="108">
        <v>4901.5461666666661</v>
      </c>
      <c r="N82" s="108">
        <v>5271.7800000000016</v>
      </c>
      <c r="O82" s="108">
        <v>5786.680333333331</v>
      </c>
      <c r="P82" s="108">
        <v>6323.109999999996</v>
      </c>
      <c r="Q82" s="108">
        <v>2235.5460000000003</v>
      </c>
      <c r="R82" s="108">
        <v>6116.4796666666671</v>
      </c>
      <c r="S82" s="108">
        <v>5696.2678333333324</v>
      </c>
      <c r="T82" s="108">
        <v>5912.3576666666677</v>
      </c>
      <c r="U82" s="108">
        <v>5909.1299999999983</v>
      </c>
      <c r="V82" s="108">
        <v>6170.6836666666641</v>
      </c>
      <c r="W82" s="108">
        <v>6075.4401666666663</v>
      </c>
      <c r="X82" s="108">
        <v>5441.1674999999996</v>
      </c>
      <c r="Y82" s="108">
        <v>6231.5551666666679</v>
      </c>
      <c r="Z82" s="108">
        <v>5983.7390000000023</v>
      </c>
      <c r="AA82" s="108">
        <v>5910.0125000000035</v>
      </c>
      <c r="AB82" s="108">
        <v>6122.600666666669</v>
      </c>
      <c r="AC82" s="108">
        <v>6135.4045000000033</v>
      </c>
      <c r="AD82" s="108">
        <v>5940.9313333333303</v>
      </c>
      <c r="AE82" s="108">
        <v>5417.364833333334</v>
      </c>
      <c r="AF82" s="108">
        <v>5844.1523333333325</v>
      </c>
      <c r="AG82" s="108">
        <v>4775.7425000000003</v>
      </c>
      <c r="AH82" s="108">
        <v>6270.2241666666623</v>
      </c>
      <c r="AI82" s="108">
        <v>5704.9481666666652</v>
      </c>
      <c r="AJ82" s="108">
        <v>5703.3198333333312</v>
      </c>
      <c r="AK82" s="108">
        <v>6420.3009999999995</v>
      </c>
      <c r="AL82" s="108">
        <v>6406.5085000000008</v>
      </c>
      <c r="AM82" s="108">
        <v>5621.8919999999998</v>
      </c>
      <c r="AN82" s="108">
        <v>6699.6246666666702</v>
      </c>
      <c r="AO82" s="108">
        <v>6702.5933333333296</v>
      </c>
      <c r="AP82" s="108">
        <v>6419.8313333333308</v>
      </c>
      <c r="AQ82" s="108">
        <v>6610.8013333333365</v>
      </c>
      <c r="AR82" s="108">
        <v>5774.6381666666675</v>
      </c>
      <c r="AS82" s="108">
        <v>6312.0425000000023</v>
      </c>
      <c r="AT82" s="108">
        <v>6483.8116666666656</v>
      </c>
      <c r="AU82" s="108">
        <v>6721.9731666666639</v>
      </c>
      <c r="AV82" s="108">
        <v>6593.5778333333292</v>
      </c>
      <c r="AW82" s="108">
        <f t="shared" si="7"/>
        <v>262.88281716666665</v>
      </c>
    </row>
    <row r="83" spans="1:49">
      <c r="A83" s="149">
        <v>45825</v>
      </c>
      <c r="B83" s="150">
        <f>YEAR(Table7[[#This Row],[Date]])+IF(MONTH(Table7[[#This Row],[Date]])&gt;=4,1,0)</f>
        <v>2026</v>
      </c>
      <c r="C83" s="151">
        <f>YEAR(Table7[[#This Row],[Date]])</f>
        <v>2025</v>
      </c>
      <c r="D83" s="152">
        <f>Daily_KPI[[#This Row],[Date]]-DAY(Daily_KPI[[#This Row],[Date]])+1</f>
        <v>45809</v>
      </c>
      <c r="E83" s="108">
        <v>2659.956666666666</v>
      </c>
      <c r="F83" s="108">
        <v>2570.5528333333332</v>
      </c>
      <c r="G83" s="108">
        <v>2270.7157499999998</v>
      </c>
      <c r="H83" s="108">
        <v>1943.7171666666657</v>
      </c>
      <c r="I83" s="108">
        <v>2581.31675</v>
      </c>
      <c r="J83" s="108">
        <v>2707.4779999999987</v>
      </c>
      <c r="K83" s="108">
        <v>2586.130916666667</v>
      </c>
      <c r="L83" s="108">
        <v>2394.4642500000009</v>
      </c>
      <c r="M83" s="108">
        <v>2117.8050833333323</v>
      </c>
      <c r="N83" s="108">
        <v>2029.5751666666672</v>
      </c>
      <c r="O83" s="108">
        <v>2346.5363333333344</v>
      </c>
      <c r="P83" s="108">
        <v>2596.3371666666667</v>
      </c>
      <c r="Q83" s="108">
        <v>2706.8993333333328</v>
      </c>
      <c r="R83" s="108">
        <v>2598.9601666666663</v>
      </c>
      <c r="S83" s="108">
        <v>2395.3356666666655</v>
      </c>
      <c r="T83" s="108">
        <v>2455.5685000000003</v>
      </c>
      <c r="U83" s="108">
        <v>2433.2507500000002</v>
      </c>
      <c r="V83" s="108">
        <v>2431.311416666666</v>
      </c>
      <c r="W83" s="108">
        <v>2595.6710833333327</v>
      </c>
      <c r="X83" s="108">
        <v>2341.2980833333331</v>
      </c>
      <c r="Y83" s="108">
        <v>2586.1642499999994</v>
      </c>
      <c r="Z83" s="108">
        <v>2466.1424166666661</v>
      </c>
      <c r="AA83" s="108">
        <v>2460.0275833333326</v>
      </c>
      <c r="AB83" s="108">
        <v>2545.327499999999</v>
      </c>
      <c r="AC83" s="108">
        <v>2552.0326666666674</v>
      </c>
      <c r="AD83" s="108">
        <v>2340.99325</v>
      </c>
      <c r="AE83" s="108">
        <v>1786.593083333333</v>
      </c>
      <c r="AF83" s="108">
        <v>2341.108999999999</v>
      </c>
      <c r="AG83" s="108">
        <v>2134.9895000000001</v>
      </c>
      <c r="AH83" s="108">
        <v>0</v>
      </c>
      <c r="AI83" s="108">
        <v>2293.2800000000002</v>
      </c>
      <c r="AJ83" s="108">
        <v>2387.502583333333</v>
      </c>
      <c r="AK83" s="108">
        <v>2585.3099166666657</v>
      </c>
      <c r="AL83" s="108">
        <v>2563.6380833333328</v>
      </c>
      <c r="AM83" s="108">
        <v>2337.8909999999996</v>
      </c>
      <c r="AN83" s="108">
        <v>2768.7756666666651</v>
      </c>
      <c r="AO83" s="108">
        <v>2745.4618333333328</v>
      </c>
      <c r="AP83" s="108">
        <v>2547.5995833333336</v>
      </c>
      <c r="AQ83" s="108">
        <v>2706.6439166666664</v>
      </c>
      <c r="AR83" s="108">
        <v>2191.4019166666671</v>
      </c>
      <c r="AS83" s="108">
        <v>2407.5308333333328</v>
      </c>
      <c r="AT83" s="108">
        <v>2594.5209999999997</v>
      </c>
      <c r="AU83" s="108">
        <v>2728.4249999999997</v>
      </c>
      <c r="AV83" s="108">
        <v>2676.6429166666662</v>
      </c>
      <c r="AW83" s="108">
        <f t="shared" si="7"/>
        <v>105.51088458333334</v>
      </c>
    </row>
    <row r="84" spans="1:49">
      <c r="A84" s="145">
        <v>45826</v>
      </c>
      <c r="B84" s="146">
        <f>YEAR(Table7[[#This Row],[Date]])+IF(MONTH(Table7[[#This Row],[Date]])&gt;=4,1,0)</f>
        <v>2026</v>
      </c>
      <c r="C84" s="147">
        <f>YEAR(Table7[[#This Row],[Date]])</f>
        <v>2025</v>
      </c>
      <c r="D84" s="148">
        <f>Daily_KPI[[#This Row],[Date]]-DAY(Daily_KPI[[#This Row],[Date]])+1</f>
        <v>45809</v>
      </c>
      <c r="E84" s="108">
        <v>7132.3976666666649</v>
      </c>
      <c r="F84" s="108">
        <v>6897.3144999999977</v>
      </c>
      <c r="G84" s="108">
        <v>6434.4166666666688</v>
      </c>
      <c r="H84" s="108">
        <v>2737.105</v>
      </c>
      <c r="I84" s="108">
        <v>7056.3845000000065</v>
      </c>
      <c r="J84" s="108">
        <v>7215.3026666666665</v>
      </c>
      <c r="K84" s="108">
        <v>6990.3268333333317</v>
      </c>
      <c r="L84" s="108">
        <v>6580.5214999999989</v>
      </c>
      <c r="M84" s="108">
        <v>5779.5600000000022</v>
      </c>
      <c r="N84" s="108">
        <v>5825.7545000000018</v>
      </c>
      <c r="O84" s="108">
        <v>6441.9618333333347</v>
      </c>
      <c r="P84" s="108">
        <v>7065.5040000000008</v>
      </c>
      <c r="Q84" s="108">
        <v>7177.6129999999985</v>
      </c>
      <c r="R84" s="108">
        <v>6931.2123333333366</v>
      </c>
      <c r="S84" s="108">
        <v>6680.4880000000012</v>
      </c>
      <c r="T84" s="108">
        <v>5105.9628333333339</v>
      </c>
      <c r="U84" s="108">
        <v>6846.0190000000011</v>
      </c>
      <c r="V84" s="108">
        <v>6649.2453333333333</v>
      </c>
      <c r="W84" s="108">
        <v>7003.3931666666676</v>
      </c>
      <c r="X84" s="108">
        <v>6537.8756666666641</v>
      </c>
      <c r="Y84" s="108">
        <v>7121.932833333336</v>
      </c>
      <c r="Z84" s="108">
        <v>6836.1214999999975</v>
      </c>
      <c r="AA84" s="108">
        <v>6738.9133333333339</v>
      </c>
      <c r="AB84" s="108">
        <v>6952.8986666666669</v>
      </c>
      <c r="AC84" s="108">
        <v>7002.9943333333331</v>
      </c>
      <c r="AD84" s="108">
        <v>5645.9973333333328</v>
      </c>
      <c r="AE84" s="108">
        <v>5581.4355000000005</v>
      </c>
      <c r="AF84" s="108">
        <v>6514.9698333333326</v>
      </c>
      <c r="AG84" s="108">
        <v>7165.9871666666686</v>
      </c>
      <c r="AH84" s="108">
        <v>6877.9053333333313</v>
      </c>
      <c r="AI84" s="108">
        <v>6668.2450000000026</v>
      </c>
      <c r="AJ84" s="108">
        <v>6622.1663333333354</v>
      </c>
      <c r="AK84" s="108">
        <v>7099.2793333333357</v>
      </c>
      <c r="AL84" s="108">
        <v>7109.9630000000025</v>
      </c>
      <c r="AM84" s="108">
        <v>6494.2586666666657</v>
      </c>
      <c r="AN84" s="108">
        <v>7347.6973333333326</v>
      </c>
      <c r="AO84" s="108">
        <v>7318.558666666665</v>
      </c>
      <c r="AP84" s="108">
        <v>7100.0770000000039</v>
      </c>
      <c r="AQ84" s="108">
        <v>7284.5131666666684</v>
      </c>
      <c r="AR84" s="108">
        <v>6318.2318333333287</v>
      </c>
      <c r="AS84" s="108">
        <v>6719.867333333329</v>
      </c>
      <c r="AT84" s="108">
        <v>6705.4861666666693</v>
      </c>
      <c r="AU84" s="108">
        <v>7135.7988333333342</v>
      </c>
      <c r="AV84" s="108">
        <v>6854.7615000000014</v>
      </c>
      <c r="AW84" s="108">
        <f t="shared" si="7"/>
        <v>292.30641900000001</v>
      </c>
    </row>
    <row r="85" spans="1:49">
      <c r="A85" s="149">
        <v>45827</v>
      </c>
      <c r="B85" s="150">
        <f>YEAR(Table7[[#This Row],[Date]])+IF(MONTH(Table7[[#This Row],[Date]])&gt;=4,1,0)</f>
        <v>2026</v>
      </c>
      <c r="C85" s="151">
        <f>YEAR(Table7[[#This Row],[Date]])</f>
        <v>2025</v>
      </c>
      <c r="D85" s="152">
        <f>Daily_KPI[[#This Row],[Date]]-DAY(Daily_KPI[[#This Row],[Date]])+1</f>
        <v>45809</v>
      </c>
      <c r="E85" s="108">
        <v>6142.4948333333314</v>
      </c>
      <c r="F85" s="108">
        <v>6083.9500000000007</v>
      </c>
      <c r="G85" s="108">
        <v>6426.0160000000033</v>
      </c>
      <c r="H85" s="108">
        <v>3504.8373333333329</v>
      </c>
      <c r="I85" s="108">
        <v>6990.3896666666697</v>
      </c>
      <c r="J85" s="108">
        <v>6961.2785000000013</v>
      </c>
      <c r="K85" s="108">
        <v>5936.9465000000018</v>
      </c>
      <c r="L85" s="108">
        <v>6424.9720000000025</v>
      </c>
      <c r="M85" s="108">
        <v>5701.9778333333315</v>
      </c>
      <c r="N85" s="108">
        <v>5586.551166666668</v>
      </c>
      <c r="O85" s="108">
        <v>6413.8744999999972</v>
      </c>
      <c r="P85" s="108">
        <v>6304.8538333333317</v>
      </c>
      <c r="Q85" s="108">
        <v>6021.8040000000001</v>
      </c>
      <c r="R85" s="108">
        <v>6680.9721666666637</v>
      </c>
      <c r="S85" s="108">
        <v>5511.5961666666626</v>
      </c>
      <c r="T85" s="108">
        <v>6475.3565000000008</v>
      </c>
      <c r="U85" s="108">
        <v>6709.0770000000039</v>
      </c>
      <c r="V85" s="108">
        <v>6847.7948333333325</v>
      </c>
      <c r="W85" s="108">
        <v>6654.2816666666695</v>
      </c>
      <c r="X85" s="108">
        <v>6129.0856666666668</v>
      </c>
      <c r="Y85" s="108">
        <v>6889.3106666666654</v>
      </c>
      <c r="Z85" s="108">
        <v>6144.1769999999997</v>
      </c>
      <c r="AA85" s="108">
        <v>6493.4608333333308</v>
      </c>
      <c r="AB85" s="108">
        <v>6661.3551666666654</v>
      </c>
      <c r="AC85" s="108">
        <v>6780.0881666666646</v>
      </c>
      <c r="AD85" s="108">
        <v>6645.4421666666685</v>
      </c>
      <c r="AE85" s="108">
        <v>5748.1826666666648</v>
      </c>
      <c r="AF85" s="108">
        <v>4235.8486666666677</v>
      </c>
      <c r="AG85" s="108">
        <v>6787.9279999999972</v>
      </c>
      <c r="AH85" s="108">
        <v>6570.1851666666735</v>
      </c>
      <c r="AI85" s="108">
        <v>6641.0050000000001</v>
      </c>
      <c r="AJ85" s="108">
        <v>6335.2666666666655</v>
      </c>
      <c r="AK85" s="108">
        <v>6956.6493333333347</v>
      </c>
      <c r="AL85" s="108">
        <v>7011.6138333333356</v>
      </c>
      <c r="AM85" s="108">
        <v>6255.2295000000013</v>
      </c>
      <c r="AN85" s="108">
        <v>7155.9364999999971</v>
      </c>
      <c r="AO85" s="108">
        <v>7186.7478333333311</v>
      </c>
      <c r="AP85" s="108">
        <v>6942.9288333333352</v>
      </c>
      <c r="AQ85" s="108">
        <v>7161.6476666666676</v>
      </c>
      <c r="AR85" s="108">
        <v>4364.0368333333345</v>
      </c>
      <c r="AS85" s="108">
        <v>4718.1726666666664</v>
      </c>
      <c r="AT85" s="108">
        <v>4435.5866666666652</v>
      </c>
      <c r="AU85" s="108">
        <v>4999.6448333333328</v>
      </c>
      <c r="AV85" s="108">
        <v>3995.6319999999996</v>
      </c>
      <c r="AW85" s="108">
        <f t="shared" si="7"/>
        <v>270.62418683333334</v>
      </c>
    </row>
    <row r="86" spans="1:49">
      <c r="A86" s="145">
        <v>45828</v>
      </c>
      <c r="B86" s="146">
        <f>YEAR(Table7[[#This Row],[Date]])+IF(MONTH(Table7[[#This Row],[Date]])&gt;=4,1,0)</f>
        <v>2026</v>
      </c>
      <c r="C86" s="147">
        <f>YEAR(Table7[[#This Row],[Date]])</f>
        <v>2025</v>
      </c>
      <c r="D86" s="148">
        <f>Daily_KPI[[#This Row],[Date]]-DAY(Daily_KPI[[#This Row],[Date]])+1</f>
        <v>45809</v>
      </c>
      <c r="E86" s="108">
        <v>6142.4948333333314</v>
      </c>
      <c r="F86" s="108">
        <v>6083.9500000000007</v>
      </c>
      <c r="G86" s="108">
        <v>6426.0160000000033</v>
      </c>
      <c r="H86" s="108">
        <v>3504.8373333333329</v>
      </c>
      <c r="I86" s="108">
        <v>6990.3896666666697</v>
      </c>
      <c r="J86" s="108">
        <v>6961.2785000000013</v>
      </c>
      <c r="K86" s="108">
        <v>5936.9465000000018</v>
      </c>
      <c r="L86" s="108">
        <v>6424.9720000000025</v>
      </c>
      <c r="M86" s="108">
        <v>5701.9778333333315</v>
      </c>
      <c r="N86" s="108">
        <v>5586.551166666668</v>
      </c>
      <c r="O86" s="108">
        <v>6413.8744999999972</v>
      </c>
      <c r="P86" s="108">
        <v>6304.8538333333317</v>
      </c>
      <c r="Q86" s="108">
        <v>6021.8040000000001</v>
      </c>
      <c r="R86" s="108">
        <v>6680.9721666666637</v>
      </c>
      <c r="S86" s="108">
        <v>5511.5961666666626</v>
      </c>
      <c r="T86" s="108">
        <v>6475.3565000000008</v>
      </c>
      <c r="U86" s="108">
        <v>6709.0770000000039</v>
      </c>
      <c r="V86" s="108">
        <v>6847.7948333333325</v>
      </c>
      <c r="W86" s="108">
        <v>6654.2816666666695</v>
      </c>
      <c r="X86" s="108">
        <v>6129.0856666666668</v>
      </c>
      <c r="Y86" s="108">
        <v>6889.3106666666654</v>
      </c>
      <c r="Z86" s="108">
        <v>6144.1769999999997</v>
      </c>
      <c r="AA86" s="108">
        <v>6493.4608333333308</v>
      </c>
      <c r="AB86" s="108">
        <v>6661.3551666666654</v>
      </c>
      <c r="AC86" s="108">
        <v>6780.0881666666646</v>
      </c>
      <c r="AD86" s="108">
        <v>6645.4421666666685</v>
      </c>
      <c r="AE86" s="108">
        <v>5748.1826666666648</v>
      </c>
      <c r="AF86" s="108">
        <v>4235.8486666666677</v>
      </c>
      <c r="AG86" s="108">
        <v>6787.9279999999972</v>
      </c>
      <c r="AH86" s="108">
        <v>6570.1851666666735</v>
      </c>
      <c r="AI86" s="108">
        <v>6641.0050000000001</v>
      </c>
      <c r="AJ86" s="108">
        <v>6335.2666666666655</v>
      </c>
      <c r="AK86" s="108">
        <v>6956.6493333333347</v>
      </c>
      <c r="AL86" s="108">
        <v>7011.6138333333356</v>
      </c>
      <c r="AM86" s="108">
        <v>6255.2295000000013</v>
      </c>
      <c r="AN86" s="108">
        <v>7155.9364999999971</v>
      </c>
      <c r="AO86" s="108">
        <v>7186.7478333333311</v>
      </c>
      <c r="AP86" s="108">
        <v>6942.9288333333352</v>
      </c>
      <c r="AQ86" s="108">
        <v>7161.6476666666676</v>
      </c>
      <c r="AR86" s="108">
        <v>4364.0368333333345</v>
      </c>
      <c r="AS86" s="108">
        <v>4718.1726666666664</v>
      </c>
      <c r="AT86" s="108">
        <v>4435.5866666666652</v>
      </c>
      <c r="AU86" s="108">
        <v>4999.6448333333328</v>
      </c>
      <c r="AV86" s="108">
        <v>3995.6319999999996</v>
      </c>
      <c r="AW86" s="108">
        <f t="shared" ref="AW86:AW87" si="11">SUM(E86:AV86)/1000</f>
        <v>270.62418683333334</v>
      </c>
    </row>
    <row r="87" spans="1:49">
      <c r="A87" s="149">
        <v>45829</v>
      </c>
      <c r="B87" s="150">
        <f>YEAR(Table7[[#This Row],[Date]])+IF(MONTH(Table7[[#This Row],[Date]])&gt;=4,1,0)</f>
        <v>2026</v>
      </c>
      <c r="C87" s="151">
        <f>YEAR(Table7[[#This Row],[Date]])</f>
        <v>2025</v>
      </c>
      <c r="D87" s="152">
        <f>Daily_KPI[[#This Row],[Date]]-DAY(Daily_KPI[[#This Row],[Date]])+1</f>
        <v>45809</v>
      </c>
      <c r="E87" s="108">
        <v>6659.6316666666671</v>
      </c>
      <c r="F87" s="108">
        <v>6339.9976666666707</v>
      </c>
      <c r="G87" s="108">
        <v>6052.7018333333317</v>
      </c>
      <c r="H87" s="108">
        <v>6227.5328333333346</v>
      </c>
      <c r="I87" s="108">
        <v>6470.0028333333321</v>
      </c>
      <c r="J87" s="108">
        <v>6420.4954999999982</v>
      </c>
      <c r="K87" s="108">
        <v>6387.555833333332</v>
      </c>
      <c r="L87" s="108">
        <v>5677.1194999999998</v>
      </c>
      <c r="M87" s="108">
        <v>4901.5461666666661</v>
      </c>
      <c r="N87" s="108">
        <v>5271.7800000000016</v>
      </c>
      <c r="O87" s="108">
        <v>5786.680333333331</v>
      </c>
      <c r="P87" s="108">
        <v>6323.109999999996</v>
      </c>
      <c r="Q87" s="108">
        <v>2235.5460000000003</v>
      </c>
      <c r="R87" s="108">
        <v>6116.4796666666671</v>
      </c>
      <c r="S87" s="108">
        <v>5696.2678333333324</v>
      </c>
      <c r="T87" s="108">
        <v>5912.3576666666677</v>
      </c>
      <c r="U87" s="108">
        <v>5909.1299999999983</v>
      </c>
      <c r="V87" s="108">
        <v>6170.6836666666641</v>
      </c>
      <c r="W87" s="108">
        <v>6075.4401666666663</v>
      </c>
      <c r="X87" s="108">
        <v>5441.1674999999996</v>
      </c>
      <c r="Y87" s="108">
        <v>6231.5551666666679</v>
      </c>
      <c r="Z87" s="108">
        <v>5983.7390000000023</v>
      </c>
      <c r="AA87" s="108">
        <v>5910.0125000000035</v>
      </c>
      <c r="AB87" s="108">
        <v>6122.600666666669</v>
      </c>
      <c r="AC87" s="108">
        <v>6135.4045000000033</v>
      </c>
      <c r="AD87" s="108">
        <v>5940.9313333333303</v>
      </c>
      <c r="AE87" s="108">
        <v>5417.364833333334</v>
      </c>
      <c r="AF87" s="108">
        <v>5844.1523333333325</v>
      </c>
      <c r="AG87" s="108">
        <v>4775.7425000000003</v>
      </c>
      <c r="AH87" s="108">
        <v>6270.2241666666623</v>
      </c>
      <c r="AI87" s="108">
        <v>5704.9481666666652</v>
      </c>
      <c r="AJ87" s="108">
        <v>5703.3198333333312</v>
      </c>
      <c r="AK87" s="108">
        <v>6420.3009999999995</v>
      </c>
      <c r="AL87" s="108">
        <v>6406.5085000000008</v>
      </c>
      <c r="AM87" s="108">
        <v>5621.8919999999998</v>
      </c>
      <c r="AN87" s="108">
        <v>6699.6246666666702</v>
      </c>
      <c r="AO87" s="108">
        <v>6702.5933333333296</v>
      </c>
      <c r="AP87" s="108">
        <v>6419.8313333333308</v>
      </c>
      <c r="AQ87" s="108">
        <v>6610.8013333333365</v>
      </c>
      <c r="AR87" s="108">
        <v>5774.6381666666675</v>
      </c>
      <c r="AS87" s="108">
        <v>6312.0425000000023</v>
      </c>
      <c r="AT87" s="108">
        <v>6483.8116666666656</v>
      </c>
      <c r="AU87" s="108">
        <v>6721.9731666666639</v>
      </c>
      <c r="AV87" s="108">
        <v>6593.5778333333292</v>
      </c>
      <c r="AW87" s="108">
        <f t="shared" si="11"/>
        <v>262.88281716666665</v>
      </c>
    </row>
    <row r="88" spans="1:49">
      <c r="A88" s="145">
        <v>45830</v>
      </c>
      <c r="B88" s="146">
        <f>YEAR(Table7[[#This Row],[Date]])+IF(MONTH(Table7[[#This Row],[Date]])&gt;=4,1,0)</f>
        <v>2026</v>
      </c>
      <c r="C88" s="147">
        <f>YEAR(Table7[[#This Row],[Date]])</f>
        <v>2025</v>
      </c>
      <c r="D88" s="148">
        <f>Daily_KPI[[#This Row],[Date]]-DAY(Daily_KPI[[#This Row],[Date]])+1</f>
        <v>45809</v>
      </c>
      <c r="E88" s="108">
        <v>6583.8866666666645</v>
      </c>
      <c r="F88" s="108">
        <v>5830.8216666666704</v>
      </c>
      <c r="G88" s="108">
        <v>5246.4411666666647</v>
      </c>
      <c r="H88" s="108">
        <v>6318.4368333333332</v>
      </c>
      <c r="I88" s="108">
        <v>6203.3966666666647</v>
      </c>
      <c r="J88" s="108">
        <v>6117.9949999999999</v>
      </c>
      <c r="K88" s="108">
        <v>6338.5656666666646</v>
      </c>
      <c r="L88" s="108">
        <v>5697.4095000000025</v>
      </c>
      <c r="M88" s="108">
        <v>4384.9763333333349</v>
      </c>
      <c r="N88" s="108">
        <v>5078.9801666666672</v>
      </c>
      <c r="O88" s="108">
        <v>5240.7543333333342</v>
      </c>
      <c r="P88" s="108">
        <v>6671.3316666666688</v>
      </c>
      <c r="Q88" s="108">
        <v>6727.0455000000047</v>
      </c>
      <c r="R88" s="108">
        <v>5643.1863333333358</v>
      </c>
      <c r="S88" s="108">
        <v>5612.7780000000012</v>
      </c>
      <c r="T88" s="108">
        <v>5657.7346666666635</v>
      </c>
      <c r="U88" s="108">
        <v>6207.9146666666666</v>
      </c>
      <c r="V88" s="108">
        <v>5658.5565000000024</v>
      </c>
      <c r="W88" s="108">
        <v>5415.6376666666665</v>
      </c>
      <c r="X88" s="108">
        <v>4711.8904999999977</v>
      </c>
      <c r="Y88" s="108">
        <v>6230.4935000000014</v>
      </c>
      <c r="Z88" s="108">
        <v>5053.217333333333</v>
      </c>
      <c r="AA88" s="108">
        <v>5589.8710000000019</v>
      </c>
      <c r="AB88" s="108">
        <v>5832.5966666666673</v>
      </c>
      <c r="AC88" s="108">
        <v>6256.0938333333324</v>
      </c>
      <c r="AD88" s="108">
        <v>6208.1559999999999</v>
      </c>
      <c r="AE88" s="108">
        <v>4659.560333333332</v>
      </c>
      <c r="AF88" s="108">
        <v>5303.0651666666636</v>
      </c>
      <c r="AG88" s="108">
        <v>5882.2280000000019</v>
      </c>
      <c r="AH88" s="108">
        <v>5746.4926666666679</v>
      </c>
      <c r="AI88" s="108">
        <v>5537.3318333333336</v>
      </c>
      <c r="AJ88" s="108">
        <v>4734.2418333333344</v>
      </c>
      <c r="AK88" s="108">
        <v>6074.0483333333332</v>
      </c>
      <c r="AL88" s="108">
        <v>6483.6773333333294</v>
      </c>
      <c r="AM88" s="108">
        <v>5108.9233333333323</v>
      </c>
      <c r="AN88" s="108">
        <v>6782.5423333333338</v>
      </c>
      <c r="AO88" s="108">
        <v>6756.0310000000018</v>
      </c>
      <c r="AP88" s="108">
        <v>6352.7163333333347</v>
      </c>
      <c r="AQ88" s="108">
        <v>6674.6140000000014</v>
      </c>
      <c r="AR88" s="108">
        <v>5918.9604999999974</v>
      </c>
      <c r="AS88" s="108">
        <v>6528.425000000002</v>
      </c>
      <c r="AT88" s="108">
        <v>5121.6359999999986</v>
      </c>
      <c r="AU88" s="108">
        <v>6884.8321666666679</v>
      </c>
      <c r="AV88" s="108">
        <v>6729.9696666666678</v>
      </c>
      <c r="AW88" s="108">
        <f t="shared" si="7"/>
        <v>257.79746366666666</v>
      </c>
    </row>
    <row r="89" spans="1:49">
      <c r="A89" s="149">
        <v>45831</v>
      </c>
      <c r="B89" s="150">
        <f>YEAR(Table7[[#This Row],[Date]])+IF(MONTH(Table7[[#This Row],[Date]])&gt;=4,1,0)</f>
        <v>2026</v>
      </c>
      <c r="C89" s="151">
        <f>YEAR(Table7[[#This Row],[Date]])</f>
        <v>2025</v>
      </c>
      <c r="D89" s="152">
        <f>Daily_KPI[[#This Row],[Date]]-DAY(Daily_KPI[[#This Row],[Date]])+1</f>
        <v>45809</v>
      </c>
      <c r="E89" s="108">
        <v>5866.716166666668</v>
      </c>
      <c r="F89" s="108">
        <v>5703.2975000000015</v>
      </c>
      <c r="G89" s="108">
        <v>5999.0349999999999</v>
      </c>
      <c r="H89" s="108">
        <v>6290.0395000000017</v>
      </c>
      <c r="I89" s="108">
        <v>6713.1671666666671</v>
      </c>
      <c r="J89" s="108">
        <v>6682.7021666666651</v>
      </c>
      <c r="K89" s="108">
        <v>5815.6989999999996</v>
      </c>
      <c r="L89" s="108">
        <v>5944.8578333333307</v>
      </c>
      <c r="M89" s="108">
        <v>4839.5424999999987</v>
      </c>
      <c r="N89" s="108">
        <v>5600.5531666666684</v>
      </c>
      <c r="O89" s="108">
        <v>6303.2343333333329</v>
      </c>
      <c r="P89" s="108">
        <v>6586.902166666664</v>
      </c>
      <c r="Q89" s="108">
        <v>6695.7135000000007</v>
      </c>
      <c r="R89" s="108">
        <v>6354.9646666666695</v>
      </c>
      <c r="S89" s="108">
        <v>6140.4793333333364</v>
      </c>
      <c r="T89" s="108">
        <v>6380.9524999999994</v>
      </c>
      <c r="U89" s="108">
        <v>6362.0679999999984</v>
      </c>
      <c r="V89" s="108">
        <v>5728.6393333333317</v>
      </c>
      <c r="W89" s="108">
        <v>6587.0380000000014</v>
      </c>
      <c r="X89" s="108">
        <v>6323.8801666666632</v>
      </c>
      <c r="Y89" s="108">
        <v>6594.3611666666666</v>
      </c>
      <c r="Z89" s="108">
        <v>6434.1806666666707</v>
      </c>
      <c r="AA89" s="108">
        <v>6429.1021666666647</v>
      </c>
      <c r="AB89" s="108">
        <v>6496.4049999999997</v>
      </c>
      <c r="AC89" s="108">
        <v>6539.1023333333351</v>
      </c>
      <c r="AD89" s="108">
        <v>6449.8675000000003</v>
      </c>
      <c r="AE89" s="108">
        <v>5037.1646666666666</v>
      </c>
      <c r="AF89" s="108">
        <v>4636.2876666666671</v>
      </c>
      <c r="AG89" s="108">
        <v>5851.552833333335</v>
      </c>
      <c r="AH89" s="108">
        <v>7206.7533333333367</v>
      </c>
      <c r="AI89" s="108">
        <v>6483.7225000000008</v>
      </c>
      <c r="AJ89" s="108">
        <v>6267.5246666666653</v>
      </c>
      <c r="AK89" s="108">
        <v>6129.2783333333327</v>
      </c>
      <c r="AL89" s="108">
        <v>6580.1084999999975</v>
      </c>
      <c r="AM89" s="108">
        <v>6284.4951666666702</v>
      </c>
      <c r="AN89" s="108">
        <v>6793.8663333333316</v>
      </c>
      <c r="AO89" s="108">
        <v>6807.8904999999986</v>
      </c>
      <c r="AP89" s="108">
        <v>6733.0395000000035</v>
      </c>
      <c r="AQ89" s="108">
        <v>6792.435333333332</v>
      </c>
      <c r="AR89" s="108">
        <v>5238.3080000000036</v>
      </c>
      <c r="AS89" s="108">
        <v>5436.182333333335</v>
      </c>
      <c r="AT89" s="108">
        <v>4191.5123333333331</v>
      </c>
      <c r="AU89" s="108">
        <v>5694.8506666666653</v>
      </c>
      <c r="AV89" s="108">
        <v>5911.8284999999996</v>
      </c>
      <c r="AW89" s="108">
        <f t="shared" si="7"/>
        <v>269.93930200000011</v>
      </c>
    </row>
    <row r="90" spans="1:49">
      <c r="A90" s="145">
        <v>45832</v>
      </c>
      <c r="B90" s="146">
        <f>YEAR(Table7[[#This Row],[Date]])+IF(MONTH(Table7[[#This Row],[Date]])&gt;=4,1,0)</f>
        <v>2026</v>
      </c>
      <c r="C90" s="147">
        <f>YEAR(Table7[[#This Row],[Date]])</f>
        <v>2025</v>
      </c>
      <c r="D90" s="148">
        <f>Daily_KPI[[#This Row],[Date]]-DAY(Daily_KPI[[#This Row],[Date]])+1</f>
        <v>45809</v>
      </c>
      <c r="E90" s="108">
        <v>7180.0408333333326</v>
      </c>
      <c r="F90" s="108">
        <v>6783.0503333333327</v>
      </c>
      <c r="G90" s="108">
        <v>7102.9886666666707</v>
      </c>
      <c r="H90" s="108">
        <v>7326.6253333333361</v>
      </c>
      <c r="I90" s="108">
        <v>7408.4394999999968</v>
      </c>
      <c r="J90" s="108">
        <v>7231.4666666666644</v>
      </c>
      <c r="K90" s="108">
        <v>6892.5213333333313</v>
      </c>
      <c r="L90" s="108">
        <v>7089.5111666666699</v>
      </c>
      <c r="M90" s="108">
        <v>6184.1808333333329</v>
      </c>
      <c r="N90" s="108">
        <v>6685.4179999999978</v>
      </c>
      <c r="O90" s="108">
        <v>6964.5053333333353</v>
      </c>
      <c r="P90" s="108">
        <v>7391.2921666666671</v>
      </c>
      <c r="Q90" s="108">
        <v>7488.192</v>
      </c>
      <c r="R90" s="108">
        <v>6669.7915000000021</v>
      </c>
      <c r="S90" s="108">
        <v>6718.3311666666659</v>
      </c>
      <c r="T90" s="108">
        <v>7217.416666666667</v>
      </c>
      <c r="U90" s="108">
        <v>6843.2631666666666</v>
      </c>
      <c r="V90" s="108">
        <v>7208.5606666666654</v>
      </c>
      <c r="W90" s="108">
        <v>7078.3774999999996</v>
      </c>
      <c r="X90" s="108">
        <v>6754.8073333333332</v>
      </c>
      <c r="Y90" s="108">
        <v>7284.4663333333328</v>
      </c>
      <c r="Z90" s="108">
        <v>6980.916500000003</v>
      </c>
      <c r="AA90" s="108">
        <v>7168.463499999998</v>
      </c>
      <c r="AB90" s="108">
        <v>7061.3491666666669</v>
      </c>
      <c r="AC90" s="108">
        <v>7445.6686666666692</v>
      </c>
      <c r="AD90" s="108">
        <v>7389.7211666666626</v>
      </c>
      <c r="AE90" s="108">
        <v>6637.528666666668</v>
      </c>
      <c r="AF90" s="108">
        <v>6344.4166666666688</v>
      </c>
      <c r="AG90" s="108">
        <v>5368.4883333333337</v>
      </c>
      <c r="AH90" s="108">
        <v>6695.3844999999974</v>
      </c>
      <c r="AI90" s="108">
        <v>7106.450666666663</v>
      </c>
      <c r="AJ90" s="108">
        <v>6439.2620000000015</v>
      </c>
      <c r="AK90" s="108">
        <v>7154.0121666666664</v>
      </c>
      <c r="AL90" s="108">
        <v>7415.3253333333369</v>
      </c>
      <c r="AM90" s="108">
        <v>6919.3678333333328</v>
      </c>
      <c r="AN90" s="108">
        <v>7547.5139999999992</v>
      </c>
      <c r="AO90" s="108">
        <v>7422.7366666666649</v>
      </c>
      <c r="AP90" s="108">
        <v>7498.5644999999977</v>
      </c>
      <c r="AQ90" s="108">
        <v>7521.1363333333329</v>
      </c>
      <c r="AR90" s="108">
        <v>5457.9363333333331</v>
      </c>
      <c r="AS90" s="108">
        <v>6946.3966666666647</v>
      </c>
      <c r="AT90" s="108">
        <v>5228.7268333333332</v>
      </c>
      <c r="AU90" s="108">
        <v>7076.0649999999987</v>
      </c>
      <c r="AV90" s="108">
        <v>7170.773000000001</v>
      </c>
      <c r="AW90" s="108">
        <f t="shared" si="7"/>
        <v>305.49945099999997</v>
      </c>
    </row>
    <row r="91" spans="1:49">
      <c r="A91" s="149">
        <v>45833</v>
      </c>
      <c r="B91" s="150">
        <f>YEAR(Table7[[#This Row],[Date]])+IF(MONTH(Table7[[#This Row],[Date]])&gt;=4,1,0)</f>
        <v>2026</v>
      </c>
      <c r="C91" s="151">
        <f>YEAR(Table7[[#This Row],[Date]])</f>
        <v>2025</v>
      </c>
      <c r="D91" s="152">
        <f>Daily_KPI[[#This Row],[Date]]-DAY(Daily_KPI[[#This Row],[Date]])+1</f>
        <v>45809</v>
      </c>
      <c r="E91" s="108">
        <v>6975.6901666666672</v>
      </c>
      <c r="F91" s="108">
        <v>6827.2260000000024</v>
      </c>
      <c r="G91" s="108">
        <v>6315.4611666666642</v>
      </c>
      <c r="H91" s="108">
        <v>6471.6671666666671</v>
      </c>
      <c r="I91" s="108">
        <v>6827.0421666666689</v>
      </c>
      <c r="J91" s="108">
        <v>6889.1716666666716</v>
      </c>
      <c r="K91" s="108">
        <v>6924.7906666666677</v>
      </c>
      <c r="L91" s="108">
        <v>6145.4644999999973</v>
      </c>
      <c r="M91" s="108">
        <v>5133.3701666666666</v>
      </c>
      <c r="N91" s="108">
        <v>5276.4023333333325</v>
      </c>
      <c r="O91" s="108">
        <v>6261.4340000000011</v>
      </c>
      <c r="P91" s="108">
        <v>6759.471499999996</v>
      </c>
      <c r="Q91" s="108">
        <v>6871.9138333333349</v>
      </c>
      <c r="R91" s="108">
        <v>6335.8121666666666</v>
      </c>
      <c r="S91" s="108">
        <v>5956.6151666666665</v>
      </c>
      <c r="T91" s="108">
        <v>6227.7500000000045</v>
      </c>
      <c r="U91" s="108">
        <v>6440.5951666666706</v>
      </c>
      <c r="V91" s="108">
        <v>6558.8831666666701</v>
      </c>
      <c r="W91" s="108">
        <v>6280.1349999999984</v>
      </c>
      <c r="X91" s="108">
        <v>5831.2159999999994</v>
      </c>
      <c r="Y91" s="108">
        <v>6710.6286666666647</v>
      </c>
      <c r="Z91" s="108">
        <v>6264.9306666666635</v>
      </c>
      <c r="AA91" s="108">
        <v>5659.8413333333338</v>
      </c>
      <c r="AB91" s="108">
        <v>5445.4488333333338</v>
      </c>
      <c r="AC91" s="108">
        <v>6476.0639999999985</v>
      </c>
      <c r="AD91" s="108">
        <v>6434.4208333333336</v>
      </c>
      <c r="AE91" s="108">
        <v>5704.633833333336</v>
      </c>
      <c r="AF91" s="108">
        <v>6258.8876666666683</v>
      </c>
      <c r="AG91" s="108">
        <v>6875.7290000000003</v>
      </c>
      <c r="AH91" s="108">
        <v>6698.6756666666652</v>
      </c>
      <c r="AI91" s="108">
        <v>6282.874499999999</v>
      </c>
      <c r="AJ91" s="108">
        <v>6125.8471666666628</v>
      </c>
      <c r="AK91" s="108">
        <v>5502.8623333333308</v>
      </c>
      <c r="AL91" s="108">
        <v>6851.243333333332</v>
      </c>
      <c r="AM91" s="108">
        <v>5842.9413333333323</v>
      </c>
      <c r="AN91" s="108">
        <v>7019.1613333333362</v>
      </c>
      <c r="AO91" s="108">
        <v>7009.6993333333339</v>
      </c>
      <c r="AP91" s="108">
        <v>6740.0715000000064</v>
      </c>
      <c r="AQ91" s="108">
        <v>6999.0613333333313</v>
      </c>
      <c r="AR91" s="108">
        <v>6422.9723333333377</v>
      </c>
      <c r="AS91" s="108">
        <v>6893.3864999999996</v>
      </c>
      <c r="AT91" s="108">
        <v>5277.7251666666662</v>
      </c>
      <c r="AU91" s="108">
        <v>7113.4704999999994</v>
      </c>
      <c r="AV91" s="108">
        <v>7060.1491666666707</v>
      </c>
      <c r="AW91" s="108">
        <f t="shared" si="7"/>
        <v>280.98083833333328</v>
      </c>
    </row>
    <row r="92" spans="1:49">
      <c r="A92" s="145">
        <v>45834</v>
      </c>
      <c r="B92" s="146">
        <f>YEAR(Table7[[#This Row],[Date]])+IF(MONTH(Table7[[#This Row],[Date]])&gt;=4,1,0)</f>
        <v>2026</v>
      </c>
      <c r="C92" s="147">
        <f>YEAR(Table7[[#This Row],[Date]])</f>
        <v>2025</v>
      </c>
      <c r="D92" s="148">
        <f>Daily_KPI[[#This Row],[Date]]-DAY(Daily_KPI[[#This Row],[Date]])+1</f>
        <v>45809</v>
      </c>
      <c r="E92" s="108">
        <v>7038.3843333333343</v>
      </c>
      <c r="F92" s="108">
        <v>6866.5471666666699</v>
      </c>
      <c r="G92" s="108">
        <v>6123.4253333333299</v>
      </c>
      <c r="H92" s="108">
        <v>6819.2295000000013</v>
      </c>
      <c r="I92" s="108">
        <v>6959.8859999999986</v>
      </c>
      <c r="J92" s="108">
        <v>6953.5618333333332</v>
      </c>
      <c r="K92" s="108">
        <v>6885.9378333333307</v>
      </c>
      <c r="L92" s="108">
        <v>5890.6495000000004</v>
      </c>
      <c r="M92" s="108">
        <v>5044.1521666666686</v>
      </c>
      <c r="N92" s="108">
        <v>5076.7728333333334</v>
      </c>
      <c r="O92" s="108">
        <v>5864.1828333333351</v>
      </c>
      <c r="P92" s="108">
        <v>6532.8676666666643</v>
      </c>
      <c r="Q92" s="108">
        <v>6819.877166666668</v>
      </c>
      <c r="R92" s="108">
        <v>6475.3576666666695</v>
      </c>
      <c r="S92" s="108">
        <v>5844.4979999999996</v>
      </c>
      <c r="T92" s="108">
        <v>6007.1205000000009</v>
      </c>
      <c r="U92" s="108">
        <v>6124.225833333333</v>
      </c>
      <c r="V92" s="108">
        <v>6384.1990000000042</v>
      </c>
      <c r="W92" s="108">
        <v>6478.1436666666705</v>
      </c>
      <c r="X92" s="108">
        <v>5819.5095000000001</v>
      </c>
      <c r="Y92" s="108">
        <v>6733.9510000000009</v>
      </c>
      <c r="Z92" s="108">
        <v>6206.3381666666619</v>
      </c>
      <c r="AA92" s="108">
        <v>6072.9910000000027</v>
      </c>
      <c r="AB92" s="108">
        <v>6475.3080000000018</v>
      </c>
      <c r="AC92" s="108">
        <v>6402.4436666666661</v>
      </c>
      <c r="AD92" s="108">
        <v>6139.5689999999995</v>
      </c>
      <c r="AE92" s="108">
        <v>5003.2673333333341</v>
      </c>
      <c r="AF92" s="108">
        <v>6003.9678333333322</v>
      </c>
      <c r="AG92" s="108">
        <v>6884.6648333333324</v>
      </c>
      <c r="AH92" s="108">
        <v>6576.471333333332</v>
      </c>
      <c r="AI92" s="108">
        <v>5838.7491666666674</v>
      </c>
      <c r="AJ92" s="108">
        <v>6264.3183333333336</v>
      </c>
      <c r="AK92" s="108">
        <v>5956.3338333333368</v>
      </c>
      <c r="AL92" s="108">
        <v>6762.1843333333336</v>
      </c>
      <c r="AM92" s="108">
        <v>5819.7331666666651</v>
      </c>
      <c r="AN92" s="108">
        <v>7229.1746666666668</v>
      </c>
      <c r="AO92" s="108">
        <v>7186.16366666666</v>
      </c>
      <c r="AP92" s="108">
        <v>6712.3666666666622</v>
      </c>
      <c r="AQ92" s="108">
        <v>7107.2930000000015</v>
      </c>
      <c r="AR92" s="108">
        <v>5723.0363333333335</v>
      </c>
      <c r="AS92" s="108">
        <v>6536.4550000000017</v>
      </c>
      <c r="AT92" s="108">
        <v>5352.4740000000011</v>
      </c>
      <c r="AU92" s="108">
        <v>7074.4191666666666</v>
      </c>
      <c r="AV92" s="108">
        <v>7001.2428333333337</v>
      </c>
      <c r="AW92" s="108">
        <f t="shared" si="7"/>
        <v>279.07144466666659</v>
      </c>
    </row>
    <row r="93" spans="1:49">
      <c r="A93" s="149">
        <v>45835</v>
      </c>
      <c r="B93" s="150">
        <f>YEAR(Table7[[#This Row],[Date]])+IF(MONTH(Table7[[#This Row],[Date]])&gt;=4,1,0)</f>
        <v>2026</v>
      </c>
      <c r="C93" s="151">
        <f>YEAR(Table7[[#This Row],[Date]])</f>
        <v>2025</v>
      </c>
      <c r="D93" s="152">
        <f>Daily_KPI[[#This Row],[Date]]-DAY(Daily_KPI[[#This Row],[Date]])+1</f>
        <v>45809</v>
      </c>
      <c r="E93" s="108">
        <v>7139.6518333333324</v>
      </c>
      <c r="F93" s="108">
        <v>6754.3646666666646</v>
      </c>
      <c r="G93" s="108">
        <v>5168.5133333333351</v>
      </c>
      <c r="H93" s="108">
        <v>6895.372999999996</v>
      </c>
      <c r="I93" s="108">
        <v>6603.8266666666632</v>
      </c>
      <c r="J93" s="108">
        <v>6949.290333333337</v>
      </c>
      <c r="K93" s="108">
        <v>6815.8991666666661</v>
      </c>
      <c r="L93" s="108">
        <v>5779.5234999999984</v>
      </c>
      <c r="M93" s="108">
        <v>5219.4050000000034</v>
      </c>
      <c r="N93" s="108">
        <v>4717.4038333333347</v>
      </c>
      <c r="O93" s="108">
        <v>5320.7400000000016</v>
      </c>
      <c r="P93" s="108">
        <v>6283.0565000000024</v>
      </c>
      <c r="Q93" s="108">
        <v>6643.2353333333331</v>
      </c>
      <c r="R93" s="108">
        <v>6532.4994999999981</v>
      </c>
      <c r="S93" s="108">
        <v>5597.7541666666684</v>
      </c>
      <c r="T93" s="108">
        <v>5758.8253333333314</v>
      </c>
      <c r="U93" s="108">
        <v>5407.695333333334</v>
      </c>
      <c r="V93" s="108">
        <v>5590.7441666666646</v>
      </c>
      <c r="W93" s="108">
        <v>6275.9056666666684</v>
      </c>
      <c r="X93" s="108">
        <v>5172.1634999999997</v>
      </c>
      <c r="Y93" s="108">
        <v>6705.6853333333302</v>
      </c>
      <c r="Z93" s="108">
        <v>6254.2293333333328</v>
      </c>
      <c r="AA93" s="108">
        <v>5936.2053333333315</v>
      </c>
      <c r="AB93" s="108">
        <v>5536.0786666666645</v>
      </c>
      <c r="AC93" s="108">
        <v>6242.1628333333292</v>
      </c>
      <c r="AD93" s="108">
        <v>5825.0175000000008</v>
      </c>
      <c r="AE93" s="108">
        <v>3707.1595000000011</v>
      </c>
      <c r="AF93" s="108">
        <v>5731.9080000000004</v>
      </c>
      <c r="AG93" s="108">
        <v>6803.0435000000034</v>
      </c>
      <c r="AH93" s="108">
        <v>6561.3084999999983</v>
      </c>
      <c r="AI93" s="108">
        <v>4766.1503333333303</v>
      </c>
      <c r="AJ93" s="108">
        <v>5810.3300000000008</v>
      </c>
      <c r="AK93" s="108">
        <v>6502.6399999999994</v>
      </c>
      <c r="AL93" s="108">
        <v>6003.4558333333343</v>
      </c>
      <c r="AM93" s="108">
        <v>5538.9958333333334</v>
      </c>
      <c r="AN93" s="108">
        <v>7414.3101666666735</v>
      </c>
      <c r="AO93" s="108">
        <v>7336.0730000000067</v>
      </c>
      <c r="AP93" s="108">
        <v>6038.7615000000014</v>
      </c>
      <c r="AQ93" s="108">
        <v>7011.7560000000003</v>
      </c>
      <c r="AR93" s="108">
        <v>5353.7875000000022</v>
      </c>
      <c r="AS93" s="108">
        <v>6204.9471666666641</v>
      </c>
      <c r="AT93" s="108">
        <v>6907.5980000000009</v>
      </c>
      <c r="AU93" s="108">
        <v>7483.7256666666644</v>
      </c>
      <c r="AV93" s="108">
        <v>7277.1416666666728</v>
      </c>
      <c r="AW93" s="108">
        <f t="shared" si="7"/>
        <v>269.57834199999996</v>
      </c>
    </row>
    <row r="94" spans="1:49">
      <c r="A94" s="145">
        <v>45836</v>
      </c>
      <c r="B94" s="146">
        <f>YEAR(Table7[[#This Row],[Date]])+IF(MONTH(Table7[[#This Row],[Date]])&gt;=4,1,0)</f>
        <v>2026</v>
      </c>
      <c r="C94" s="147">
        <f>YEAR(Table7[[#This Row],[Date]])</f>
        <v>2025</v>
      </c>
      <c r="D94" s="148">
        <f>Daily_KPI[[#This Row],[Date]]-DAY(Daily_KPI[[#This Row],[Date]])+1</f>
        <v>45809</v>
      </c>
      <c r="E94" s="108">
        <v>6965.8996666666671</v>
      </c>
      <c r="F94" s="108">
        <v>6559.1326666666655</v>
      </c>
      <c r="G94" s="108">
        <v>4978.6546666666663</v>
      </c>
      <c r="H94" s="108">
        <v>6654.9896666666655</v>
      </c>
      <c r="I94" s="108">
        <v>6651.3239999999996</v>
      </c>
      <c r="J94" s="108">
        <v>6942.4448333333339</v>
      </c>
      <c r="K94" s="108">
        <v>6670.6955000000007</v>
      </c>
      <c r="L94" s="108">
        <v>5818.2255000000005</v>
      </c>
      <c r="M94" s="108">
        <v>4891.3441666666668</v>
      </c>
      <c r="N94" s="108">
        <v>4832.0628333333334</v>
      </c>
      <c r="O94" s="108">
        <v>5700.3218333333343</v>
      </c>
      <c r="P94" s="108">
        <v>6660.7653333333337</v>
      </c>
      <c r="Q94" s="108">
        <v>6990.3428333333359</v>
      </c>
      <c r="R94" s="108">
        <v>6563.24866666667</v>
      </c>
      <c r="S94" s="108">
        <v>5803.1265000000012</v>
      </c>
      <c r="T94" s="108">
        <v>6018.9614999999976</v>
      </c>
      <c r="U94" s="108">
        <v>6117.8065000000024</v>
      </c>
      <c r="V94" s="108">
        <v>5398.7461666666695</v>
      </c>
      <c r="W94" s="108">
        <v>6384.7781666666624</v>
      </c>
      <c r="X94" s="108">
        <v>5524.350833333333</v>
      </c>
      <c r="Y94" s="108">
        <v>6601.7776666666678</v>
      </c>
      <c r="Z94" s="108">
        <v>5623.3275000000003</v>
      </c>
      <c r="AA94" s="108">
        <v>5754.5066666666653</v>
      </c>
      <c r="AB94" s="108">
        <v>6143.3246666666664</v>
      </c>
      <c r="AC94" s="108">
        <v>6297.4178333333366</v>
      </c>
      <c r="AD94" s="108">
        <v>6076.5666666666693</v>
      </c>
      <c r="AE94" s="108">
        <v>3573.821833333333</v>
      </c>
      <c r="AF94" s="108">
        <v>5518.0513333333329</v>
      </c>
      <c r="AG94" s="108">
        <v>6822.9393333333328</v>
      </c>
      <c r="AH94" s="108">
        <v>6391.2368333333325</v>
      </c>
      <c r="AI94" s="108">
        <v>5598.3669999999993</v>
      </c>
      <c r="AJ94" s="108">
        <v>5914.6036666666687</v>
      </c>
      <c r="AK94" s="108">
        <v>6485.0421666666671</v>
      </c>
      <c r="AL94" s="108">
        <v>6124.2258333333302</v>
      </c>
      <c r="AM94" s="108">
        <v>4833.4201666666659</v>
      </c>
      <c r="AN94" s="108">
        <v>7377.0560000000014</v>
      </c>
      <c r="AO94" s="108">
        <v>7222.4363333333376</v>
      </c>
      <c r="AP94" s="108">
        <v>5974.6951666666646</v>
      </c>
      <c r="AQ94" s="108">
        <v>7017.6493333333374</v>
      </c>
      <c r="AR94" s="108">
        <v>5504.2690000000002</v>
      </c>
      <c r="AS94" s="108">
        <v>6249.5938333333297</v>
      </c>
      <c r="AT94" s="108">
        <v>6813.1671666666689</v>
      </c>
      <c r="AU94" s="108">
        <v>7406.9621666666653</v>
      </c>
      <c r="AV94" s="108">
        <v>7221.945999999999</v>
      </c>
      <c r="AW94" s="108">
        <f t="shared" si="7"/>
        <v>270.67362600000007</v>
      </c>
    </row>
    <row r="95" spans="1:49">
      <c r="A95" s="149">
        <v>45837</v>
      </c>
      <c r="B95" s="150">
        <f>YEAR(Table7[[#This Row],[Date]])+IF(MONTH(Table7[[#This Row],[Date]])&gt;=4,1,0)</f>
        <v>2026</v>
      </c>
      <c r="C95" s="151">
        <f>YEAR(Table7[[#This Row],[Date]])</f>
        <v>2025</v>
      </c>
      <c r="D95" s="152">
        <f>Daily_KPI[[#This Row],[Date]]-DAY(Daily_KPI[[#This Row],[Date]])+1</f>
        <v>45809</v>
      </c>
      <c r="E95" s="108">
        <v>7001.5820000000022</v>
      </c>
      <c r="F95" s="108">
        <v>6380.7983333333323</v>
      </c>
      <c r="G95" s="108">
        <v>5742.7688333333308</v>
      </c>
      <c r="H95" s="108">
        <v>6624.1359999999995</v>
      </c>
      <c r="I95" s="108">
        <v>6106.1249999999991</v>
      </c>
      <c r="J95" s="108">
        <v>6301.1056666666691</v>
      </c>
      <c r="K95" s="108">
        <v>6498.4805000000006</v>
      </c>
      <c r="L95" s="108">
        <v>6054.9704999999958</v>
      </c>
      <c r="M95" s="108">
        <v>4857.7781666666679</v>
      </c>
      <c r="N95" s="108">
        <v>5316.0990000000002</v>
      </c>
      <c r="O95" s="108">
        <v>6275.7118333333347</v>
      </c>
      <c r="P95" s="108">
        <v>6609.5568333333295</v>
      </c>
      <c r="Q95" s="108">
        <v>6914.5768333333299</v>
      </c>
      <c r="R95" s="108">
        <v>5590.3328333333347</v>
      </c>
      <c r="S95" s="108">
        <v>5482.9401666666645</v>
      </c>
      <c r="T95" s="108">
        <v>5948.3239999999978</v>
      </c>
      <c r="U95" s="108">
        <v>6184.868333333332</v>
      </c>
      <c r="V95" s="108">
        <v>5988.0521666666682</v>
      </c>
      <c r="W95" s="108">
        <v>4111.0489999999991</v>
      </c>
      <c r="X95" s="108">
        <v>5021.1751666666669</v>
      </c>
      <c r="Y95" s="108">
        <v>6536.2914999999994</v>
      </c>
      <c r="Z95" s="108">
        <v>5819.3175000000037</v>
      </c>
      <c r="AA95" s="108">
        <v>5980.650999999998</v>
      </c>
      <c r="AB95" s="108">
        <v>5607.4376666666649</v>
      </c>
      <c r="AC95" s="108">
        <v>6430.0545000000047</v>
      </c>
      <c r="AD95" s="108">
        <v>6329.6753333333363</v>
      </c>
      <c r="AE95" s="108">
        <v>4942.7694999999994</v>
      </c>
      <c r="AF95" s="108">
        <v>5605.7589999999982</v>
      </c>
      <c r="AG95" s="108">
        <v>6665.414499999999</v>
      </c>
      <c r="AH95" s="108">
        <v>6322.058</v>
      </c>
      <c r="AI95" s="108">
        <v>5900.3253333333341</v>
      </c>
      <c r="AJ95" s="108">
        <v>5059.4873333333335</v>
      </c>
      <c r="AK95" s="108">
        <v>6301.3351666666667</v>
      </c>
      <c r="AL95" s="108">
        <v>6605.4955</v>
      </c>
      <c r="AM95" s="108">
        <v>5464.242000000002</v>
      </c>
      <c r="AN95" s="108">
        <v>6700.212999999997</v>
      </c>
      <c r="AO95" s="108">
        <v>7101.7161666666643</v>
      </c>
      <c r="AP95" s="108">
        <v>6463.3403333333345</v>
      </c>
      <c r="AQ95" s="108">
        <v>6976.7578333333358</v>
      </c>
      <c r="AR95" s="108">
        <v>6249.7318333333324</v>
      </c>
      <c r="AS95" s="108">
        <v>6791.4521666666687</v>
      </c>
      <c r="AT95" s="108">
        <v>6736.6461666666664</v>
      </c>
      <c r="AU95" s="108">
        <v>7273.2083333333321</v>
      </c>
      <c r="AV95" s="108">
        <v>7022.2299999999959</v>
      </c>
      <c r="AW95" s="108">
        <f t="shared" si="7"/>
        <v>269.8960408333333</v>
      </c>
    </row>
    <row r="96" spans="1:49">
      <c r="A96" s="145">
        <v>45838</v>
      </c>
      <c r="B96" s="146">
        <f>YEAR(Table7[[#This Row],[Date]])+IF(MONTH(Table7[[#This Row],[Date]])&gt;=4,1,0)</f>
        <v>2026</v>
      </c>
      <c r="C96" s="147">
        <f>YEAR(Table7[[#This Row],[Date]])</f>
        <v>2025</v>
      </c>
      <c r="D96" s="148">
        <f>Daily_KPI[[#This Row],[Date]]-DAY(Daily_KPI[[#This Row],[Date]])+1</f>
        <v>45839</v>
      </c>
      <c r="E96" s="108">
        <v>7099.5178333333324</v>
      </c>
      <c r="F96" s="108">
        <v>6753.738833333332</v>
      </c>
      <c r="G96" s="108">
        <v>2314.5129999999999</v>
      </c>
      <c r="H96" s="108">
        <v>6938.8901666666652</v>
      </c>
      <c r="I96" s="108">
        <v>5964.2755000000006</v>
      </c>
      <c r="J96" s="108">
        <v>6725.3620000000019</v>
      </c>
      <c r="K96" s="108">
        <v>6994.8459999999986</v>
      </c>
      <c r="L96" s="108">
        <v>6481.3266666666677</v>
      </c>
      <c r="M96" s="108">
        <v>5425.6866666666656</v>
      </c>
      <c r="N96" s="108">
        <v>5729.3760000000011</v>
      </c>
      <c r="O96" s="108">
        <v>5938.6165000000028</v>
      </c>
      <c r="P96" s="108">
        <v>7031.5761666666695</v>
      </c>
      <c r="Q96" s="108">
        <v>7092.7215000000006</v>
      </c>
      <c r="R96" s="108">
        <v>6280.103666666666</v>
      </c>
      <c r="S96" s="108">
        <v>6149.9771666666675</v>
      </c>
      <c r="T96" s="108">
        <v>6476.3793333333315</v>
      </c>
      <c r="U96" s="108">
        <v>6586.0836666666655</v>
      </c>
      <c r="V96" s="108">
        <v>6687.3988333333355</v>
      </c>
      <c r="W96" s="108">
        <v>6345.739833333334</v>
      </c>
      <c r="X96" s="108">
        <v>5913.9656666666669</v>
      </c>
      <c r="Y96" s="108">
        <v>6855.7659999999996</v>
      </c>
      <c r="Z96" s="108">
        <v>6408.3463333333348</v>
      </c>
      <c r="AA96" s="108">
        <v>6510.7496666666675</v>
      </c>
      <c r="AB96" s="108">
        <v>6683.2285000000011</v>
      </c>
      <c r="AC96" s="108">
        <v>6821.2706666666636</v>
      </c>
      <c r="AD96" s="108">
        <v>6757.0955000000004</v>
      </c>
      <c r="AE96" s="108">
        <v>6001.2534999999998</v>
      </c>
      <c r="AF96" s="108">
        <v>6285.3611666666657</v>
      </c>
      <c r="AG96" s="108">
        <v>6968.947000000001</v>
      </c>
      <c r="AH96" s="108">
        <v>6759.8179999999984</v>
      </c>
      <c r="AI96" s="108">
        <v>6408.5751666666656</v>
      </c>
      <c r="AJ96" s="108">
        <v>5876.2963333333355</v>
      </c>
      <c r="AK96" s="108">
        <v>6756.4683333333296</v>
      </c>
      <c r="AL96" s="108">
        <v>6906.3436666666639</v>
      </c>
      <c r="AM96" s="108">
        <v>6178.1078333333353</v>
      </c>
      <c r="AN96" s="108">
        <v>7192.4428333333335</v>
      </c>
      <c r="AO96" s="108">
        <v>7182.0924999999979</v>
      </c>
      <c r="AP96" s="108">
        <v>6897.8856666666697</v>
      </c>
      <c r="AQ96" s="108">
        <v>7097.1353333333345</v>
      </c>
      <c r="AR96" s="108">
        <v>6502.689666666668</v>
      </c>
      <c r="AS96" s="108">
        <v>6877.3129999999992</v>
      </c>
      <c r="AT96" s="108">
        <v>6999.4611666666669</v>
      </c>
      <c r="AU96" s="108">
        <v>7242.8308333333325</v>
      </c>
      <c r="AV96" s="108">
        <v>7154.143500000001</v>
      </c>
      <c r="AW96" s="108">
        <f t="shared" si="7"/>
        <v>286.25371716666666</v>
      </c>
    </row>
    <row r="97" spans="1:49">
      <c r="A97" s="149">
        <v>45839</v>
      </c>
      <c r="B97" s="150">
        <f>YEAR(Table7[[#This Row],[Date]])+IF(MONTH(Table7[[#This Row],[Date]])&gt;=4,1,0)</f>
        <v>2026</v>
      </c>
      <c r="C97" s="151">
        <f>YEAR(Table7[[#This Row],[Date]])</f>
        <v>2025</v>
      </c>
      <c r="D97" s="152">
        <f>Daily_KPI[[#This Row],[Date]]-DAY(Daily_KPI[[#This Row],[Date]])+1</f>
        <v>45839</v>
      </c>
      <c r="E97" s="108">
        <v>7188.7034999999987</v>
      </c>
      <c r="F97" s="108">
        <v>6561.6218333333318</v>
      </c>
      <c r="G97" s="108">
        <v>2561.7001666666665</v>
      </c>
      <c r="H97" s="108">
        <v>6730.8018333333348</v>
      </c>
      <c r="I97" s="108">
        <v>5526.4326666666648</v>
      </c>
      <c r="J97" s="108">
        <v>5732.6348333333362</v>
      </c>
      <c r="K97" s="108">
        <v>6761.7054999999991</v>
      </c>
      <c r="L97" s="108">
        <v>6128.8739999999952</v>
      </c>
      <c r="M97" s="108">
        <v>4659.2656666666689</v>
      </c>
      <c r="N97" s="108">
        <v>5472.4578333333311</v>
      </c>
      <c r="O97" s="108">
        <v>6092.217999999998</v>
      </c>
      <c r="P97" s="108">
        <v>7055.4888333333338</v>
      </c>
      <c r="Q97" s="108">
        <v>6935.7013333333352</v>
      </c>
      <c r="R97" s="108">
        <v>5987.028833333331</v>
      </c>
      <c r="S97" s="108">
        <v>5625.5335000000014</v>
      </c>
      <c r="T97" s="108">
        <v>6225.7198333333363</v>
      </c>
      <c r="U97" s="108">
        <v>6480.6593333333331</v>
      </c>
      <c r="V97" s="108">
        <v>6553.8446666666641</v>
      </c>
      <c r="W97" s="108">
        <v>5697.3561666666692</v>
      </c>
      <c r="X97" s="108">
        <v>4996.463833333336</v>
      </c>
      <c r="Y97" s="108">
        <v>6535.6228333333347</v>
      </c>
      <c r="Z97" s="108">
        <v>5857.5761666666685</v>
      </c>
      <c r="AA97" s="108">
        <v>6092.4463333333288</v>
      </c>
      <c r="AB97" s="108">
        <v>6385.8539999999994</v>
      </c>
      <c r="AC97" s="108">
        <v>6757.0979999999981</v>
      </c>
      <c r="AD97" s="108">
        <v>6457.2644999999939</v>
      </c>
      <c r="AE97" s="108">
        <v>6165.1033333333326</v>
      </c>
      <c r="AF97" s="108">
        <v>5696.0661666666674</v>
      </c>
      <c r="AG97" s="108">
        <v>6736.610333333334</v>
      </c>
      <c r="AH97" s="108">
        <v>6432.6703333333344</v>
      </c>
      <c r="AI97" s="108">
        <v>6185.600166666668</v>
      </c>
      <c r="AJ97" s="108">
        <v>4588.2133333333322</v>
      </c>
      <c r="AK97" s="108">
        <v>6602.5896666666658</v>
      </c>
      <c r="AL97" s="108">
        <v>6830.792833333333</v>
      </c>
      <c r="AM97" s="108">
        <v>5607.3765000000012</v>
      </c>
      <c r="AN97" s="108">
        <v>7207.1431666666649</v>
      </c>
      <c r="AO97" s="108">
        <v>7241.8500000000049</v>
      </c>
      <c r="AP97" s="108">
        <v>6877.2463333333371</v>
      </c>
      <c r="AQ97" s="108">
        <v>7012.0553333333346</v>
      </c>
      <c r="AR97" s="108">
        <v>6647.2269999999999</v>
      </c>
      <c r="AS97" s="108">
        <v>6996.604833333331</v>
      </c>
      <c r="AT97" s="108">
        <v>6774.6109999999999</v>
      </c>
      <c r="AU97" s="108">
        <v>7381.9608333333372</v>
      </c>
      <c r="AV97" s="108">
        <v>7125.2581666666656</v>
      </c>
      <c r="AW97" s="108">
        <f t="shared" si="7"/>
        <v>275.16905333333335</v>
      </c>
    </row>
    <row r="98" spans="1:49">
      <c r="A98" s="145">
        <v>45840</v>
      </c>
      <c r="B98" s="146">
        <f>YEAR(Table7[[#This Row],[Date]])+IF(MONTH(Table7[[#This Row],[Date]])&gt;=4,1,0)</f>
        <v>2026</v>
      </c>
      <c r="C98" s="147">
        <f>YEAR(Table7[[#This Row],[Date]])</f>
        <v>2025</v>
      </c>
      <c r="D98" s="148">
        <f>Daily_KPI[[#This Row],[Date]]-DAY(Daily_KPI[[#This Row],[Date]])+1</f>
        <v>45839</v>
      </c>
      <c r="E98" s="108">
        <v>7393.2048333333378</v>
      </c>
      <c r="F98" s="108">
        <v>6998.6566666666695</v>
      </c>
      <c r="G98" s="108">
        <v>6927.6943333333356</v>
      </c>
      <c r="H98" s="108">
        <v>6369.6171666666733</v>
      </c>
      <c r="I98" s="108">
        <v>7274.4151666666648</v>
      </c>
      <c r="J98" s="108">
        <v>6008.1833333333343</v>
      </c>
      <c r="K98" s="108">
        <v>7095.4893333333339</v>
      </c>
      <c r="L98" s="108">
        <v>6551.5054999999984</v>
      </c>
      <c r="M98" s="108">
        <v>5494.1493333333337</v>
      </c>
      <c r="N98" s="108">
        <v>6409.1258333333308</v>
      </c>
      <c r="O98" s="108">
        <v>7124.3681666666635</v>
      </c>
      <c r="P98" s="108">
        <v>7288.464666666664</v>
      </c>
      <c r="Q98" s="108">
        <v>7030.7238333333307</v>
      </c>
      <c r="R98" s="108">
        <v>6382.4355000000023</v>
      </c>
      <c r="S98" s="108">
        <v>5762.4128333333319</v>
      </c>
      <c r="T98" s="108">
        <v>6386.2896666666675</v>
      </c>
      <c r="U98" s="108">
        <v>6431.2846666666665</v>
      </c>
      <c r="V98" s="108">
        <v>6988.7530000000015</v>
      </c>
      <c r="W98" s="108">
        <v>6070.9658333333346</v>
      </c>
      <c r="X98" s="108">
        <v>5311.3880000000026</v>
      </c>
      <c r="Y98" s="108">
        <v>6358.7428333333382</v>
      </c>
      <c r="Z98" s="108">
        <v>6024.2455000000009</v>
      </c>
      <c r="AA98" s="108">
        <v>6710.6598333333341</v>
      </c>
      <c r="AB98" s="108">
        <v>6955.8053333333337</v>
      </c>
      <c r="AC98" s="108">
        <v>7225.0866666666652</v>
      </c>
      <c r="AD98" s="108">
        <v>6897.0784999999996</v>
      </c>
      <c r="AE98" s="108">
        <v>6484.3608333333359</v>
      </c>
      <c r="AF98" s="108">
        <v>6242.7706666666672</v>
      </c>
      <c r="AG98" s="108">
        <v>6414.1276666666663</v>
      </c>
      <c r="AH98" s="108">
        <v>6802.3788333333287</v>
      </c>
      <c r="AI98" s="108">
        <v>6247.2658333333302</v>
      </c>
      <c r="AJ98" s="108">
        <v>5703.2208333333328</v>
      </c>
      <c r="AK98" s="108">
        <v>7209.9071666666705</v>
      </c>
      <c r="AL98" s="108">
        <v>7142.1581666666707</v>
      </c>
      <c r="AM98" s="108">
        <v>6021.3651666666665</v>
      </c>
      <c r="AN98" s="108">
        <v>7408.90466666667</v>
      </c>
      <c r="AO98" s="108">
        <v>7426.0768333333326</v>
      </c>
      <c r="AP98" s="108">
        <v>7263.015833333332</v>
      </c>
      <c r="AQ98" s="108">
        <v>7337.6735000000008</v>
      </c>
      <c r="AR98" s="108">
        <v>7077.4896666666682</v>
      </c>
      <c r="AS98" s="108">
        <v>7243.9301666666679</v>
      </c>
      <c r="AT98" s="108">
        <v>7112.2021666666651</v>
      </c>
      <c r="AU98" s="108">
        <v>7495.1095000000023</v>
      </c>
      <c r="AV98" s="108">
        <v>7317.6108333333323</v>
      </c>
      <c r="AW98" s="108">
        <f t="shared" si="7"/>
        <v>295.42031466666674</v>
      </c>
    </row>
    <row r="99" spans="1:49">
      <c r="A99" s="149">
        <v>45841</v>
      </c>
      <c r="B99" s="150">
        <f>YEAR(Table7[[#This Row],[Date]])+IF(MONTH(Table7[[#This Row],[Date]])&gt;=4,1,0)</f>
        <v>2026</v>
      </c>
      <c r="C99" s="151">
        <f>YEAR(Table7[[#This Row],[Date]])</f>
        <v>2025</v>
      </c>
      <c r="D99" s="152">
        <f>Daily_KPI[[#This Row],[Date]]-DAY(Daily_KPI[[#This Row],[Date]])+1</f>
        <v>45839</v>
      </c>
      <c r="E99" s="108">
        <v>7150.417333333332</v>
      </c>
      <c r="F99" s="108">
        <v>6886.1196666666683</v>
      </c>
      <c r="G99" s="108">
        <v>6365.1361666666671</v>
      </c>
      <c r="H99" s="108">
        <v>6851.323000000003</v>
      </c>
      <c r="I99" s="108">
        <v>7163.1981666666688</v>
      </c>
      <c r="J99" s="108">
        <v>7111.7210000000005</v>
      </c>
      <c r="K99" s="108">
        <v>7108.1226666666653</v>
      </c>
      <c r="L99" s="108">
        <v>6413.5556666666662</v>
      </c>
      <c r="M99" s="108">
        <v>5377.8560000000007</v>
      </c>
      <c r="N99" s="108">
        <v>5404.5778333333328</v>
      </c>
      <c r="O99" s="108">
        <v>6287.9846666666635</v>
      </c>
      <c r="P99" s="108">
        <v>6980.7531666666664</v>
      </c>
      <c r="Q99" s="108">
        <v>7083.5218333333369</v>
      </c>
      <c r="R99" s="108">
        <v>6565.3981666666687</v>
      </c>
      <c r="S99" s="108">
        <v>6122.5476666666664</v>
      </c>
      <c r="T99" s="108">
        <v>6531.6313333333301</v>
      </c>
      <c r="U99" s="108">
        <v>6584.1781666666684</v>
      </c>
      <c r="V99" s="108">
        <v>6686.182833333336</v>
      </c>
      <c r="W99" s="108">
        <v>6646.8451666666688</v>
      </c>
      <c r="X99" s="108">
        <v>6073.3006666666624</v>
      </c>
      <c r="Y99" s="108">
        <v>6661.7706666666681</v>
      </c>
      <c r="Z99" s="108">
        <v>6210.229000000003</v>
      </c>
      <c r="AA99" s="108">
        <v>6449.8998333333302</v>
      </c>
      <c r="AB99" s="108">
        <v>6708.702166666666</v>
      </c>
      <c r="AC99" s="108">
        <v>6833.6716666666689</v>
      </c>
      <c r="AD99" s="108">
        <v>6703.5123333333331</v>
      </c>
      <c r="AE99" s="108">
        <v>5688.8513333333331</v>
      </c>
      <c r="AF99" s="108">
        <v>6149.7615000000005</v>
      </c>
      <c r="AG99" s="108">
        <v>6811.4598333333297</v>
      </c>
      <c r="AH99" s="108">
        <v>6682.6336666666639</v>
      </c>
      <c r="AI99" s="108">
        <v>6305.0264999999963</v>
      </c>
      <c r="AJ99" s="108">
        <v>6328.6475</v>
      </c>
      <c r="AK99" s="108">
        <v>6856.1279999999979</v>
      </c>
      <c r="AL99" s="108">
        <v>6350.374166666672</v>
      </c>
      <c r="AM99" s="108">
        <v>6098.2658333333356</v>
      </c>
      <c r="AN99" s="108">
        <v>7367.7198333333363</v>
      </c>
      <c r="AO99" s="108">
        <v>7367.1176666666643</v>
      </c>
      <c r="AP99" s="108">
        <v>6944.8529999999982</v>
      </c>
      <c r="AQ99" s="108">
        <v>7254.1384999999982</v>
      </c>
      <c r="AR99" s="108">
        <v>6522.2556666666642</v>
      </c>
      <c r="AS99" s="108">
        <v>6852.8461666666635</v>
      </c>
      <c r="AT99" s="108">
        <v>7045.9518333333299</v>
      </c>
      <c r="AU99" s="108">
        <v>7382.3504999999977</v>
      </c>
      <c r="AV99" s="108">
        <v>7339.8934999999992</v>
      </c>
      <c r="AW99" s="108">
        <f t="shared" si="7"/>
        <v>292.31043183333327</v>
      </c>
    </row>
    <row r="100" spans="1:49">
      <c r="A100" s="145">
        <v>45842</v>
      </c>
      <c r="B100" s="146">
        <f>YEAR(Table7[[#This Row],[Date]])+IF(MONTH(Table7[[#This Row],[Date]])&gt;=4,1,0)</f>
        <v>2026</v>
      </c>
      <c r="C100" s="147">
        <f>YEAR(Table7[[#This Row],[Date]])</f>
        <v>2025</v>
      </c>
      <c r="D100" s="148">
        <f>Daily_KPI[[#This Row],[Date]]-DAY(Daily_KPI[[#This Row],[Date]])+1</f>
        <v>45839</v>
      </c>
      <c r="E100" s="108">
        <v>6959.8708333333334</v>
      </c>
      <c r="F100" s="108">
        <v>6605.089333333337</v>
      </c>
      <c r="G100" s="108">
        <v>5458.5694999999996</v>
      </c>
      <c r="H100" s="108">
        <v>6449.1436666666696</v>
      </c>
      <c r="I100" s="108">
        <v>6785.1931666666687</v>
      </c>
      <c r="J100" s="108">
        <v>6424.2890000000007</v>
      </c>
      <c r="K100" s="108">
        <v>6823.4164999999966</v>
      </c>
      <c r="L100" s="108">
        <v>5815.3866666666645</v>
      </c>
      <c r="M100" s="108">
        <v>4799.5116666666645</v>
      </c>
      <c r="N100" s="108">
        <v>4903.5048333333361</v>
      </c>
      <c r="O100" s="108">
        <v>5909.0408333333326</v>
      </c>
      <c r="P100" s="108">
        <v>6495.7648333333345</v>
      </c>
      <c r="Q100" s="108">
        <v>6747.2850000000035</v>
      </c>
      <c r="R100" s="108">
        <v>6229.4758333333348</v>
      </c>
      <c r="S100" s="108">
        <v>5747.1048333333356</v>
      </c>
      <c r="T100" s="108">
        <v>6097.795666666666</v>
      </c>
      <c r="U100" s="108">
        <v>6218.4846666666626</v>
      </c>
      <c r="V100" s="108">
        <v>6320.921666666668</v>
      </c>
      <c r="W100" s="108">
        <v>6041.6664999999994</v>
      </c>
      <c r="X100" s="108">
        <v>5577.6003333333356</v>
      </c>
      <c r="Y100" s="108">
        <v>6157.4166666666679</v>
      </c>
      <c r="Z100" s="108">
        <v>5857.3966666666638</v>
      </c>
      <c r="AA100" s="108">
        <v>5849.9161666666669</v>
      </c>
      <c r="AB100" s="108">
        <v>6236.7889999999979</v>
      </c>
      <c r="AC100" s="108">
        <v>6339.0574999999999</v>
      </c>
      <c r="AD100" s="108">
        <v>6161.5175000000054</v>
      </c>
      <c r="AE100" s="108">
        <v>5353.3281666666662</v>
      </c>
      <c r="AF100" s="108">
        <v>5931.3516666666628</v>
      </c>
      <c r="AG100" s="108">
        <v>6446.301666666669</v>
      </c>
      <c r="AH100" s="108">
        <v>6483.7181666666665</v>
      </c>
      <c r="AI100" s="108">
        <v>6046.5383333333348</v>
      </c>
      <c r="AJ100" s="108">
        <v>5668.2154999999993</v>
      </c>
      <c r="AK100" s="108">
        <v>6642.5406666666677</v>
      </c>
      <c r="AL100" s="108">
        <v>6753.2038333333303</v>
      </c>
      <c r="AM100" s="108">
        <v>5611.6933333333391</v>
      </c>
      <c r="AN100" s="108">
        <v>7054.1333333333314</v>
      </c>
      <c r="AO100" s="108">
        <v>6984.961833333331</v>
      </c>
      <c r="AP100" s="108">
        <v>6649.8181666666669</v>
      </c>
      <c r="AQ100" s="108">
        <v>6991.6445000000022</v>
      </c>
      <c r="AR100" s="108">
        <v>6130.7153333333299</v>
      </c>
      <c r="AS100" s="108">
        <v>6609.616500000001</v>
      </c>
      <c r="AT100" s="108">
        <v>6761.895833333333</v>
      </c>
      <c r="AU100" s="108">
        <v>7109.6091666666653</v>
      </c>
      <c r="AV100" s="108">
        <v>7025.0619999999954</v>
      </c>
      <c r="AW100" s="108">
        <f t="shared" si="7"/>
        <v>275.26555683333328</v>
      </c>
    </row>
    <row r="101" spans="1:49">
      <c r="A101" s="149">
        <v>45843</v>
      </c>
      <c r="B101" s="150">
        <f>YEAR(Table7[[#This Row],[Date]])+IF(MONTH(Table7[[#This Row],[Date]])&gt;=4,1,0)</f>
        <v>2026</v>
      </c>
      <c r="C101" s="151">
        <f>YEAR(Table7[[#This Row],[Date]])</f>
        <v>2025</v>
      </c>
      <c r="D101" s="152">
        <f>Daily_KPI[[#This Row],[Date]]-DAY(Daily_KPI[[#This Row],[Date]])+1</f>
        <v>45839</v>
      </c>
      <c r="E101" s="108">
        <v>6921.0333333333328</v>
      </c>
      <c r="F101" s="108">
        <v>5988.7728333333334</v>
      </c>
      <c r="G101" s="108">
        <v>6888.8623333333317</v>
      </c>
      <c r="H101" s="108">
        <v>7110.8183333333336</v>
      </c>
      <c r="I101" s="108">
        <v>7130.955166666663</v>
      </c>
      <c r="J101" s="108">
        <v>6902.5388333333349</v>
      </c>
      <c r="K101" s="108">
        <v>7258.8868333333339</v>
      </c>
      <c r="L101" s="108">
        <v>6591.3339999999998</v>
      </c>
      <c r="M101" s="108">
        <v>5582.333333333333</v>
      </c>
      <c r="N101" s="108">
        <v>5658.2303333333321</v>
      </c>
      <c r="O101" s="108">
        <v>6615.1939999999986</v>
      </c>
      <c r="P101" s="108">
        <v>7214.6594999999988</v>
      </c>
      <c r="Q101" s="108">
        <v>7223.5544999999975</v>
      </c>
      <c r="R101" s="108">
        <v>6778.1468333333323</v>
      </c>
      <c r="S101" s="108">
        <v>6579.9583333333367</v>
      </c>
      <c r="T101" s="108">
        <v>6680.8278333333301</v>
      </c>
      <c r="U101" s="108">
        <v>7003.1105000000016</v>
      </c>
      <c r="V101" s="108">
        <v>7050.666666666667</v>
      </c>
      <c r="W101" s="108">
        <v>6729.1324999999997</v>
      </c>
      <c r="X101" s="108">
        <v>6341.7160000000013</v>
      </c>
      <c r="Y101" s="108">
        <v>7013.45683333333</v>
      </c>
      <c r="Z101" s="108">
        <v>6587.998333333333</v>
      </c>
      <c r="AA101" s="108">
        <v>6705.4865</v>
      </c>
      <c r="AB101" s="108">
        <v>4758.694833333333</v>
      </c>
      <c r="AC101" s="108">
        <v>7000.258833333336</v>
      </c>
      <c r="AD101" s="108">
        <v>6890.471333333332</v>
      </c>
      <c r="AE101" s="108">
        <v>6324.6686666666646</v>
      </c>
      <c r="AF101" s="108">
        <v>6778.1134999999995</v>
      </c>
      <c r="AG101" s="108">
        <v>7169.2473333333301</v>
      </c>
      <c r="AH101" s="108">
        <v>7109.8555000000006</v>
      </c>
      <c r="AI101" s="108">
        <v>6819.2960000000021</v>
      </c>
      <c r="AJ101" s="108">
        <v>3082.330333333332</v>
      </c>
      <c r="AK101" s="108">
        <v>7177.4034999999967</v>
      </c>
      <c r="AL101" s="108">
        <v>7241.1753333333354</v>
      </c>
      <c r="AM101" s="108">
        <v>6585.3676666666679</v>
      </c>
      <c r="AN101" s="108">
        <v>7392.131000000004</v>
      </c>
      <c r="AO101" s="108">
        <v>7386.1513333333287</v>
      </c>
      <c r="AP101" s="108">
        <v>7210.2586666666648</v>
      </c>
      <c r="AQ101" s="108">
        <v>7336.5098333333326</v>
      </c>
      <c r="AR101" s="108">
        <v>6886.2083333333321</v>
      </c>
      <c r="AS101" s="108">
        <v>7268.7548333333316</v>
      </c>
      <c r="AT101" s="108">
        <v>7311.1633333333348</v>
      </c>
      <c r="AU101" s="108">
        <v>7463.8588333333328</v>
      </c>
      <c r="AV101" s="108">
        <v>7390.2508333333326</v>
      </c>
      <c r="AW101" s="108">
        <f t="shared" si="7"/>
        <v>297.13984350000004</v>
      </c>
    </row>
    <row r="102" spans="1:49">
      <c r="A102" s="145">
        <v>45844</v>
      </c>
      <c r="B102" s="146">
        <f>YEAR(Table7[[#This Row],[Date]])+IF(MONTH(Table7[[#This Row],[Date]])&gt;=4,1,0)</f>
        <v>2026</v>
      </c>
      <c r="C102" s="147">
        <f>YEAR(Table7[[#This Row],[Date]])</f>
        <v>2025</v>
      </c>
      <c r="D102" s="148">
        <f>Daily_KPI[[#This Row],[Date]]-DAY(Daily_KPI[[#This Row],[Date]])+1</f>
        <v>45839</v>
      </c>
      <c r="E102" s="108">
        <v>7394.6078333333317</v>
      </c>
      <c r="F102" s="108">
        <v>7285.165666666664</v>
      </c>
      <c r="G102" s="108">
        <v>6846.954999999999</v>
      </c>
      <c r="H102" s="108">
        <v>7326.9141666666683</v>
      </c>
      <c r="I102" s="108">
        <v>7231.0766666666668</v>
      </c>
      <c r="J102" s="108">
        <v>7325.0525000000007</v>
      </c>
      <c r="K102" s="108">
        <v>7368.7188333333324</v>
      </c>
      <c r="L102" s="108">
        <v>6685.0624999999964</v>
      </c>
      <c r="M102" s="108">
        <v>6185.3358333333354</v>
      </c>
      <c r="N102" s="108">
        <v>6141.0673333333316</v>
      </c>
      <c r="O102" s="108">
        <v>6896.6753333333327</v>
      </c>
      <c r="P102" s="108">
        <v>7305.4585000000006</v>
      </c>
      <c r="Q102" s="108">
        <v>7370.5414999999985</v>
      </c>
      <c r="R102" s="108">
        <v>7054.1579999999985</v>
      </c>
      <c r="S102" s="108">
        <v>6713.6243333333341</v>
      </c>
      <c r="T102" s="108">
        <v>7057.5099999999957</v>
      </c>
      <c r="U102" s="108">
        <v>7186.0103333333291</v>
      </c>
      <c r="V102" s="108">
        <v>7063.5763333333334</v>
      </c>
      <c r="W102" s="108">
        <v>7228.8261666666658</v>
      </c>
      <c r="X102" s="108">
        <v>6952.2156666666679</v>
      </c>
      <c r="Y102" s="108">
        <v>7290.289833333336</v>
      </c>
      <c r="Z102" s="108">
        <v>7084.5513333333329</v>
      </c>
      <c r="AA102" s="108">
        <v>7022.2986666666657</v>
      </c>
      <c r="AB102" s="108">
        <v>7127.3873333333331</v>
      </c>
      <c r="AC102" s="108">
        <v>7212.2874999999949</v>
      </c>
      <c r="AD102" s="108">
        <v>7153.2953333333353</v>
      </c>
      <c r="AE102" s="108">
        <v>6088.5106666666625</v>
      </c>
      <c r="AF102" s="108">
        <v>7097.9411666666683</v>
      </c>
      <c r="AG102" s="108">
        <v>7327.9961666666613</v>
      </c>
      <c r="AH102" s="108">
        <v>7348.0598333333301</v>
      </c>
      <c r="AI102" s="108">
        <v>7226.8951666666699</v>
      </c>
      <c r="AJ102" s="108">
        <v>6928.9091666666691</v>
      </c>
      <c r="AK102" s="108">
        <v>7097.7573333333321</v>
      </c>
      <c r="AL102" s="108">
        <v>7324.1021666666638</v>
      </c>
      <c r="AM102" s="108">
        <v>6838.4045000000069</v>
      </c>
      <c r="AN102" s="108">
        <v>7421.9405000000015</v>
      </c>
      <c r="AO102" s="108">
        <v>7414.694333333332</v>
      </c>
      <c r="AP102" s="108">
        <v>7294.2408333333333</v>
      </c>
      <c r="AQ102" s="108">
        <v>7396.7655000000022</v>
      </c>
      <c r="AR102" s="108">
        <v>6987.318666666667</v>
      </c>
      <c r="AS102" s="108">
        <v>7358.1185000000014</v>
      </c>
      <c r="AT102" s="108">
        <v>7406.3778333333366</v>
      </c>
      <c r="AU102" s="108">
        <v>7449.4325000000017</v>
      </c>
      <c r="AV102" s="108">
        <v>7421.9799999999968</v>
      </c>
      <c r="AW102" s="108">
        <f t="shared" si="7"/>
        <v>312.93810733333328</v>
      </c>
    </row>
    <row r="103" spans="1:49">
      <c r="A103" s="149">
        <v>45845</v>
      </c>
      <c r="B103" s="150">
        <f>YEAR(Table7[[#This Row],[Date]])+IF(MONTH(Table7[[#This Row],[Date]])&gt;=4,1,0)</f>
        <v>2026</v>
      </c>
      <c r="C103" s="151">
        <f>YEAR(Table7[[#This Row],[Date]])</f>
        <v>2025</v>
      </c>
      <c r="D103" s="152">
        <f>Daily_KPI[[#This Row],[Date]]-DAY(Daily_KPI[[#This Row],[Date]])+1</f>
        <v>45839</v>
      </c>
      <c r="E103" s="108">
        <v>6146.7683333333307</v>
      </c>
      <c r="F103" s="108">
        <v>6204.5548333333354</v>
      </c>
      <c r="G103" s="108">
        <v>5736.9429999999984</v>
      </c>
      <c r="H103" s="108">
        <v>6121.7638333333343</v>
      </c>
      <c r="I103" s="108">
        <v>6348.4511666666649</v>
      </c>
      <c r="J103" s="108">
        <v>6110.6298333333325</v>
      </c>
      <c r="K103" s="108">
        <v>6339.873833333334</v>
      </c>
      <c r="L103" s="108">
        <v>5767.5261666666656</v>
      </c>
      <c r="M103" s="108">
        <v>5089.2146666666686</v>
      </c>
      <c r="N103" s="108">
        <v>5220.4386666666642</v>
      </c>
      <c r="O103" s="108">
        <v>6101.5491666666676</v>
      </c>
      <c r="P103" s="108">
        <v>6455.0108333333337</v>
      </c>
      <c r="Q103" s="108">
        <v>6552.4948333333332</v>
      </c>
      <c r="R103" s="108">
        <v>6066.7176666666637</v>
      </c>
      <c r="S103" s="108">
        <v>5740.5441666666638</v>
      </c>
      <c r="T103" s="108">
        <v>5961.0243333333347</v>
      </c>
      <c r="U103" s="108">
        <v>6176.0776666666634</v>
      </c>
      <c r="V103" s="108">
        <v>6015.418999999999</v>
      </c>
      <c r="W103" s="108">
        <v>5986.2150000000001</v>
      </c>
      <c r="X103" s="108">
        <v>5551.1388333333316</v>
      </c>
      <c r="Y103" s="108">
        <v>6316.8106666666708</v>
      </c>
      <c r="Z103" s="108">
        <v>5866.702666666667</v>
      </c>
      <c r="AA103" s="108">
        <v>6009.5943333333335</v>
      </c>
      <c r="AB103" s="108">
        <v>6199.0400000000009</v>
      </c>
      <c r="AC103" s="108">
        <v>6266.6949999999997</v>
      </c>
      <c r="AD103" s="108">
        <v>6203.7775000000001</v>
      </c>
      <c r="AE103" s="108">
        <v>5132.8023333333331</v>
      </c>
      <c r="AF103" s="108">
        <v>5718.7253333333347</v>
      </c>
      <c r="AG103" s="108">
        <v>6099.1613333333289</v>
      </c>
      <c r="AH103" s="108">
        <v>6076.7186666666676</v>
      </c>
      <c r="AI103" s="108">
        <v>6034.2431666666644</v>
      </c>
      <c r="AJ103" s="108">
        <v>5604.052999999999</v>
      </c>
      <c r="AK103" s="108">
        <v>6277.7396666666655</v>
      </c>
      <c r="AL103" s="108">
        <v>6073.4376666666676</v>
      </c>
      <c r="AM103" s="108">
        <v>5379.1101666666636</v>
      </c>
      <c r="AN103" s="108">
        <v>6544.3033333333369</v>
      </c>
      <c r="AO103" s="108">
        <v>6522.9775000000009</v>
      </c>
      <c r="AP103" s="108">
        <v>6282.9546666666647</v>
      </c>
      <c r="AQ103" s="108">
        <v>6486.1379999999999</v>
      </c>
      <c r="AR103" s="108">
        <v>5896.6183333333347</v>
      </c>
      <c r="AS103" s="108">
        <v>6261.4219999999987</v>
      </c>
      <c r="AT103" s="108">
        <v>6431.5564999999997</v>
      </c>
      <c r="AU103" s="108">
        <v>6319.9963333333362</v>
      </c>
      <c r="AV103" s="108">
        <v>6491.8128333333343</v>
      </c>
      <c r="AW103" s="108">
        <f t="shared" si="7"/>
        <v>266.18874683333325</v>
      </c>
    </row>
    <row r="104" spans="1:49">
      <c r="A104" s="145">
        <v>45846</v>
      </c>
      <c r="B104" s="146">
        <f>YEAR(Table7[[#This Row],[Date]])+IF(MONTH(Table7[[#This Row],[Date]])&gt;=4,1,0)</f>
        <v>2026</v>
      </c>
      <c r="C104" s="147">
        <f>YEAR(Table7[[#This Row],[Date]])</f>
        <v>2025</v>
      </c>
      <c r="D104" s="148">
        <f>Daily_KPI[[#This Row],[Date]]-DAY(Daily_KPI[[#This Row],[Date]])+1</f>
        <v>45839</v>
      </c>
      <c r="E104" s="108">
        <v>6592.6573333333326</v>
      </c>
      <c r="F104" s="108">
        <v>6382.0645000000004</v>
      </c>
      <c r="G104" s="108">
        <v>6274.2609999999986</v>
      </c>
      <c r="H104" s="108">
        <v>6511.690833333334</v>
      </c>
      <c r="I104" s="108">
        <v>6689.7396666666673</v>
      </c>
      <c r="J104" s="108">
        <v>5949.1436666666668</v>
      </c>
      <c r="K104" s="108">
        <v>6667.0836666666664</v>
      </c>
      <c r="L104" s="108">
        <v>6041.73</v>
      </c>
      <c r="M104" s="108">
        <v>4637.117166666666</v>
      </c>
      <c r="N104" s="108">
        <v>5385.1233333333321</v>
      </c>
      <c r="O104" s="108">
        <v>5430.8978333333334</v>
      </c>
      <c r="P104" s="108">
        <v>6890.314166666667</v>
      </c>
      <c r="Q104" s="108">
        <v>6809.4310000000005</v>
      </c>
      <c r="R104" s="108">
        <v>5917.9648333333316</v>
      </c>
      <c r="S104" s="108">
        <v>5683.6604999999981</v>
      </c>
      <c r="T104" s="108">
        <v>6261.4726666666711</v>
      </c>
      <c r="U104" s="108">
        <v>6469.1723333333348</v>
      </c>
      <c r="V104" s="108">
        <v>6418.9998333333342</v>
      </c>
      <c r="W104" s="108">
        <v>5695.9463333333324</v>
      </c>
      <c r="X104" s="108">
        <v>5227.0138333333352</v>
      </c>
      <c r="Y104" s="108">
        <v>6399.3633333333337</v>
      </c>
      <c r="Z104" s="108">
        <v>5764.7976666666646</v>
      </c>
      <c r="AA104" s="108">
        <v>5894.7368333333334</v>
      </c>
      <c r="AB104" s="108">
        <v>6162.8385000000017</v>
      </c>
      <c r="AC104" s="108">
        <v>6532.0631666666623</v>
      </c>
      <c r="AD104" s="108">
        <v>6496.9000000000005</v>
      </c>
      <c r="AE104" s="108">
        <v>5737.4325000000026</v>
      </c>
      <c r="AF104" s="108">
        <v>5778.8224999999975</v>
      </c>
      <c r="AG104" s="108">
        <v>6599.6383333333324</v>
      </c>
      <c r="AH104" s="108">
        <v>6242.6374999999998</v>
      </c>
      <c r="AI104" s="108">
        <v>6323.6281666666691</v>
      </c>
      <c r="AJ104" s="108">
        <v>5096.804666666666</v>
      </c>
      <c r="AK104" s="108">
        <v>6588.4126666666634</v>
      </c>
      <c r="AL104" s="108">
        <v>6519.7610000000059</v>
      </c>
      <c r="AM104" s="108">
        <v>5484.5124999999998</v>
      </c>
      <c r="AN104" s="108">
        <v>6886.8538333333372</v>
      </c>
      <c r="AO104" s="108">
        <v>6975.9620000000032</v>
      </c>
      <c r="AP104" s="108">
        <v>6726.5411666666669</v>
      </c>
      <c r="AQ104" s="108">
        <v>6854.7358333333332</v>
      </c>
      <c r="AR104" s="108">
        <v>6542.1861666666664</v>
      </c>
      <c r="AS104" s="108">
        <v>6842.8491666666632</v>
      </c>
      <c r="AT104" s="108">
        <v>6747.0801666666657</v>
      </c>
      <c r="AU104" s="108">
        <v>7028.3843333333307</v>
      </c>
      <c r="AV104" s="108">
        <v>6950.3916666666655</v>
      </c>
      <c r="AW104" s="108">
        <f t="shared" si="7"/>
        <v>275.11281816666661</v>
      </c>
    </row>
    <row r="105" spans="1:49">
      <c r="A105" s="149">
        <v>45847</v>
      </c>
      <c r="B105" s="150">
        <f>YEAR(Table7[[#This Row],[Date]])+IF(MONTH(Table7[[#This Row],[Date]])&gt;=4,1,0)</f>
        <v>2026</v>
      </c>
      <c r="C105" s="151">
        <f>YEAR(Table7[[#This Row],[Date]])</f>
        <v>2025</v>
      </c>
      <c r="D105" s="152">
        <f>Daily_KPI[[#This Row],[Date]]-DAY(Daily_KPI[[#This Row],[Date]])+1</f>
        <v>45839</v>
      </c>
      <c r="E105" s="108">
        <v>5944.869833333335</v>
      </c>
      <c r="F105" s="108">
        <v>4997.7541666666675</v>
      </c>
      <c r="G105" s="108">
        <v>4515.8775000000005</v>
      </c>
      <c r="H105" s="108">
        <v>5669.3458333333328</v>
      </c>
      <c r="I105" s="108">
        <v>5653.3106666666645</v>
      </c>
      <c r="J105" s="108">
        <v>5245.8739999999989</v>
      </c>
      <c r="K105" s="108">
        <v>5496.8066666666673</v>
      </c>
      <c r="L105" s="108">
        <v>5071.3435000000018</v>
      </c>
      <c r="M105" s="108">
        <v>3792.2000000000003</v>
      </c>
      <c r="N105" s="108">
        <v>4251.7428333333328</v>
      </c>
      <c r="O105" s="108">
        <v>5271.9051666666646</v>
      </c>
      <c r="P105" s="108">
        <v>5841.2606666666652</v>
      </c>
      <c r="Q105" s="108">
        <v>5973.308333333337</v>
      </c>
      <c r="R105" s="108">
        <v>4888.7061666666677</v>
      </c>
      <c r="S105" s="108">
        <v>4549.9929999999986</v>
      </c>
      <c r="T105" s="108">
        <v>4913.1585000000023</v>
      </c>
      <c r="U105" s="108">
        <v>5230.9139999999998</v>
      </c>
      <c r="V105" s="108">
        <v>4786.090666666666</v>
      </c>
      <c r="W105" s="108">
        <v>4508.7259999999978</v>
      </c>
      <c r="X105" s="108">
        <v>3959.6755000000026</v>
      </c>
      <c r="Y105" s="108">
        <v>5525.7463333333353</v>
      </c>
      <c r="Z105" s="108">
        <v>4538.0933333333342</v>
      </c>
      <c r="AA105" s="108">
        <v>4738.8378333333339</v>
      </c>
      <c r="AB105" s="108">
        <v>5151.2508333333326</v>
      </c>
      <c r="AC105" s="108">
        <v>5277.0324999999993</v>
      </c>
      <c r="AD105" s="108">
        <v>5128.5966666666654</v>
      </c>
      <c r="AE105" s="108">
        <v>3941.2464999999988</v>
      </c>
      <c r="AF105" s="108">
        <v>4450.8328333333311</v>
      </c>
      <c r="AG105" s="108">
        <v>5825.2856666666712</v>
      </c>
      <c r="AH105" s="108">
        <v>5132.7608333333319</v>
      </c>
      <c r="AI105" s="108">
        <v>5002.6010000000006</v>
      </c>
      <c r="AJ105" s="108">
        <v>3944.3964999999994</v>
      </c>
      <c r="AK105" s="108">
        <v>5425.8539999999985</v>
      </c>
      <c r="AL105" s="108">
        <v>5690.3101666666662</v>
      </c>
      <c r="AM105" s="108">
        <v>4412.3033333333342</v>
      </c>
      <c r="AN105" s="108">
        <v>6239.7023333333336</v>
      </c>
      <c r="AO105" s="108">
        <v>6204.5508333333373</v>
      </c>
      <c r="AP105" s="108">
        <v>5491.679166666665</v>
      </c>
      <c r="AQ105" s="108">
        <v>6003.5373333333373</v>
      </c>
      <c r="AR105" s="108">
        <v>4973.9175000000023</v>
      </c>
      <c r="AS105" s="108">
        <v>5666.3175000000001</v>
      </c>
      <c r="AT105" s="108">
        <v>5648.2173333333349</v>
      </c>
      <c r="AU105" s="108">
        <v>6372.1866666666647</v>
      </c>
      <c r="AV105" s="108">
        <v>6105.3131666666677</v>
      </c>
      <c r="AW105" s="108">
        <f t="shared" si="7"/>
        <v>227.45343316666668</v>
      </c>
    </row>
    <row r="106" spans="1:49">
      <c r="A106" s="145">
        <v>45848</v>
      </c>
      <c r="B106" s="146">
        <f>YEAR(Table7[[#This Row],[Date]])+IF(MONTH(Table7[[#This Row],[Date]])&gt;=4,1,0)</f>
        <v>2026</v>
      </c>
      <c r="C106" s="147">
        <f>YEAR(Table7[[#This Row],[Date]])</f>
        <v>2025</v>
      </c>
      <c r="D106" s="148">
        <f>Daily_KPI[[#This Row],[Date]]-DAY(Daily_KPI[[#This Row],[Date]])+1</f>
        <v>45839</v>
      </c>
      <c r="AW106" s="108">
        <f t="shared" si="7"/>
        <v>0</v>
      </c>
    </row>
    <row r="107" spans="1:49">
      <c r="A107" s="149">
        <v>45849</v>
      </c>
      <c r="B107" s="150">
        <f>YEAR(Table7[[#This Row],[Date]])+IF(MONTH(Table7[[#This Row],[Date]])&gt;=4,1,0)</f>
        <v>2026</v>
      </c>
      <c r="C107" s="151">
        <f>YEAR(Table7[[#This Row],[Date]])</f>
        <v>2025</v>
      </c>
      <c r="D107" s="152">
        <f>Daily_KPI[[#This Row],[Date]]-DAY(Daily_KPI[[#This Row],[Date]])+1</f>
        <v>45839</v>
      </c>
      <c r="AW107" s="108">
        <f t="shared" si="7"/>
        <v>0</v>
      </c>
    </row>
    <row r="108" spans="1:49">
      <c r="A108" s="145">
        <v>45850</v>
      </c>
      <c r="B108" s="146">
        <f>YEAR(Table7[[#This Row],[Date]])+IF(MONTH(Table7[[#This Row],[Date]])&gt;=4,1,0)</f>
        <v>2026</v>
      </c>
      <c r="C108" s="147">
        <f>YEAR(Table7[[#This Row],[Date]])</f>
        <v>2025</v>
      </c>
      <c r="D108" s="148">
        <f>Daily_KPI[[#This Row],[Date]]-DAY(Daily_KPI[[#This Row],[Date]])+1</f>
        <v>45839</v>
      </c>
      <c r="AW108" s="108">
        <f t="shared" si="7"/>
        <v>0</v>
      </c>
    </row>
    <row r="109" spans="1:49">
      <c r="A109" s="149">
        <v>45851</v>
      </c>
      <c r="B109" s="150">
        <f>YEAR(Table7[[#This Row],[Date]])+IF(MONTH(Table7[[#This Row],[Date]])&gt;=4,1,0)</f>
        <v>2026</v>
      </c>
      <c r="C109" s="151">
        <f>YEAR(Table7[[#This Row],[Date]])</f>
        <v>2025</v>
      </c>
      <c r="D109" s="152">
        <f>Daily_KPI[[#This Row],[Date]]-DAY(Daily_KPI[[#This Row],[Date]])+1</f>
        <v>45839</v>
      </c>
      <c r="AW109" s="108">
        <f t="shared" si="7"/>
        <v>0</v>
      </c>
    </row>
    <row r="110" spans="1:49">
      <c r="A110" s="145">
        <v>45852</v>
      </c>
      <c r="B110" s="146">
        <f>YEAR(Table7[[#This Row],[Date]])+IF(MONTH(Table7[[#This Row],[Date]])&gt;=4,1,0)</f>
        <v>2026</v>
      </c>
      <c r="C110" s="147">
        <f>YEAR(Table7[[#This Row],[Date]])</f>
        <v>2025</v>
      </c>
      <c r="D110" s="148">
        <f>Daily_KPI[[#This Row],[Date]]-DAY(Daily_KPI[[#This Row],[Date]])+1</f>
        <v>45839</v>
      </c>
      <c r="AW110" s="108">
        <f t="shared" si="7"/>
        <v>0</v>
      </c>
    </row>
    <row r="111" spans="1:49">
      <c r="A111" s="149">
        <v>45853</v>
      </c>
      <c r="B111" s="150">
        <f>YEAR(Table7[[#This Row],[Date]])+IF(MONTH(Table7[[#This Row],[Date]])&gt;=4,1,0)</f>
        <v>2026</v>
      </c>
      <c r="C111" s="151">
        <f>YEAR(Table7[[#This Row],[Date]])</f>
        <v>2025</v>
      </c>
      <c r="D111" s="152">
        <f>Daily_KPI[[#This Row],[Date]]-DAY(Daily_KPI[[#This Row],[Date]])+1</f>
        <v>45839</v>
      </c>
      <c r="AW111" s="108">
        <f t="shared" si="7"/>
        <v>0</v>
      </c>
    </row>
    <row r="112" spans="1:49">
      <c r="A112" s="145">
        <v>45854</v>
      </c>
      <c r="B112" s="146">
        <f>YEAR(Table7[[#This Row],[Date]])+IF(MONTH(Table7[[#This Row],[Date]])&gt;=4,1,0)</f>
        <v>2026</v>
      </c>
      <c r="C112" s="147">
        <f>YEAR(Table7[[#This Row],[Date]])</f>
        <v>2025</v>
      </c>
      <c r="D112" s="148">
        <f>Daily_KPI[[#This Row],[Date]]-DAY(Daily_KPI[[#This Row],[Date]])+1</f>
        <v>45839</v>
      </c>
      <c r="AW112" s="108">
        <f t="shared" si="7"/>
        <v>0</v>
      </c>
    </row>
    <row r="113" spans="1:49">
      <c r="A113" s="149">
        <v>45855</v>
      </c>
      <c r="B113" s="150">
        <f>YEAR(Table7[[#This Row],[Date]])+IF(MONTH(Table7[[#This Row],[Date]])&gt;=4,1,0)</f>
        <v>2026</v>
      </c>
      <c r="C113" s="151">
        <f>YEAR(Table7[[#This Row],[Date]])</f>
        <v>2025</v>
      </c>
      <c r="D113" s="152">
        <f>Daily_KPI[[#This Row],[Date]]-DAY(Daily_KPI[[#This Row],[Date]])+1</f>
        <v>45839</v>
      </c>
      <c r="AW113" s="108">
        <f t="shared" si="7"/>
        <v>0</v>
      </c>
    </row>
    <row r="114" spans="1:49">
      <c r="A114" s="145">
        <v>45856</v>
      </c>
      <c r="B114" s="146">
        <f>YEAR(Table7[[#This Row],[Date]])+IF(MONTH(Table7[[#This Row],[Date]])&gt;=4,1,0)</f>
        <v>2026</v>
      </c>
      <c r="C114" s="147">
        <f>YEAR(Table7[[#This Row],[Date]])</f>
        <v>2025</v>
      </c>
      <c r="D114" s="148">
        <f>Daily_KPI[[#This Row],[Date]]-DAY(Daily_KPI[[#This Row],[Date]])+1</f>
        <v>45839</v>
      </c>
      <c r="AW114" s="108">
        <f t="shared" si="7"/>
        <v>0</v>
      </c>
    </row>
    <row r="115" spans="1:49">
      <c r="A115" s="149">
        <v>45857</v>
      </c>
      <c r="B115" s="150">
        <f>YEAR(Table7[[#This Row],[Date]])+IF(MONTH(Table7[[#This Row],[Date]])&gt;=4,1,0)</f>
        <v>2026</v>
      </c>
      <c r="C115" s="151">
        <f>YEAR(Table7[[#This Row],[Date]])</f>
        <v>2025</v>
      </c>
      <c r="D115" s="152">
        <f>Daily_KPI[[#This Row],[Date]]-DAY(Daily_KPI[[#This Row],[Date]])+1</f>
        <v>45839</v>
      </c>
      <c r="AW115" s="108">
        <f t="shared" si="7"/>
        <v>0</v>
      </c>
    </row>
    <row r="116" spans="1:49">
      <c r="A116" s="145">
        <v>45858</v>
      </c>
      <c r="B116" s="146">
        <f>YEAR(Table7[[#This Row],[Date]])+IF(MONTH(Table7[[#This Row],[Date]])&gt;=4,1,0)</f>
        <v>2026</v>
      </c>
      <c r="C116" s="147">
        <f>YEAR(Table7[[#This Row],[Date]])</f>
        <v>2025</v>
      </c>
      <c r="D116" s="148">
        <f>Daily_KPI[[#This Row],[Date]]-DAY(Daily_KPI[[#This Row],[Date]])+1</f>
        <v>45839</v>
      </c>
      <c r="AW116" s="108">
        <f t="shared" si="7"/>
        <v>0</v>
      </c>
    </row>
    <row r="117" spans="1:49">
      <c r="A117" s="149">
        <v>45859</v>
      </c>
      <c r="B117" s="150">
        <f>YEAR(Table7[[#This Row],[Date]])+IF(MONTH(Table7[[#This Row],[Date]])&gt;=4,1,0)</f>
        <v>2026</v>
      </c>
      <c r="C117" s="151">
        <f>YEAR(Table7[[#This Row],[Date]])</f>
        <v>2025</v>
      </c>
      <c r="D117" s="152">
        <f>Daily_KPI[[#This Row],[Date]]-DAY(Daily_KPI[[#This Row],[Date]])+1</f>
        <v>45839</v>
      </c>
      <c r="AW117" s="108">
        <f t="shared" si="7"/>
        <v>0</v>
      </c>
    </row>
    <row r="118" spans="1:49">
      <c r="A118" s="145">
        <v>45860</v>
      </c>
      <c r="B118" s="146">
        <f>YEAR(Table7[[#This Row],[Date]])+IF(MONTH(Table7[[#This Row],[Date]])&gt;=4,1,0)</f>
        <v>2026</v>
      </c>
      <c r="C118" s="147">
        <f>YEAR(Table7[[#This Row],[Date]])</f>
        <v>2025</v>
      </c>
      <c r="D118" s="148">
        <f>Daily_KPI[[#This Row],[Date]]-DAY(Daily_KPI[[#This Row],[Date]])+1</f>
        <v>45839</v>
      </c>
      <c r="AW118" s="108">
        <f t="shared" si="7"/>
        <v>0</v>
      </c>
    </row>
    <row r="119" spans="1:49">
      <c r="A119" s="149">
        <v>45861</v>
      </c>
      <c r="B119" s="150">
        <f>YEAR(Table7[[#This Row],[Date]])+IF(MONTH(Table7[[#This Row],[Date]])&gt;=4,1,0)</f>
        <v>2026</v>
      </c>
      <c r="C119" s="151">
        <f>YEAR(Table7[[#This Row],[Date]])</f>
        <v>2025</v>
      </c>
      <c r="D119" s="152">
        <f>Daily_KPI[[#This Row],[Date]]-DAY(Daily_KPI[[#This Row],[Date]])+1</f>
        <v>45839</v>
      </c>
      <c r="AW119" s="108">
        <f t="shared" si="7"/>
        <v>0</v>
      </c>
    </row>
    <row r="120" spans="1:49">
      <c r="A120" s="145">
        <v>45862</v>
      </c>
      <c r="B120" s="146">
        <f>YEAR(Table7[[#This Row],[Date]])+IF(MONTH(Table7[[#This Row],[Date]])&gt;=4,1,0)</f>
        <v>2026</v>
      </c>
      <c r="C120" s="147">
        <f>YEAR(Table7[[#This Row],[Date]])</f>
        <v>2025</v>
      </c>
      <c r="D120" s="148">
        <f>Daily_KPI[[#This Row],[Date]]-DAY(Daily_KPI[[#This Row],[Date]])+1</f>
        <v>45839</v>
      </c>
      <c r="AW120" s="108">
        <f t="shared" si="7"/>
        <v>0</v>
      </c>
    </row>
    <row r="121" spans="1:49">
      <c r="A121" s="149">
        <v>45863</v>
      </c>
      <c r="B121" s="150">
        <f>YEAR(Table7[[#This Row],[Date]])+IF(MONTH(Table7[[#This Row],[Date]])&gt;=4,1,0)</f>
        <v>2026</v>
      </c>
      <c r="C121" s="151">
        <f>YEAR(Table7[[#This Row],[Date]])</f>
        <v>2025</v>
      </c>
      <c r="D121" s="152">
        <f>Daily_KPI[[#This Row],[Date]]-DAY(Daily_KPI[[#This Row],[Date]])+1</f>
        <v>45839</v>
      </c>
      <c r="AW121" s="108">
        <f t="shared" si="7"/>
        <v>0</v>
      </c>
    </row>
    <row r="122" spans="1:49">
      <c r="A122" s="145">
        <v>45864</v>
      </c>
      <c r="B122" s="146">
        <f>YEAR(Table7[[#This Row],[Date]])+IF(MONTH(Table7[[#This Row],[Date]])&gt;=4,1,0)</f>
        <v>2026</v>
      </c>
      <c r="C122" s="147">
        <f>YEAR(Table7[[#This Row],[Date]])</f>
        <v>2025</v>
      </c>
      <c r="D122" s="148">
        <f>Daily_KPI[[#This Row],[Date]]-DAY(Daily_KPI[[#This Row],[Date]])+1</f>
        <v>45839</v>
      </c>
      <c r="AW122" s="108">
        <f t="shared" si="7"/>
        <v>0</v>
      </c>
    </row>
    <row r="123" spans="1:49">
      <c r="A123" s="149">
        <v>45865</v>
      </c>
      <c r="B123" s="150">
        <f>YEAR(Table7[[#This Row],[Date]])+IF(MONTH(Table7[[#This Row],[Date]])&gt;=4,1,0)</f>
        <v>2026</v>
      </c>
      <c r="C123" s="151">
        <f>YEAR(Table7[[#This Row],[Date]])</f>
        <v>2025</v>
      </c>
      <c r="D123" s="152">
        <f>Daily_KPI[[#This Row],[Date]]-DAY(Daily_KPI[[#This Row],[Date]])+1</f>
        <v>45839</v>
      </c>
      <c r="AW123" s="108">
        <f t="shared" si="7"/>
        <v>0</v>
      </c>
    </row>
    <row r="124" spans="1:49">
      <c r="A124" s="145">
        <v>45866</v>
      </c>
      <c r="B124" s="146">
        <f>YEAR(Table7[[#This Row],[Date]])+IF(MONTH(Table7[[#This Row],[Date]])&gt;=4,1,0)</f>
        <v>2026</v>
      </c>
      <c r="C124" s="147">
        <f>YEAR(Table7[[#This Row],[Date]])</f>
        <v>2025</v>
      </c>
      <c r="D124" s="148">
        <f>Daily_KPI[[#This Row],[Date]]-DAY(Daily_KPI[[#This Row],[Date]])+1</f>
        <v>45839</v>
      </c>
      <c r="AW124" s="108">
        <f t="shared" si="7"/>
        <v>0</v>
      </c>
    </row>
    <row r="125" spans="1:49">
      <c r="A125" s="149">
        <v>45867</v>
      </c>
      <c r="B125" s="150">
        <f>YEAR(Table7[[#This Row],[Date]])+IF(MONTH(Table7[[#This Row],[Date]])&gt;=4,1,0)</f>
        <v>2026</v>
      </c>
      <c r="C125" s="151">
        <f>YEAR(Table7[[#This Row],[Date]])</f>
        <v>2025</v>
      </c>
      <c r="D125" s="152">
        <f>Daily_KPI[[#This Row],[Date]]-DAY(Daily_KPI[[#This Row],[Date]])+1</f>
        <v>45839</v>
      </c>
      <c r="AW125" s="108">
        <f t="shared" si="7"/>
        <v>0</v>
      </c>
    </row>
    <row r="126" spans="1:49">
      <c r="A126" s="145">
        <v>45868</v>
      </c>
      <c r="B126" s="146">
        <f>YEAR(Table7[[#This Row],[Date]])+IF(MONTH(Table7[[#This Row],[Date]])&gt;=4,1,0)</f>
        <v>2026</v>
      </c>
      <c r="C126" s="147">
        <f>YEAR(Table7[[#This Row],[Date]])</f>
        <v>2025</v>
      </c>
      <c r="D126" s="148">
        <f>Daily_KPI[[#This Row],[Date]]-DAY(Daily_KPI[[#This Row],[Date]])+1</f>
        <v>45839</v>
      </c>
      <c r="AW126" s="108">
        <f t="shared" ref="AW126:AW189" si="12">SUM(E126:AV126)/1000</f>
        <v>0</v>
      </c>
    </row>
    <row r="127" spans="1:49">
      <c r="A127" s="149">
        <v>45869</v>
      </c>
      <c r="B127" s="150">
        <f>YEAR(Table7[[#This Row],[Date]])+IF(MONTH(Table7[[#This Row],[Date]])&gt;=4,1,0)</f>
        <v>2026</v>
      </c>
      <c r="C127" s="151">
        <f>YEAR(Table7[[#This Row],[Date]])</f>
        <v>2025</v>
      </c>
      <c r="D127" s="152">
        <f>Daily_KPI[[#This Row],[Date]]-DAY(Daily_KPI[[#This Row],[Date]])+1</f>
        <v>45870</v>
      </c>
      <c r="AW127" s="108">
        <f t="shared" si="12"/>
        <v>0</v>
      </c>
    </row>
    <row r="128" spans="1:49">
      <c r="A128" s="145">
        <v>45870</v>
      </c>
      <c r="B128" s="146">
        <f>YEAR(Table7[[#This Row],[Date]])+IF(MONTH(Table7[[#This Row],[Date]])&gt;=4,1,0)</f>
        <v>2026</v>
      </c>
      <c r="C128" s="147">
        <f>YEAR(Table7[[#This Row],[Date]])</f>
        <v>2025</v>
      </c>
      <c r="D128" s="148">
        <f>Daily_KPI[[#This Row],[Date]]-DAY(Daily_KPI[[#This Row],[Date]])+1</f>
        <v>45870</v>
      </c>
      <c r="AW128" s="108">
        <f t="shared" si="12"/>
        <v>0</v>
      </c>
    </row>
    <row r="129" spans="1:49">
      <c r="A129" s="149">
        <v>45871</v>
      </c>
      <c r="B129" s="150">
        <f>YEAR(Table7[[#This Row],[Date]])+IF(MONTH(Table7[[#This Row],[Date]])&gt;=4,1,0)</f>
        <v>2026</v>
      </c>
      <c r="C129" s="151">
        <f>YEAR(Table7[[#This Row],[Date]])</f>
        <v>2025</v>
      </c>
      <c r="D129" s="152">
        <f>Daily_KPI[[#This Row],[Date]]-DAY(Daily_KPI[[#This Row],[Date]])+1</f>
        <v>45870</v>
      </c>
      <c r="AW129" s="108">
        <f t="shared" si="12"/>
        <v>0</v>
      </c>
    </row>
    <row r="130" spans="1:49">
      <c r="A130" s="145">
        <v>45872</v>
      </c>
      <c r="B130" s="146">
        <f>YEAR(Table7[[#This Row],[Date]])+IF(MONTH(Table7[[#This Row],[Date]])&gt;=4,1,0)</f>
        <v>2026</v>
      </c>
      <c r="C130" s="147">
        <f>YEAR(Table7[[#This Row],[Date]])</f>
        <v>2025</v>
      </c>
      <c r="D130" s="148">
        <f>Daily_KPI[[#This Row],[Date]]-DAY(Daily_KPI[[#This Row],[Date]])+1</f>
        <v>45870</v>
      </c>
      <c r="AW130" s="108">
        <f t="shared" si="12"/>
        <v>0</v>
      </c>
    </row>
    <row r="131" spans="1:49">
      <c r="A131" s="149">
        <v>45873</v>
      </c>
      <c r="B131" s="150">
        <f>YEAR(Table7[[#This Row],[Date]])+IF(MONTH(Table7[[#This Row],[Date]])&gt;=4,1,0)</f>
        <v>2026</v>
      </c>
      <c r="C131" s="151">
        <f>YEAR(Table7[[#This Row],[Date]])</f>
        <v>2025</v>
      </c>
      <c r="D131" s="152">
        <f>Daily_KPI[[#This Row],[Date]]-DAY(Daily_KPI[[#This Row],[Date]])+1</f>
        <v>45870</v>
      </c>
      <c r="AW131" s="108">
        <f t="shared" si="12"/>
        <v>0</v>
      </c>
    </row>
    <row r="132" spans="1:49">
      <c r="A132" s="145">
        <v>45874</v>
      </c>
      <c r="B132" s="146">
        <f>YEAR(Table7[[#This Row],[Date]])+IF(MONTH(Table7[[#This Row],[Date]])&gt;=4,1,0)</f>
        <v>2026</v>
      </c>
      <c r="C132" s="147">
        <f>YEAR(Table7[[#This Row],[Date]])</f>
        <v>2025</v>
      </c>
      <c r="D132" s="148">
        <f>Daily_KPI[[#This Row],[Date]]-DAY(Daily_KPI[[#This Row],[Date]])+1</f>
        <v>45870</v>
      </c>
      <c r="AW132" s="108">
        <f t="shared" si="12"/>
        <v>0</v>
      </c>
    </row>
    <row r="133" spans="1:49">
      <c r="A133" s="149">
        <v>45875</v>
      </c>
      <c r="B133" s="150">
        <f>YEAR(Table7[[#This Row],[Date]])+IF(MONTH(Table7[[#This Row],[Date]])&gt;=4,1,0)</f>
        <v>2026</v>
      </c>
      <c r="C133" s="151">
        <f>YEAR(Table7[[#This Row],[Date]])</f>
        <v>2025</v>
      </c>
      <c r="D133" s="152">
        <f>Daily_KPI[[#This Row],[Date]]-DAY(Daily_KPI[[#This Row],[Date]])+1</f>
        <v>45870</v>
      </c>
      <c r="AW133" s="108">
        <f t="shared" si="12"/>
        <v>0</v>
      </c>
    </row>
    <row r="134" spans="1:49">
      <c r="A134" s="145">
        <v>45876</v>
      </c>
      <c r="B134" s="146">
        <f>YEAR(Table7[[#This Row],[Date]])+IF(MONTH(Table7[[#This Row],[Date]])&gt;=4,1,0)</f>
        <v>2026</v>
      </c>
      <c r="C134" s="147">
        <f>YEAR(Table7[[#This Row],[Date]])</f>
        <v>2025</v>
      </c>
      <c r="D134" s="148">
        <f>Daily_KPI[[#This Row],[Date]]-DAY(Daily_KPI[[#This Row],[Date]])+1</f>
        <v>45870</v>
      </c>
      <c r="AW134" s="108">
        <f t="shared" si="12"/>
        <v>0</v>
      </c>
    </row>
    <row r="135" spans="1:49">
      <c r="A135" s="149">
        <v>45877</v>
      </c>
      <c r="B135" s="150">
        <f>YEAR(Table7[[#This Row],[Date]])+IF(MONTH(Table7[[#This Row],[Date]])&gt;=4,1,0)</f>
        <v>2026</v>
      </c>
      <c r="C135" s="151">
        <f>YEAR(Table7[[#This Row],[Date]])</f>
        <v>2025</v>
      </c>
      <c r="D135" s="152">
        <f>Daily_KPI[[#This Row],[Date]]-DAY(Daily_KPI[[#This Row],[Date]])+1</f>
        <v>45870</v>
      </c>
      <c r="AW135" s="108">
        <f t="shared" si="12"/>
        <v>0</v>
      </c>
    </row>
    <row r="136" spans="1:49">
      <c r="A136" s="145">
        <v>45878</v>
      </c>
      <c r="B136" s="146">
        <f>YEAR(Table7[[#This Row],[Date]])+IF(MONTH(Table7[[#This Row],[Date]])&gt;=4,1,0)</f>
        <v>2026</v>
      </c>
      <c r="C136" s="147">
        <f>YEAR(Table7[[#This Row],[Date]])</f>
        <v>2025</v>
      </c>
      <c r="D136" s="148">
        <f>Daily_KPI[[#This Row],[Date]]-DAY(Daily_KPI[[#This Row],[Date]])+1</f>
        <v>45870</v>
      </c>
      <c r="AW136" s="108">
        <f t="shared" si="12"/>
        <v>0</v>
      </c>
    </row>
    <row r="137" spans="1:49">
      <c r="A137" s="149">
        <v>45879</v>
      </c>
      <c r="B137" s="150">
        <f>YEAR(Table7[[#This Row],[Date]])+IF(MONTH(Table7[[#This Row],[Date]])&gt;=4,1,0)</f>
        <v>2026</v>
      </c>
      <c r="C137" s="151">
        <f>YEAR(Table7[[#This Row],[Date]])</f>
        <v>2025</v>
      </c>
      <c r="D137" s="152">
        <f>Daily_KPI[[#This Row],[Date]]-DAY(Daily_KPI[[#This Row],[Date]])+1</f>
        <v>45870</v>
      </c>
      <c r="AW137" s="108">
        <f t="shared" si="12"/>
        <v>0</v>
      </c>
    </row>
    <row r="138" spans="1:49">
      <c r="A138" s="145">
        <v>45880</v>
      </c>
      <c r="B138" s="146">
        <f>YEAR(Table7[[#This Row],[Date]])+IF(MONTH(Table7[[#This Row],[Date]])&gt;=4,1,0)</f>
        <v>2026</v>
      </c>
      <c r="C138" s="147">
        <f>YEAR(Table7[[#This Row],[Date]])</f>
        <v>2025</v>
      </c>
      <c r="D138" s="148">
        <f>Daily_KPI[[#This Row],[Date]]-DAY(Daily_KPI[[#This Row],[Date]])+1</f>
        <v>45870</v>
      </c>
      <c r="AW138" s="108">
        <f t="shared" si="12"/>
        <v>0</v>
      </c>
    </row>
    <row r="139" spans="1:49">
      <c r="A139" s="149">
        <v>45881</v>
      </c>
      <c r="B139" s="150">
        <f>YEAR(Table7[[#This Row],[Date]])+IF(MONTH(Table7[[#This Row],[Date]])&gt;=4,1,0)</f>
        <v>2026</v>
      </c>
      <c r="C139" s="151">
        <f>YEAR(Table7[[#This Row],[Date]])</f>
        <v>2025</v>
      </c>
      <c r="D139" s="152">
        <f>Daily_KPI[[#This Row],[Date]]-DAY(Daily_KPI[[#This Row],[Date]])+1</f>
        <v>45870</v>
      </c>
      <c r="AW139" s="108">
        <f t="shared" si="12"/>
        <v>0</v>
      </c>
    </row>
    <row r="140" spans="1:49">
      <c r="A140" s="145">
        <v>45882</v>
      </c>
      <c r="B140" s="146">
        <f>YEAR(Table7[[#This Row],[Date]])+IF(MONTH(Table7[[#This Row],[Date]])&gt;=4,1,0)</f>
        <v>2026</v>
      </c>
      <c r="C140" s="147">
        <f>YEAR(Table7[[#This Row],[Date]])</f>
        <v>2025</v>
      </c>
      <c r="D140" s="148">
        <f>Daily_KPI[[#This Row],[Date]]-DAY(Daily_KPI[[#This Row],[Date]])+1</f>
        <v>45870</v>
      </c>
      <c r="AW140" s="108">
        <f t="shared" si="12"/>
        <v>0</v>
      </c>
    </row>
    <row r="141" spans="1:49">
      <c r="A141" s="149">
        <v>45883</v>
      </c>
      <c r="B141" s="150">
        <f>YEAR(Table7[[#This Row],[Date]])+IF(MONTH(Table7[[#This Row],[Date]])&gt;=4,1,0)</f>
        <v>2026</v>
      </c>
      <c r="C141" s="151">
        <f>YEAR(Table7[[#This Row],[Date]])</f>
        <v>2025</v>
      </c>
      <c r="D141" s="152">
        <f>Daily_KPI[[#This Row],[Date]]-DAY(Daily_KPI[[#This Row],[Date]])+1</f>
        <v>45870</v>
      </c>
      <c r="AW141" s="108">
        <f t="shared" si="12"/>
        <v>0</v>
      </c>
    </row>
    <row r="142" spans="1:49">
      <c r="A142" s="145">
        <v>45884</v>
      </c>
      <c r="B142" s="146">
        <f>YEAR(Table7[[#This Row],[Date]])+IF(MONTH(Table7[[#This Row],[Date]])&gt;=4,1,0)</f>
        <v>2026</v>
      </c>
      <c r="C142" s="147">
        <f>YEAR(Table7[[#This Row],[Date]])</f>
        <v>2025</v>
      </c>
      <c r="D142" s="148">
        <f>Daily_KPI[[#This Row],[Date]]-DAY(Daily_KPI[[#This Row],[Date]])+1</f>
        <v>45870</v>
      </c>
      <c r="AW142" s="108">
        <f t="shared" si="12"/>
        <v>0</v>
      </c>
    </row>
    <row r="143" spans="1:49">
      <c r="A143" s="149">
        <v>45885</v>
      </c>
      <c r="B143" s="150">
        <f>YEAR(Table7[[#This Row],[Date]])+IF(MONTH(Table7[[#This Row],[Date]])&gt;=4,1,0)</f>
        <v>2026</v>
      </c>
      <c r="C143" s="151">
        <f>YEAR(Table7[[#This Row],[Date]])</f>
        <v>2025</v>
      </c>
      <c r="D143" s="152">
        <f>Daily_KPI[[#This Row],[Date]]-DAY(Daily_KPI[[#This Row],[Date]])+1</f>
        <v>45870</v>
      </c>
      <c r="AW143" s="108">
        <f t="shared" si="12"/>
        <v>0</v>
      </c>
    </row>
    <row r="144" spans="1:49">
      <c r="A144" s="145">
        <v>45886</v>
      </c>
      <c r="B144" s="146">
        <f>YEAR(Table7[[#This Row],[Date]])+IF(MONTH(Table7[[#This Row],[Date]])&gt;=4,1,0)</f>
        <v>2026</v>
      </c>
      <c r="C144" s="147">
        <f>YEAR(Table7[[#This Row],[Date]])</f>
        <v>2025</v>
      </c>
      <c r="D144" s="148">
        <f>Daily_KPI[[#This Row],[Date]]-DAY(Daily_KPI[[#This Row],[Date]])+1</f>
        <v>45870</v>
      </c>
      <c r="AW144" s="108">
        <f t="shared" si="12"/>
        <v>0</v>
      </c>
    </row>
    <row r="145" spans="1:49">
      <c r="A145" s="149">
        <v>45887</v>
      </c>
      <c r="B145" s="150">
        <f>YEAR(Table7[[#This Row],[Date]])+IF(MONTH(Table7[[#This Row],[Date]])&gt;=4,1,0)</f>
        <v>2026</v>
      </c>
      <c r="C145" s="151">
        <f>YEAR(Table7[[#This Row],[Date]])</f>
        <v>2025</v>
      </c>
      <c r="D145" s="152">
        <f>Daily_KPI[[#This Row],[Date]]-DAY(Daily_KPI[[#This Row],[Date]])+1</f>
        <v>45870</v>
      </c>
      <c r="AW145" s="108">
        <f t="shared" si="12"/>
        <v>0</v>
      </c>
    </row>
    <row r="146" spans="1:49">
      <c r="A146" s="145">
        <v>45888</v>
      </c>
      <c r="B146" s="146">
        <f>YEAR(Table7[[#This Row],[Date]])+IF(MONTH(Table7[[#This Row],[Date]])&gt;=4,1,0)</f>
        <v>2026</v>
      </c>
      <c r="C146" s="147">
        <f>YEAR(Table7[[#This Row],[Date]])</f>
        <v>2025</v>
      </c>
      <c r="D146" s="148">
        <f>Daily_KPI[[#This Row],[Date]]-DAY(Daily_KPI[[#This Row],[Date]])+1</f>
        <v>45870</v>
      </c>
      <c r="AW146" s="108">
        <f t="shared" si="12"/>
        <v>0</v>
      </c>
    </row>
    <row r="147" spans="1:49">
      <c r="A147" s="149">
        <v>45889</v>
      </c>
      <c r="B147" s="150">
        <f>YEAR(Table7[[#This Row],[Date]])+IF(MONTH(Table7[[#This Row],[Date]])&gt;=4,1,0)</f>
        <v>2026</v>
      </c>
      <c r="C147" s="151">
        <f>YEAR(Table7[[#This Row],[Date]])</f>
        <v>2025</v>
      </c>
      <c r="D147" s="152">
        <f>Daily_KPI[[#This Row],[Date]]-DAY(Daily_KPI[[#This Row],[Date]])+1</f>
        <v>45870</v>
      </c>
      <c r="AW147" s="108">
        <f t="shared" si="12"/>
        <v>0</v>
      </c>
    </row>
    <row r="148" spans="1:49">
      <c r="A148" s="145">
        <v>45890</v>
      </c>
      <c r="B148" s="146">
        <f>YEAR(Table7[[#This Row],[Date]])+IF(MONTH(Table7[[#This Row],[Date]])&gt;=4,1,0)</f>
        <v>2026</v>
      </c>
      <c r="C148" s="147">
        <f>YEAR(Table7[[#This Row],[Date]])</f>
        <v>2025</v>
      </c>
      <c r="D148" s="148">
        <f>Daily_KPI[[#This Row],[Date]]-DAY(Daily_KPI[[#This Row],[Date]])+1</f>
        <v>45870</v>
      </c>
      <c r="AW148" s="108">
        <f t="shared" si="12"/>
        <v>0</v>
      </c>
    </row>
    <row r="149" spans="1:49">
      <c r="A149" s="149">
        <v>45891</v>
      </c>
      <c r="B149" s="150">
        <f>YEAR(Table7[[#This Row],[Date]])+IF(MONTH(Table7[[#This Row],[Date]])&gt;=4,1,0)</f>
        <v>2026</v>
      </c>
      <c r="C149" s="151">
        <f>YEAR(Table7[[#This Row],[Date]])</f>
        <v>2025</v>
      </c>
      <c r="D149" s="152">
        <f>Daily_KPI[[#This Row],[Date]]-DAY(Daily_KPI[[#This Row],[Date]])+1</f>
        <v>45870</v>
      </c>
      <c r="AW149" s="108">
        <f t="shared" si="12"/>
        <v>0</v>
      </c>
    </row>
    <row r="150" spans="1:49">
      <c r="A150" s="145">
        <v>45892</v>
      </c>
      <c r="B150" s="146">
        <f>YEAR(Table7[[#This Row],[Date]])+IF(MONTH(Table7[[#This Row],[Date]])&gt;=4,1,0)</f>
        <v>2026</v>
      </c>
      <c r="C150" s="147">
        <f>YEAR(Table7[[#This Row],[Date]])</f>
        <v>2025</v>
      </c>
      <c r="D150" s="148">
        <f>Daily_KPI[[#This Row],[Date]]-DAY(Daily_KPI[[#This Row],[Date]])+1</f>
        <v>45870</v>
      </c>
      <c r="AW150" s="108">
        <f t="shared" si="12"/>
        <v>0</v>
      </c>
    </row>
    <row r="151" spans="1:49">
      <c r="A151" s="149">
        <v>45893</v>
      </c>
      <c r="B151" s="150">
        <f>YEAR(Table7[[#This Row],[Date]])+IF(MONTH(Table7[[#This Row],[Date]])&gt;=4,1,0)</f>
        <v>2026</v>
      </c>
      <c r="C151" s="151">
        <f>YEAR(Table7[[#This Row],[Date]])</f>
        <v>2025</v>
      </c>
      <c r="D151" s="152">
        <f>Daily_KPI[[#This Row],[Date]]-DAY(Daily_KPI[[#This Row],[Date]])+1</f>
        <v>45870</v>
      </c>
      <c r="AW151" s="108">
        <f t="shared" si="12"/>
        <v>0</v>
      </c>
    </row>
    <row r="152" spans="1:49">
      <c r="A152" s="145">
        <v>45894</v>
      </c>
      <c r="B152" s="146">
        <f>YEAR(Table7[[#This Row],[Date]])+IF(MONTH(Table7[[#This Row],[Date]])&gt;=4,1,0)</f>
        <v>2026</v>
      </c>
      <c r="C152" s="147">
        <f>YEAR(Table7[[#This Row],[Date]])</f>
        <v>2025</v>
      </c>
      <c r="D152" s="148">
        <f>Daily_KPI[[#This Row],[Date]]-DAY(Daily_KPI[[#This Row],[Date]])+1</f>
        <v>45870</v>
      </c>
      <c r="AW152" s="108">
        <f t="shared" si="12"/>
        <v>0</v>
      </c>
    </row>
    <row r="153" spans="1:49">
      <c r="A153" s="149">
        <v>45895</v>
      </c>
      <c r="B153" s="150">
        <f>YEAR(Table7[[#This Row],[Date]])+IF(MONTH(Table7[[#This Row],[Date]])&gt;=4,1,0)</f>
        <v>2026</v>
      </c>
      <c r="C153" s="151">
        <f>YEAR(Table7[[#This Row],[Date]])</f>
        <v>2025</v>
      </c>
      <c r="D153" s="152">
        <f>Daily_KPI[[#This Row],[Date]]-DAY(Daily_KPI[[#This Row],[Date]])+1</f>
        <v>45870</v>
      </c>
      <c r="AW153" s="108">
        <f t="shared" si="12"/>
        <v>0</v>
      </c>
    </row>
    <row r="154" spans="1:49">
      <c r="A154" s="145">
        <v>45896</v>
      </c>
      <c r="B154" s="146">
        <f>YEAR(Table7[[#This Row],[Date]])+IF(MONTH(Table7[[#This Row],[Date]])&gt;=4,1,0)</f>
        <v>2026</v>
      </c>
      <c r="C154" s="147">
        <f>YEAR(Table7[[#This Row],[Date]])</f>
        <v>2025</v>
      </c>
      <c r="D154" s="148">
        <f>Daily_KPI[[#This Row],[Date]]-DAY(Daily_KPI[[#This Row],[Date]])+1</f>
        <v>45870</v>
      </c>
      <c r="AW154" s="108">
        <f t="shared" si="12"/>
        <v>0</v>
      </c>
    </row>
    <row r="155" spans="1:49">
      <c r="A155" s="149">
        <v>45897</v>
      </c>
      <c r="B155" s="150">
        <f>YEAR(Table7[[#This Row],[Date]])+IF(MONTH(Table7[[#This Row],[Date]])&gt;=4,1,0)</f>
        <v>2026</v>
      </c>
      <c r="C155" s="151">
        <f>YEAR(Table7[[#This Row],[Date]])</f>
        <v>2025</v>
      </c>
      <c r="D155" s="152">
        <f>Daily_KPI[[#This Row],[Date]]-DAY(Daily_KPI[[#This Row],[Date]])+1</f>
        <v>45870</v>
      </c>
      <c r="AW155" s="108">
        <f t="shared" si="12"/>
        <v>0</v>
      </c>
    </row>
    <row r="156" spans="1:49">
      <c r="A156" s="145">
        <v>45898</v>
      </c>
      <c r="B156" s="146">
        <f>YEAR(Table7[[#This Row],[Date]])+IF(MONTH(Table7[[#This Row],[Date]])&gt;=4,1,0)</f>
        <v>2026</v>
      </c>
      <c r="C156" s="147">
        <f>YEAR(Table7[[#This Row],[Date]])</f>
        <v>2025</v>
      </c>
      <c r="D156" s="148">
        <f>Daily_KPI[[#This Row],[Date]]-DAY(Daily_KPI[[#This Row],[Date]])+1</f>
        <v>45870</v>
      </c>
      <c r="AW156" s="108">
        <f t="shared" si="12"/>
        <v>0</v>
      </c>
    </row>
    <row r="157" spans="1:49">
      <c r="A157" s="149">
        <v>45899</v>
      </c>
      <c r="B157" s="150">
        <f>YEAR(Table7[[#This Row],[Date]])+IF(MONTH(Table7[[#This Row],[Date]])&gt;=4,1,0)</f>
        <v>2026</v>
      </c>
      <c r="C157" s="151">
        <f>YEAR(Table7[[#This Row],[Date]])</f>
        <v>2025</v>
      </c>
      <c r="D157" s="152">
        <f>Daily_KPI[[#This Row],[Date]]-DAY(Daily_KPI[[#This Row],[Date]])+1</f>
        <v>45870</v>
      </c>
      <c r="AW157" s="108">
        <f t="shared" si="12"/>
        <v>0</v>
      </c>
    </row>
    <row r="158" spans="1:49">
      <c r="A158" s="145">
        <v>45900</v>
      </c>
      <c r="B158" s="146">
        <f>YEAR(Table7[[#This Row],[Date]])+IF(MONTH(Table7[[#This Row],[Date]])&gt;=4,1,0)</f>
        <v>2026</v>
      </c>
      <c r="C158" s="147">
        <f>YEAR(Table7[[#This Row],[Date]])</f>
        <v>2025</v>
      </c>
      <c r="D158" s="148">
        <f>Daily_KPI[[#This Row],[Date]]-DAY(Daily_KPI[[#This Row],[Date]])+1</f>
        <v>45901</v>
      </c>
      <c r="AW158" s="108">
        <f t="shared" si="12"/>
        <v>0</v>
      </c>
    </row>
    <row r="159" spans="1:49">
      <c r="A159" s="149">
        <v>45901</v>
      </c>
      <c r="B159" s="150">
        <f>YEAR(Table7[[#This Row],[Date]])+IF(MONTH(Table7[[#This Row],[Date]])&gt;=4,1,0)</f>
        <v>2026</v>
      </c>
      <c r="C159" s="151">
        <f>YEAR(Table7[[#This Row],[Date]])</f>
        <v>2025</v>
      </c>
      <c r="D159" s="152">
        <f>Daily_KPI[[#This Row],[Date]]-DAY(Daily_KPI[[#This Row],[Date]])+1</f>
        <v>45901</v>
      </c>
      <c r="AW159" s="108">
        <f t="shared" si="12"/>
        <v>0</v>
      </c>
    </row>
    <row r="160" spans="1:49">
      <c r="A160" s="145">
        <v>45902</v>
      </c>
      <c r="B160" s="146">
        <f>YEAR(Table7[[#This Row],[Date]])+IF(MONTH(Table7[[#This Row],[Date]])&gt;=4,1,0)</f>
        <v>2026</v>
      </c>
      <c r="C160" s="147">
        <f>YEAR(Table7[[#This Row],[Date]])</f>
        <v>2025</v>
      </c>
      <c r="D160" s="148">
        <f>Daily_KPI[[#This Row],[Date]]-DAY(Daily_KPI[[#This Row],[Date]])+1</f>
        <v>45901</v>
      </c>
      <c r="AW160" s="108">
        <f t="shared" si="12"/>
        <v>0</v>
      </c>
    </row>
    <row r="161" spans="1:49">
      <c r="A161" s="149">
        <v>45903</v>
      </c>
      <c r="B161" s="150">
        <f>YEAR(Table7[[#This Row],[Date]])+IF(MONTH(Table7[[#This Row],[Date]])&gt;=4,1,0)</f>
        <v>2026</v>
      </c>
      <c r="C161" s="151">
        <f>YEAR(Table7[[#This Row],[Date]])</f>
        <v>2025</v>
      </c>
      <c r="D161" s="152">
        <f>Daily_KPI[[#This Row],[Date]]-DAY(Daily_KPI[[#This Row],[Date]])+1</f>
        <v>45901</v>
      </c>
      <c r="AW161" s="108">
        <f t="shared" si="12"/>
        <v>0</v>
      </c>
    </row>
    <row r="162" spans="1:49">
      <c r="A162" s="145">
        <v>45904</v>
      </c>
      <c r="B162" s="146">
        <f>YEAR(Table7[[#This Row],[Date]])+IF(MONTH(Table7[[#This Row],[Date]])&gt;=4,1,0)</f>
        <v>2026</v>
      </c>
      <c r="C162" s="147">
        <f>YEAR(Table7[[#This Row],[Date]])</f>
        <v>2025</v>
      </c>
      <c r="D162" s="148">
        <f>Daily_KPI[[#This Row],[Date]]-DAY(Daily_KPI[[#This Row],[Date]])+1</f>
        <v>45901</v>
      </c>
      <c r="AW162" s="108">
        <f t="shared" si="12"/>
        <v>0</v>
      </c>
    </row>
    <row r="163" spans="1:49">
      <c r="A163" s="149">
        <v>45905</v>
      </c>
      <c r="B163" s="150">
        <f>YEAR(Table7[[#This Row],[Date]])+IF(MONTH(Table7[[#This Row],[Date]])&gt;=4,1,0)</f>
        <v>2026</v>
      </c>
      <c r="C163" s="151">
        <f>YEAR(Table7[[#This Row],[Date]])</f>
        <v>2025</v>
      </c>
      <c r="D163" s="152">
        <f>Daily_KPI[[#This Row],[Date]]-DAY(Daily_KPI[[#This Row],[Date]])+1</f>
        <v>45901</v>
      </c>
      <c r="AW163" s="108">
        <f t="shared" si="12"/>
        <v>0</v>
      </c>
    </row>
    <row r="164" spans="1:49">
      <c r="A164" s="145">
        <v>45906</v>
      </c>
      <c r="B164" s="146">
        <f>YEAR(Table7[[#This Row],[Date]])+IF(MONTH(Table7[[#This Row],[Date]])&gt;=4,1,0)</f>
        <v>2026</v>
      </c>
      <c r="C164" s="147">
        <f>YEAR(Table7[[#This Row],[Date]])</f>
        <v>2025</v>
      </c>
      <c r="D164" s="148">
        <f>Daily_KPI[[#This Row],[Date]]-DAY(Daily_KPI[[#This Row],[Date]])+1</f>
        <v>45901</v>
      </c>
      <c r="AW164" s="108">
        <f t="shared" si="12"/>
        <v>0</v>
      </c>
    </row>
    <row r="165" spans="1:49">
      <c r="A165" s="149">
        <v>45907</v>
      </c>
      <c r="B165" s="150">
        <f>YEAR(Table7[[#This Row],[Date]])+IF(MONTH(Table7[[#This Row],[Date]])&gt;=4,1,0)</f>
        <v>2026</v>
      </c>
      <c r="C165" s="151">
        <f>YEAR(Table7[[#This Row],[Date]])</f>
        <v>2025</v>
      </c>
      <c r="D165" s="152">
        <f>Daily_KPI[[#This Row],[Date]]-DAY(Daily_KPI[[#This Row],[Date]])+1</f>
        <v>45901</v>
      </c>
      <c r="AW165" s="108">
        <f t="shared" si="12"/>
        <v>0</v>
      </c>
    </row>
    <row r="166" spans="1:49">
      <c r="A166" s="145">
        <v>45908</v>
      </c>
      <c r="B166" s="146">
        <f>YEAR(Table7[[#This Row],[Date]])+IF(MONTH(Table7[[#This Row],[Date]])&gt;=4,1,0)</f>
        <v>2026</v>
      </c>
      <c r="C166" s="147">
        <f>YEAR(Table7[[#This Row],[Date]])</f>
        <v>2025</v>
      </c>
      <c r="D166" s="148">
        <f>Daily_KPI[[#This Row],[Date]]-DAY(Daily_KPI[[#This Row],[Date]])+1</f>
        <v>45901</v>
      </c>
      <c r="AW166" s="108">
        <f t="shared" si="12"/>
        <v>0</v>
      </c>
    </row>
    <row r="167" spans="1:49">
      <c r="A167" s="149">
        <v>45909</v>
      </c>
      <c r="B167" s="150">
        <f>YEAR(Table7[[#This Row],[Date]])+IF(MONTH(Table7[[#This Row],[Date]])&gt;=4,1,0)</f>
        <v>2026</v>
      </c>
      <c r="C167" s="151">
        <f>YEAR(Table7[[#This Row],[Date]])</f>
        <v>2025</v>
      </c>
      <c r="D167" s="152">
        <f>Daily_KPI[[#This Row],[Date]]-DAY(Daily_KPI[[#This Row],[Date]])+1</f>
        <v>45901</v>
      </c>
      <c r="AW167" s="108">
        <f t="shared" si="12"/>
        <v>0</v>
      </c>
    </row>
    <row r="168" spans="1:49">
      <c r="A168" s="145">
        <v>45910</v>
      </c>
      <c r="B168" s="146">
        <f>YEAR(Table7[[#This Row],[Date]])+IF(MONTH(Table7[[#This Row],[Date]])&gt;=4,1,0)</f>
        <v>2026</v>
      </c>
      <c r="C168" s="147">
        <f>YEAR(Table7[[#This Row],[Date]])</f>
        <v>2025</v>
      </c>
      <c r="D168" s="148">
        <f>Daily_KPI[[#This Row],[Date]]-DAY(Daily_KPI[[#This Row],[Date]])+1</f>
        <v>45901</v>
      </c>
      <c r="AW168" s="108">
        <f t="shared" si="12"/>
        <v>0</v>
      </c>
    </row>
    <row r="169" spans="1:49">
      <c r="A169" s="149">
        <v>45911</v>
      </c>
      <c r="B169" s="150">
        <f>YEAR(Table7[[#This Row],[Date]])+IF(MONTH(Table7[[#This Row],[Date]])&gt;=4,1,0)</f>
        <v>2026</v>
      </c>
      <c r="C169" s="151">
        <f>YEAR(Table7[[#This Row],[Date]])</f>
        <v>2025</v>
      </c>
      <c r="D169" s="152">
        <f>Daily_KPI[[#This Row],[Date]]-DAY(Daily_KPI[[#This Row],[Date]])+1</f>
        <v>45901</v>
      </c>
      <c r="AW169" s="108">
        <f t="shared" si="12"/>
        <v>0</v>
      </c>
    </row>
    <row r="170" spans="1:49">
      <c r="A170" s="145">
        <v>45912</v>
      </c>
      <c r="B170" s="146">
        <f>YEAR(Table7[[#This Row],[Date]])+IF(MONTH(Table7[[#This Row],[Date]])&gt;=4,1,0)</f>
        <v>2026</v>
      </c>
      <c r="C170" s="147">
        <f>YEAR(Table7[[#This Row],[Date]])</f>
        <v>2025</v>
      </c>
      <c r="D170" s="148">
        <f>Daily_KPI[[#This Row],[Date]]-DAY(Daily_KPI[[#This Row],[Date]])+1</f>
        <v>45901</v>
      </c>
      <c r="AW170" s="108">
        <f t="shared" si="12"/>
        <v>0</v>
      </c>
    </row>
    <row r="171" spans="1:49">
      <c r="A171" s="149">
        <v>45913</v>
      </c>
      <c r="B171" s="150">
        <f>YEAR(Table7[[#This Row],[Date]])+IF(MONTH(Table7[[#This Row],[Date]])&gt;=4,1,0)</f>
        <v>2026</v>
      </c>
      <c r="C171" s="151">
        <f>YEAR(Table7[[#This Row],[Date]])</f>
        <v>2025</v>
      </c>
      <c r="D171" s="152">
        <f>Daily_KPI[[#This Row],[Date]]-DAY(Daily_KPI[[#This Row],[Date]])+1</f>
        <v>45901</v>
      </c>
      <c r="AW171" s="108">
        <f t="shared" si="12"/>
        <v>0</v>
      </c>
    </row>
    <row r="172" spans="1:49">
      <c r="A172" s="145">
        <v>45914</v>
      </c>
      <c r="B172" s="146">
        <f>YEAR(Table7[[#This Row],[Date]])+IF(MONTH(Table7[[#This Row],[Date]])&gt;=4,1,0)</f>
        <v>2026</v>
      </c>
      <c r="C172" s="147">
        <f>YEAR(Table7[[#This Row],[Date]])</f>
        <v>2025</v>
      </c>
      <c r="D172" s="148">
        <f>Daily_KPI[[#This Row],[Date]]-DAY(Daily_KPI[[#This Row],[Date]])+1</f>
        <v>45901</v>
      </c>
      <c r="AW172" s="108">
        <f t="shared" si="12"/>
        <v>0</v>
      </c>
    </row>
    <row r="173" spans="1:49">
      <c r="A173" s="149">
        <v>45915</v>
      </c>
      <c r="B173" s="150">
        <f>YEAR(Table7[[#This Row],[Date]])+IF(MONTH(Table7[[#This Row],[Date]])&gt;=4,1,0)</f>
        <v>2026</v>
      </c>
      <c r="C173" s="151">
        <f>YEAR(Table7[[#This Row],[Date]])</f>
        <v>2025</v>
      </c>
      <c r="D173" s="152">
        <f>Daily_KPI[[#This Row],[Date]]-DAY(Daily_KPI[[#This Row],[Date]])+1</f>
        <v>45901</v>
      </c>
      <c r="AW173" s="108">
        <f t="shared" si="12"/>
        <v>0</v>
      </c>
    </row>
    <row r="174" spans="1:49">
      <c r="A174" s="145">
        <v>45916</v>
      </c>
      <c r="B174" s="146">
        <f>YEAR(Table7[[#This Row],[Date]])+IF(MONTH(Table7[[#This Row],[Date]])&gt;=4,1,0)</f>
        <v>2026</v>
      </c>
      <c r="C174" s="147">
        <f>YEAR(Table7[[#This Row],[Date]])</f>
        <v>2025</v>
      </c>
      <c r="D174" s="148">
        <f>Daily_KPI[[#This Row],[Date]]-DAY(Daily_KPI[[#This Row],[Date]])+1</f>
        <v>45901</v>
      </c>
      <c r="AW174" s="108">
        <f t="shared" si="12"/>
        <v>0</v>
      </c>
    </row>
    <row r="175" spans="1:49">
      <c r="A175" s="149">
        <v>45917</v>
      </c>
      <c r="B175" s="150">
        <f>YEAR(Table7[[#This Row],[Date]])+IF(MONTH(Table7[[#This Row],[Date]])&gt;=4,1,0)</f>
        <v>2026</v>
      </c>
      <c r="C175" s="151">
        <f>YEAR(Table7[[#This Row],[Date]])</f>
        <v>2025</v>
      </c>
      <c r="D175" s="152">
        <f>Daily_KPI[[#This Row],[Date]]-DAY(Daily_KPI[[#This Row],[Date]])+1</f>
        <v>45901</v>
      </c>
      <c r="AW175" s="108">
        <f t="shared" si="12"/>
        <v>0</v>
      </c>
    </row>
    <row r="176" spans="1:49">
      <c r="A176" s="145">
        <v>45918</v>
      </c>
      <c r="B176" s="146">
        <f>YEAR(Table7[[#This Row],[Date]])+IF(MONTH(Table7[[#This Row],[Date]])&gt;=4,1,0)</f>
        <v>2026</v>
      </c>
      <c r="C176" s="147">
        <f>YEAR(Table7[[#This Row],[Date]])</f>
        <v>2025</v>
      </c>
      <c r="D176" s="148">
        <f>Daily_KPI[[#This Row],[Date]]-DAY(Daily_KPI[[#This Row],[Date]])+1</f>
        <v>45901</v>
      </c>
      <c r="AW176" s="108">
        <f t="shared" si="12"/>
        <v>0</v>
      </c>
    </row>
    <row r="177" spans="1:49">
      <c r="A177" s="149">
        <v>45919</v>
      </c>
      <c r="B177" s="150">
        <f>YEAR(Table7[[#This Row],[Date]])+IF(MONTH(Table7[[#This Row],[Date]])&gt;=4,1,0)</f>
        <v>2026</v>
      </c>
      <c r="C177" s="151">
        <f>YEAR(Table7[[#This Row],[Date]])</f>
        <v>2025</v>
      </c>
      <c r="D177" s="152">
        <f>Daily_KPI[[#This Row],[Date]]-DAY(Daily_KPI[[#This Row],[Date]])+1</f>
        <v>45901</v>
      </c>
      <c r="AW177" s="108">
        <f t="shared" si="12"/>
        <v>0</v>
      </c>
    </row>
    <row r="178" spans="1:49">
      <c r="A178" s="145">
        <v>45920</v>
      </c>
      <c r="B178" s="146">
        <f>YEAR(Table7[[#This Row],[Date]])+IF(MONTH(Table7[[#This Row],[Date]])&gt;=4,1,0)</f>
        <v>2026</v>
      </c>
      <c r="C178" s="147">
        <f>YEAR(Table7[[#This Row],[Date]])</f>
        <v>2025</v>
      </c>
      <c r="D178" s="148">
        <f>Daily_KPI[[#This Row],[Date]]-DAY(Daily_KPI[[#This Row],[Date]])+1</f>
        <v>45901</v>
      </c>
      <c r="AW178" s="108">
        <f t="shared" si="12"/>
        <v>0</v>
      </c>
    </row>
    <row r="179" spans="1:49">
      <c r="A179" s="149">
        <v>45921</v>
      </c>
      <c r="B179" s="150">
        <f>YEAR(Table7[[#This Row],[Date]])+IF(MONTH(Table7[[#This Row],[Date]])&gt;=4,1,0)</f>
        <v>2026</v>
      </c>
      <c r="C179" s="151">
        <f>YEAR(Table7[[#This Row],[Date]])</f>
        <v>2025</v>
      </c>
      <c r="D179" s="152">
        <f>Daily_KPI[[#This Row],[Date]]-DAY(Daily_KPI[[#This Row],[Date]])+1</f>
        <v>45901</v>
      </c>
      <c r="AW179" s="108">
        <f t="shared" si="12"/>
        <v>0</v>
      </c>
    </row>
    <row r="180" spans="1:49">
      <c r="A180" s="145">
        <v>45922</v>
      </c>
      <c r="B180" s="146">
        <f>YEAR(Table7[[#This Row],[Date]])+IF(MONTH(Table7[[#This Row],[Date]])&gt;=4,1,0)</f>
        <v>2026</v>
      </c>
      <c r="C180" s="147">
        <f>YEAR(Table7[[#This Row],[Date]])</f>
        <v>2025</v>
      </c>
      <c r="D180" s="148">
        <f>Daily_KPI[[#This Row],[Date]]-DAY(Daily_KPI[[#This Row],[Date]])+1</f>
        <v>45901</v>
      </c>
      <c r="AW180" s="108">
        <f t="shared" si="12"/>
        <v>0</v>
      </c>
    </row>
    <row r="181" spans="1:49">
      <c r="A181" s="149">
        <v>45923</v>
      </c>
      <c r="B181" s="150">
        <f>YEAR(Table7[[#This Row],[Date]])+IF(MONTH(Table7[[#This Row],[Date]])&gt;=4,1,0)</f>
        <v>2026</v>
      </c>
      <c r="C181" s="151">
        <f>YEAR(Table7[[#This Row],[Date]])</f>
        <v>2025</v>
      </c>
      <c r="D181" s="152">
        <f>Daily_KPI[[#This Row],[Date]]-DAY(Daily_KPI[[#This Row],[Date]])+1</f>
        <v>45901</v>
      </c>
      <c r="AW181" s="108">
        <f t="shared" si="12"/>
        <v>0</v>
      </c>
    </row>
    <row r="182" spans="1:49">
      <c r="A182" s="145">
        <v>45924</v>
      </c>
      <c r="B182" s="146">
        <f>YEAR(Table7[[#This Row],[Date]])+IF(MONTH(Table7[[#This Row],[Date]])&gt;=4,1,0)</f>
        <v>2026</v>
      </c>
      <c r="C182" s="147">
        <f>YEAR(Table7[[#This Row],[Date]])</f>
        <v>2025</v>
      </c>
      <c r="D182" s="148">
        <f>Daily_KPI[[#This Row],[Date]]-DAY(Daily_KPI[[#This Row],[Date]])+1</f>
        <v>45901</v>
      </c>
      <c r="AW182" s="108">
        <f t="shared" si="12"/>
        <v>0</v>
      </c>
    </row>
    <row r="183" spans="1:49">
      <c r="A183" s="149">
        <v>45925</v>
      </c>
      <c r="B183" s="150">
        <f>YEAR(Table7[[#This Row],[Date]])+IF(MONTH(Table7[[#This Row],[Date]])&gt;=4,1,0)</f>
        <v>2026</v>
      </c>
      <c r="C183" s="151">
        <f>YEAR(Table7[[#This Row],[Date]])</f>
        <v>2025</v>
      </c>
      <c r="D183" s="152">
        <f>Daily_KPI[[#This Row],[Date]]-DAY(Daily_KPI[[#This Row],[Date]])+1</f>
        <v>45901</v>
      </c>
      <c r="AW183" s="108">
        <f t="shared" si="12"/>
        <v>0</v>
      </c>
    </row>
    <row r="184" spans="1:49">
      <c r="A184" s="145">
        <v>45926</v>
      </c>
      <c r="B184" s="146">
        <f>YEAR(Table7[[#This Row],[Date]])+IF(MONTH(Table7[[#This Row],[Date]])&gt;=4,1,0)</f>
        <v>2026</v>
      </c>
      <c r="C184" s="147">
        <f>YEAR(Table7[[#This Row],[Date]])</f>
        <v>2025</v>
      </c>
      <c r="D184" s="148">
        <f>Daily_KPI[[#This Row],[Date]]-DAY(Daily_KPI[[#This Row],[Date]])+1</f>
        <v>45901</v>
      </c>
      <c r="AW184" s="108">
        <f t="shared" si="12"/>
        <v>0</v>
      </c>
    </row>
    <row r="185" spans="1:49">
      <c r="A185" s="149">
        <v>45927</v>
      </c>
      <c r="B185" s="150">
        <f>YEAR(Table7[[#This Row],[Date]])+IF(MONTH(Table7[[#This Row],[Date]])&gt;=4,1,0)</f>
        <v>2026</v>
      </c>
      <c r="C185" s="151">
        <f>YEAR(Table7[[#This Row],[Date]])</f>
        <v>2025</v>
      </c>
      <c r="D185" s="152">
        <f>Daily_KPI[[#This Row],[Date]]-DAY(Daily_KPI[[#This Row],[Date]])+1</f>
        <v>45901</v>
      </c>
      <c r="AW185" s="108">
        <f t="shared" si="12"/>
        <v>0</v>
      </c>
    </row>
    <row r="186" spans="1:49">
      <c r="A186" s="145">
        <v>45928</v>
      </c>
      <c r="B186" s="146">
        <f>YEAR(Table7[[#This Row],[Date]])+IF(MONTH(Table7[[#This Row],[Date]])&gt;=4,1,0)</f>
        <v>2026</v>
      </c>
      <c r="C186" s="147">
        <f>YEAR(Table7[[#This Row],[Date]])</f>
        <v>2025</v>
      </c>
      <c r="D186" s="148">
        <f>Daily_KPI[[#This Row],[Date]]-DAY(Daily_KPI[[#This Row],[Date]])+1</f>
        <v>45901</v>
      </c>
      <c r="AW186" s="108">
        <f t="shared" si="12"/>
        <v>0</v>
      </c>
    </row>
    <row r="187" spans="1:49">
      <c r="A187" s="149">
        <v>45929</v>
      </c>
      <c r="B187" s="150">
        <f>YEAR(Table7[[#This Row],[Date]])+IF(MONTH(Table7[[#This Row],[Date]])&gt;=4,1,0)</f>
        <v>2026</v>
      </c>
      <c r="C187" s="151">
        <f>YEAR(Table7[[#This Row],[Date]])</f>
        <v>2025</v>
      </c>
      <c r="D187" s="152">
        <f>Daily_KPI[[#This Row],[Date]]-DAY(Daily_KPI[[#This Row],[Date]])+1</f>
        <v>45901</v>
      </c>
      <c r="AW187" s="108">
        <f t="shared" si="12"/>
        <v>0</v>
      </c>
    </row>
    <row r="188" spans="1:49">
      <c r="A188" s="145">
        <v>45930</v>
      </c>
      <c r="B188" s="146">
        <f>YEAR(Table7[[#This Row],[Date]])+IF(MONTH(Table7[[#This Row],[Date]])&gt;=4,1,0)</f>
        <v>2026</v>
      </c>
      <c r="C188" s="147">
        <f>YEAR(Table7[[#This Row],[Date]])</f>
        <v>2025</v>
      </c>
      <c r="D188" s="148">
        <f>Daily_KPI[[#This Row],[Date]]-DAY(Daily_KPI[[#This Row],[Date]])+1</f>
        <v>45931</v>
      </c>
      <c r="AW188" s="108">
        <f t="shared" si="12"/>
        <v>0</v>
      </c>
    </row>
    <row r="189" spans="1:49">
      <c r="A189" s="149">
        <v>45931</v>
      </c>
      <c r="B189" s="150">
        <f>YEAR(Table7[[#This Row],[Date]])+IF(MONTH(Table7[[#This Row],[Date]])&gt;=4,1,0)</f>
        <v>2026</v>
      </c>
      <c r="C189" s="151">
        <f>YEAR(Table7[[#This Row],[Date]])</f>
        <v>2025</v>
      </c>
      <c r="D189" s="152">
        <f>Daily_KPI[[#This Row],[Date]]-DAY(Daily_KPI[[#This Row],[Date]])+1</f>
        <v>45931</v>
      </c>
      <c r="AW189" s="108">
        <f t="shared" si="12"/>
        <v>0</v>
      </c>
    </row>
    <row r="190" spans="1:49">
      <c r="A190" s="145">
        <v>45932</v>
      </c>
      <c r="B190" s="146">
        <f>YEAR(Table7[[#This Row],[Date]])+IF(MONTH(Table7[[#This Row],[Date]])&gt;=4,1,0)</f>
        <v>2026</v>
      </c>
      <c r="C190" s="147">
        <f>YEAR(Table7[[#This Row],[Date]])</f>
        <v>2025</v>
      </c>
      <c r="D190" s="148">
        <f>Daily_KPI[[#This Row],[Date]]-DAY(Daily_KPI[[#This Row],[Date]])+1</f>
        <v>45931</v>
      </c>
      <c r="AW190" s="108">
        <f t="shared" ref="AW190:AW253" si="13">SUM(E190:AV190)/1000</f>
        <v>0</v>
      </c>
    </row>
    <row r="191" spans="1:49">
      <c r="A191" s="149">
        <v>45933</v>
      </c>
      <c r="B191" s="150">
        <f>YEAR(Table7[[#This Row],[Date]])+IF(MONTH(Table7[[#This Row],[Date]])&gt;=4,1,0)</f>
        <v>2026</v>
      </c>
      <c r="C191" s="151">
        <f>YEAR(Table7[[#This Row],[Date]])</f>
        <v>2025</v>
      </c>
      <c r="D191" s="152">
        <f>Daily_KPI[[#This Row],[Date]]-DAY(Daily_KPI[[#This Row],[Date]])+1</f>
        <v>45931</v>
      </c>
      <c r="AW191" s="108">
        <f t="shared" si="13"/>
        <v>0</v>
      </c>
    </row>
    <row r="192" spans="1:49">
      <c r="A192" s="145">
        <v>45934</v>
      </c>
      <c r="B192" s="146">
        <f>YEAR(Table7[[#This Row],[Date]])+IF(MONTH(Table7[[#This Row],[Date]])&gt;=4,1,0)</f>
        <v>2026</v>
      </c>
      <c r="C192" s="147">
        <f>YEAR(Table7[[#This Row],[Date]])</f>
        <v>2025</v>
      </c>
      <c r="D192" s="148">
        <f>Daily_KPI[[#This Row],[Date]]-DAY(Daily_KPI[[#This Row],[Date]])+1</f>
        <v>45931</v>
      </c>
      <c r="AW192" s="108">
        <f t="shared" si="13"/>
        <v>0</v>
      </c>
    </row>
    <row r="193" spans="1:49">
      <c r="A193" s="149">
        <v>45935</v>
      </c>
      <c r="B193" s="150">
        <f>YEAR(Table7[[#This Row],[Date]])+IF(MONTH(Table7[[#This Row],[Date]])&gt;=4,1,0)</f>
        <v>2026</v>
      </c>
      <c r="C193" s="151">
        <f>YEAR(Table7[[#This Row],[Date]])</f>
        <v>2025</v>
      </c>
      <c r="D193" s="152">
        <f>Daily_KPI[[#This Row],[Date]]-DAY(Daily_KPI[[#This Row],[Date]])+1</f>
        <v>45931</v>
      </c>
      <c r="AW193" s="108">
        <f t="shared" si="13"/>
        <v>0</v>
      </c>
    </row>
    <row r="194" spans="1:49">
      <c r="A194" s="145">
        <v>45936</v>
      </c>
      <c r="B194" s="146">
        <f>YEAR(Table7[[#This Row],[Date]])+IF(MONTH(Table7[[#This Row],[Date]])&gt;=4,1,0)</f>
        <v>2026</v>
      </c>
      <c r="C194" s="147">
        <f>YEAR(Table7[[#This Row],[Date]])</f>
        <v>2025</v>
      </c>
      <c r="D194" s="148">
        <f>Daily_KPI[[#This Row],[Date]]-DAY(Daily_KPI[[#This Row],[Date]])+1</f>
        <v>45931</v>
      </c>
      <c r="AW194" s="108">
        <f t="shared" si="13"/>
        <v>0</v>
      </c>
    </row>
    <row r="195" spans="1:49">
      <c r="A195" s="149">
        <v>45937</v>
      </c>
      <c r="B195" s="150">
        <f>YEAR(Table7[[#This Row],[Date]])+IF(MONTH(Table7[[#This Row],[Date]])&gt;=4,1,0)</f>
        <v>2026</v>
      </c>
      <c r="C195" s="151">
        <f>YEAR(Table7[[#This Row],[Date]])</f>
        <v>2025</v>
      </c>
      <c r="D195" s="152">
        <f>Daily_KPI[[#This Row],[Date]]-DAY(Daily_KPI[[#This Row],[Date]])+1</f>
        <v>45931</v>
      </c>
      <c r="AW195" s="108">
        <f t="shared" si="13"/>
        <v>0</v>
      </c>
    </row>
    <row r="196" spans="1:49">
      <c r="A196" s="145">
        <v>45938</v>
      </c>
      <c r="B196" s="146">
        <f>YEAR(Table7[[#This Row],[Date]])+IF(MONTH(Table7[[#This Row],[Date]])&gt;=4,1,0)</f>
        <v>2026</v>
      </c>
      <c r="C196" s="147">
        <f>YEAR(Table7[[#This Row],[Date]])</f>
        <v>2025</v>
      </c>
      <c r="D196" s="148">
        <f>Daily_KPI[[#This Row],[Date]]-DAY(Daily_KPI[[#This Row],[Date]])+1</f>
        <v>45931</v>
      </c>
      <c r="AW196" s="108">
        <f t="shared" si="13"/>
        <v>0</v>
      </c>
    </row>
    <row r="197" spans="1:49">
      <c r="A197" s="149">
        <v>45939</v>
      </c>
      <c r="B197" s="150">
        <f>YEAR(Table7[[#This Row],[Date]])+IF(MONTH(Table7[[#This Row],[Date]])&gt;=4,1,0)</f>
        <v>2026</v>
      </c>
      <c r="C197" s="151">
        <f>YEAR(Table7[[#This Row],[Date]])</f>
        <v>2025</v>
      </c>
      <c r="D197" s="152">
        <f>Daily_KPI[[#This Row],[Date]]-DAY(Daily_KPI[[#This Row],[Date]])+1</f>
        <v>45931</v>
      </c>
      <c r="AW197" s="108">
        <f t="shared" si="13"/>
        <v>0</v>
      </c>
    </row>
    <row r="198" spans="1:49">
      <c r="A198" s="145">
        <v>45940</v>
      </c>
      <c r="B198" s="146">
        <f>YEAR(Table7[[#This Row],[Date]])+IF(MONTH(Table7[[#This Row],[Date]])&gt;=4,1,0)</f>
        <v>2026</v>
      </c>
      <c r="C198" s="147">
        <f>YEAR(Table7[[#This Row],[Date]])</f>
        <v>2025</v>
      </c>
      <c r="D198" s="148">
        <f>Daily_KPI[[#This Row],[Date]]-DAY(Daily_KPI[[#This Row],[Date]])+1</f>
        <v>45931</v>
      </c>
      <c r="AW198" s="108">
        <f t="shared" si="13"/>
        <v>0</v>
      </c>
    </row>
    <row r="199" spans="1:49">
      <c r="A199" s="149">
        <v>45941</v>
      </c>
      <c r="B199" s="150">
        <f>YEAR(Table7[[#This Row],[Date]])+IF(MONTH(Table7[[#This Row],[Date]])&gt;=4,1,0)</f>
        <v>2026</v>
      </c>
      <c r="C199" s="151">
        <f>YEAR(Table7[[#This Row],[Date]])</f>
        <v>2025</v>
      </c>
      <c r="D199" s="152">
        <f>Daily_KPI[[#This Row],[Date]]-DAY(Daily_KPI[[#This Row],[Date]])+1</f>
        <v>45931</v>
      </c>
      <c r="AW199" s="108">
        <f t="shared" si="13"/>
        <v>0</v>
      </c>
    </row>
    <row r="200" spans="1:49">
      <c r="A200" s="145">
        <v>45942</v>
      </c>
      <c r="B200" s="146">
        <f>YEAR(Table7[[#This Row],[Date]])+IF(MONTH(Table7[[#This Row],[Date]])&gt;=4,1,0)</f>
        <v>2026</v>
      </c>
      <c r="C200" s="147">
        <f>YEAR(Table7[[#This Row],[Date]])</f>
        <v>2025</v>
      </c>
      <c r="D200" s="148">
        <f>Daily_KPI[[#This Row],[Date]]-DAY(Daily_KPI[[#This Row],[Date]])+1</f>
        <v>45931</v>
      </c>
      <c r="AW200" s="108">
        <f t="shared" si="13"/>
        <v>0</v>
      </c>
    </row>
    <row r="201" spans="1:49">
      <c r="A201" s="149">
        <v>45943</v>
      </c>
      <c r="B201" s="150">
        <f>YEAR(Table7[[#This Row],[Date]])+IF(MONTH(Table7[[#This Row],[Date]])&gt;=4,1,0)</f>
        <v>2026</v>
      </c>
      <c r="C201" s="151">
        <f>YEAR(Table7[[#This Row],[Date]])</f>
        <v>2025</v>
      </c>
      <c r="D201" s="152">
        <f>Daily_KPI[[#This Row],[Date]]-DAY(Daily_KPI[[#This Row],[Date]])+1</f>
        <v>45931</v>
      </c>
      <c r="AW201" s="108">
        <f t="shared" si="13"/>
        <v>0</v>
      </c>
    </row>
    <row r="202" spans="1:49">
      <c r="A202" s="145">
        <v>45944</v>
      </c>
      <c r="B202" s="146">
        <f>YEAR(Table7[[#This Row],[Date]])+IF(MONTH(Table7[[#This Row],[Date]])&gt;=4,1,0)</f>
        <v>2026</v>
      </c>
      <c r="C202" s="147">
        <f>YEAR(Table7[[#This Row],[Date]])</f>
        <v>2025</v>
      </c>
      <c r="D202" s="148">
        <f>Daily_KPI[[#This Row],[Date]]-DAY(Daily_KPI[[#This Row],[Date]])+1</f>
        <v>45931</v>
      </c>
      <c r="AW202" s="108">
        <f t="shared" si="13"/>
        <v>0</v>
      </c>
    </row>
    <row r="203" spans="1:49">
      <c r="A203" s="149">
        <v>45945</v>
      </c>
      <c r="B203" s="150">
        <f>YEAR(Table7[[#This Row],[Date]])+IF(MONTH(Table7[[#This Row],[Date]])&gt;=4,1,0)</f>
        <v>2026</v>
      </c>
      <c r="C203" s="151">
        <f>YEAR(Table7[[#This Row],[Date]])</f>
        <v>2025</v>
      </c>
      <c r="D203" s="152">
        <f>Daily_KPI[[#This Row],[Date]]-DAY(Daily_KPI[[#This Row],[Date]])+1</f>
        <v>45931</v>
      </c>
      <c r="AW203" s="108">
        <f t="shared" si="13"/>
        <v>0</v>
      </c>
    </row>
    <row r="204" spans="1:49">
      <c r="A204" s="145">
        <v>45946</v>
      </c>
      <c r="B204" s="146">
        <f>YEAR(Table7[[#This Row],[Date]])+IF(MONTH(Table7[[#This Row],[Date]])&gt;=4,1,0)</f>
        <v>2026</v>
      </c>
      <c r="C204" s="147">
        <f>YEAR(Table7[[#This Row],[Date]])</f>
        <v>2025</v>
      </c>
      <c r="D204" s="148">
        <f>Daily_KPI[[#This Row],[Date]]-DAY(Daily_KPI[[#This Row],[Date]])+1</f>
        <v>45931</v>
      </c>
      <c r="AW204" s="108">
        <f t="shared" si="13"/>
        <v>0</v>
      </c>
    </row>
    <row r="205" spans="1:49">
      <c r="A205" s="149">
        <v>45947</v>
      </c>
      <c r="B205" s="150">
        <f>YEAR(Table7[[#This Row],[Date]])+IF(MONTH(Table7[[#This Row],[Date]])&gt;=4,1,0)</f>
        <v>2026</v>
      </c>
      <c r="C205" s="151">
        <f>YEAR(Table7[[#This Row],[Date]])</f>
        <v>2025</v>
      </c>
      <c r="D205" s="152">
        <f>Daily_KPI[[#This Row],[Date]]-DAY(Daily_KPI[[#This Row],[Date]])+1</f>
        <v>45931</v>
      </c>
      <c r="AW205" s="108">
        <f t="shared" si="13"/>
        <v>0</v>
      </c>
    </row>
    <row r="206" spans="1:49">
      <c r="A206" s="145">
        <v>45948</v>
      </c>
      <c r="B206" s="146">
        <f>YEAR(Table7[[#This Row],[Date]])+IF(MONTH(Table7[[#This Row],[Date]])&gt;=4,1,0)</f>
        <v>2026</v>
      </c>
      <c r="C206" s="147">
        <f>YEAR(Table7[[#This Row],[Date]])</f>
        <v>2025</v>
      </c>
      <c r="D206" s="148">
        <f>Daily_KPI[[#This Row],[Date]]-DAY(Daily_KPI[[#This Row],[Date]])+1</f>
        <v>45931</v>
      </c>
      <c r="AW206" s="108">
        <f t="shared" si="13"/>
        <v>0</v>
      </c>
    </row>
    <row r="207" spans="1:49">
      <c r="A207" s="149">
        <v>45949</v>
      </c>
      <c r="B207" s="150">
        <f>YEAR(Table7[[#This Row],[Date]])+IF(MONTH(Table7[[#This Row],[Date]])&gt;=4,1,0)</f>
        <v>2026</v>
      </c>
      <c r="C207" s="151">
        <f>YEAR(Table7[[#This Row],[Date]])</f>
        <v>2025</v>
      </c>
      <c r="D207" s="152">
        <f>Daily_KPI[[#This Row],[Date]]-DAY(Daily_KPI[[#This Row],[Date]])+1</f>
        <v>45931</v>
      </c>
      <c r="AW207" s="108">
        <f t="shared" si="13"/>
        <v>0</v>
      </c>
    </row>
    <row r="208" spans="1:49">
      <c r="A208" s="145">
        <v>45950</v>
      </c>
      <c r="B208" s="146">
        <f>YEAR(Table7[[#This Row],[Date]])+IF(MONTH(Table7[[#This Row],[Date]])&gt;=4,1,0)</f>
        <v>2026</v>
      </c>
      <c r="C208" s="147">
        <f>YEAR(Table7[[#This Row],[Date]])</f>
        <v>2025</v>
      </c>
      <c r="D208" s="148">
        <f>Daily_KPI[[#This Row],[Date]]-DAY(Daily_KPI[[#This Row],[Date]])+1</f>
        <v>45931</v>
      </c>
      <c r="AW208" s="108">
        <f t="shared" si="13"/>
        <v>0</v>
      </c>
    </row>
    <row r="209" spans="1:49">
      <c r="A209" s="149">
        <v>45951</v>
      </c>
      <c r="B209" s="150">
        <f>YEAR(Table7[[#This Row],[Date]])+IF(MONTH(Table7[[#This Row],[Date]])&gt;=4,1,0)</f>
        <v>2026</v>
      </c>
      <c r="C209" s="151">
        <f>YEAR(Table7[[#This Row],[Date]])</f>
        <v>2025</v>
      </c>
      <c r="D209" s="152">
        <f>Daily_KPI[[#This Row],[Date]]-DAY(Daily_KPI[[#This Row],[Date]])+1</f>
        <v>45931</v>
      </c>
      <c r="AW209" s="108">
        <f t="shared" si="13"/>
        <v>0</v>
      </c>
    </row>
    <row r="210" spans="1:49">
      <c r="A210" s="145">
        <v>45952</v>
      </c>
      <c r="B210" s="146">
        <f>YEAR(Table7[[#This Row],[Date]])+IF(MONTH(Table7[[#This Row],[Date]])&gt;=4,1,0)</f>
        <v>2026</v>
      </c>
      <c r="C210" s="147">
        <f>YEAR(Table7[[#This Row],[Date]])</f>
        <v>2025</v>
      </c>
      <c r="D210" s="148">
        <f>Daily_KPI[[#This Row],[Date]]-DAY(Daily_KPI[[#This Row],[Date]])+1</f>
        <v>45931</v>
      </c>
      <c r="AW210" s="108">
        <f t="shared" si="13"/>
        <v>0</v>
      </c>
    </row>
    <row r="211" spans="1:49">
      <c r="A211" s="149">
        <v>45953</v>
      </c>
      <c r="B211" s="150">
        <f>YEAR(Table7[[#This Row],[Date]])+IF(MONTH(Table7[[#This Row],[Date]])&gt;=4,1,0)</f>
        <v>2026</v>
      </c>
      <c r="C211" s="151">
        <f>YEAR(Table7[[#This Row],[Date]])</f>
        <v>2025</v>
      </c>
      <c r="D211" s="152">
        <f>Daily_KPI[[#This Row],[Date]]-DAY(Daily_KPI[[#This Row],[Date]])+1</f>
        <v>45931</v>
      </c>
      <c r="AW211" s="108">
        <f t="shared" si="13"/>
        <v>0</v>
      </c>
    </row>
    <row r="212" spans="1:49">
      <c r="A212" s="145">
        <v>45954</v>
      </c>
      <c r="B212" s="146">
        <f>YEAR(Table7[[#This Row],[Date]])+IF(MONTH(Table7[[#This Row],[Date]])&gt;=4,1,0)</f>
        <v>2026</v>
      </c>
      <c r="C212" s="147">
        <f>YEAR(Table7[[#This Row],[Date]])</f>
        <v>2025</v>
      </c>
      <c r="D212" s="148">
        <f>Daily_KPI[[#This Row],[Date]]-DAY(Daily_KPI[[#This Row],[Date]])+1</f>
        <v>45931</v>
      </c>
      <c r="AW212" s="108">
        <f t="shared" si="13"/>
        <v>0</v>
      </c>
    </row>
    <row r="213" spans="1:49">
      <c r="A213" s="149">
        <v>45955</v>
      </c>
      <c r="B213" s="150">
        <f>YEAR(Table7[[#This Row],[Date]])+IF(MONTH(Table7[[#This Row],[Date]])&gt;=4,1,0)</f>
        <v>2026</v>
      </c>
      <c r="C213" s="151">
        <f>YEAR(Table7[[#This Row],[Date]])</f>
        <v>2025</v>
      </c>
      <c r="D213" s="152">
        <f>Daily_KPI[[#This Row],[Date]]-DAY(Daily_KPI[[#This Row],[Date]])+1</f>
        <v>45931</v>
      </c>
      <c r="AW213" s="108">
        <f t="shared" si="13"/>
        <v>0</v>
      </c>
    </row>
    <row r="214" spans="1:49">
      <c r="A214" s="145">
        <v>45956</v>
      </c>
      <c r="B214" s="146">
        <f>YEAR(Table7[[#This Row],[Date]])+IF(MONTH(Table7[[#This Row],[Date]])&gt;=4,1,0)</f>
        <v>2026</v>
      </c>
      <c r="C214" s="147">
        <f>YEAR(Table7[[#This Row],[Date]])</f>
        <v>2025</v>
      </c>
      <c r="D214" s="148">
        <f>Daily_KPI[[#This Row],[Date]]-DAY(Daily_KPI[[#This Row],[Date]])+1</f>
        <v>45931</v>
      </c>
      <c r="AW214" s="108">
        <f t="shared" si="13"/>
        <v>0</v>
      </c>
    </row>
    <row r="215" spans="1:49">
      <c r="A215" s="149">
        <v>45957</v>
      </c>
      <c r="B215" s="150">
        <f>YEAR(Table7[[#This Row],[Date]])+IF(MONTH(Table7[[#This Row],[Date]])&gt;=4,1,0)</f>
        <v>2026</v>
      </c>
      <c r="C215" s="151">
        <f>YEAR(Table7[[#This Row],[Date]])</f>
        <v>2025</v>
      </c>
      <c r="D215" s="152">
        <f>Daily_KPI[[#This Row],[Date]]-DAY(Daily_KPI[[#This Row],[Date]])+1</f>
        <v>45931</v>
      </c>
      <c r="AW215" s="108">
        <f t="shared" si="13"/>
        <v>0</v>
      </c>
    </row>
    <row r="216" spans="1:49">
      <c r="A216" s="145">
        <v>45958</v>
      </c>
      <c r="B216" s="146">
        <f>YEAR(Table7[[#This Row],[Date]])+IF(MONTH(Table7[[#This Row],[Date]])&gt;=4,1,0)</f>
        <v>2026</v>
      </c>
      <c r="C216" s="147">
        <f>YEAR(Table7[[#This Row],[Date]])</f>
        <v>2025</v>
      </c>
      <c r="D216" s="148">
        <f>Daily_KPI[[#This Row],[Date]]-DAY(Daily_KPI[[#This Row],[Date]])+1</f>
        <v>45931</v>
      </c>
      <c r="AW216" s="108">
        <f t="shared" si="13"/>
        <v>0</v>
      </c>
    </row>
    <row r="217" spans="1:49">
      <c r="A217" s="149">
        <v>45959</v>
      </c>
      <c r="B217" s="150">
        <f>YEAR(Table7[[#This Row],[Date]])+IF(MONTH(Table7[[#This Row],[Date]])&gt;=4,1,0)</f>
        <v>2026</v>
      </c>
      <c r="C217" s="151">
        <f>YEAR(Table7[[#This Row],[Date]])</f>
        <v>2025</v>
      </c>
      <c r="D217" s="152">
        <f>Daily_KPI[[#This Row],[Date]]-DAY(Daily_KPI[[#This Row],[Date]])+1</f>
        <v>45931</v>
      </c>
      <c r="AW217" s="108">
        <f t="shared" si="13"/>
        <v>0</v>
      </c>
    </row>
    <row r="218" spans="1:49">
      <c r="A218" s="145">
        <v>45960</v>
      </c>
      <c r="B218" s="146">
        <f>YEAR(Table7[[#This Row],[Date]])+IF(MONTH(Table7[[#This Row],[Date]])&gt;=4,1,0)</f>
        <v>2026</v>
      </c>
      <c r="C218" s="147">
        <f>YEAR(Table7[[#This Row],[Date]])</f>
        <v>2025</v>
      </c>
      <c r="D218" s="148">
        <f>Daily_KPI[[#This Row],[Date]]-DAY(Daily_KPI[[#This Row],[Date]])+1</f>
        <v>45931</v>
      </c>
      <c r="AW218" s="108">
        <f t="shared" si="13"/>
        <v>0</v>
      </c>
    </row>
    <row r="219" spans="1:49">
      <c r="A219" s="149">
        <v>45961</v>
      </c>
      <c r="B219" s="150">
        <f>YEAR(Table7[[#This Row],[Date]])+IF(MONTH(Table7[[#This Row],[Date]])&gt;=4,1,0)</f>
        <v>2026</v>
      </c>
      <c r="C219" s="151">
        <f>YEAR(Table7[[#This Row],[Date]])</f>
        <v>2025</v>
      </c>
      <c r="D219" s="152">
        <f>Daily_KPI[[#This Row],[Date]]-DAY(Daily_KPI[[#This Row],[Date]])+1</f>
        <v>45962</v>
      </c>
      <c r="AW219" s="108">
        <f t="shared" si="13"/>
        <v>0</v>
      </c>
    </row>
    <row r="220" spans="1:49">
      <c r="A220" s="145">
        <v>45962</v>
      </c>
      <c r="B220" s="146">
        <f>YEAR(Table7[[#This Row],[Date]])+IF(MONTH(Table7[[#This Row],[Date]])&gt;=4,1,0)</f>
        <v>2026</v>
      </c>
      <c r="C220" s="147">
        <f>YEAR(Table7[[#This Row],[Date]])</f>
        <v>2025</v>
      </c>
      <c r="D220" s="148">
        <f>Daily_KPI[[#This Row],[Date]]-DAY(Daily_KPI[[#This Row],[Date]])+1</f>
        <v>45962</v>
      </c>
      <c r="AW220" s="108">
        <f t="shared" si="13"/>
        <v>0</v>
      </c>
    </row>
    <row r="221" spans="1:49">
      <c r="A221" s="149">
        <v>45963</v>
      </c>
      <c r="B221" s="150">
        <f>YEAR(Table7[[#This Row],[Date]])+IF(MONTH(Table7[[#This Row],[Date]])&gt;=4,1,0)</f>
        <v>2026</v>
      </c>
      <c r="C221" s="151">
        <f>YEAR(Table7[[#This Row],[Date]])</f>
        <v>2025</v>
      </c>
      <c r="D221" s="152">
        <f>Daily_KPI[[#This Row],[Date]]-DAY(Daily_KPI[[#This Row],[Date]])+1</f>
        <v>45962</v>
      </c>
      <c r="AW221" s="108">
        <f t="shared" si="13"/>
        <v>0</v>
      </c>
    </row>
    <row r="222" spans="1:49">
      <c r="A222" s="145">
        <v>45964</v>
      </c>
      <c r="B222" s="146">
        <f>YEAR(Table7[[#This Row],[Date]])+IF(MONTH(Table7[[#This Row],[Date]])&gt;=4,1,0)</f>
        <v>2026</v>
      </c>
      <c r="C222" s="147">
        <f>YEAR(Table7[[#This Row],[Date]])</f>
        <v>2025</v>
      </c>
      <c r="D222" s="148">
        <f>Daily_KPI[[#This Row],[Date]]-DAY(Daily_KPI[[#This Row],[Date]])+1</f>
        <v>45962</v>
      </c>
      <c r="AW222" s="108">
        <f t="shared" si="13"/>
        <v>0</v>
      </c>
    </row>
    <row r="223" spans="1:49">
      <c r="A223" s="149">
        <v>45965</v>
      </c>
      <c r="B223" s="150">
        <f>YEAR(Table7[[#This Row],[Date]])+IF(MONTH(Table7[[#This Row],[Date]])&gt;=4,1,0)</f>
        <v>2026</v>
      </c>
      <c r="C223" s="151">
        <f>YEAR(Table7[[#This Row],[Date]])</f>
        <v>2025</v>
      </c>
      <c r="D223" s="152">
        <f>Daily_KPI[[#This Row],[Date]]-DAY(Daily_KPI[[#This Row],[Date]])+1</f>
        <v>45962</v>
      </c>
      <c r="AW223" s="108">
        <f t="shared" si="13"/>
        <v>0</v>
      </c>
    </row>
    <row r="224" spans="1:49">
      <c r="A224" s="145">
        <v>45966</v>
      </c>
      <c r="B224" s="146">
        <f>YEAR(Table7[[#This Row],[Date]])+IF(MONTH(Table7[[#This Row],[Date]])&gt;=4,1,0)</f>
        <v>2026</v>
      </c>
      <c r="C224" s="147">
        <f>YEAR(Table7[[#This Row],[Date]])</f>
        <v>2025</v>
      </c>
      <c r="D224" s="148">
        <f>Daily_KPI[[#This Row],[Date]]-DAY(Daily_KPI[[#This Row],[Date]])+1</f>
        <v>45962</v>
      </c>
      <c r="AW224" s="108">
        <f t="shared" si="13"/>
        <v>0</v>
      </c>
    </row>
    <row r="225" spans="1:49">
      <c r="A225" s="149">
        <v>45967</v>
      </c>
      <c r="B225" s="150">
        <f>YEAR(Table7[[#This Row],[Date]])+IF(MONTH(Table7[[#This Row],[Date]])&gt;=4,1,0)</f>
        <v>2026</v>
      </c>
      <c r="C225" s="151">
        <f>YEAR(Table7[[#This Row],[Date]])</f>
        <v>2025</v>
      </c>
      <c r="D225" s="152">
        <f>Daily_KPI[[#This Row],[Date]]-DAY(Daily_KPI[[#This Row],[Date]])+1</f>
        <v>45962</v>
      </c>
      <c r="AW225" s="108">
        <f t="shared" si="13"/>
        <v>0</v>
      </c>
    </row>
    <row r="226" spans="1:49">
      <c r="A226" s="145">
        <v>45968</v>
      </c>
      <c r="B226" s="146">
        <f>YEAR(Table7[[#This Row],[Date]])+IF(MONTH(Table7[[#This Row],[Date]])&gt;=4,1,0)</f>
        <v>2026</v>
      </c>
      <c r="C226" s="147">
        <f>YEAR(Table7[[#This Row],[Date]])</f>
        <v>2025</v>
      </c>
      <c r="D226" s="148">
        <f>Daily_KPI[[#This Row],[Date]]-DAY(Daily_KPI[[#This Row],[Date]])+1</f>
        <v>45962</v>
      </c>
      <c r="AW226" s="108">
        <f t="shared" si="13"/>
        <v>0</v>
      </c>
    </row>
    <row r="227" spans="1:49">
      <c r="A227" s="149">
        <v>45969</v>
      </c>
      <c r="B227" s="150">
        <f>YEAR(Table7[[#This Row],[Date]])+IF(MONTH(Table7[[#This Row],[Date]])&gt;=4,1,0)</f>
        <v>2026</v>
      </c>
      <c r="C227" s="151">
        <f>YEAR(Table7[[#This Row],[Date]])</f>
        <v>2025</v>
      </c>
      <c r="D227" s="152">
        <f>Daily_KPI[[#This Row],[Date]]-DAY(Daily_KPI[[#This Row],[Date]])+1</f>
        <v>45962</v>
      </c>
      <c r="AW227" s="108">
        <f t="shared" si="13"/>
        <v>0</v>
      </c>
    </row>
    <row r="228" spans="1:49">
      <c r="A228" s="145">
        <v>45970</v>
      </c>
      <c r="B228" s="146">
        <f>YEAR(Table7[[#This Row],[Date]])+IF(MONTH(Table7[[#This Row],[Date]])&gt;=4,1,0)</f>
        <v>2026</v>
      </c>
      <c r="C228" s="147">
        <f>YEAR(Table7[[#This Row],[Date]])</f>
        <v>2025</v>
      </c>
      <c r="D228" s="148">
        <f>Daily_KPI[[#This Row],[Date]]-DAY(Daily_KPI[[#This Row],[Date]])+1</f>
        <v>45962</v>
      </c>
      <c r="AW228" s="108">
        <f t="shared" si="13"/>
        <v>0</v>
      </c>
    </row>
    <row r="229" spans="1:49">
      <c r="A229" s="149">
        <v>45971</v>
      </c>
      <c r="B229" s="150">
        <f>YEAR(Table7[[#This Row],[Date]])+IF(MONTH(Table7[[#This Row],[Date]])&gt;=4,1,0)</f>
        <v>2026</v>
      </c>
      <c r="C229" s="151">
        <f>YEAR(Table7[[#This Row],[Date]])</f>
        <v>2025</v>
      </c>
      <c r="D229" s="152">
        <f>Daily_KPI[[#This Row],[Date]]-DAY(Daily_KPI[[#This Row],[Date]])+1</f>
        <v>45962</v>
      </c>
      <c r="AW229" s="108">
        <f t="shared" si="13"/>
        <v>0</v>
      </c>
    </row>
    <row r="230" spans="1:49">
      <c r="A230" s="145">
        <v>45972</v>
      </c>
      <c r="B230" s="146">
        <f>YEAR(Table7[[#This Row],[Date]])+IF(MONTH(Table7[[#This Row],[Date]])&gt;=4,1,0)</f>
        <v>2026</v>
      </c>
      <c r="C230" s="147">
        <f>YEAR(Table7[[#This Row],[Date]])</f>
        <v>2025</v>
      </c>
      <c r="D230" s="148">
        <f>Daily_KPI[[#This Row],[Date]]-DAY(Daily_KPI[[#This Row],[Date]])+1</f>
        <v>45962</v>
      </c>
      <c r="AW230" s="108">
        <f t="shared" si="13"/>
        <v>0</v>
      </c>
    </row>
    <row r="231" spans="1:49">
      <c r="A231" s="149">
        <v>45973</v>
      </c>
      <c r="B231" s="150">
        <f>YEAR(Table7[[#This Row],[Date]])+IF(MONTH(Table7[[#This Row],[Date]])&gt;=4,1,0)</f>
        <v>2026</v>
      </c>
      <c r="C231" s="151">
        <f>YEAR(Table7[[#This Row],[Date]])</f>
        <v>2025</v>
      </c>
      <c r="D231" s="152">
        <f>Daily_KPI[[#This Row],[Date]]-DAY(Daily_KPI[[#This Row],[Date]])+1</f>
        <v>45962</v>
      </c>
      <c r="AW231" s="108">
        <f t="shared" si="13"/>
        <v>0</v>
      </c>
    </row>
    <row r="232" spans="1:49">
      <c r="A232" s="145">
        <v>45974</v>
      </c>
      <c r="B232" s="146">
        <f>YEAR(Table7[[#This Row],[Date]])+IF(MONTH(Table7[[#This Row],[Date]])&gt;=4,1,0)</f>
        <v>2026</v>
      </c>
      <c r="C232" s="147">
        <f>YEAR(Table7[[#This Row],[Date]])</f>
        <v>2025</v>
      </c>
      <c r="D232" s="148">
        <f>Daily_KPI[[#This Row],[Date]]-DAY(Daily_KPI[[#This Row],[Date]])+1</f>
        <v>45962</v>
      </c>
      <c r="AW232" s="108">
        <f t="shared" si="13"/>
        <v>0</v>
      </c>
    </row>
    <row r="233" spans="1:49">
      <c r="A233" s="149">
        <v>45975</v>
      </c>
      <c r="B233" s="150">
        <f>YEAR(Table7[[#This Row],[Date]])+IF(MONTH(Table7[[#This Row],[Date]])&gt;=4,1,0)</f>
        <v>2026</v>
      </c>
      <c r="C233" s="151">
        <f>YEAR(Table7[[#This Row],[Date]])</f>
        <v>2025</v>
      </c>
      <c r="D233" s="152">
        <f>Daily_KPI[[#This Row],[Date]]-DAY(Daily_KPI[[#This Row],[Date]])+1</f>
        <v>45962</v>
      </c>
      <c r="AW233" s="108">
        <f t="shared" si="13"/>
        <v>0</v>
      </c>
    </row>
    <row r="234" spans="1:49">
      <c r="A234" s="145">
        <v>45976</v>
      </c>
      <c r="B234" s="146">
        <f>YEAR(Table7[[#This Row],[Date]])+IF(MONTH(Table7[[#This Row],[Date]])&gt;=4,1,0)</f>
        <v>2026</v>
      </c>
      <c r="C234" s="147">
        <f>YEAR(Table7[[#This Row],[Date]])</f>
        <v>2025</v>
      </c>
      <c r="D234" s="148">
        <f>Daily_KPI[[#This Row],[Date]]-DAY(Daily_KPI[[#This Row],[Date]])+1</f>
        <v>45962</v>
      </c>
      <c r="AW234" s="108">
        <f t="shared" si="13"/>
        <v>0</v>
      </c>
    </row>
    <row r="235" spans="1:49">
      <c r="A235" s="149">
        <v>45977</v>
      </c>
      <c r="B235" s="150">
        <f>YEAR(Table7[[#This Row],[Date]])+IF(MONTH(Table7[[#This Row],[Date]])&gt;=4,1,0)</f>
        <v>2026</v>
      </c>
      <c r="C235" s="151">
        <f>YEAR(Table7[[#This Row],[Date]])</f>
        <v>2025</v>
      </c>
      <c r="D235" s="152">
        <f>Daily_KPI[[#This Row],[Date]]-DAY(Daily_KPI[[#This Row],[Date]])+1</f>
        <v>45962</v>
      </c>
      <c r="AW235" s="108">
        <f t="shared" si="13"/>
        <v>0</v>
      </c>
    </row>
    <row r="236" spans="1:49">
      <c r="A236" s="145">
        <v>45978</v>
      </c>
      <c r="B236" s="146">
        <f>YEAR(Table7[[#This Row],[Date]])+IF(MONTH(Table7[[#This Row],[Date]])&gt;=4,1,0)</f>
        <v>2026</v>
      </c>
      <c r="C236" s="147">
        <f>YEAR(Table7[[#This Row],[Date]])</f>
        <v>2025</v>
      </c>
      <c r="D236" s="148">
        <f>Daily_KPI[[#This Row],[Date]]-DAY(Daily_KPI[[#This Row],[Date]])+1</f>
        <v>45962</v>
      </c>
      <c r="AW236" s="108">
        <f t="shared" si="13"/>
        <v>0</v>
      </c>
    </row>
    <row r="237" spans="1:49">
      <c r="A237" s="149">
        <v>45979</v>
      </c>
      <c r="B237" s="150">
        <f>YEAR(Table7[[#This Row],[Date]])+IF(MONTH(Table7[[#This Row],[Date]])&gt;=4,1,0)</f>
        <v>2026</v>
      </c>
      <c r="C237" s="151">
        <f>YEAR(Table7[[#This Row],[Date]])</f>
        <v>2025</v>
      </c>
      <c r="D237" s="152">
        <f>Daily_KPI[[#This Row],[Date]]-DAY(Daily_KPI[[#This Row],[Date]])+1</f>
        <v>45962</v>
      </c>
      <c r="AW237" s="108">
        <f t="shared" si="13"/>
        <v>0</v>
      </c>
    </row>
    <row r="238" spans="1:49">
      <c r="A238" s="145">
        <v>45980</v>
      </c>
      <c r="B238" s="146">
        <f>YEAR(Table7[[#This Row],[Date]])+IF(MONTH(Table7[[#This Row],[Date]])&gt;=4,1,0)</f>
        <v>2026</v>
      </c>
      <c r="C238" s="147">
        <f>YEAR(Table7[[#This Row],[Date]])</f>
        <v>2025</v>
      </c>
      <c r="D238" s="148">
        <f>Daily_KPI[[#This Row],[Date]]-DAY(Daily_KPI[[#This Row],[Date]])+1</f>
        <v>45962</v>
      </c>
      <c r="AW238" s="108">
        <f t="shared" si="13"/>
        <v>0</v>
      </c>
    </row>
    <row r="239" spans="1:49">
      <c r="A239" s="149">
        <v>45981</v>
      </c>
      <c r="B239" s="150">
        <f>YEAR(Table7[[#This Row],[Date]])+IF(MONTH(Table7[[#This Row],[Date]])&gt;=4,1,0)</f>
        <v>2026</v>
      </c>
      <c r="C239" s="151">
        <f>YEAR(Table7[[#This Row],[Date]])</f>
        <v>2025</v>
      </c>
      <c r="D239" s="152">
        <f>Daily_KPI[[#This Row],[Date]]-DAY(Daily_KPI[[#This Row],[Date]])+1</f>
        <v>45962</v>
      </c>
      <c r="AW239" s="108">
        <f t="shared" si="13"/>
        <v>0</v>
      </c>
    </row>
    <row r="240" spans="1:49">
      <c r="A240" s="145">
        <v>45982</v>
      </c>
      <c r="B240" s="146">
        <f>YEAR(Table7[[#This Row],[Date]])+IF(MONTH(Table7[[#This Row],[Date]])&gt;=4,1,0)</f>
        <v>2026</v>
      </c>
      <c r="C240" s="147">
        <f>YEAR(Table7[[#This Row],[Date]])</f>
        <v>2025</v>
      </c>
      <c r="D240" s="148">
        <f>Daily_KPI[[#This Row],[Date]]-DAY(Daily_KPI[[#This Row],[Date]])+1</f>
        <v>45962</v>
      </c>
      <c r="AW240" s="108">
        <f t="shared" si="13"/>
        <v>0</v>
      </c>
    </row>
    <row r="241" spans="1:49">
      <c r="A241" s="149">
        <v>45983</v>
      </c>
      <c r="B241" s="150">
        <f>YEAR(Table7[[#This Row],[Date]])+IF(MONTH(Table7[[#This Row],[Date]])&gt;=4,1,0)</f>
        <v>2026</v>
      </c>
      <c r="C241" s="151">
        <f>YEAR(Table7[[#This Row],[Date]])</f>
        <v>2025</v>
      </c>
      <c r="D241" s="152">
        <f>Daily_KPI[[#This Row],[Date]]-DAY(Daily_KPI[[#This Row],[Date]])+1</f>
        <v>45962</v>
      </c>
      <c r="AW241" s="108">
        <f t="shared" si="13"/>
        <v>0</v>
      </c>
    </row>
    <row r="242" spans="1:49">
      <c r="A242" s="145">
        <v>45984</v>
      </c>
      <c r="B242" s="146">
        <f>YEAR(Table7[[#This Row],[Date]])+IF(MONTH(Table7[[#This Row],[Date]])&gt;=4,1,0)</f>
        <v>2026</v>
      </c>
      <c r="C242" s="147">
        <f>YEAR(Table7[[#This Row],[Date]])</f>
        <v>2025</v>
      </c>
      <c r="D242" s="148">
        <f>Daily_KPI[[#This Row],[Date]]-DAY(Daily_KPI[[#This Row],[Date]])+1</f>
        <v>45962</v>
      </c>
      <c r="AW242" s="108">
        <f t="shared" si="13"/>
        <v>0</v>
      </c>
    </row>
    <row r="243" spans="1:49">
      <c r="A243" s="149">
        <v>45985</v>
      </c>
      <c r="B243" s="150">
        <f>YEAR(Table7[[#This Row],[Date]])+IF(MONTH(Table7[[#This Row],[Date]])&gt;=4,1,0)</f>
        <v>2026</v>
      </c>
      <c r="C243" s="151">
        <f>YEAR(Table7[[#This Row],[Date]])</f>
        <v>2025</v>
      </c>
      <c r="D243" s="152">
        <f>Daily_KPI[[#This Row],[Date]]-DAY(Daily_KPI[[#This Row],[Date]])+1</f>
        <v>45962</v>
      </c>
      <c r="AW243" s="108">
        <f t="shared" si="13"/>
        <v>0</v>
      </c>
    </row>
    <row r="244" spans="1:49">
      <c r="A244" s="145">
        <v>45986</v>
      </c>
      <c r="B244" s="146">
        <f>YEAR(Table7[[#This Row],[Date]])+IF(MONTH(Table7[[#This Row],[Date]])&gt;=4,1,0)</f>
        <v>2026</v>
      </c>
      <c r="C244" s="147">
        <f>YEAR(Table7[[#This Row],[Date]])</f>
        <v>2025</v>
      </c>
      <c r="D244" s="148">
        <f>Daily_KPI[[#This Row],[Date]]-DAY(Daily_KPI[[#This Row],[Date]])+1</f>
        <v>45962</v>
      </c>
      <c r="AW244" s="108">
        <f t="shared" si="13"/>
        <v>0</v>
      </c>
    </row>
    <row r="245" spans="1:49">
      <c r="A245" s="149">
        <v>45987</v>
      </c>
      <c r="B245" s="150">
        <f>YEAR(Table7[[#This Row],[Date]])+IF(MONTH(Table7[[#This Row],[Date]])&gt;=4,1,0)</f>
        <v>2026</v>
      </c>
      <c r="C245" s="151">
        <f>YEAR(Table7[[#This Row],[Date]])</f>
        <v>2025</v>
      </c>
      <c r="D245" s="152">
        <f>Daily_KPI[[#This Row],[Date]]-DAY(Daily_KPI[[#This Row],[Date]])+1</f>
        <v>45962</v>
      </c>
      <c r="AW245" s="108">
        <f t="shared" si="13"/>
        <v>0</v>
      </c>
    </row>
    <row r="246" spans="1:49">
      <c r="A246" s="145">
        <v>45988</v>
      </c>
      <c r="B246" s="146">
        <f>YEAR(Table7[[#This Row],[Date]])+IF(MONTH(Table7[[#This Row],[Date]])&gt;=4,1,0)</f>
        <v>2026</v>
      </c>
      <c r="C246" s="147">
        <f>YEAR(Table7[[#This Row],[Date]])</f>
        <v>2025</v>
      </c>
      <c r="D246" s="148">
        <f>Daily_KPI[[#This Row],[Date]]-DAY(Daily_KPI[[#This Row],[Date]])+1</f>
        <v>45962</v>
      </c>
      <c r="AW246" s="108">
        <f t="shared" si="13"/>
        <v>0</v>
      </c>
    </row>
    <row r="247" spans="1:49">
      <c r="A247" s="149">
        <v>45989</v>
      </c>
      <c r="B247" s="150">
        <f>YEAR(Table7[[#This Row],[Date]])+IF(MONTH(Table7[[#This Row],[Date]])&gt;=4,1,0)</f>
        <v>2026</v>
      </c>
      <c r="C247" s="151">
        <f>YEAR(Table7[[#This Row],[Date]])</f>
        <v>2025</v>
      </c>
      <c r="D247" s="152">
        <f>Daily_KPI[[#This Row],[Date]]-DAY(Daily_KPI[[#This Row],[Date]])+1</f>
        <v>45962</v>
      </c>
      <c r="AW247" s="108">
        <f t="shared" si="13"/>
        <v>0</v>
      </c>
    </row>
    <row r="248" spans="1:49">
      <c r="A248" s="145">
        <v>45990</v>
      </c>
      <c r="B248" s="146">
        <f>YEAR(Table7[[#This Row],[Date]])+IF(MONTH(Table7[[#This Row],[Date]])&gt;=4,1,0)</f>
        <v>2026</v>
      </c>
      <c r="C248" s="147">
        <f>YEAR(Table7[[#This Row],[Date]])</f>
        <v>2025</v>
      </c>
      <c r="D248" s="148">
        <f>Daily_KPI[[#This Row],[Date]]-DAY(Daily_KPI[[#This Row],[Date]])+1</f>
        <v>45962</v>
      </c>
      <c r="AW248" s="108">
        <f t="shared" si="13"/>
        <v>0</v>
      </c>
    </row>
    <row r="249" spans="1:49">
      <c r="A249" s="149">
        <v>45991</v>
      </c>
      <c r="B249" s="150">
        <f>YEAR(Table7[[#This Row],[Date]])+IF(MONTH(Table7[[#This Row],[Date]])&gt;=4,1,0)</f>
        <v>2026</v>
      </c>
      <c r="C249" s="151">
        <f>YEAR(Table7[[#This Row],[Date]])</f>
        <v>2025</v>
      </c>
      <c r="D249" s="152">
        <f>Daily_KPI[[#This Row],[Date]]-DAY(Daily_KPI[[#This Row],[Date]])+1</f>
        <v>45992</v>
      </c>
      <c r="AW249" s="108">
        <f t="shared" si="13"/>
        <v>0</v>
      </c>
    </row>
    <row r="250" spans="1:49">
      <c r="A250" s="145">
        <v>45992</v>
      </c>
      <c r="B250" s="146">
        <f>YEAR(Table7[[#This Row],[Date]])+IF(MONTH(Table7[[#This Row],[Date]])&gt;=4,1,0)</f>
        <v>2026</v>
      </c>
      <c r="C250" s="147">
        <f>YEAR(Table7[[#This Row],[Date]])</f>
        <v>2025</v>
      </c>
      <c r="D250" s="148">
        <f>Daily_KPI[[#This Row],[Date]]-DAY(Daily_KPI[[#This Row],[Date]])+1</f>
        <v>45992</v>
      </c>
      <c r="AW250" s="108">
        <f t="shared" si="13"/>
        <v>0</v>
      </c>
    </row>
    <row r="251" spans="1:49">
      <c r="A251" s="149">
        <v>45993</v>
      </c>
      <c r="B251" s="150">
        <f>YEAR(Table7[[#This Row],[Date]])+IF(MONTH(Table7[[#This Row],[Date]])&gt;=4,1,0)</f>
        <v>2026</v>
      </c>
      <c r="C251" s="151">
        <f>YEAR(Table7[[#This Row],[Date]])</f>
        <v>2025</v>
      </c>
      <c r="D251" s="152">
        <f>Daily_KPI[[#This Row],[Date]]-DAY(Daily_KPI[[#This Row],[Date]])+1</f>
        <v>45992</v>
      </c>
      <c r="AW251" s="108">
        <f t="shared" si="13"/>
        <v>0</v>
      </c>
    </row>
    <row r="252" spans="1:49">
      <c r="A252" s="145">
        <v>45994</v>
      </c>
      <c r="B252" s="146">
        <f>YEAR(Table7[[#This Row],[Date]])+IF(MONTH(Table7[[#This Row],[Date]])&gt;=4,1,0)</f>
        <v>2026</v>
      </c>
      <c r="C252" s="147">
        <f>YEAR(Table7[[#This Row],[Date]])</f>
        <v>2025</v>
      </c>
      <c r="D252" s="148">
        <f>Daily_KPI[[#This Row],[Date]]-DAY(Daily_KPI[[#This Row],[Date]])+1</f>
        <v>45992</v>
      </c>
      <c r="AW252" s="108">
        <f t="shared" si="13"/>
        <v>0</v>
      </c>
    </row>
    <row r="253" spans="1:49">
      <c r="A253" s="149">
        <v>45995</v>
      </c>
      <c r="B253" s="150">
        <f>YEAR(Table7[[#This Row],[Date]])+IF(MONTH(Table7[[#This Row],[Date]])&gt;=4,1,0)</f>
        <v>2026</v>
      </c>
      <c r="C253" s="151">
        <f>YEAR(Table7[[#This Row],[Date]])</f>
        <v>2025</v>
      </c>
      <c r="D253" s="152">
        <f>Daily_KPI[[#This Row],[Date]]-DAY(Daily_KPI[[#This Row],[Date]])+1</f>
        <v>45992</v>
      </c>
      <c r="AW253" s="108">
        <f t="shared" si="13"/>
        <v>0</v>
      </c>
    </row>
    <row r="254" spans="1:49">
      <c r="A254" s="145">
        <v>45996</v>
      </c>
      <c r="B254" s="146">
        <f>YEAR(Table7[[#This Row],[Date]])+IF(MONTH(Table7[[#This Row],[Date]])&gt;=4,1,0)</f>
        <v>2026</v>
      </c>
      <c r="C254" s="147">
        <f>YEAR(Table7[[#This Row],[Date]])</f>
        <v>2025</v>
      </c>
      <c r="D254" s="148">
        <f>Daily_KPI[[#This Row],[Date]]-DAY(Daily_KPI[[#This Row],[Date]])+1</f>
        <v>45992</v>
      </c>
      <c r="AW254" s="108">
        <f t="shared" ref="AW254:AW317" si="14">SUM(E254:AV254)/1000</f>
        <v>0</v>
      </c>
    </row>
    <row r="255" spans="1:49">
      <c r="A255" s="149">
        <v>45997</v>
      </c>
      <c r="B255" s="150">
        <f>YEAR(Table7[[#This Row],[Date]])+IF(MONTH(Table7[[#This Row],[Date]])&gt;=4,1,0)</f>
        <v>2026</v>
      </c>
      <c r="C255" s="151">
        <f>YEAR(Table7[[#This Row],[Date]])</f>
        <v>2025</v>
      </c>
      <c r="D255" s="152">
        <f>Daily_KPI[[#This Row],[Date]]-DAY(Daily_KPI[[#This Row],[Date]])+1</f>
        <v>45992</v>
      </c>
      <c r="AW255" s="108">
        <f t="shared" si="14"/>
        <v>0</v>
      </c>
    </row>
    <row r="256" spans="1:49">
      <c r="A256" s="145">
        <v>45998</v>
      </c>
      <c r="B256" s="146">
        <f>YEAR(Table7[[#This Row],[Date]])+IF(MONTH(Table7[[#This Row],[Date]])&gt;=4,1,0)</f>
        <v>2026</v>
      </c>
      <c r="C256" s="147">
        <f>YEAR(Table7[[#This Row],[Date]])</f>
        <v>2025</v>
      </c>
      <c r="D256" s="148">
        <f>Daily_KPI[[#This Row],[Date]]-DAY(Daily_KPI[[#This Row],[Date]])+1</f>
        <v>45992</v>
      </c>
      <c r="AW256" s="108">
        <f t="shared" si="14"/>
        <v>0</v>
      </c>
    </row>
    <row r="257" spans="1:49">
      <c r="A257" s="149">
        <v>45999</v>
      </c>
      <c r="B257" s="150">
        <f>YEAR(Table7[[#This Row],[Date]])+IF(MONTH(Table7[[#This Row],[Date]])&gt;=4,1,0)</f>
        <v>2026</v>
      </c>
      <c r="C257" s="151">
        <f>YEAR(Table7[[#This Row],[Date]])</f>
        <v>2025</v>
      </c>
      <c r="D257" s="152">
        <f>Daily_KPI[[#This Row],[Date]]-DAY(Daily_KPI[[#This Row],[Date]])+1</f>
        <v>45992</v>
      </c>
      <c r="AW257" s="108">
        <f t="shared" si="14"/>
        <v>0</v>
      </c>
    </row>
    <row r="258" spans="1:49">
      <c r="A258" s="145">
        <v>46000</v>
      </c>
      <c r="B258" s="146">
        <f>YEAR(Table7[[#This Row],[Date]])+IF(MONTH(Table7[[#This Row],[Date]])&gt;=4,1,0)</f>
        <v>2026</v>
      </c>
      <c r="C258" s="147">
        <f>YEAR(Table7[[#This Row],[Date]])</f>
        <v>2025</v>
      </c>
      <c r="D258" s="148">
        <f>Daily_KPI[[#This Row],[Date]]-DAY(Daily_KPI[[#This Row],[Date]])+1</f>
        <v>45992</v>
      </c>
      <c r="AW258" s="108">
        <f t="shared" si="14"/>
        <v>0</v>
      </c>
    </row>
    <row r="259" spans="1:49">
      <c r="A259" s="149">
        <v>46001</v>
      </c>
      <c r="B259" s="150">
        <f>YEAR(Table7[[#This Row],[Date]])+IF(MONTH(Table7[[#This Row],[Date]])&gt;=4,1,0)</f>
        <v>2026</v>
      </c>
      <c r="C259" s="151">
        <f>YEAR(Table7[[#This Row],[Date]])</f>
        <v>2025</v>
      </c>
      <c r="D259" s="152">
        <f>Daily_KPI[[#This Row],[Date]]-DAY(Daily_KPI[[#This Row],[Date]])+1</f>
        <v>45992</v>
      </c>
      <c r="AW259" s="108">
        <f t="shared" si="14"/>
        <v>0</v>
      </c>
    </row>
    <row r="260" spans="1:49">
      <c r="A260" s="145">
        <v>46002</v>
      </c>
      <c r="B260" s="146">
        <f>YEAR(Table7[[#This Row],[Date]])+IF(MONTH(Table7[[#This Row],[Date]])&gt;=4,1,0)</f>
        <v>2026</v>
      </c>
      <c r="C260" s="147">
        <f>YEAR(Table7[[#This Row],[Date]])</f>
        <v>2025</v>
      </c>
      <c r="D260" s="148">
        <f>Daily_KPI[[#This Row],[Date]]-DAY(Daily_KPI[[#This Row],[Date]])+1</f>
        <v>45992</v>
      </c>
      <c r="AW260" s="108">
        <f t="shared" si="14"/>
        <v>0</v>
      </c>
    </row>
    <row r="261" spans="1:49">
      <c r="A261" s="149">
        <v>46003</v>
      </c>
      <c r="B261" s="150">
        <f>YEAR(Table7[[#This Row],[Date]])+IF(MONTH(Table7[[#This Row],[Date]])&gt;=4,1,0)</f>
        <v>2026</v>
      </c>
      <c r="C261" s="151">
        <f>YEAR(Table7[[#This Row],[Date]])</f>
        <v>2025</v>
      </c>
      <c r="D261" s="152">
        <f>Daily_KPI[[#This Row],[Date]]-DAY(Daily_KPI[[#This Row],[Date]])+1</f>
        <v>45992</v>
      </c>
      <c r="AW261" s="108">
        <f t="shared" si="14"/>
        <v>0</v>
      </c>
    </row>
    <row r="262" spans="1:49">
      <c r="A262" s="145">
        <v>46004</v>
      </c>
      <c r="B262" s="146">
        <f>YEAR(Table7[[#This Row],[Date]])+IF(MONTH(Table7[[#This Row],[Date]])&gt;=4,1,0)</f>
        <v>2026</v>
      </c>
      <c r="C262" s="147">
        <f>YEAR(Table7[[#This Row],[Date]])</f>
        <v>2025</v>
      </c>
      <c r="D262" s="148">
        <f>Daily_KPI[[#This Row],[Date]]-DAY(Daily_KPI[[#This Row],[Date]])+1</f>
        <v>45992</v>
      </c>
      <c r="AW262" s="108">
        <f t="shared" si="14"/>
        <v>0</v>
      </c>
    </row>
    <row r="263" spans="1:49">
      <c r="A263" s="149">
        <v>46005</v>
      </c>
      <c r="B263" s="150">
        <f>YEAR(Table7[[#This Row],[Date]])+IF(MONTH(Table7[[#This Row],[Date]])&gt;=4,1,0)</f>
        <v>2026</v>
      </c>
      <c r="C263" s="151">
        <f>YEAR(Table7[[#This Row],[Date]])</f>
        <v>2025</v>
      </c>
      <c r="D263" s="152">
        <f>Daily_KPI[[#This Row],[Date]]-DAY(Daily_KPI[[#This Row],[Date]])+1</f>
        <v>45992</v>
      </c>
      <c r="AW263" s="108">
        <f t="shared" si="14"/>
        <v>0</v>
      </c>
    </row>
    <row r="264" spans="1:49">
      <c r="A264" s="145">
        <v>46006</v>
      </c>
      <c r="B264" s="146">
        <f>YEAR(Table7[[#This Row],[Date]])+IF(MONTH(Table7[[#This Row],[Date]])&gt;=4,1,0)</f>
        <v>2026</v>
      </c>
      <c r="C264" s="147">
        <f>YEAR(Table7[[#This Row],[Date]])</f>
        <v>2025</v>
      </c>
      <c r="D264" s="148">
        <f>Daily_KPI[[#This Row],[Date]]-DAY(Daily_KPI[[#This Row],[Date]])+1</f>
        <v>45992</v>
      </c>
      <c r="AW264" s="108">
        <f t="shared" si="14"/>
        <v>0</v>
      </c>
    </row>
    <row r="265" spans="1:49">
      <c r="A265" s="149">
        <v>46007</v>
      </c>
      <c r="B265" s="150">
        <f>YEAR(Table7[[#This Row],[Date]])+IF(MONTH(Table7[[#This Row],[Date]])&gt;=4,1,0)</f>
        <v>2026</v>
      </c>
      <c r="C265" s="151">
        <f>YEAR(Table7[[#This Row],[Date]])</f>
        <v>2025</v>
      </c>
      <c r="D265" s="152">
        <f>Daily_KPI[[#This Row],[Date]]-DAY(Daily_KPI[[#This Row],[Date]])+1</f>
        <v>45992</v>
      </c>
      <c r="AW265" s="108">
        <f t="shared" si="14"/>
        <v>0</v>
      </c>
    </row>
    <row r="266" spans="1:49">
      <c r="A266" s="145">
        <v>46008</v>
      </c>
      <c r="B266" s="146">
        <f>YEAR(Table7[[#This Row],[Date]])+IF(MONTH(Table7[[#This Row],[Date]])&gt;=4,1,0)</f>
        <v>2026</v>
      </c>
      <c r="C266" s="147">
        <f>YEAR(Table7[[#This Row],[Date]])</f>
        <v>2025</v>
      </c>
      <c r="D266" s="148">
        <f>Daily_KPI[[#This Row],[Date]]-DAY(Daily_KPI[[#This Row],[Date]])+1</f>
        <v>45992</v>
      </c>
      <c r="AW266" s="108">
        <f t="shared" si="14"/>
        <v>0</v>
      </c>
    </row>
    <row r="267" spans="1:49">
      <c r="A267" s="149">
        <v>46009</v>
      </c>
      <c r="B267" s="150">
        <f>YEAR(Table7[[#This Row],[Date]])+IF(MONTH(Table7[[#This Row],[Date]])&gt;=4,1,0)</f>
        <v>2026</v>
      </c>
      <c r="C267" s="151">
        <f>YEAR(Table7[[#This Row],[Date]])</f>
        <v>2025</v>
      </c>
      <c r="D267" s="152">
        <f>Daily_KPI[[#This Row],[Date]]-DAY(Daily_KPI[[#This Row],[Date]])+1</f>
        <v>45992</v>
      </c>
      <c r="AW267" s="108">
        <f t="shared" si="14"/>
        <v>0</v>
      </c>
    </row>
    <row r="268" spans="1:49">
      <c r="A268" s="145">
        <v>46010</v>
      </c>
      <c r="B268" s="146">
        <f>YEAR(Table7[[#This Row],[Date]])+IF(MONTH(Table7[[#This Row],[Date]])&gt;=4,1,0)</f>
        <v>2026</v>
      </c>
      <c r="C268" s="147">
        <f>YEAR(Table7[[#This Row],[Date]])</f>
        <v>2025</v>
      </c>
      <c r="D268" s="148">
        <f>Daily_KPI[[#This Row],[Date]]-DAY(Daily_KPI[[#This Row],[Date]])+1</f>
        <v>45992</v>
      </c>
      <c r="AW268" s="108">
        <f t="shared" si="14"/>
        <v>0</v>
      </c>
    </row>
    <row r="269" spans="1:49">
      <c r="A269" s="149">
        <v>46011</v>
      </c>
      <c r="B269" s="150">
        <f>YEAR(Table7[[#This Row],[Date]])+IF(MONTH(Table7[[#This Row],[Date]])&gt;=4,1,0)</f>
        <v>2026</v>
      </c>
      <c r="C269" s="151">
        <f>YEAR(Table7[[#This Row],[Date]])</f>
        <v>2025</v>
      </c>
      <c r="D269" s="152">
        <f>Daily_KPI[[#This Row],[Date]]-DAY(Daily_KPI[[#This Row],[Date]])+1</f>
        <v>45992</v>
      </c>
      <c r="AW269" s="108">
        <f t="shared" si="14"/>
        <v>0</v>
      </c>
    </row>
    <row r="270" spans="1:49">
      <c r="A270" s="145">
        <v>46012</v>
      </c>
      <c r="B270" s="146">
        <f>YEAR(Table7[[#This Row],[Date]])+IF(MONTH(Table7[[#This Row],[Date]])&gt;=4,1,0)</f>
        <v>2026</v>
      </c>
      <c r="C270" s="147">
        <f>YEAR(Table7[[#This Row],[Date]])</f>
        <v>2025</v>
      </c>
      <c r="D270" s="148">
        <f>Daily_KPI[[#This Row],[Date]]-DAY(Daily_KPI[[#This Row],[Date]])+1</f>
        <v>45992</v>
      </c>
      <c r="AW270" s="108">
        <f t="shared" si="14"/>
        <v>0</v>
      </c>
    </row>
    <row r="271" spans="1:49">
      <c r="A271" s="149">
        <v>46013</v>
      </c>
      <c r="B271" s="150">
        <f>YEAR(Table7[[#This Row],[Date]])+IF(MONTH(Table7[[#This Row],[Date]])&gt;=4,1,0)</f>
        <v>2026</v>
      </c>
      <c r="C271" s="151">
        <f>YEAR(Table7[[#This Row],[Date]])</f>
        <v>2025</v>
      </c>
      <c r="D271" s="152">
        <f>Daily_KPI[[#This Row],[Date]]-DAY(Daily_KPI[[#This Row],[Date]])+1</f>
        <v>45992</v>
      </c>
      <c r="AW271" s="108">
        <f t="shared" si="14"/>
        <v>0</v>
      </c>
    </row>
    <row r="272" spans="1:49">
      <c r="A272" s="145">
        <v>46014</v>
      </c>
      <c r="B272" s="146">
        <f>YEAR(Table7[[#This Row],[Date]])+IF(MONTH(Table7[[#This Row],[Date]])&gt;=4,1,0)</f>
        <v>2026</v>
      </c>
      <c r="C272" s="147">
        <f>YEAR(Table7[[#This Row],[Date]])</f>
        <v>2025</v>
      </c>
      <c r="D272" s="148">
        <f>Daily_KPI[[#This Row],[Date]]-DAY(Daily_KPI[[#This Row],[Date]])+1</f>
        <v>45992</v>
      </c>
      <c r="AW272" s="108">
        <f t="shared" si="14"/>
        <v>0</v>
      </c>
    </row>
    <row r="273" spans="1:49">
      <c r="A273" s="149">
        <v>46015</v>
      </c>
      <c r="B273" s="150">
        <f>YEAR(Table7[[#This Row],[Date]])+IF(MONTH(Table7[[#This Row],[Date]])&gt;=4,1,0)</f>
        <v>2026</v>
      </c>
      <c r="C273" s="151">
        <f>YEAR(Table7[[#This Row],[Date]])</f>
        <v>2025</v>
      </c>
      <c r="D273" s="152">
        <f>Daily_KPI[[#This Row],[Date]]-DAY(Daily_KPI[[#This Row],[Date]])+1</f>
        <v>45992</v>
      </c>
      <c r="AW273" s="108">
        <f t="shared" si="14"/>
        <v>0</v>
      </c>
    </row>
    <row r="274" spans="1:49">
      <c r="A274" s="145">
        <v>46016</v>
      </c>
      <c r="B274" s="146">
        <f>YEAR(Table7[[#This Row],[Date]])+IF(MONTH(Table7[[#This Row],[Date]])&gt;=4,1,0)</f>
        <v>2026</v>
      </c>
      <c r="C274" s="147">
        <f>YEAR(Table7[[#This Row],[Date]])</f>
        <v>2025</v>
      </c>
      <c r="D274" s="148">
        <f>Daily_KPI[[#This Row],[Date]]-DAY(Daily_KPI[[#This Row],[Date]])+1</f>
        <v>45992</v>
      </c>
      <c r="AW274" s="108">
        <f t="shared" si="14"/>
        <v>0</v>
      </c>
    </row>
    <row r="275" spans="1:49">
      <c r="A275" s="149">
        <v>46017</v>
      </c>
      <c r="B275" s="150">
        <f>YEAR(Table7[[#This Row],[Date]])+IF(MONTH(Table7[[#This Row],[Date]])&gt;=4,1,0)</f>
        <v>2026</v>
      </c>
      <c r="C275" s="151">
        <f>YEAR(Table7[[#This Row],[Date]])</f>
        <v>2025</v>
      </c>
      <c r="D275" s="152">
        <f>Daily_KPI[[#This Row],[Date]]-DAY(Daily_KPI[[#This Row],[Date]])+1</f>
        <v>45992</v>
      </c>
      <c r="AW275" s="108">
        <f t="shared" si="14"/>
        <v>0</v>
      </c>
    </row>
    <row r="276" spans="1:49">
      <c r="A276" s="145">
        <v>46018</v>
      </c>
      <c r="B276" s="146">
        <f>YEAR(Table7[[#This Row],[Date]])+IF(MONTH(Table7[[#This Row],[Date]])&gt;=4,1,0)</f>
        <v>2026</v>
      </c>
      <c r="C276" s="147">
        <f>YEAR(Table7[[#This Row],[Date]])</f>
        <v>2025</v>
      </c>
      <c r="D276" s="148">
        <f>Daily_KPI[[#This Row],[Date]]-DAY(Daily_KPI[[#This Row],[Date]])+1</f>
        <v>45992</v>
      </c>
      <c r="AW276" s="108">
        <f t="shared" si="14"/>
        <v>0</v>
      </c>
    </row>
    <row r="277" spans="1:49">
      <c r="A277" s="149">
        <v>46019</v>
      </c>
      <c r="B277" s="150">
        <f>YEAR(Table7[[#This Row],[Date]])+IF(MONTH(Table7[[#This Row],[Date]])&gt;=4,1,0)</f>
        <v>2026</v>
      </c>
      <c r="C277" s="151">
        <f>YEAR(Table7[[#This Row],[Date]])</f>
        <v>2025</v>
      </c>
      <c r="D277" s="152">
        <f>Daily_KPI[[#This Row],[Date]]-DAY(Daily_KPI[[#This Row],[Date]])+1</f>
        <v>45992</v>
      </c>
      <c r="AW277" s="108">
        <f t="shared" si="14"/>
        <v>0</v>
      </c>
    </row>
    <row r="278" spans="1:49">
      <c r="A278" s="145">
        <v>46020</v>
      </c>
      <c r="B278" s="146">
        <f>YEAR(Table7[[#This Row],[Date]])+IF(MONTH(Table7[[#This Row],[Date]])&gt;=4,1,0)</f>
        <v>2026</v>
      </c>
      <c r="C278" s="147">
        <f>YEAR(Table7[[#This Row],[Date]])</f>
        <v>2025</v>
      </c>
      <c r="D278" s="148">
        <f>Daily_KPI[[#This Row],[Date]]-DAY(Daily_KPI[[#This Row],[Date]])+1</f>
        <v>45992</v>
      </c>
      <c r="AW278" s="108">
        <f t="shared" si="14"/>
        <v>0</v>
      </c>
    </row>
    <row r="279" spans="1:49">
      <c r="A279" s="149">
        <v>46021</v>
      </c>
      <c r="B279" s="150">
        <f>YEAR(Table7[[#This Row],[Date]])+IF(MONTH(Table7[[#This Row],[Date]])&gt;=4,1,0)</f>
        <v>2026</v>
      </c>
      <c r="C279" s="151">
        <f>YEAR(Table7[[#This Row],[Date]])</f>
        <v>2025</v>
      </c>
      <c r="D279" s="152">
        <f>Daily_KPI[[#This Row],[Date]]-DAY(Daily_KPI[[#This Row],[Date]])+1</f>
        <v>45992</v>
      </c>
      <c r="AW279" s="108">
        <f t="shared" si="14"/>
        <v>0</v>
      </c>
    </row>
    <row r="280" spans="1:49">
      <c r="A280" s="149">
        <v>46022</v>
      </c>
      <c r="B280" s="150">
        <f>YEAR(Table7[[#This Row],[Date]])+IF(MONTH(Table7[[#This Row],[Date]])&gt;=4,1,0)</f>
        <v>2026</v>
      </c>
      <c r="C280" s="151">
        <f>YEAR(Table7[[#This Row],[Date]])</f>
        <v>2025</v>
      </c>
      <c r="D280" s="152">
        <f>Daily_KPI[[#This Row],[Date]]-DAY(Daily_KPI[[#This Row],[Date]])+1</f>
        <v>46023</v>
      </c>
      <c r="AW280" s="108">
        <f t="shared" si="14"/>
        <v>0</v>
      </c>
    </row>
    <row r="281" spans="1:49">
      <c r="A281" s="149">
        <v>46023</v>
      </c>
      <c r="B281" s="150">
        <f>YEAR(Table7[[#This Row],[Date]])+IF(MONTH(Table7[[#This Row],[Date]])&gt;=4,1,0)</f>
        <v>2026</v>
      </c>
      <c r="C281" s="151">
        <f>YEAR(Table7[[#This Row],[Date]])</f>
        <v>2026</v>
      </c>
      <c r="D281" s="152">
        <f>Daily_KPI[[#This Row],[Date]]-DAY(Daily_KPI[[#This Row],[Date]])+1</f>
        <v>46023</v>
      </c>
      <c r="AW281" s="108">
        <f t="shared" si="14"/>
        <v>0</v>
      </c>
    </row>
    <row r="282" spans="1:49">
      <c r="A282" s="149">
        <v>46024</v>
      </c>
      <c r="B282" s="150">
        <f>YEAR(Table7[[#This Row],[Date]])+IF(MONTH(Table7[[#This Row],[Date]])&gt;=4,1,0)</f>
        <v>2026</v>
      </c>
      <c r="C282" s="151">
        <f>YEAR(Table7[[#This Row],[Date]])</f>
        <v>2026</v>
      </c>
      <c r="D282" s="152">
        <f>Daily_KPI[[#This Row],[Date]]-DAY(Daily_KPI[[#This Row],[Date]])+1</f>
        <v>46023</v>
      </c>
      <c r="AW282" s="108">
        <f t="shared" si="14"/>
        <v>0</v>
      </c>
    </row>
    <row r="283" spans="1:49">
      <c r="A283" s="149">
        <v>46025</v>
      </c>
      <c r="B283" s="150">
        <f>YEAR(Table7[[#This Row],[Date]])+IF(MONTH(Table7[[#This Row],[Date]])&gt;=4,1,0)</f>
        <v>2026</v>
      </c>
      <c r="C283" s="151">
        <f>YEAR(Table7[[#This Row],[Date]])</f>
        <v>2026</v>
      </c>
      <c r="D283" s="152">
        <f>Daily_KPI[[#This Row],[Date]]-DAY(Daily_KPI[[#This Row],[Date]])+1</f>
        <v>46023</v>
      </c>
      <c r="AW283" s="108">
        <f t="shared" si="14"/>
        <v>0</v>
      </c>
    </row>
    <row r="284" spans="1:49">
      <c r="A284" s="149">
        <v>46026</v>
      </c>
      <c r="B284" s="150">
        <f>YEAR(Table7[[#This Row],[Date]])+IF(MONTH(Table7[[#This Row],[Date]])&gt;=4,1,0)</f>
        <v>2026</v>
      </c>
      <c r="C284" s="151">
        <f>YEAR(Table7[[#This Row],[Date]])</f>
        <v>2026</v>
      </c>
      <c r="D284" s="152">
        <f>Daily_KPI[[#This Row],[Date]]-DAY(Daily_KPI[[#This Row],[Date]])+1</f>
        <v>46023</v>
      </c>
      <c r="AW284" s="108">
        <f t="shared" si="14"/>
        <v>0</v>
      </c>
    </row>
    <row r="285" spans="1:49">
      <c r="A285" s="149">
        <v>46027</v>
      </c>
      <c r="B285" s="150">
        <f>YEAR(Table7[[#This Row],[Date]])+IF(MONTH(Table7[[#This Row],[Date]])&gt;=4,1,0)</f>
        <v>2026</v>
      </c>
      <c r="C285" s="151">
        <f>YEAR(Table7[[#This Row],[Date]])</f>
        <v>2026</v>
      </c>
      <c r="D285" s="152">
        <f>Daily_KPI[[#This Row],[Date]]-DAY(Daily_KPI[[#This Row],[Date]])+1</f>
        <v>46023</v>
      </c>
      <c r="AW285" s="108">
        <f t="shared" si="14"/>
        <v>0</v>
      </c>
    </row>
    <row r="286" spans="1:49">
      <c r="A286" s="149">
        <v>46028</v>
      </c>
      <c r="B286" s="150">
        <f>YEAR(Table7[[#This Row],[Date]])+IF(MONTH(Table7[[#This Row],[Date]])&gt;=4,1,0)</f>
        <v>2026</v>
      </c>
      <c r="C286" s="151">
        <f>YEAR(Table7[[#This Row],[Date]])</f>
        <v>2026</v>
      </c>
      <c r="D286" s="152">
        <f>Daily_KPI[[#This Row],[Date]]-DAY(Daily_KPI[[#This Row],[Date]])+1</f>
        <v>46023</v>
      </c>
      <c r="AW286" s="108">
        <f t="shared" si="14"/>
        <v>0</v>
      </c>
    </row>
    <row r="287" spans="1:49">
      <c r="A287" s="149">
        <v>46029</v>
      </c>
      <c r="B287" s="150">
        <f>YEAR(Table7[[#This Row],[Date]])+IF(MONTH(Table7[[#This Row],[Date]])&gt;=4,1,0)</f>
        <v>2026</v>
      </c>
      <c r="C287" s="151">
        <f>YEAR(Table7[[#This Row],[Date]])</f>
        <v>2026</v>
      </c>
      <c r="D287" s="152">
        <f>Daily_KPI[[#This Row],[Date]]-DAY(Daily_KPI[[#This Row],[Date]])+1</f>
        <v>46023</v>
      </c>
      <c r="AW287" s="108">
        <f t="shared" si="14"/>
        <v>0</v>
      </c>
    </row>
    <row r="288" spans="1:49">
      <c r="A288" s="149">
        <v>46030</v>
      </c>
      <c r="B288" s="150">
        <f>YEAR(Table7[[#This Row],[Date]])+IF(MONTH(Table7[[#This Row],[Date]])&gt;=4,1,0)</f>
        <v>2026</v>
      </c>
      <c r="C288" s="151">
        <f>YEAR(Table7[[#This Row],[Date]])</f>
        <v>2026</v>
      </c>
      <c r="D288" s="152">
        <f>Daily_KPI[[#This Row],[Date]]-DAY(Daily_KPI[[#This Row],[Date]])+1</f>
        <v>46023</v>
      </c>
      <c r="AW288" s="108">
        <f t="shared" si="14"/>
        <v>0</v>
      </c>
    </row>
    <row r="289" spans="1:49">
      <c r="A289" s="149">
        <v>46031</v>
      </c>
      <c r="B289" s="150">
        <f>YEAR(Table7[[#This Row],[Date]])+IF(MONTH(Table7[[#This Row],[Date]])&gt;=4,1,0)</f>
        <v>2026</v>
      </c>
      <c r="C289" s="151">
        <f>YEAR(Table7[[#This Row],[Date]])</f>
        <v>2026</v>
      </c>
      <c r="D289" s="152">
        <f>Daily_KPI[[#This Row],[Date]]-DAY(Daily_KPI[[#This Row],[Date]])+1</f>
        <v>46023</v>
      </c>
      <c r="AW289" s="108">
        <f t="shared" si="14"/>
        <v>0</v>
      </c>
    </row>
    <row r="290" spans="1:49">
      <c r="A290" s="149">
        <v>46032</v>
      </c>
      <c r="B290" s="150">
        <f>YEAR(Table7[[#This Row],[Date]])+IF(MONTH(Table7[[#This Row],[Date]])&gt;=4,1,0)</f>
        <v>2026</v>
      </c>
      <c r="C290" s="151">
        <f>YEAR(Table7[[#This Row],[Date]])</f>
        <v>2026</v>
      </c>
      <c r="D290" s="152">
        <f>Daily_KPI[[#This Row],[Date]]-DAY(Daily_KPI[[#This Row],[Date]])+1</f>
        <v>46023</v>
      </c>
      <c r="AW290" s="108">
        <f t="shared" si="14"/>
        <v>0</v>
      </c>
    </row>
    <row r="291" spans="1:49">
      <c r="A291" s="149">
        <v>46033</v>
      </c>
      <c r="B291" s="150">
        <f>YEAR(Table7[[#This Row],[Date]])+IF(MONTH(Table7[[#This Row],[Date]])&gt;=4,1,0)</f>
        <v>2026</v>
      </c>
      <c r="C291" s="151">
        <f>YEAR(Table7[[#This Row],[Date]])</f>
        <v>2026</v>
      </c>
      <c r="D291" s="152">
        <f>Daily_KPI[[#This Row],[Date]]-DAY(Daily_KPI[[#This Row],[Date]])+1</f>
        <v>46023</v>
      </c>
      <c r="AW291" s="108">
        <f t="shared" si="14"/>
        <v>0</v>
      </c>
    </row>
    <row r="292" spans="1:49">
      <c r="A292" s="149">
        <v>46034</v>
      </c>
      <c r="B292" s="150">
        <f>YEAR(Table7[[#This Row],[Date]])+IF(MONTH(Table7[[#This Row],[Date]])&gt;=4,1,0)</f>
        <v>2026</v>
      </c>
      <c r="C292" s="151">
        <f>YEAR(Table7[[#This Row],[Date]])</f>
        <v>2026</v>
      </c>
      <c r="D292" s="152">
        <f>Daily_KPI[[#This Row],[Date]]-DAY(Daily_KPI[[#This Row],[Date]])+1</f>
        <v>46023</v>
      </c>
      <c r="AW292" s="108">
        <f t="shared" si="14"/>
        <v>0</v>
      </c>
    </row>
    <row r="293" spans="1:49">
      <c r="A293" s="149">
        <v>46035</v>
      </c>
      <c r="B293" s="150">
        <f>YEAR(Table7[[#This Row],[Date]])+IF(MONTH(Table7[[#This Row],[Date]])&gt;=4,1,0)</f>
        <v>2026</v>
      </c>
      <c r="C293" s="151">
        <f>YEAR(Table7[[#This Row],[Date]])</f>
        <v>2026</v>
      </c>
      <c r="D293" s="152">
        <f>Daily_KPI[[#This Row],[Date]]-DAY(Daily_KPI[[#This Row],[Date]])+1</f>
        <v>46023</v>
      </c>
      <c r="AW293" s="108">
        <f t="shared" si="14"/>
        <v>0</v>
      </c>
    </row>
    <row r="294" spans="1:49">
      <c r="A294" s="149">
        <v>46036</v>
      </c>
      <c r="B294" s="150">
        <f>YEAR(Table7[[#This Row],[Date]])+IF(MONTH(Table7[[#This Row],[Date]])&gt;=4,1,0)</f>
        <v>2026</v>
      </c>
      <c r="C294" s="151">
        <f>YEAR(Table7[[#This Row],[Date]])</f>
        <v>2026</v>
      </c>
      <c r="D294" s="152">
        <f>Daily_KPI[[#This Row],[Date]]-DAY(Daily_KPI[[#This Row],[Date]])+1</f>
        <v>46023</v>
      </c>
      <c r="AW294" s="108">
        <f t="shared" si="14"/>
        <v>0</v>
      </c>
    </row>
    <row r="295" spans="1:49">
      <c r="A295" s="149">
        <v>46037</v>
      </c>
      <c r="B295" s="150">
        <f>YEAR(Table7[[#This Row],[Date]])+IF(MONTH(Table7[[#This Row],[Date]])&gt;=4,1,0)</f>
        <v>2026</v>
      </c>
      <c r="C295" s="151">
        <f>YEAR(Table7[[#This Row],[Date]])</f>
        <v>2026</v>
      </c>
      <c r="D295" s="152">
        <f>Daily_KPI[[#This Row],[Date]]-DAY(Daily_KPI[[#This Row],[Date]])+1</f>
        <v>46023</v>
      </c>
      <c r="AW295" s="108">
        <f t="shared" si="14"/>
        <v>0</v>
      </c>
    </row>
    <row r="296" spans="1:49">
      <c r="A296" s="149">
        <v>46038</v>
      </c>
      <c r="B296" s="150">
        <f>YEAR(Table7[[#This Row],[Date]])+IF(MONTH(Table7[[#This Row],[Date]])&gt;=4,1,0)</f>
        <v>2026</v>
      </c>
      <c r="C296" s="151">
        <f>YEAR(Table7[[#This Row],[Date]])</f>
        <v>2026</v>
      </c>
      <c r="D296" s="152">
        <f>Daily_KPI[[#This Row],[Date]]-DAY(Daily_KPI[[#This Row],[Date]])+1</f>
        <v>46023</v>
      </c>
      <c r="AW296" s="108">
        <f t="shared" si="14"/>
        <v>0</v>
      </c>
    </row>
    <row r="297" spans="1:49">
      <c r="A297" s="149">
        <v>46039</v>
      </c>
      <c r="B297" s="150">
        <f>YEAR(Table7[[#This Row],[Date]])+IF(MONTH(Table7[[#This Row],[Date]])&gt;=4,1,0)</f>
        <v>2026</v>
      </c>
      <c r="C297" s="151">
        <f>YEAR(Table7[[#This Row],[Date]])</f>
        <v>2026</v>
      </c>
      <c r="D297" s="152">
        <f>Daily_KPI[[#This Row],[Date]]-DAY(Daily_KPI[[#This Row],[Date]])+1</f>
        <v>46023</v>
      </c>
      <c r="AW297" s="108">
        <f t="shared" si="14"/>
        <v>0</v>
      </c>
    </row>
    <row r="298" spans="1:49">
      <c r="A298" s="149">
        <v>46040</v>
      </c>
      <c r="B298" s="150">
        <f>YEAR(Table7[[#This Row],[Date]])+IF(MONTH(Table7[[#This Row],[Date]])&gt;=4,1,0)</f>
        <v>2026</v>
      </c>
      <c r="C298" s="151">
        <f>YEAR(Table7[[#This Row],[Date]])</f>
        <v>2026</v>
      </c>
      <c r="D298" s="152">
        <f>Daily_KPI[[#This Row],[Date]]-DAY(Daily_KPI[[#This Row],[Date]])+1</f>
        <v>46023</v>
      </c>
      <c r="AW298" s="108">
        <f t="shared" si="14"/>
        <v>0</v>
      </c>
    </row>
    <row r="299" spans="1:49">
      <c r="A299" s="149">
        <v>46041</v>
      </c>
      <c r="B299" s="150">
        <f>YEAR(Table7[[#This Row],[Date]])+IF(MONTH(Table7[[#This Row],[Date]])&gt;=4,1,0)</f>
        <v>2026</v>
      </c>
      <c r="C299" s="151">
        <f>YEAR(Table7[[#This Row],[Date]])</f>
        <v>2026</v>
      </c>
      <c r="D299" s="152">
        <f>Daily_KPI[[#This Row],[Date]]-DAY(Daily_KPI[[#This Row],[Date]])+1</f>
        <v>46023</v>
      </c>
      <c r="AW299" s="108">
        <f t="shared" si="14"/>
        <v>0</v>
      </c>
    </row>
    <row r="300" spans="1:49">
      <c r="A300" s="149">
        <v>46042</v>
      </c>
      <c r="B300" s="150">
        <f>YEAR(Table7[[#This Row],[Date]])+IF(MONTH(Table7[[#This Row],[Date]])&gt;=4,1,0)</f>
        <v>2026</v>
      </c>
      <c r="C300" s="151">
        <f>YEAR(Table7[[#This Row],[Date]])</f>
        <v>2026</v>
      </c>
      <c r="D300" s="152">
        <f>Daily_KPI[[#This Row],[Date]]-DAY(Daily_KPI[[#This Row],[Date]])+1</f>
        <v>46023</v>
      </c>
      <c r="AW300" s="108">
        <f t="shared" si="14"/>
        <v>0</v>
      </c>
    </row>
    <row r="301" spans="1:49">
      <c r="A301" s="149">
        <v>46043</v>
      </c>
      <c r="B301" s="150">
        <f>YEAR(Table7[[#This Row],[Date]])+IF(MONTH(Table7[[#This Row],[Date]])&gt;=4,1,0)</f>
        <v>2026</v>
      </c>
      <c r="C301" s="151">
        <f>YEAR(Table7[[#This Row],[Date]])</f>
        <v>2026</v>
      </c>
      <c r="D301" s="152">
        <f>Daily_KPI[[#This Row],[Date]]-DAY(Daily_KPI[[#This Row],[Date]])+1</f>
        <v>46023</v>
      </c>
      <c r="AW301" s="108">
        <f t="shared" si="14"/>
        <v>0</v>
      </c>
    </row>
    <row r="302" spans="1:49">
      <c r="A302" s="149">
        <v>46044</v>
      </c>
      <c r="B302" s="150">
        <f>YEAR(Table7[[#This Row],[Date]])+IF(MONTH(Table7[[#This Row],[Date]])&gt;=4,1,0)</f>
        <v>2026</v>
      </c>
      <c r="C302" s="151">
        <f>YEAR(Table7[[#This Row],[Date]])</f>
        <v>2026</v>
      </c>
      <c r="D302" s="152">
        <f>Daily_KPI[[#This Row],[Date]]-DAY(Daily_KPI[[#This Row],[Date]])+1</f>
        <v>46023</v>
      </c>
      <c r="AW302" s="108">
        <f t="shared" si="14"/>
        <v>0</v>
      </c>
    </row>
    <row r="303" spans="1:49">
      <c r="A303" s="149">
        <v>46045</v>
      </c>
      <c r="B303" s="150">
        <f>YEAR(Table7[[#This Row],[Date]])+IF(MONTH(Table7[[#This Row],[Date]])&gt;=4,1,0)</f>
        <v>2026</v>
      </c>
      <c r="C303" s="151">
        <f>YEAR(Table7[[#This Row],[Date]])</f>
        <v>2026</v>
      </c>
      <c r="D303" s="152">
        <f>Daily_KPI[[#This Row],[Date]]-DAY(Daily_KPI[[#This Row],[Date]])+1</f>
        <v>46023</v>
      </c>
      <c r="AW303" s="108">
        <f t="shared" si="14"/>
        <v>0</v>
      </c>
    </row>
    <row r="304" spans="1:49">
      <c r="A304" s="149">
        <v>46046</v>
      </c>
      <c r="B304" s="150">
        <f>YEAR(Table7[[#This Row],[Date]])+IF(MONTH(Table7[[#This Row],[Date]])&gt;=4,1,0)</f>
        <v>2026</v>
      </c>
      <c r="C304" s="151">
        <f>YEAR(Table7[[#This Row],[Date]])</f>
        <v>2026</v>
      </c>
      <c r="D304" s="152">
        <f>Daily_KPI[[#This Row],[Date]]-DAY(Daily_KPI[[#This Row],[Date]])+1</f>
        <v>46023</v>
      </c>
      <c r="AW304" s="108">
        <f t="shared" si="14"/>
        <v>0</v>
      </c>
    </row>
    <row r="305" spans="1:49">
      <c r="A305" s="149">
        <v>46047</v>
      </c>
      <c r="B305" s="150">
        <f>YEAR(Table7[[#This Row],[Date]])+IF(MONTH(Table7[[#This Row],[Date]])&gt;=4,1,0)</f>
        <v>2026</v>
      </c>
      <c r="C305" s="151">
        <f>YEAR(Table7[[#This Row],[Date]])</f>
        <v>2026</v>
      </c>
      <c r="D305" s="152">
        <f>Daily_KPI[[#This Row],[Date]]-DAY(Daily_KPI[[#This Row],[Date]])+1</f>
        <v>46023</v>
      </c>
      <c r="AW305" s="108">
        <f t="shared" si="14"/>
        <v>0</v>
      </c>
    </row>
    <row r="306" spans="1:49">
      <c r="A306" s="149">
        <v>46048</v>
      </c>
      <c r="B306" s="150">
        <f>YEAR(Table7[[#This Row],[Date]])+IF(MONTH(Table7[[#This Row],[Date]])&gt;=4,1,0)</f>
        <v>2026</v>
      </c>
      <c r="C306" s="151">
        <f>YEAR(Table7[[#This Row],[Date]])</f>
        <v>2026</v>
      </c>
      <c r="D306" s="152">
        <f>Daily_KPI[[#This Row],[Date]]-DAY(Daily_KPI[[#This Row],[Date]])+1</f>
        <v>46023</v>
      </c>
      <c r="AW306" s="108">
        <f t="shared" si="14"/>
        <v>0</v>
      </c>
    </row>
    <row r="307" spans="1:49">
      <c r="A307" s="149">
        <v>46049</v>
      </c>
      <c r="B307" s="150">
        <f>YEAR(Table7[[#This Row],[Date]])+IF(MONTH(Table7[[#This Row],[Date]])&gt;=4,1,0)</f>
        <v>2026</v>
      </c>
      <c r="C307" s="151">
        <f>YEAR(Table7[[#This Row],[Date]])</f>
        <v>2026</v>
      </c>
      <c r="D307" s="152">
        <f>Daily_KPI[[#This Row],[Date]]-DAY(Daily_KPI[[#This Row],[Date]])+1</f>
        <v>46023</v>
      </c>
      <c r="AW307" s="108">
        <f t="shared" si="14"/>
        <v>0</v>
      </c>
    </row>
    <row r="308" spans="1:49">
      <c r="A308" s="149">
        <v>46050</v>
      </c>
      <c r="B308" s="150">
        <f>YEAR(Table7[[#This Row],[Date]])+IF(MONTH(Table7[[#This Row],[Date]])&gt;=4,1,0)</f>
        <v>2026</v>
      </c>
      <c r="C308" s="151">
        <f>YEAR(Table7[[#This Row],[Date]])</f>
        <v>2026</v>
      </c>
      <c r="D308" s="152">
        <f>Daily_KPI[[#This Row],[Date]]-DAY(Daily_KPI[[#This Row],[Date]])+1</f>
        <v>46023</v>
      </c>
      <c r="AW308" s="108">
        <f t="shared" si="14"/>
        <v>0</v>
      </c>
    </row>
    <row r="309" spans="1:49">
      <c r="A309" s="149">
        <v>46051</v>
      </c>
      <c r="B309" s="150">
        <f>YEAR(Table7[[#This Row],[Date]])+IF(MONTH(Table7[[#This Row],[Date]])&gt;=4,1,0)</f>
        <v>2026</v>
      </c>
      <c r="C309" s="151">
        <f>YEAR(Table7[[#This Row],[Date]])</f>
        <v>2026</v>
      </c>
      <c r="D309" s="152">
        <f>Daily_KPI[[#This Row],[Date]]-DAY(Daily_KPI[[#This Row],[Date]])+1</f>
        <v>46023</v>
      </c>
      <c r="AW309" s="108">
        <f t="shared" si="14"/>
        <v>0</v>
      </c>
    </row>
    <row r="310" spans="1:49">
      <c r="A310" s="149">
        <v>46052</v>
      </c>
      <c r="B310" s="150">
        <f>YEAR(Table7[[#This Row],[Date]])+IF(MONTH(Table7[[#This Row],[Date]])&gt;=4,1,0)</f>
        <v>2026</v>
      </c>
      <c r="C310" s="151">
        <f>YEAR(Table7[[#This Row],[Date]])</f>
        <v>2026</v>
      </c>
      <c r="D310" s="152">
        <f>Daily_KPI[[#This Row],[Date]]-DAY(Daily_KPI[[#This Row],[Date]])+1</f>
        <v>46023</v>
      </c>
      <c r="AW310" s="108">
        <f t="shared" si="14"/>
        <v>0</v>
      </c>
    </row>
    <row r="311" spans="1:49">
      <c r="A311" s="149">
        <v>46053</v>
      </c>
      <c r="B311" s="150">
        <f>YEAR(Table7[[#This Row],[Date]])+IF(MONTH(Table7[[#This Row],[Date]])&gt;=4,1,0)</f>
        <v>2026</v>
      </c>
      <c r="C311" s="151">
        <f>YEAR(Table7[[#This Row],[Date]])</f>
        <v>2026</v>
      </c>
      <c r="D311" s="152">
        <f>Daily_KPI[[#This Row],[Date]]-DAY(Daily_KPI[[#This Row],[Date]])+1</f>
        <v>46054</v>
      </c>
      <c r="AW311" s="108">
        <f t="shared" si="14"/>
        <v>0</v>
      </c>
    </row>
    <row r="312" spans="1:49">
      <c r="A312" s="149">
        <v>46054</v>
      </c>
      <c r="B312" s="150">
        <f>YEAR(Table7[[#This Row],[Date]])+IF(MONTH(Table7[[#This Row],[Date]])&gt;=4,1,0)</f>
        <v>2026</v>
      </c>
      <c r="C312" s="151">
        <f>YEAR(Table7[[#This Row],[Date]])</f>
        <v>2026</v>
      </c>
      <c r="D312" s="152">
        <f>Daily_KPI[[#This Row],[Date]]-DAY(Daily_KPI[[#This Row],[Date]])+1</f>
        <v>46054</v>
      </c>
      <c r="AW312" s="108">
        <f t="shared" si="14"/>
        <v>0</v>
      </c>
    </row>
    <row r="313" spans="1:49">
      <c r="A313" s="149">
        <v>46055</v>
      </c>
      <c r="B313" s="150">
        <f>YEAR(Table7[[#This Row],[Date]])+IF(MONTH(Table7[[#This Row],[Date]])&gt;=4,1,0)</f>
        <v>2026</v>
      </c>
      <c r="C313" s="151">
        <f>YEAR(Table7[[#This Row],[Date]])</f>
        <v>2026</v>
      </c>
      <c r="D313" s="152">
        <f>Daily_KPI[[#This Row],[Date]]-DAY(Daily_KPI[[#This Row],[Date]])+1</f>
        <v>46054</v>
      </c>
      <c r="AW313" s="108">
        <f t="shared" si="14"/>
        <v>0</v>
      </c>
    </row>
    <row r="314" spans="1:49">
      <c r="A314" s="149">
        <v>46056</v>
      </c>
      <c r="B314" s="150">
        <f>YEAR(Table7[[#This Row],[Date]])+IF(MONTH(Table7[[#This Row],[Date]])&gt;=4,1,0)</f>
        <v>2026</v>
      </c>
      <c r="C314" s="151">
        <f>YEAR(Table7[[#This Row],[Date]])</f>
        <v>2026</v>
      </c>
      <c r="D314" s="152">
        <f>Daily_KPI[[#This Row],[Date]]-DAY(Daily_KPI[[#This Row],[Date]])+1</f>
        <v>46054</v>
      </c>
      <c r="AW314" s="108">
        <f t="shared" si="14"/>
        <v>0</v>
      </c>
    </row>
    <row r="315" spans="1:49">
      <c r="A315" s="149">
        <v>46057</v>
      </c>
      <c r="B315" s="150">
        <f>YEAR(Table7[[#This Row],[Date]])+IF(MONTH(Table7[[#This Row],[Date]])&gt;=4,1,0)</f>
        <v>2026</v>
      </c>
      <c r="C315" s="151">
        <f>YEAR(Table7[[#This Row],[Date]])</f>
        <v>2026</v>
      </c>
      <c r="D315" s="152">
        <f>Daily_KPI[[#This Row],[Date]]-DAY(Daily_KPI[[#This Row],[Date]])+1</f>
        <v>46054</v>
      </c>
      <c r="AW315" s="108">
        <f t="shared" si="14"/>
        <v>0</v>
      </c>
    </row>
    <row r="316" spans="1:49">
      <c r="A316" s="149">
        <v>46058</v>
      </c>
      <c r="B316" s="150">
        <f>YEAR(Table7[[#This Row],[Date]])+IF(MONTH(Table7[[#This Row],[Date]])&gt;=4,1,0)</f>
        <v>2026</v>
      </c>
      <c r="C316" s="151">
        <f>YEAR(Table7[[#This Row],[Date]])</f>
        <v>2026</v>
      </c>
      <c r="D316" s="152">
        <f>Daily_KPI[[#This Row],[Date]]-DAY(Daily_KPI[[#This Row],[Date]])+1</f>
        <v>46054</v>
      </c>
      <c r="AW316" s="108">
        <f t="shared" si="14"/>
        <v>0</v>
      </c>
    </row>
    <row r="317" spans="1:49">
      <c r="A317" s="149">
        <v>46059</v>
      </c>
      <c r="B317" s="150">
        <f>YEAR(Table7[[#This Row],[Date]])+IF(MONTH(Table7[[#This Row],[Date]])&gt;=4,1,0)</f>
        <v>2026</v>
      </c>
      <c r="C317" s="151">
        <f>YEAR(Table7[[#This Row],[Date]])</f>
        <v>2026</v>
      </c>
      <c r="D317" s="152">
        <f>Daily_KPI[[#This Row],[Date]]-DAY(Daily_KPI[[#This Row],[Date]])+1</f>
        <v>46054</v>
      </c>
      <c r="AW317" s="108">
        <f t="shared" si="14"/>
        <v>0</v>
      </c>
    </row>
    <row r="318" spans="1:49">
      <c r="A318" s="149">
        <v>46060</v>
      </c>
      <c r="B318" s="150">
        <f>YEAR(Table7[[#This Row],[Date]])+IF(MONTH(Table7[[#This Row],[Date]])&gt;=4,1,0)</f>
        <v>2026</v>
      </c>
      <c r="C318" s="151">
        <f>YEAR(Table7[[#This Row],[Date]])</f>
        <v>2026</v>
      </c>
      <c r="D318" s="152">
        <f>Daily_KPI[[#This Row],[Date]]-DAY(Daily_KPI[[#This Row],[Date]])+1</f>
        <v>46054</v>
      </c>
      <c r="AW318" s="108">
        <f t="shared" ref="AW318:AW370" si="15">SUM(E318:AV318)/1000</f>
        <v>0</v>
      </c>
    </row>
    <row r="319" spans="1:49">
      <c r="A319" s="149">
        <v>46061</v>
      </c>
      <c r="B319" s="150">
        <f>YEAR(Table7[[#This Row],[Date]])+IF(MONTH(Table7[[#This Row],[Date]])&gt;=4,1,0)</f>
        <v>2026</v>
      </c>
      <c r="C319" s="151">
        <f>YEAR(Table7[[#This Row],[Date]])</f>
        <v>2026</v>
      </c>
      <c r="D319" s="152">
        <f>Daily_KPI[[#This Row],[Date]]-DAY(Daily_KPI[[#This Row],[Date]])+1</f>
        <v>46054</v>
      </c>
      <c r="AW319" s="108">
        <f t="shared" si="15"/>
        <v>0</v>
      </c>
    </row>
    <row r="320" spans="1:49">
      <c r="A320" s="149">
        <v>46062</v>
      </c>
      <c r="B320" s="150">
        <f>YEAR(Table7[[#This Row],[Date]])+IF(MONTH(Table7[[#This Row],[Date]])&gt;=4,1,0)</f>
        <v>2026</v>
      </c>
      <c r="C320" s="151">
        <f>YEAR(Table7[[#This Row],[Date]])</f>
        <v>2026</v>
      </c>
      <c r="D320" s="152">
        <f>Daily_KPI[[#This Row],[Date]]-DAY(Daily_KPI[[#This Row],[Date]])+1</f>
        <v>46054</v>
      </c>
      <c r="AW320" s="108">
        <f t="shared" si="15"/>
        <v>0</v>
      </c>
    </row>
    <row r="321" spans="1:49">
      <c r="A321" s="149">
        <v>46063</v>
      </c>
      <c r="B321" s="150">
        <f>YEAR(Table7[[#This Row],[Date]])+IF(MONTH(Table7[[#This Row],[Date]])&gt;=4,1,0)</f>
        <v>2026</v>
      </c>
      <c r="C321" s="151">
        <f>YEAR(Table7[[#This Row],[Date]])</f>
        <v>2026</v>
      </c>
      <c r="D321" s="152">
        <f>Daily_KPI[[#This Row],[Date]]-DAY(Daily_KPI[[#This Row],[Date]])+1</f>
        <v>46054</v>
      </c>
      <c r="AW321" s="108">
        <f t="shared" si="15"/>
        <v>0</v>
      </c>
    </row>
    <row r="322" spans="1:49">
      <c r="A322" s="149">
        <v>46064</v>
      </c>
      <c r="B322" s="150">
        <f>YEAR(Table7[[#This Row],[Date]])+IF(MONTH(Table7[[#This Row],[Date]])&gt;=4,1,0)</f>
        <v>2026</v>
      </c>
      <c r="C322" s="151">
        <f>YEAR(Table7[[#This Row],[Date]])</f>
        <v>2026</v>
      </c>
      <c r="D322" s="152">
        <f>Daily_KPI[[#This Row],[Date]]-DAY(Daily_KPI[[#This Row],[Date]])+1</f>
        <v>46054</v>
      </c>
      <c r="AW322" s="108">
        <f t="shared" si="15"/>
        <v>0</v>
      </c>
    </row>
    <row r="323" spans="1:49">
      <c r="A323" s="149">
        <v>46065</v>
      </c>
      <c r="B323" s="150">
        <f>YEAR(Table7[[#This Row],[Date]])+IF(MONTH(Table7[[#This Row],[Date]])&gt;=4,1,0)</f>
        <v>2026</v>
      </c>
      <c r="C323" s="151">
        <f>YEAR(Table7[[#This Row],[Date]])</f>
        <v>2026</v>
      </c>
      <c r="D323" s="152">
        <f>Daily_KPI[[#This Row],[Date]]-DAY(Daily_KPI[[#This Row],[Date]])+1</f>
        <v>46054</v>
      </c>
      <c r="AW323" s="108">
        <f t="shared" si="15"/>
        <v>0</v>
      </c>
    </row>
    <row r="324" spans="1:49">
      <c r="A324" s="149">
        <v>46066</v>
      </c>
      <c r="B324" s="150">
        <f>YEAR(Table7[[#This Row],[Date]])+IF(MONTH(Table7[[#This Row],[Date]])&gt;=4,1,0)</f>
        <v>2026</v>
      </c>
      <c r="C324" s="151">
        <f>YEAR(Table7[[#This Row],[Date]])</f>
        <v>2026</v>
      </c>
      <c r="D324" s="152">
        <f>Daily_KPI[[#This Row],[Date]]-DAY(Daily_KPI[[#This Row],[Date]])+1</f>
        <v>46054</v>
      </c>
      <c r="AW324" s="108">
        <f t="shared" si="15"/>
        <v>0</v>
      </c>
    </row>
    <row r="325" spans="1:49">
      <c r="A325" s="149">
        <v>46067</v>
      </c>
      <c r="B325" s="150">
        <f>YEAR(Table7[[#This Row],[Date]])+IF(MONTH(Table7[[#This Row],[Date]])&gt;=4,1,0)</f>
        <v>2026</v>
      </c>
      <c r="C325" s="151">
        <f>YEAR(Table7[[#This Row],[Date]])</f>
        <v>2026</v>
      </c>
      <c r="D325" s="152">
        <f>Daily_KPI[[#This Row],[Date]]-DAY(Daily_KPI[[#This Row],[Date]])+1</f>
        <v>46054</v>
      </c>
      <c r="AW325" s="108">
        <f t="shared" si="15"/>
        <v>0</v>
      </c>
    </row>
    <row r="326" spans="1:49">
      <c r="A326" s="149">
        <v>46068</v>
      </c>
      <c r="B326" s="150">
        <f>YEAR(Table7[[#This Row],[Date]])+IF(MONTH(Table7[[#This Row],[Date]])&gt;=4,1,0)</f>
        <v>2026</v>
      </c>
      <c r="C326" s="151">
        <f>YEAR(Table7[[#This Row],[Date]])</f>
        <v>2026</v>
      </c>
      <c r="D326" s="152">
        <f>Daily_KPI[[#This Row],[Date]]-DAY(Daily_KPI[[#This Row],[Date]])+1</f>
        <v>46054</v>
      </c>
      <c r="AW326" s="108">
        <f t="shared" si="15"/>
        <v>0</v>
      </c>
    </row>
    <row r="327" spans="1:49">
      <c r="A327" s="149">
        <v>46069</v>
      </c>
      <c r="B327" s="150">
        <f>YEAR(Table7[[#This Row],[Date]])+IF(MONTH(Table7[[#This Row],[Date]])&gt;=4,1,0)</f>
        <v>2026</v>
      </c>
      <c r="C327" s="151">
        <f>YEAR(Table7[[#This Row],[Date]])</f>
        <v>2026</v>
      </c>
      <c r="D327" s="152">
        <f>Daily_KPI[[#This Row],[Date]]-DAY(Daily_KPI[[#This Row],[Date]])+1</f>
        <v>46054</v>
      </c>
      <c r="AW327" s="108">
        <f t="shared" si="15"/>
        <v>0</v>
      </c>
    </row>
    <row r="328" spans="1:49">
      <c r="A328" s="149">
        <v>46070</v>
      </c>
      <c r="B328" s="150">
        <f>YEAR(Table7[[#This Row],[Date]])+IF(MONTH(Table7[[#This Row],[Date]])&gt;=4,1,0)</f>
        <v>2026</v>
      </c>
      <c r="C328" s="151">
        <f>YEAR(Table7[[#This Row],[Date]])</f>
        <v>2026</v>
      </c>
      <c r="D328" s="152">
        <f>Daily_KPI[[#This Row],[Date]]-DAY(Daily_KPI[[#This Row],[Date]])+1</f>
        <v>46054</v>
      </c>
      <c r="AW328" s="108">
        <f t="shared" si="15"/>
        <v>0</v>
      </c>
    </row>
    <row r="329" spans="1:49">
      <c r="A329" s="149">
        <v>46071</v>
      </c>
      <c r="B329" s="150">
        <f>YEAR(Table7[[#This Row],[Date]])+IF(MONTH(Table7[[#This Row],[Date]])&gt;=4,1,0)</f>
        <v>2026</v>
      </c>
      <c r="C329" s="151">
        <f>YEAR(Table7[[#This Row],[Date]])</f>
        <v>2026</v>
      </c>
      <c r="D329" s="152">
        <f>Daily_KPI[[#This Row],[Date]]-DAY(Daily_KPI[[#This Row],[Date]])+1</f>
        <v>46054</v>
      </c>
      <c r="AW329" s="108">
        <f t="shared" si="15"/>
        <v>0</v>
      </c>
    </row>
    <row r="330" spans="1:49">
      <c r="A330" s="149">
        <v>46072</v>
      </c>
      <c r="B330" s="150">
        <f>YEAR(Table7[[#This Row],[Date]])+IF(MONTH(Table7[[#This Row],[Date]])&gt;=4,1,0)</f>
        <v>2026</v>
      </c>
      <c r="C330" s="151">
        <f>YEAR(Table7[[#This Row],[Date]])</f>
        <v>2026</v>
      </c>
      <c r="D330" s="152">
        <f>Daily_KPI[[#This Row],[Date]]-DAY(Daily_KPI[[#This Row],[Date]])+1</f>
        <v>46054</v>
      </c>
      <c r="AW330" s="108">
        <f t="shared" si="15"/>
        <v>0</v>
      </c>
    </row>
    <row r="331" spans="1:49">
      <c r="A331" s="149">
        <v>46073</v>
      </c>
      <c r="B331" s="150">
        <f>YEAR(Table7[[#This Row],[Date]])+IF(MONTH(Table7[[#This Row],[Date]])&gt;=4,1,0)</f>
        <v>2026</v>
      </c>
      <c r="C331" s="151">
        <f>YEAR(Table7[[#This Row],[Date]])</f>
        <v>2026</v>
      </c>
      <c r="D331" s="152">
        <f>Daily_KPI[[#This Row],[Date]]-DAY(Daily_KPI[[#This Row],[Date]])+1</f>
        <v>46054</v>
      </c>
      <c r="AW331" s="108">
        <f t="shared" si="15"/>
        <v>0</v>
      </c>
    </row>
    <row r="332" spans="1:49">
      <c r="A332" s="149">
        <v>46074</v>
      </c>
      <c r="B332" s="150">
        <f>YEAR(Table7[[#This Row],[Date]])+IF(MONTH(Table7[[#This Row],[Date]])&gt;=4,1,0)</f>
        <v>2026</v>
      </c>
      <c r="C332" s="151">
        <f>YEAR(Table7[[#This Row],[Date]])</f>
        <v>2026</v>
      </c>
      <c r="D332" s="152">
        <f>Daily_KPI[[#This Row],[Date]]-DAY(Daily_KPI[[#This Row],[Date]])+1</f>
        <v>46054</v>
      </c>
      <c r="AW332" s="108">
        <f t="shared" si="15"/>
        <v>0</v>
      </c>
    </row>
    <row r="333" spans="1:49">
      <c r="A333" s="149">
        <v>46075</v>
      </c>
      <c r="B333" s="150">
        <f>YEAR(Table7[[#This Row],[Date]])+IF(MONTH(Table7[[#This Row],[Date]])&gt;=4,1,0)</f>
        <v>2026</v>
      </c>
      <c r="C333" s="151">
        <f>YEAR(Table7[[#This Row],[Date]])</f>
        <v>2026</v>
      </c>
      <c r="D333" s="152">
        <f>Daily_KPI[[#This Row],[Date]]-DAY(Daily_KPI[[#This Row],[Date]])+1</f>
        <v>46054</v>
      </c>
      <c r="AW333" s="108">
        <f t="shared" si="15"/>
        <v>0</v>
      </c>
    </row>
    <row r="334" spans="1:49">
      <c r="A334" s="149">
        <v>46076</v>
      </c>
      <c r="B334" s="150">
        <f>YEAR(Table7[[#This Row],[Date]])+IF(MONTH(Table7[[#This Row],[Date]])&gt;=4,1,0)</f>
        <v>2026</v>
      </c>
      <c r="C334" s="151">
        <f>YEAR(Table7[[#This Row],[Date]])</f>
        <v>2026</v>
      </c>
      <c r="D334" s="152">
        <f>Daily_KPI[[#This Row],[Date]]-DAY(Daily_KPI[[#This Row],[Date]])+1</f>
        <v>46054</v>
      </c>
      <c r="AW334" s="108">
        <f t="shared" si="15"/>
        <v>0</v>
      </c>
    </row>
    <row r="335" spans="1:49">
      <c r="A335" s="149">
        <v>46077</v>
      </c>
      <c r="B335" s="150">
        <f>YEAR(Table7[[#This Row],[Date]])+IF(MONTH(Table7[[#This Row],[Date]])&gt;=4,1,0)</f>
        <v>2026</v>
      </c>
      <c r="C335" s="151">
        <f>YEAR(Table7[[#This Row],[Date]])</f>
        <v>2026</v>
      </c>
      <c r="D335" s="152">
        <f>Daily_KPI[[#This Row],[Date]]-DAY(Daily_KPI[[#This Row],[Date]])+1</f>
        <v>46054</v>
      </c>
      <c r="AW335" s="108">
        <f t="shared" si="15"/>
        <v>0</v>
      </c>
    </row>
    <row r="336" spans="1:49">
      <c r="A336" s="149">
        <v>46078</v>
      </c>
      <c r="B336" s="150">
        <f>YEAR(Table7[[#This Row],[Date]])+IF(MONTH(Table7[[#This Row],[Date]])&gt;=4,1,0)</f>
        <v>2026</v>
      </c>
      <c r="C336" s="151">
        <f>YEAR(Table7[[#This Row],[Date]])</f>
        <v>2026</v>
      </c>
      <c r="D336" s="152">
        <f>Daily_KPI[[#This Row],[Date]]-DAY(Daily_KPI[[#This Row],[Date]])+1</f>
        <v>46054</v>
      </c>
      <c r="AW336" s="108">
        <f t="shared" si="15"/>
        <v>0</v>
      </c>
    </row>
    <row r="337" spans="1:49">
      <c r="A337" s="149">
        <v>46079</v>
      </c>
      <c r="B337" s="150">
        <f>YEAR(Table7[[#This Row],[Date]])+IF(MONTH(Table7[[#This Row],[Date]])&gt;=4,1,0)</f>
        <v>2026</v>
      </c>
      <c r="C337" s="151">
        <f>YEAR(Table7[[#This Row],[Date]])</f>
        <v>2026</v>
      </c>
      <c r="D337" s="152">
        <f>Daily_KPI[[#This Row],[Date]]-DAY(Daily_KPI[[#This Row],[Date]])+1</f>
        <v>46054</v>
      </c>
      <c r="AW337" s="108">
        <f t="shared" si="15"/>
        <v>0</v>
      </c>
    </row>
    <row r="338" spans="1:49">
      <c r="A338" s="149">
        <v>46080</v>
      </c>
      <c r="B338" s="150">
        <f>YEAR(Table7[[#This Row],[Date]])+IF(MONTH(Table7[[#This Row],[Date]])&gt;=4,1,0)</f>
        <v>2026</v>
      </c>
      <c r="C338" s="151">
        <f>YEAR(Table7[[#This Row],[Date]])</f>
        <v>2026</v>
      </c>
      <c r="D338" s="152">
        <f>Daily_KPI[[#This Row],[Date]]-DAY(Daily_KPI[[#This Row],[Date]])+1</f>
        <v>46054</v>
      </c>
      <c r="AW338" s="108">
        <f t="shared" si="15"/>
        <v>0</v>
      </c>
    </row>
    <row r="339" spans="1:49">
      <c r="A339" s="149">
        <v>46081</v>
      </c>
      <c r="B339" s="150">
        <f>YEAR(Table7[[#This Row],[Date]])+IF(MONTH(Table7[[#This Row],[Date]])&gt;=4,1,0)</f>
        <v>2026</v>
      </c>
      <c r="C339" s="151">
        <f>YEAR(Table7[[#This Row],[Date]])</f>
        <v>2026</v>
      </c>
      <c r="D339" s="152">
        <f>Daily_KPI[[#This Row],[Date]]-DAY(Daily_KPI[[#This Row],[Date]])+1</f>
        <v>46082</v>
      </c>
      <c r="AW339" s="108">
        <f t="shared" si="15"/>
        <v>0</v>
      </c>
    </row>
    <row r="340" spans="1:49">
      <c r="A340" s="149">
        <v>46082</v>
      </c>
      <c r="B340" s="150">
        <f>YEAR(Table7[[#This Row],[Date]])+IF(MONTH(Table7[[#This Row],[Date]])&gt;=4,1,0)</f>
        <v>2026</v>
      </c>
      <c r="C340" s="151">
        <f>YEAR(Table7[[#This Row],[Date]])</f>
        <v>2026</v>
      </c>
      <c r="D340" s="152">
        <f>Daily_KPI[[#This Row],[Date]]-DAY(Daily_KPI[[#This Row],[Date]])+1</f>
        <v>46082</v>
      </c>
      <c r="AW340" s="108">
        <f t="shared" si="15"/>
        <v>0</v>
      </c>
    </row>
    <row r="341" spans="1:49">
      <c r="A341" s="149">
        <v>46083</v>
      </c>
      <c r="B341" s="150">
        <f>YEAR(Table7[[#This Row],[Date]])+IF(MONTH(Table7[[#This Row],[Date]])&gt;=4,1,0)</f>
        <v>2026</v>
      </c>
      <c r="C341" s="151">
        <f>YEAR(Table7[[#This Row],[Date]])</f>
        <v>2026</v>
      </c>
      <c r="D341" s="152">
        <f>Daily_KPI[[#This Row],[Date]]-DAY(Daily_KPI[[#This Row],[Date]])+1</f>
        <v>46082</v>
      </c>
      <c r="AW341" s="108">
        <f t="shared" si="15"/>
        <v>0</v>
      </c>
    </row>
    <row r="342" spans="1:49">
      <c r="A342" s="149">
        <v>46084</v>
      </c>
      <c r="B342" s="150">
        <f>YEAR(Table7[[#This Row],[Date]])+IF(MONTH(Table7[[#This Row],[Date]])&gt;=4,1,0)</f>
        <v>2026</v>
      </c>
      <c r="C342" s="151">
        <f>YEAR(Table7[[#This Row],[Date]])</f>
        <v>2026</v>
      </c>
      <c r="D342" s="152">
        <f>Daily_KPI[[#This Row],[Date]]-DAY(Daily_KPI[[#This Row],[Date]])+1</f>
        <v>46082</v>
      </c>
      <c r="AW342" s="108">
        <f t="shared" si="15"/>
        <v>0</v>
      </c>
    </row>
    <row r="343" spans="1:49">
      <c r="A343" s="149">
        <v>46085</v>
      </c>
      <c r="B343" s="150">
        <f>YEAR(Table7[[#This Row],[Date]])+IF(MONTH(Table7[[#This Row],[Date]])&gt;=4,1,0)</f>
        <v>2026</v>
      </c>
      <c r="C343" s="151">
        <f>YEAR(Table7[[#This Row],[Date]])</f>
        <v>2026</v>
      </c>
      <c r="D343" s="152">
        <f>Daily_KPI[[#This Row],[Date]]-DAY(Daily_KPI[[#This Row],[Date]])+1</f>
        <v>46082</v>
      </c>
      <c r="AW343" s="108">
        <f t="shared" si="15"/>
        <v>0</v>
      </c>
    </row>
    <row r="344" spans="1:49">
      <c r="A344" s="149">
        <v>46086</v>
      </c>
      <c r="B344" s="150">
        <f>YEAR(Table7[[#This Row],[Date]])+IF(MONTH(Table7[[#This Row],[Date]])&gt;=4,1,0)</f>
        <v>2026</v>
      </c>
      <c r="C344" s="151">
        <f>YEAR(Table7[[#This Row],[Date]])</f>
        <v>2026</v>
      </c>
      <c r="D344" s="152">
        <f>Daily_KPI[[#This Row],[Date]]-DAY(Daily_KPI[[#This Row],[Date]])+1</f>
        <v>46082</v>
      </c>
      <c r="AW344" s="108">
        <f t="shared" si="15"/>
        <v>0</v>
      </c>
    </row>
    <row r="345" spans="1:49">
      <c r="A345" s="149">
        <v>46087</v>
      </c>
      <c r="B345" s="150">
        <f>YEAR(Table7[[#This Row],[Date]])+IF(MONTH(Table7[[#This Row],[Date]])&gt;=4,1,0)</f>
        <v>2026</v>
      </c>
      <c r="C345" s="151">
        <f>YEAR(Table7[[#This Row],[Date]])</f>
        <v>2026</v>
      </c>
      <c r="D345" s="152">
        <f>Daily_KPI[[#This Row],[Date]]-DAY(Daily_KPI[[#This Row],[Date]])+1</f>
        <v>46082</v>
      </c>
      <c r="AW345" s="108">
        <f t="shared" si="15"/>
        <v>0</v>
      </c>
    </row>
    <row r="346" spans="1:49">
      <c r="A346" s="149">
        <v>46088</v>
      </c>
      <c r="B346" s="150">
        <f>YEAR(Table7[[#This Row],[Date]])+IF(MONTH(Table7[[#This Row],[Date]])&gt;=4,1,0)</f>
        <v>2026</v>
      </c>
      <c r="C346" s="151">
        <f>YEAR(Table7[[#This Row],[Date]])</f>
        <v>2026</v>
      </c>
      <c r="D346" s="152">
        <f>Daily_KPI[[#This Row],[Date]]-DAY(Daily_KPI[[#This Row],[Date]])+1</f>
        <v>46082</v>
      </c>
      <c r="AW346" s="108">
        <f t="shared" si="15"/>
        <v>0</v>
      </c>
    </row>
    <row r="347" spans="1:49">
      <c r="A347" s="149">
        <v>46089</v>
      </c>
      <c r="B347" s="150">
        <f>YEAR(Table7[[#This Row],[Date]])+IF(MONTH(Table7[[#This Row],[Date]])&gt;=4,1,0)</f>
        <v>2026</v>
      </c>
      <c r="C347" s="151">
        <f>YEAR(Table7[[#This Row],[Date]])</f>
        <v>2026</v>
      </c>
      <c r="D347" s="152">
        <f>Daily_KPI[[#This Row],[Date]]-DAY(Daily_KPI[[#This Row],[Date]])+1</f>
        <v>46082</v>
      </c>
      <c r="AW347" s="108">
        <f t="shared" si="15"/>
        <v>0</v>
      </c>
    </row>
    <row r="348" spans="1:49">
      <c r="A348" s="149">
        <v>46090</v>
      </c>
      <c r="B348" s="150">
        <f>YEAR(Table7[[#This Row],[Date]])+IF(MONTH(Table7[[#This Row],[Date]])&gt;=4,1,0)</f>
        <v>2026</v>
      </c>
      <c r="C348" s="151">
        <f>YEAR(Table7[[#This Row],[Date]])</f>
        <v>2026</v>
      </c>
      <c r="D348" s="152">
        <f>Daily_KPI[[#This Row],[Date]]-DAY(Daily_KPI[[#This Row],[Date]])+1</f>
        <v>46082</v>
      </c>
      <c r="AW348" s="108">
        <f t="shared" si="15"/>
        <v>0</v>
      </c>
    </row>
    <row r="349" spans="1:49">
      <c r="A349" s="149">
        <v>46091</v>
      </c>
      <c r="B349" s="150">
        <f>YEAR(Table7[[#This Row],[Date]])+IF(MONTH(Table7[[#This Row],[Date]])&gt;=4,1,0)</f>
        <v>2026</v>
      </c>
      <c r="C349" s="151">
        <f>YEAR(Table7[[#This Row],[Date]])</f>
        <v>2026</v>
      </c>
      <c r="D349" s="152">
        <f>Daily_KPI[[#This Row],[Date]]-DAY(Daily_KPI[[#This Row],[Date]])+1</f>
        <v>46082</v>
      </c>
      <c r="AW349" s="108">
        <f t="shared" si="15"/>
        <v>0</v>
      </c>
    </row>
    <row r="350" spans="1:49">
      <c r="A350" s="149">
        <v>46092</v>
      </c>
      <c r="B350" s="150">
        <f>YEAR(Table7[[#This Row],[Date]])+IF(MONTH(Table7[[#This Row],[Date]])&gt;=4,1,0)</f>
        <v>2026</v>
      </c>
      <c r="C350" s="151">
        <f>YEAR(Table7[[#This Row],[Date]])</f>
        <v>2026</v>
      </c>
      <c r="D350" s="152">
        <f>Daily_KPI[[#This Row],[Date]]-DAY(Daily_KPI[[#This Row],[Date]])+1</f>
        <v>46082</v>
      </c>
      <c r="AW350" s="108">
        <f t="shared" si="15"/>
        <v>0</v>
      </c>
    </row>
    <row r="351" spans="1:49">
      <c r="A351" s="149">
        <v>46093</v>
      </c>
      <c r="B351" s="150">
        <f>YEAR(Table7[[#This Row],[Date]])+IF(MONTH(Table7[[#This Row],[Date]])&gt;=4,1,0)</f>
        <v>2026</v>
      </c>
      <c r="C351" s="151">
        <f>YEAR(Table7[[#This Row],[Date]])</f>
        <v>2026</v>
      </c>
      <c r="D351" s="152">
        <f>Daily_KPI[[#This Row],[Date]]-DAY(Daily_KPI[[#This Row],[Date]])+1</f>
        <v>46082</v>
      </c>
      <c r="AW351" s="108">
        <f t="shared" si="15"/>
        <v>0</v>
      </c>
    </row>
    <row r="352" spans="1:49">
      <c r="A352" s="149">
        <v>46094</v>
      </c>
      <c r="B352" s="150">
        <f>YEAR(Table7[[#This Row],[Date]])+IF(MONTH(Table7[[#This Row],[Date]])&gt;=4,1,0)</f>
        <v>2026</v>
      </c>
      <c r="C352" s="151">
        <f>YEAR(Table7[[#This Row],[Date]])</f>
        <v>2026</v>
      </c>
      <c r="D352" s="152">
        <f>Daily_KPI[[#This Row],[Date]]-DAY(Daily_KPI[[#This Row],[Date]])+1</f>
        <v>46082</v>
      </c>
      <c r="AW352" s="108">
        <f t="shared" si="15"/>
        <v>0</v>
      </c>
    </row>
    <row r="353" spans="1:49">
      <c r="A353" s="149">
        <v>46095</v>
      </c>
      <c r="B353" s="150">
        <f>YEAR(Table7[[#This Row],[Date]])+IF(MONTH(Table7[[#This Row],[Date]])&gt;=4,1,0)</f>
        <v>2026</v>
      </c>
      <c r="C353" s="151">
        <f>YEAR(Table7[[#This Row],[Date]])</f>
        <v>2026</v>
      </c>
      <c r="D353" s="152">
        <f>Daily_KPI[[#This Row],[Date]]-DAY(Daily_KPI[[#This Row],[Date]])+1</f>
        <v>46082</v>
      </c>
      <c r="AW353" s="108">
        <f t="shared" si="15"/>
        <v>0</v>
      </c>
    </row>
    <row r="354" spans="1:49">
      <c r="A354" s="149">
        <v>46096</v>
      </c>
      <c r="B354" s="150">
        <f>YEAR(Table7[[#This Row],[Date]])+IF(MONTH(Table7[[#This Row],[Date]])&gt;=4,1,0)</f>
        <v>2026</v>
      </c>
      <c r="C354" s="151">
        <f>YEAR(Table7[[#This Row],[Date]])</f>
        <v>2026</v>
      </c>
      <c r="D354" s="152">
        <f>Daily_KPI[[#This Row],[Date]]-DAY(Daily_KPI[[#This Row],[Date]])+1</f>
        <v>46082</v>
      </c>
      <c r="AW354" s="108">
        <f t="shared" si="15"/>
        <v>0</v>
      </c>
    </row>
    <row r="355" spans="1:49">
      <c r="A355" s="149">
        <v>46097</v>
      </c>
      <c r="B355" s="150">
        <f>YEAR(Table7[[#This Row],[Date]])+IF(MONTH(Table7[[#This Row],[Date]])&gt;=4,1,0)</f>
        <v>2026</v>
      </c>
      <c r="C355" s="151">
        <f>YEAR(Table7[[#This Row],[Date]])</f>
        <v>2026</v>
      </c>
      <c r="D355" s="152">
        <f>Daily_KPI[[#This Row],[Date]]-DAY(Daily_KPI[[#This Row],[Date]])+1</f>
        <v>46082</v>
      </c>
      <c r="AW355" s="108">
        <f t="shared" si="15"/>
        <v>0</v>
      </c>
    </row>
    <row r="356" spans="1:49">
      <c r="A356" s="149">
        <v>46098</v>
      </c>
      <c r="B356" s="150">
        <f>YEAR(Table7[[#This Row],[Date]])+IF(MONTH(Table7[[#This Row],[Date]])&gt;=4,1,0)</f>
        <v>2026</v>
      </c>
      <c r="C356" s="151">
        <f>YEAR(Table7[[#This Row],[Date]])</f>
        <v>2026</v>
      </c>
      <c r="D356" s="152">
        <f>Daily_KPI[[#This Row],[Date]]-DAY(Daily_KPI[[#This Row],[Date]])+1</f>
        <v>46082</v>
      </c>
      <c r="AW356" s="108">
        <f t="shared" si="15"/>
        <v>0</v>
      </c>
    </row>
    <row r="357" spans="1:49">
      <c r="A357" s="149">
        <v>46099</v>
      </c>
      <c r="B357" s="150">
        <f>YEAR(Table7[[#This Row],[Date]])+IF(MONTH(Table7[[#This Row],[Date]])&gt;=4,1,0)</f>
        <v>2026</v>
      </c>
      <c r="C357" s="151">
        <f>YEAR(Table7[[#This Row],[Date]])</f>
        <v>2026</v>
      </c>
      <c r="D357" s="152">
        <f>Daily_KPI[[#This Row],[Date]]-DAY(Daily_KPI[[#This Row],[Date]])+1</f>
        <v>46082</v>
      </c>
      <c r="AW357" s="108">
        <f t="shared" si="15"/>
        <v>0</v>
      </c>
    </row>
    <row r="358" spans="1:49">
      <c r="A358" s="149">
        <v>46100</v>
      </c>
      <c r="B358" s="150">
        <f>YEAR(Table7[[#This Row],[Date]])+IF(MONTH(Table7[[#This Row],[Date]])&gt;=4,1,0)</f>
        <v>2026</v>
      </c>
      <c r="C358" s="151">
        <f>YEAR(Table7[[#This Row],[Date]])</f>
        <v>2026</v>
      </c>
      <c r="D358" s="152">
        <f>Daily_KPI[[#This Row],[Date]]-DAY(Daily_KPI[[#This Row],[Date]])+1</f>
        <v>46082</v>
      </c>
      <c r="AW358" s="108">
        <f t="shared" si="15"/>
        <v>0</v>
      </c>
    </row>
    <row r="359" spans="1:49">
      <c r="A359" s="149">
        <v>46101</v>
      </c>
      <c r="B359" s="150">
        <f>YEAR(Table7[[#This Row],[Date]])+IF(MONTH(Table7[[#This Row],[Date]])&gt;=4,1,0)</f>
        <v>2026</v>
      </c>
      <c r="C359" s="151">
        <f>YEAR(Table7[[#This Row],[Date]])</f>
        <v>2026</v>
      </c>
      <c r="D359" s="152">
        <f>Daily_KPI[[#This Row],[Date]]-DAY(Daily_KPI[[#This Row],[Date]])+1</f>
        <v>46082</v>
      </c>
      <c r="AW359" s="108">
        <f t="shared" si="15"/>
        <v>0</v>
      </c>
    </row>
    <row r="360" spans="1:49">
      <c r="A360" s="149">
        <v>46102</v>
      </c>
      <c r="B360" s="150">
        <f>YEAR(Table7[[#This Row],[Date]])+IF(MONTH(Table7[[#This Row],[Date]])&gt;=4,1,0)</f>
        <v>2026</v>
      </c>
      <c r="C360" s="151">
        <f>YEAR(Table7[[#This Row],[Date]])</f>
        <v>2026</v>
      </c>
      <c r="D360" s="152">
        <f>Daily_KPI[[#This Row],[Date]]-DAY(Daily_KPI[[#This Row],[Date]])+1</f>
        <v>46082</v>
      </c>
      <c r="AW360" s="108">
        <f t="shared" si="15"/>
        <v>0</v>
      </c>
    </row>
    <row r="361" spans="1:49">
      <c r="A361" s="149">
        <v>46103</v>
      </c>
      <c r="B361" s="150">
        <f>YEAR(Table7[[#This Row],[Date]])+IF(MONTH(Table7[[#This Row],[Date]])&gt;=4,1,0)</f>
        <v>2026</v>
      </c>
      <c r="C361" s="151">
        <f>YEAR(Table7[[#This Row],[Date]])</f>
        <v>2026</v>
      </c>
      <c r="D361" s="152">
        <f>Daily_KPI[[#This Row],[Date]]-DAY(Daily_KPI[[#This Row],[Date]])+1</f>
        <v>46082</v>
      </c>
      <c r="AW361" s="108">
        <f t="shared" si="15"/>
        <v>0</v>
      </c>
    </row>
    <row r="362" spans="1:49">
      <c r="A362" s="149">
        <v>46104</v>
      </c>
      <c r="B362" s="150">
        <f>YEAR(Table7[[#This Row],[Date]])+IF(MONTH(Table7[[#This Row],[Date]])&gt;=4,1,0)</f>
        <v>2026</v>
      </c>
      <c r="C362" s="151">
        <f>YEAR(Table7[[#This Row],[Date]])</f>
        <v>2026</v>
      </c>
      <c r="D362" s="152">
        <f>Daily_KPI[[#This Row],[Date]]-DAY(Daily_KPI[[#This Row],[Date]])+1</f>
        <v>46082</v>
      </c>
      <c r="AW362" s="108">
        <f t="shared" si="15"/>
        <v>0</v>
      </c>
    </row>
    <row r="363" spans="1:49">
      <c r="A363" s="149">
        <v>46105</v>
      </c>
      <c r="B363" s="150">
        <f>YEAR(Table7[[#This Row],[Date]])+IF(MONTH(Table7[[#This Row],[Date]])&gt;=4,1,0)</f>
        <v>2026</v>
      </c>
      <c r="C363" s="151">
        <f>YEAR(Table7[[#This Row],[Date]])</f>
        <v>2026</v>
      </c>
      <c r="D363" s="152">
        <f>Daily_KPI[[#This Row],[Date]]-DAY(Daily_KPI[[#This Row],[Date]])+1</f>
        <v>46082</v>
      </c>
      <c r="AW363" s="108">
        <f t="shared" si="15"/>
        <v>0</v>
      </c>
    </row>
    <row r="364" spans="1:49">
      <c r="A364" s="149">
        <v>46106</v>
      </c>
      <c r="B364" s="150">
        <f>YEAR(Table7[[#This Row],[Date]])+IF(MONTH(Table7[[#This Row],[Date]])&gt;=4,1,0)</f>
        <v>2026</v>
      </c>
      <c r="C364" s="151">
        <f>YEAR(Table7[[#This Row],[Date]])</f>
        <v>2026</v>
      </c>
      <c r="D364" s="152">
        <f>Daily_KPI[[#This Row],[Date]]-DAY(Daily_KPI[[#This Row],[Date]])+1</f>
        <v>46082</v>
      </c>
      <c r="AW364" s="108">
        <f t="shared" si="15"/>
        <v>0</v>
      </c>
    </row>
    <row r="365" spans="1:49">
      <c r="A365" s="149">
        <v>46107</v>
      </c>
      <c r="B365" s="150">
        <f>YEAR(Table7[[#This Row],[Date]])+IF(MONTH(Table7[[#This Row],[Date]])&gt;=4,1,0)</f>
        <v>2026</v>
      </c>
      <c r="C365" s="151">
        <f>YEAR(Table7[[#This Row],[Date]])</f>
        <v>2026</v>
      </c>
      <c r="D365" s="152">
        <f>Daily_KPI[[#This Row],[Date]]-DAY(Daily_KPI[[#This Row],[Date]])+1</f>
        <v>46082</v>
      </c>
      <c r="AW365" s="108">
        <f t="shared" si="15"/>
        <v>0</v>
      </c>
    </row>
    <row r="366" spans="1:49">
      <c r="A366" s="149">
        <v>46108</v>
      </c>
      <c r="B366" s="150">
        <f>YEAR(Table7[[#This Row],[Date]])+IF(MONTH(Table7[[#This Row],[Date]])&gt;=4,1,0)</f>
        <v>2026</v>
      </c>
      <c r="C366" s="151">
        <f>YEAR(Table7[[#This Row],[Date]])</f>
        <v>2026</v>
      </c>
      <c r="D366" s="152">
        <f>Daily_KPI[[#This Row],[Date]]-DAY(Daily_KPI[[#This Row],[Date]])+1</f>
        <v>46082</v>
      </c>
      <c r="AW366" s="108">
        <f t="shared" si="15"/>
        <v>0</v>
      </c>
    </row>
    <row r="367" spans="1:49">
      <c r="A367" s="149">
        <v>46109</v>
      </c>
      <c r="B367" s="150">
        <f>YEAR(Table7[[#This Row],[Date]])+IF(MONTH(Table7[[#This Row],[Date]])&gt;=4,1,0)</f>
        <v>2026</v>
      </c>
      <c r="C367" s="151">
        <f>YEAR(Table7[[#This Row],[Date]])</f>
        <v>2026</v>
      </c>
      <c r="D367" s="152">
        <f>Daily_KPI[[#This Row],[Date]]-DAY(Daily_KPI[[#This Row],[Date]])+1</f>
        <v>46082</v>
      </c>
      <c r="AW367" s="108">
        <f t="shared" si="15"/>
        <v>0</v>
      </c>
    </row>
    <row r="368" spans="1:49">
      <c r="A368" s="149">
        <v>46110</v>
      </c>
      <c r="B368" s="150">
        <f>YEAR(Table7[[#This Row],[Date]])+IF(MONTH(Table7[[#This Row],[Date]])&gt;=4,1,0)</f>
        <v>2026</v>
      </c>
      <c r="C368" s="151">
        <f>YEAR(Table7[[#This Row],[Date]])</f>
        <v>2026</v>
      </c>
      <c r="D368" s="152">
        <f>Daily_KPI[[#This Row],[Date]]-DAY(Daily_KPI[[#This Row],[Date]])+1</f>
        <v>46082</v>
      </c>
      <c r="AW368" s="108">
        <f t="shared" si="15"/>
        <v>0</v>
      </c>
    </row>
    <row r="369" spans="1:49">
      <c r="A369" s="149">
        <v>46111</v>
      </c>
      <c r="B369" s="150">
        <f>YEAR(Table7[[#This Row],[Date]])+IF(MONTH(Table7[[#This Row],[Date]])&gt;=4,1,0)</f>
        <v>2026</v>
      </c>
      <c r="C369" s="151">
        <f>YEAR(Table7[[#This Row],[Date]])</f>
        <v>2026</v>
      </c>
      <c r="D369" s="152">
        <f>Daily_KPI[[#This Row],[Date]]-DAY(Daily_KPI[[#This Row],[Date]])+1</f>
        <v>46082</v>
      </c>
      <c r="AW369" s="108">
        <f t="shared" si="15"/>
        <v>0</v>
      </c>
    </row>
    <row r="370" spans="1:49">
      <c r="A370" s="149">
        <v>46112</v>
      </c>
      <c r="B370" s="150">
        <f>YEAR(Table7[[#This Row],[Date]])+IF(MONTH(Table7[[#This Row],[Date]])&gt;=4,1,0)</f>
        <v>2026</v>
      </c>
      <c r="C370" s="151">
        <f>YEAR(Table7[[#This Row],[Date]])</f>
        <v>2026</v>
      </c>
      <c r="D370" s="152" t="e">
        <f>Daily_KPI[[#This Row],[Date]]-DAY(Daily_KPI[[#This Row],[Date]])+1</f>
        <v>#VALUE!</v>
      </c>
      <c r="AW370" s="108">
        <f t="shared" si="15"/>
        <v>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O49"/>
  <sheetViews>
    <sheetView workbookViewId="0">
      <pane xSplit="4" ySplit="1" topLeftCell="E2" activePane="bottomRight" state="frozen"/>
      <selection pane="topRight" activeCell="C1" sqref="C1"/>
      <selection pane="bottomLeft" activeCell="C1" sqref="C1"/>
      <selection pane="bottomRight" activeCell="N7" sqref="N7"/>
    </sheetView>
  </sheetViews>
  <sheetFormatPr defaultColWidth="8.5546875" defaultRowHeight="14.4"/>
  <cols>
    <col min="1" max="1" width="8.5546875" style="108"/>
    <col min="2" max="2" width="9.88671875" style="108" bestFit="1" customWidth="1"/>
    <col min="3" max="3" width="15.88671875" style="108" customWidth="1"/>
    <col min="4" max="6" width="8.5546875" style="108"/>
    <col min="7" max="7" width="20.5546875" style="108" customWidth="1"/>
    <col min="8" max="8" width="8.5546875" style="108"/>
    <col min="9" max="9" width="9.44140625" style="108" bestFit="1" customWidth="1"/>
    <col min="10" max="14" width="8.5546875" style="108"/>
    <col min="15" max="15" width="9.88671875" style="108" bestFit="1" customWidth="1"/>
    <col min="16" max="16" width="11" style="108" customWidth="1"/>
    <col min="17" max="17" width="15.44140625" style="108" customWidth="1"/>
    <col min="18" max="19" width="10.88671875" style="108" customWidth="1"/>
    <col min="20" max="20" width="13" style="108" customWidth="1"/>
    <col min="21" max="25" width="12.88671875" style="108" customWidth="1"/>
    <col min="26" max="27" width="14.5546875" style="108" customWidth="1"/>
    <col min="28" max="29" width="15.5546875" style="108" customWidth="1"/>
    <col min="30" max="38" width="9.88671875" style="108" customWidth="1"/>
    <col min="39" max="39" width="12" style="108" bestFit="1" customWidth="1"/>
    <col min="40" max="40" width="27.5546875" style="108" bestFit="1" customWidth="1"/>
    <col min="41" max="16384" width="8.5546875" style="108"/>
  </cols>
  <sheetData>
    <row r="1" spans="1:41" ht="43.2">
      <c r="A1" s="121" t="s">
        <v>8</v>
      </c>
      <c r="B1" s="121" t="s">
        <v>739</v>
      </c>
      <c r="C1" s="121" t="s">
        <v>740</v>
      </c>
      <c r="D1" s="121" t="s">
        <v>317</v>
      </c>
      <c r="E1" s="121" t="s">
        <v>461</v>
      </c>
      <c r="F1" s="121" t="s">
        <v>460</v>
      </c>
      <c r="G1" s="121" t="s">
        <v>741</v>
      </c>
      <c r="H1" s="121" t="s">
        <v>742</v>
      </c>
      <c r="I1" s="121" t="s">
        <v>743</v>
      </c>
      <c r="J1" s="121" t="s">
        <v>744</v>
      </c>
      <c r="K1" s="121" t="s">
        <v>745</v>
      </c>
      <c r="L1" s="121" t="s">
        <v>746</v>
      </c>
      <c r="M1" s="121" t="s">
        <v>747</v>
      </c>
      <c r="N1" s="121" t="s">
        <v>748</v>
      </c>
      <c r="O1" s="121" t="s">
        <v>749</v>
      </c>
      <c r="P1" s="121" t="s">
        <v>750</v>
      </c>
      <c r="Q1" s="121" t="s">
        <v>751</v>
      </c>
      <c r="R1" s="121" t="s">
        <v>752</v>
      </c>
      <c r="S1" s="121" t="s">
        <v>753</v>
      </c>
      <c r="T1" s="121" t="s">
        <v>754</v>
      </c>
      <c r="U1" s="121" t="s">
        <v>755</v>
      </c>
      <c r="V1" s="121" t="s">
        <v>756</v>
      </c>
      <c r="W1" s="121" t="s">
        <v>757</v>
      </c>
      <c r="X1" s="121" t="s">
        <v>758</v>
      </c>
      <c r="Y1" s="121" t="s">
        <v>759</v>
      </c>
      <c r="Z1" s="121" t="s">
        <v>760</v>
      </c>
      <c r="AA1" s="121" t="s">
        <v>761</v>
      </c>
      <c r="AB1" s="121" t="s">
        <v>762</v>
      </c>
      <c r="AC1" s="121" t="s">
        <v>763</v>
      </c>
      <c r="AD1" s="121" t="s">
        <v>764</v>
      </c>
      <c r="AE1" s="121" t="s">
        <v>765</v>
      </c>
      <c r="AF1" s="121" t="s">
        <v>766</v>
      </c>
      <c r="AG1" s="121" t="s">
        <v>767</v>
      </c>
      <c r="AH1" s="121" t="s">
        <v>768</v>
      </c>
      <c r="AI1" s="121" t="s">
        <v>769</v>
      </c>
      <c r="AJ1" s="121" t="s">
        <v>770</v>
      </c>
      <c r="AK1" s="121" t="s">
        <v>771</v>
      </c>
      <c r="AL1" s="121" t="s">
        <v>772</v>
      </c>
      <c r="AN1" s="108" t="s">
        <v>502</v>
      </c>
      <c r="AO1" s="113">
        <v>70.400000000000006</v>
      </c>
    </row>
    <row r="2" spans="1:41">
      <c r="A2" s="122">
        <v>1</v>
      </c>
      <c r="B2" s="114" t="s">
        <v>773</v>
      </c>
      <c r="C2" s="123">
        <v>4</v>
      </c>
      <c r="D2" s="114">
        <v>44652</v>
      </c>
      <c r="E2" s="115">
        <f>YEAR(D2)</f>
        <v>2022</v>
      </c>
      <c r="F2" s="115" t="s">
        <v>774</v>
      </c>
      <c r="G2" s="122">
        <f>DAY(EOMONTH(D2,0))</f>
        <v>30</v>
      </c>
      <c r="H2" s="124"/>
      <c r="I2" s="124"/>
      <c r="J2" s="125">
        <v>5.22</v>
      </c>
      <c r="K2" s="124"/>
      <c r="L2" s="122"/>
      <c r="M2" s="126">
        <v>6797.3114880000021</v>
      </c>
      <c r="N2" s="126">
        <v>70.400000000000006</v>
      </c>
      <c r="O2" s="116"/>
      <c r="P2" s="125"/>
      <c r="Q2" s="122">
        <f>COUNTIFS('Daily KPI'!$D:$D,D2,'Daily KPI'!$M:$M,"&gt;0")</f>
        <v>0</v>
      </c>
      <c r="R2" s="126"/>
      <c r="S2" s="126"/>
      <c r="T2" s="125">
        <f t="shared" ref="T2:T49" si="0">IFERROR(M2/G2,"")</f>
        <v>226.57704960000007</v>
      </c>
      <c r="U2" s="126">
        <f t="shared" ref="U2:U49" si="1">IFERROR(M2/G2*Q2,"")</f>
        <v>0</v>
      </c>
      <c r="V2" s="126">
        <f>SUMIF($F$2:F2,F2,$U$2:U2)</f>
        <v>0</v>
      </c>
      <c r="W2" s="116">
        <f t="shared" ref="W2:W39" si="2">IFERROR(T2/(24*N2),"")</f>
        <v>0.13410100000000003</v>
      </c>
      <c r="X2" s="116" t="str">
        <f t="shared" ref="X2:X49" si="3">IFERROR(U2/(24*N2*Q2),"")</f>
        <v/>
      </c>
      <c r="Y2" s="116" t="str">
        <f t="shared" ref="Y2:Y49" si="4">IFERROR(V2/(24*N2*SUMIFS($Q:$Q,$F:$F,$F2,$D:$D,"&lt;="&amp;D2)),"")</f>
        <v/>
      </c>
      <c r="Z2" s="125">
        <f t="shared" ref="Z2:Z39" si="5">IFERROR(N2/G2*Q2,"")</f>
        <v>0</v>
      </c>
      <c r="AA2" s="124">
        <f>IFERROR(AVERAGEIF($F$2:F2,F2,$N$2:N2),"")</f>
        <v>70.400000000000006</v>
      </c>
      <c r="AB2" s="126"/>
      <c r="AC2" s="125">
        <v>6.4041034581308942</v>
      </c>
      <c r="AD2" s="125">
        <f>AVERAGEIF($F$2:F2,F2,$AC$2:AC2)</f>
        <v>6.4041034581308942</v>
      </c>
      <c r="AE2" s="116">
        <f t="shared" ref="AE2:AE49" si="6">IFERROR(AH2*AI2,"")</f>
        <v>0.96029999999999993</v>
      </c>
      <c r="AF2" s="116">
        <v>0.995</v>
      </c>
      <c r="AG2" s="116"/>
      <c r="AH2" s="116">
        <v>0.97</v>
      </c>
      <c r="AI2" s="116">
        <v>0.99</v>
      </c>
      <c r="AJ2" s="116">
        <v>0.95</v>
      </c>
      <c r="AK2" s="116">
        <v>0.05</v>
      </c>
      <c r="AL2" s="116">
        <v>0.05</v>
      </c>
    </row>
    <row r="3" spans="1:41">
      <c r="A3" s="123">
        <f>A2+1</f>
        <v>2</v>
      </c>
      <c r="B3" s="114" t="s">
        <v>775</v>
      </c>
      <c r="C3" s="123">
        <v>5</v>
      </c>
      <c r="D3" s="114">
        <v>44682</v>
      </c>
      <c r="E3" s="117">
        <f>YEAR(D3)</f>
        <v>2022</v>
      </c>
      <c r="F3" s="117" t="s">
        <v>774</v>
      </c>
      <c r="G3" s="123">
        <f>DAY(EOMONTH(D3,0))</f>
        <v>31</v>
      </c>
      <c r="H3" s="127"/>
      <c r="I3" s="127"/>
      <c r="J3" s="120">
        <v>5.7233333333333336</v>
      </c>
      <c r="K3" s="127"/>
      <c r="L3" s="123"/>
      <c r="M3" s="128">
        <v>10772.585472000002</v>
      </c>
      <c r="N3" s="128">
        <v>70.400000000000006</v>
      </c>
      <c r="O3" s="118"/>
      <c r="P3" s="120"/>
      <c r="Q3" s="123">
        <f>COUNTIFS('Daily KPI'!$D:$D,D3,'Daily KPI'!$M:$M,"&gt;0")</f>
        <v>0</v>
      </c>
      <c r="R3" s="128"/>
      <c r="S3" s="128"/>
      <c r="T3" s="120">
        <f t="shared" si="0"/>
        <v>347.50275716129039</v>
      </c>
      <c r="U3" s="128">
        <f t="shared" si="1"/>
        <v>0</v>
      </c>
      <c r="V3" s="128">
        <f>SUMIF($F$2:F3,F3,$U$2:U3)</f>
        <v>0</v>
      </c>
      <c r="W3" s="118">
        <f t="shared" si="2"/>
        <v>0.20567161290322583</v>
      </c>
      <c r="X3" s="118" t="str">
        <f t="shared" si="3"/>
        <v/>
      </c>
      <c r="Y3" s="118" t="str">
        <f t="shared" si="4"/>
        <v/>
      </c>
      <c r="Z3" s="120">
        <f t="shared" si="5"/>
        <v>0</v>
      </c>
      <c r="AA3" s="127">
        <f>IFERROR(AVERAGEIF($F$2:F3,F3,$N$2:N3),"")</f>
        <v>70.400000000000006</v>
      </c>
      <c r="AB3" s="128"/>
      <c r="AC3" s="120">
        <v>5.9681800514432695</v>
      </c>
      <c r="AD3" s="120">
        <f>AVERAGEIF($F$2:F3,F3,$AC$2:AC3)</f>
        <v>6.1861417547870818</v>
      </c>
      <c r="AE3" s="118">
        <f t="shared" si="6"/>
        <v>0.96029999999999993</v>
      </c>
      <c r="AF3" s="118">
        <v>0.995</v>
      </c>
      <c r="AG3" s="118"/>
      <c r="AH3" s="118">
        <v>0.97</v>
      </c>
      <c r="AI3" s="118">
        <v>0.99</v>
      </c>
      <c r="AJ3" s="118">
        <v>0.95</v>
      </c>
      <c r="AK3" s="118">
        <v>0.05</v>
      </c>
      <c r="AL3" s="118">
        <v>0.05</v>
      </c>
    </row>
    <row r="4" spans="1:41">
      <c r="A4" s="123">
        <f t="shared" ref="A4:A49" si="7">A3+1</f>
        <v>3</v>
      </c>
      <c r="B4" s="114" t="s">
        <v>776</v>
      </c>
      <c r="C4" s="123">
        <v>6</v>
      </c>
      <c r="D4" s="114">
        <v>44713</v>
      </c>
      <c r="E4" s="115">
        <f t="shared" ref="E4:E23" si="8">YEAR(D4)</f>
        <v>2022</v>
      </c>
      <c r="F4" s="115" t="s">
        <v>774</v>
      </c>
      <c r="G4" s="122">
        <f t="shared" ref="G4:G23" si="9">DAY(EOMONTH(D4,0))</f>
        <v>30</v>
      </c>
      <c r="H4" s="124"/>
      <c r="I4" s="124"/>
      <c r="J4" s="125">
        <v>6.81</v>
      </c>
      <c r="K4" s="124"/>
      <c r="L4" s="122"/>
      <c r="M4" s="126">
        <v>15494.071296000002</v>
      </c>
      <c r="N4" s="126">
        <v>70.400000000000006</v>
      </c>
      <c r="O4" s="116"/>
      <c r="P4" s="125"/>
      <c r="Q4" s="122">
        <f>COUNTIFS('Daily KPI'!$D:$D,D4,'Daily KPI'!$M:$M,"&gt;0")</f>
        <v>0</v>
      </c>
      <c r="R4" s="126"/>
      <c r="S4" s="126"/>
      <c r="T4" s="125">
        <f t="shared" si="0"/>
        <v>516.4690432000001</v>
      </c>
      <c r="U4" s="126">
        <f t="shared" si="1"/>
        <v>0</v>
      </c>
      <c r="V4" s="126">
        <f>SUMIF($F$2:F4,F4,$U$2:U4)</f>
        <v>0</v>
      </c>
      <c r="W4" s="116">
        <f t="shared" si="2"/>
        <v>0.30567533333333335</v>
      </c>
      <c r="X4" s="116" t="str">
        <f t="shared" si="3"/>
        <v/>
      </c>
      <c r="Y4" s="116" t="str">
        <f t="shared" si="4"/>
        <v/>
      </c>
      <c r="Z4" s="125">
        <f t="shared" si="5"/>
        <v>0</v>
      </c>
      <c r="AA4" s="124">
        <f>IFERROR(AVERAGEIF($F$2:F4,F4,$N$2:N4),"")</f>
        <v>70.400000000000006</v>
      </c>
      <c r="AB4" s="126"/>
      <c r="AC4" s="125">
        <v>5.6310997427836513</v>
      </c>
      <c r="AD4" s="125">
        <f>AVERAGEIF($F$2:F4,F4,$AC$2:AC4)</f>
        <v>6.0011277507859377</v>
      </c>
      <c r="AE4" s="116">
        <f t="shared" si="6"/>
        <v>0.96029999999999993</v>
      </c>
      <c r="AF4" s="116">
        <v>0.995</v>
      </c>
      <c r="AG4" s="116"/>
      <c r="AH4" s="116">
        <v>0.97</v>
      </c>
      <c r="AI4" s="116">
        <v>0.99</v>
      </c>
      <c r="AJ4" s="116">
        <v>0.95</v>
      </c>
      <c r="AK4" s="116">
        <v>0.05</v>
      </c>
      <c r="AL4" s="116">
        <v>0.05</v>
      </c>
    </row>
    <row r="5" spans="1:41">
      <c r="A5" s="123">
        <f t="shared" si="7"/>
        <v>4</v>
      </c>
      <c r="B5" s="114" t="s">
        <v>777</v>
      </c>
      <c r="C5" s="123">
        <v>7</v>
      </c>
      <c r="D5" s="114">
        <v>44743</v>
      </c>
      <c r="E5" s="117">
        <f t="shared" si="8"/>
        <v>2022</v>
      </c>
      <c r="F5" s="117" t="s">
        <v>774</v>
      </c>
      <c r="G5" s="123">
        <f t="shared" si="9"/>
        <v>31</v>
      </c>
      <c r="H5" s="127"/>
      <c r="I5" s="127"/>
      <c r="J5" s="120">
        <v>9.8233333333333324</v>
      </c>
      <c r="K5" s="127"/>
      <c r="L5" s="123"/>
      <c r="M5" s="128">
        <v>27867.620352000005</v>
      </c>
      <c r="N5" s="128">
        <v>70.400000000000006</v>
      </c>
      <c r="O5" s="118"/>
      <c r="P5" s="120"/>
      <c r="Q5" s="123">
        <f>COUNTIFS('Daily KPI'!$D:$D,D5,'Daily KPI'!$M:$M,"&gt;0")</f>
        <v>0</v>
      </c>
      <c r="R5" s="128"/>
      <c r="S5" s="128"/>
      <c r="T5" s="120">
        <f t="shared" si="0"/>
        <v>898.95549522580666</v>
      </c>
      <c r="U5" s="128">
        <f t="shared" si="1"/>
        <v>0</v>
      </c>
      <c r="V5" s="128">
        <f>SUMIF($F$2:F5,F5,$U$2:U5)</f>
        <v>0</v>
      </c>
      <c r="W5" s="118">
        <f t="shared" si="2"/>
        <v>0.53205225806451617</v>
      </c>
      <c r="X5" s="118" t="str">
        <f t="shared" si="3"/>
        <v/>
      </c>
      <c r="Y5" s="118" t="str">
        <f t="shared" si="4"/>
        <v/>
      </c>
      <c r="Z5" s="120">
        <f t="shared" si="5"/>
        <v>0</v>
      </c>
      <c r="AA5" s="127">
        <f>IFERROR(AVERAGEIF($F$2:F5,F5,$N$2:N5),"")</f>
        <v>70.400000000000006</v>
      </c>
      <c r="AB5" s="128"/>
      <c r="AC5" s="120">
        <v>7.1310648756787653</v>
      </c>
      <c r="AD5" s="120">
        <f>AVERAGEIF($F$2:F5,F5,$AC$2:AC5)</f>
        <v>6.2836120320091453</v>
      </c>
      <c r="AE5" s="118">
        <f t="shared" si="6"/>
        <v>0.96029999999999993</v>
      </c>
      <c r="AF5" s="118">
        <v>0.995</v>
      </c>
      <c r="AG5" s="118"/>
      <c r="AH5" s="118">
        <v>0.97</v>
      </c>
      <c r="AI5" s="118">
        <v>0.99</v>
      </c>
      <c r="AJ5" s="118">
        <v>0.95</v>
      </c>
      <c r="AK5" s="118">
        <v>0.05</v>
      </c>
      <c r="AL5" s="118">
        <v>0.05</v>
      </c>
    </row>
    <row r="6" spans="1:41">
      <c r="A6" s="123">
        <f t="shared" si="7"/>
        <v>5</v>
      </c>
      <c r="B6" s="114" t="s">
        <v>778</v>
      </c>
      <c r="C6" s="123">
        <v>8</v>
      </c>
      <c r="D6" s="114">
        <v>44774</v>
      </c>
      <c r="E6" s="115">
        <f t="shared" si="8"/>
        <v>2022</v>
      </c>
      <c r="F6" s="115" t="s">
        <v>774</v>
      </c>
      <c r="G6" s="122">
        <f t="shared" si="9"/>
        <v>31</v>
      </c>
      <c r="H6" s="124"/>
      <c r="I6" s="124"/>
      <c r="J6" s="125">
        <v>9.1</v>
      </c>
      <c r="K6" s="124"/>
      <c r="L6" s="122"/>
      <c r="M6" s="126">
        <v>32561.971200000007</v>
      </c>
      <c r="N6" s="126">
        <v>70.400000000000006</v>
      </c>
      <c r="O6" s="116"/>
      <c r="P6" s="125"/>
      <c r="Q6" s="122">
        <f>COUNTIFS('Daily KPI'!$D:$D,D6,'Daily KPI'!$M:$M,"&gt;0")</f>
        <v>0</v>
      </c>
      <c r="R6" s="126"/>
      <c r="S6" s="126"/>
      <c r="T6" s="125">
        <f t="shared" si="0"/>
        <v>1050.3861677419357</v>
      </c>
      <c r="U6" s="126">
        <f t="shared" si="1"/>
        <v>0</v>
      </c>
      <c r="V6" s="126">
        <f>SUMIF($F$2:F6,F6,$U$2:U6)</f>
        <v>0</v>
      </c>
      <c r="W6" s="116">
        <f t="shared" si="2"/>
        <v>0.62167741935483878</v>
      </c>
      <c r="X6" s="116" t="str">
        <f t="shared" si="3"/>
        <v/>
      </c>
      <c r="Y6" s="116" t="str">
        <f t="shared" si="4"/>
        <v/>
      </c>
      <c r="Z6" s="125">
        <f t="shared" si="5"/>
        <v>0</v>
      </c>
      <c r="AA6" s="124">
        <f>IFERROR(AVERAGEIF($F$2:F6,F6,$N$2:N6),"")</f>
        <v>70.400000000000006</v>
      </c>
      <c r="AB6" s="126"/>
      <c r="AC6" s="125">
        <v>9.4530328665332952</v>
      </c>
      <c r="AD6" s="125">
        <f>AVERAGEIF($F$2:F6,F6,$AC$2:AC6)</f>
        <v>6.9174961989139749</v>
      </c>
      <c r="AE6" s="116">
        <f t="shared" si="6"/>
        <v>0.96029999999999993</v>
      </c>
      <c r="AF6" s="116">
        <v>0.995</v>
      </c>
      <c r="AG6" s="116"/>
      <c r="AH6" s="116">
        <v>0.97</v>
      </c>
      <c r="AI6" s="116">
        <v>0.99</v>
      </c>
      <c r="AJ6" s="116">
        <v>0.95</v>
      </c>
      <c r="AK6" s="116">
        <v>0.05</v>
      </c>
      <c r="AL6" s="116">
        <v>0.05</v>
      </c>
      <c r="AO6" s="119"/>
    </row>
    <row r="7" spans="1:41">
      <c r="A7" s="123">
        <f t="shared" si="7"/>
        <v>6</v>
      </c>
      <c r="B7" s="114" t="s">
        <v>779</v>
      </c>
      <c r="C7" s="123">
        <v>9</v>
      </c>
      <c r="D7" s="114">
        <v>44805</v>
      </c>
      <c r="E7" s="117">
        <f t="shared" si="8"/>
        <v>2022</v>
      </c>
      <c r="F7" s="117" t="s">
        <v>774</v>
      </c>
      <c r="G7" s="123">
        <f t="shared" si="9"/>
        <v>30</v>
      </c>
      <c r="H7" s="127"/>
      <c r="I7" s="127"/>
      <c r="J7" s="120">
        <v>5.56</v>
      </c>
      <c r="K7" s="127"/>
      <c r="L7" s="123"/>
      <c r="M7" s="128">
        <v>11125.340160000002</v>
      </c>
      <c r="N7" s="128">
        <v>70.400000000000006</v>
      </c>
      <c r="O7" s="118"/>
      <c r="P7" s="120"/>
      <c r="Q7" s="123">
        <f>COUNTIFS('Daily KPI'!$D:$D,D7,'Daily KPI'!$M:$M,"&gt;0")</f>
        <v>0</v>
      </c>
      <c r="R7" s="128"/>
      <c r="S7" s="128"/>
      <c r="T7" s="120">
        <f t="shared" si="0"/>
        <v>370.84467200000006</v>
      </c>
      <c r="U7" s="128">
        <f t="shared" si="1"/>
        <v>0</v>
      </c>
      <c r="V7" s="128">
        <f>SUMIF($F$2:F7,F7,$U$2:U7)</f>
        <v>0</v>
      </c>
      <c r="W7" s="118">
        <f t="shared" si="2"/>
        <v>0.21948666666666669</v>
      </c>
      <c r="X7" s="118" t="str">
        <f t="shared" si="3"/>
        <v/>
      </c>
      <c r="Y7" s="118" t="str">
        <f t="shared" si="4"/>
        <v/>
      </c>
      <c r="Z7" s="120">
        <f t="shared" si="5"/>
        <v>0</v>
      </c>
      <c r="AA7" s="127">
        <f>IFERROR(AVERAGEIF($F$2:F7,F7,$N$2:N7),"")</f>
        <v>70.399999999999991</v>
      </c>
      <c r="AB7" s="128"/>
      <c r="AC7" s="120">
        <v>10.303759359817088</v>
      </c>
      <c r="AD7" s="120">
        <f>AVERAGEIF($F$2:F7,F7,$AC$2:AC7)</f>
        <v>7.4818733923978264</v>
      </c>
      <c r="AE7" s="118">
        <f t="shared" si="6"/>
        <v>0.96029999999999993</v>
      </c>
      <c r="AF7" s="118">
        <v>0.995</v>
      </c>
      <c r="AG7" s="118"/>
      <c r="AH7" s="118">
        <v>0.97</v>
      </c>
      <c r="AI7" s="118">
        <v>0.99</v>
      </c>
      <c r="AJ7" s="118">
        <v>0.95</v>
      </c>
      <c r="AK7" s="118">
        <v>0.05</v>
      </c>
      <c r="AL7" s="118">
        <v>0.05</v>
      </c>
    </row>
    <row r="8" spans="1:41">
      <c r="A8" s="123">
        <f t="shared" si="7"/>
        <v>7</v>
      </c>
      <c r="B8" s="114" t="s">
        <v>780</v>
      </c>
      <c r="C8" s="123">
        <v>10</v>
      </c>
      <c r="D8" s="114">
        <v>44835</v>
      </c>
      <c r="E8" s="115">
        <f t="shared" si="8"/>
        <v>2022</v>
      </c>
      <c r="F8" s="115" t="s">
        <v>774</v>
      </c>
      <c r="G8" s="122">
        <f t="shared" si="9"/>
        <v>31</v>
      </c>
      <c r="H8" s="124"/>
      <c r="I8" s="124"/>
      <c r="J8" s="125">
        <v>4.1733333333333329</v>
      </c>
      <c r="K8" s="124"/>
      <c r="L8" s="122"/>
      <c r="M8" s="126">
        <v>4626.5134080000007</v>
      </c>
      <c r="N8" s="126">
        <v>70.400000000000006</v>
      </c>
      <c r="O8" s="116"/>
      <c r="P8" s="125"/>
      <c r="Q8" s="122">
        <f>COUNTIFS('Daily KPI'!$D:$D,D8,'Daily KPI'!$M:$M,"&gt;0")</f>
        <v>0</v>
      </c>
      <c r="R8" s="126"/>
      <c r="S8" s="126"/>
      <c r="T8" s="125">
        <f t="shared" si="0"/>
        <v>149.24236800000003</v>
      </c>
      <c r="U8" s="126">
        <f t="shared" si="1"/>
        <v>0</v>
      </c>
      <c r="V8" s="126">
        <f>SUMIF($F$2:F8,F8,$U$2:U8)</f>
        <v>0</v>
      </c>
      <c r="W8" s="116">
        <f t="shared" si="2"/>
        <v>8.8330000000000006E-2</v>
      </c>
      <c r="X8" s="116" t="str">
        <f t="shared" si="3"/>
        <v/>
      </c>
      <c r="Y8" s="116" t="str">
        <f t="shared" si="4"/>
        <v/>
      </c>
      <c r="Z8" s="125">
        <f t="shared" si="5"/>
        <v>0</v>
      </c>
      <c r="AA8" s="124">
        <f>IFERROR(AVERAGEIF($F$2:F8,F8,$N$2:N8),"")</f>
        <v>70.399999999999991</v>
      </c>
      <c r="AB8" s="126"/>
      <c r="AC8" s="125">
        <v>8.5195147184909956</v>
      </c>
      <c r="AD8" s="125">
        <f>AVERAGEIF($F$2:F8,F8,$AC$2:AC8)</f>
        <v>7.6301078675539937</v>
      </c>
      <c r="AE8" s="116">
        <f t="shared" si="6"/>
        <v>0.96029999999999993</v>
      </c>
      <c r="AF8" s="116">
        <v>0.995</v>
      </c>
      <c r="AG8" s="116"/>
      <c r="AH8" s="116">
        <v>0.97</v>
      </c>
      <c r="AI8" s="116">
        <v>0.99</v>
      </c>
      <c r="AJ8" s="116">
        <v>0.95</v>
      </c>
      <c r="AK8" s="116">
        <v>0.05</v>
      </c>
      <c r="AL8" s="116">
        <v>0.05</v>
      </c>
    </row>
    <row r="9" spans="1:41">
      <c r="A9" s="123">
        <f t="shared" si="7"/>
        <v>8</v>
      </c>
      <c r="B9" s="114" t="s">
        <v>781</v>
      </c>
      <c r="C9" s="123">
        <v>11</v>
      </c>
      <c r="D9" s="114">
        <v>44866</v>
      </c>
      <c r="E9" s="117">
        <f t="shared" si="8"/>
        <v>2022</v>
      </c>
      <c r="F9" s="117" t="s">
        <v>774</v>
      </c>
      <c r="G9" s="123">
        <f t="shared" si="9"/>
        <v>30</v>
      </c>
      <c r="H9" s="127"/>
      <c r="I9" s="127"/>
      <c r="J9" s="120">
        <v>4.4633333333333338</v>
      </c>
      <c r="K9" s="127"/>
      <c r="L9" s="123"/>
      <c r="M9" s="128">
        <v>7150.0661760000012</v>
      </c>
      <c r="N9" s="128">
        <v>70.400000000000006</v>
      </c>
      <c r="O9" s="118"/>
      <c r="P9" s="120"/>
      <c r="Q9" s="123">
        <f>COUNTIFS('Daily KPI'!$D:$D,D9,'Daily KPI'!$M:$M,"&gt;0")</f>
        <v>0</v>
      </c>
      <c r="R9" s="128"/>
      <c r="S9" s="128"/>
      <c r="T9" s="120">
        <f t="shared" si="0"/>
        <v>238.33553920000003</v>
      </c>
      <c r="U9" s="128">
        <f t="shared" si="1"/>
        <v>0</v>
      </c>
      <c r="V9" s="128">
        <f>SUMIF($F$2:F9,F9,$U$2:U9)</f>
        <v>0</v>
      </c>
      <c r="W9" s="118">
        <f t="shared" si="2"/>
        <v>0.14106033333333334</v>
      </c>
      <c r="X9" s="118" t="str">
        <f t="shared" si="3"/>
        <v/>
      </c>
      <c r="Y9" s="118" t="str">
        <f t="shared" si="4"/>
        <v/>
      </c>
      <c r="Z9" s="120">
        <f t="shared" si="5"/>
        <v>0</v>
      </c>
      <c r="AA9" s="127">
        <f>IFERROR(AVERAGEIF($F$2:F9,F9,$N$2:N9),"")</f>
        <v>70.399999999999991</v>
      </c>
      <c r="AB9" s="128"/>
      <c r="AC9" s="120">
        <v>7.2366664761360369</v>
      </c>
      <c r="AD9" s="120">
        <f>AVERAGEIF($F$2:F9,F9,$AC$2:AC9)</f>
        <v>7.5809276936267489</v>
      </c>
      <c r="AE9" s="118">
        <f t="shared" si="6"/>
        <v>0.96029999999999993</v>
      </c>
      <c r="AF9" s="118">
        <v>0.995</v>
      </c>
      <c r="AG9" s="118"/>
      <c r="AH9" s="118">
        <v>0.97</v>
      </c>
      <c r="AI9" s="118">
        <v>0.99</v>
      </c>
      <c r="AJ9" s="118">
        <v>0.95</v>
      </c>
      <c r="AK9" s="118">
        <v>0.05</v>
      </c>
      <c r="AL9" s="118">
        <v>0.05</v>
      </c>
    </row>
    <row r="10" spans="1:41">
      <c r="A10" s="123">
        <f t="shared" si="7"/>
        <v>9</v>
      </c>
      <c r="B10" s="114" t="s">
        <v>782</v>
      </c>
      <c r="C10" s="123">
        <v>12</v>
      </c>
      <c r="D10" s="114">
        <v>44896</v>
      </c>
      <c r="E10" s="115">
        <f t="shared" si="8"/>
        <v>2022</v>
      </c>
      <c r="F10" s="115" t="s">
        <v>774</v>
      </c>
      <c r="G10" s="122">
        <f t="shared" si="9"/>
        <v>31</v>
      </c>
      <c r="H10" s="124"/>
      <c r="I10" s="124"/>
      <c r="J10" s="125">
        <v>4.79</v>
      </c>
      <c r="K10" s="124"/>
      <c r="L10" s="122"/>
      <c r="M10" s="126">
        <v>7204.3361280000017</v>
      </c>
      <c r="N10" s="126">
        <v>70.400000000000006</v>
      </c>
      <c r="O10" s="116"/>
      <c r="P10" s="125"/>
      <c r="Q10" s="122">
        <f>COUNTIFS('Daily KPI'!$D:$D,D10,'Daily KPI'!$M:$M,"&gt;0")</f>
        <v>0</v>
      </c>
      <c r="R10" s="126"/>
      <c r="S10" s="126"/>
      <c r="T10" s="125">
        <f t="shared" si="0"/>
        <v>232.39793961290329</v>
      </c>
      <c r="U10" s="126">
        <f t="shared" si="1"/>
        <v>0</v>
      </c>
      <c r="V10" s="126">
        <f>SUMIF($F$2:F10,F10,$U$2:U10)</f>
        <v>0</v>
      </c>
      <c r="W10" s="116">
        <f t="shared" si="2"/>
        <v>0.1375461290322581</v>
      </c>
      <c r="X10" s="116" t="str">
        <f t="shared" si="3"/>
        <v/>
      </c>
      <c r="Y10" s="116" t="str">
        <f t="shared" si="4"/>
        <v/>
      </c>
      <c r="Z10" s="125">
        <f t="shared" si="5"/>
        <v>0</v>
      </c>
      <c r="AA10" s="124">
        <f>IFERROR(AVERAGEIF($F$2:F10,F10,$N$2:N10),"")</f>
        <v>70.399999999999991</v>
      </c>
      <c r="AB10" s="126"/>
      <c r="AC10" s="125">
        <v>6.0015501571877659</v>
      </c>
      <c r="AD10" s="125">
        <f>AVERAGEIF($F$2:F10,F10,$AC$2:AC10)</f>
        <v>7.4054413006890849</v>
      </c>
      <c r="AE10" s="116">
        <f t="shared" si="6"/>
        <v>0.96029999999999993</v>
      </c>
      <c r="AF10" s="116">
        <v>0.995</v>
      </c>
      <c r="AG10" s="116"/>
      <c r="AH10" s="116">
        <v>0.97</v>
      </c>
      <c r="AI10" s="116">
        <v>0.99</v>
      </c>
      <c r="AJ10" s="116">
        <v>0.95</v>
      </c>
      <c r="AK10" s="116">
        <v>0.05</v>
      </c>
      <c r="AL10" s="116">
        <v>0.05</v>
      </c>
    </row>
    <row r="11" spans="1:41">
      <c r="A11" s="123">
        <f t="shared" si="7"/>
        <v>10</v>
      </c>
      <c r="B11" s="114" t="s">
        <v>783</v>
      </c>
      <c r="C11" s="123">
        <v>1</v>
      </c>
      <c r="D11" s="114">
        <v>44927</v>
      </c>
      <c r="E11" s="117">
        <f t="shared" si="8"/>
        <v>2023</v>
      </c>
      <c r="F11" s="117" t="s">
        <v>774</v>
      </c>
      <c r="G11" s="123">
        <f t="shared" si="9"/>
        <v>31</v>
      </c>
      <c r="H11" s="127"/>
      <c r="I11" s="127"/>
      <c r="J11" s="120">
        <v>3.75</v>
      </c>
      <c r="K11" s="127"/>
      <c r="L11" s="123"/>
      <c r="M11" s="128">
        <v>3283.332096000001</v>
      </c>
      <c r="N11" s="128">
        <v>70.400000000000006</v>
      </c>
      <c r="O11" s="118"/>
      <c r="P11" s="120"/>
      <c r="Q11" s="123">
        <f>COUNTIFS('Daily KPI'!$D:$D,D11,'Daily KPI'!$M:$M,"&gt;0")</f>
        <v>0</v>
      </c>
      <c r="R11" s="128"/>
      <c r="S11" s="128"/>
      <c r="T11" s="120">
        <f t="shared" si="0"/>
        <v>105.91393858064519</v>
      </c>
      <c r="U11" s="128">
        <f t="shared" si="1"/>
        <v>0</v>
      </c>
      <c r="V11" s="128">
        <f>SUMIF($F$2:F11,F11,$U$2:U11)</f>
        <v>0</v>
      </c>
      <c r="W11" s="118">
        <f t="shared" si="2"/>
        <v>6.2685806451612924E-2</v>
      </c>
      <c r="X11" s="118" t="str">
        <f t="shared" si="3"/>
        <v/>
      </c>
      <c r="Y11" s="118" t="str">
        <f t="shared" si="4"/>
        <v/>
      </c>
      <c r="Z11" s="120">
        <f t="shared" si="5"/>
        <v>0</v>
      </c>
      <c r="AA11" s="127">
        <f>IFERROR(AVERAGEIF($F$2:F11,F11,$N$2:N11),"")</f>
        <v>70.399999999999991</v>
      </c>
      <c r="AB11" s="128"/>
      <c r="AC11" s="120">
        <v>6.7073912546441834</v>
      </c>
      <c r="AD11" s="120">
        <f>AVERAGEIF($F$2:F11,F11,$AC$2:AC11)</f>
        <v>7.3356362960845942</v>
      </c>
      <c r="AE11" s="118">
        <f t="shared" si="6"/>
        <v>0.96029999999999993</v>
      </c>
      <c r="AF11" s="118">
        <v>0.995</v>
      </c>
      <c r="AG11" s="118"/>
      <c r="AH11" s="118">
        <v>0.97</v>
      </c>
      <c r="AI11" s="118">
        <v>0.99</v>
      </c>
      <c r="AJ11" s="118">
        <v>0.95</v>
      </c>
      <c r="AK11" s="118">
        <v>0.05</v>
      </c>
      <c r="AL11" s="118">
        <v>0.05</v>
      </c>
    </row>
    <row r="12" spans="1:41">
      <c r="A12" s="123">
        <f t="shared" si="7"/>
        <v>11</v>
      </c>
      <c r="B12" s="114" t="s">
        <v>784</v>
      </c>
      <c r="C12" s="123">
        <v>2</v>
      </c>
      <c r="D12" s="114">
        <v>44958</v>
      </c>
      <c r="E12" s="115">
        <f t="shared" si="8"/>
        <v>2023</v>
      </c>
      <c r="F12" s="115" t="s">
        <v>774</v>
      </c>
      <c r="G12" s="122">
        <f t="shared" si="9"/>
        <v>28</v>
      </c>
      <c r="H12" s="124"/>
      <c r="I12" s="124"/>
      <c r="J12" s="125">
        <v>3.9249999999999998</v>
      </c>
      <c r="K12" s="124"/>
      <c r="L12" s="122"/>
      <c r="M12" s="126">
        <v>3324.034560000001</v>
      </c>
      <c r="N12" s="126">
        <v>70.400000000000006</v>
      </c>
      <c r="O12" s="116"/>
      <c r="P12" s="125"/>
      <c r="Q12" s="122">
        <f>COUNTIFS('Daily KPI'!$D:$D,D12,'Daily KPI'!$M:$M,"&gt;0")</f>
        <v>0</v>
      </c>
      <c r="R12" s="126"/>
      <c r="S12" s="126"/>
      <c r="T12" s="125">
        <f t="shared" si="0"/>
        <v>118.71552000000004</v>
      </c>
      <c r="U12" s="126">
        <f t="shared" si="1"/>
        <v>0</v>
      </c>
      <c r="V12" s="126">
        <f>SUMIF($F$2:F12,F12,$U$2:U12)</f>
        <v>0</v>
      </c>
      <c r="W12" s="116">
        <f t="shared" si="2"/>
        <v>7.0262500000000019E-2</v>
      </c>
      <c r="X12" s="116" t="str">
        <f t="shared" si="3"/>
        <v/>
      </c>
      <c r="Y12" s="116" t="str">
        <f t="shared" si="4"/>
        <v/>
      </c>
      <c r="Z12" s="125">
        <f t="shared" si="5"/>
        <v>0</v>
      </c>
      <c r="AA12" s="124">
        <f>IFERROR(AVERAGEIF($F$2:F12,F12,$N$2:N12),"")</f>
        <v>70.399999999999991</v>
      </c>
      <c r="AB12" s="126"/>
      <c r="AC12" s="125">
        <v>7.0533420977422105</v>
      </c>
      <c r="AD12" s="125">
        <f>AVERAGEIF($F$2:F12,F12,$AC$2:AC12)</f>
        <v>7.3099731871443785</v>
      </c>
      <c r="AE12" s="116">
        <f t="shared" si="6"/>
        <v>0.96029999999999993</v>
      </c>
      <c r="AF12" s="116">
        <v>0.995</v>
      </c>
      <c r="AG12" s="116"/>
      <c r="AH12" s="116">
        <v>0.97</v>
      </c>
      <c r="AI12" s="116">
        <v>0.99</v>
      </c>
      <c r="AJ12" s="116">
        <v>0.95</v>
      </c>
      <c r="AK12" s="116">
        <v>0.05</v>
      </c>
      <c r="AL12" s="116">
        <v>0.05</v>
      </c>
    </row>
    <row r="13" spans="1:41">
      <c r="A13" s="123">
        <f t="shared" si="7"/>
        <v>12</v>
      </c>
      <c r="B13" s="114" t="s">
        <v>785</v>
      </c>
      <c r="C13" s="123">
        <f>C2</f>
        <v>4</v>
      </c>
      <c r="D13" s="114">
        <v>44986</v>
      </c>
      <c r="E13" s="117">
        <f t="shared" si="8"/>
        <v>2023</v>
      </c>
      <c r="F13" s="117" t="s">
        <v>774</v>
      </c>
      <c r="G13" s="123">
        <f t="shared" si="9"/>
        <v>31</v>
      </c>
      <c r="H13" s="127"/>
      <c r="I13" s="127"/>
      <c r="J13" s="120">
        <v>4.5649999999999995</v>
      </c>
      <c r="K13" s="127"/>
      <c r="L13" s="123"/>
      <c r="M13" s="128">
        <v>5467.6976640000021</v>
      </c>
      <c r="N13" s="128">
        <v>70.400000000000006</v>
      </c>
      <c r="O13" s="118"/>
      <c r="P13" s="120"/>
      <c r="Q13" s="123">
        <f>COUNTIFS('Daily KPI'!$D:$D,D13,'Daily KPI'!$M:$M,"&gt;0")</f>
        <v>0</v>
      </c>
      <c r="R13" s="128"/>
      <c r="S13" s="128"/>
      <c r="T13" s="120">
        <f t="shared" si="0"/>
        <v>176.37734400000008</v>
      </c>
      <c r="U13" s="128">
        <f t="shared" si="1"/>
        <v>0</v>
      </c>
      <c r="V13" s="128">
        <f>SUMIF($F$2:F13,F13,$U$2:U13)</f>
        <v>0</v>
      </c>
      <c r="W13" s="118">
        <f t="shared" si="2"/>
        <v>0.10439000000000004</v>
      </c>
      <c r="X13" s="118" t="str">
        <f t="shared" si="3"/>
        <v/>
      </c>
      <c r="Y13" s="118" t="str">
        <f t="shared" si="4"/>
        <v/>
      </c>
      <c r="Z13" s="120">
        <f t="shared" si="5"/>
        <v>0</v>
      </c>
      <c r="AA13" s="127">
        <f>IFERROR(AVERAGEIF($F$2:F13,F13,$N$2:N13),"")</f>
        <v>70.399999999999991</v>
      </c>
      <c r="AB13" s="128"/>
      <c r="AC13" s="120">
        <v>7.411120320091455</v>
      </c>
      <c r="AD13" s="120">
        <f>AVERAGEIF($F$2:F13,F13,$AC$2:AC13)</f>
        <v>7.3184021148899676</v>
      </c>
      <c r="AE13" s="118">
        <f t="shared" si="6"/>
        <v>0.96029999999999993</v>
      </c>
      <c r="AF13" s="118">
        <v>0.995</v>
      </c>
      <c r="AG13" s="118"/>
      <c r="AH13" s="118">
        <v>0.97</v>
      </c>
      <c r="AI13" s="118">
        <v>0.99</v>
      </c>
      <c r="AJ13" s="118">
        <v>0.95</v>
      </c>
      <c r="AK13" s="118">
        <v>0.05</v>
      </c>
      <c r="AL13" s="118">
        <v>0.05</v>
      </c>
    </row>
    <row r="14" spans="1:41">
      <c r="A14" s="123">
        <f t="shared" si="7"/>
        <v>13</v>
      </c>
      <c r="B14" s="114" t="str">
        <f>B2</f>
        <v>April</v>
      </c>
      <c r="C14" s="123">
        <f t="shared" ref="C14:C49" si="10">C3</f>
        <v>5</v>
      </c>
      <c r="D14" s="114">
        <v>45017</v>
      </c>
      <c r="E14" s="115">
        <f t="shared" si="8"/>
        <v>2023</v>
      </c>
      <c r="F14" s="115" t="s">
        <v>786</v>
      </c>
      <c r="G14" s="122">
        <f t="shared" si="9"/>
        <v>30</v>
      </c>
      <c r="H14" s="124"/>
      <c r="I14" s="124"/>
      <c r="J14" s="125">
        <f>J2</f>
        <v>5.22</v>
      </c>
      <c r="K14" s="124"/>
      <c r="L14" s="122"/>
      <c r="M14" s="126">
        <v>6300</v>
      </c>
      <c r="N14" s="126">
        <v>70.400000000000006</v>
      </c>
      <c r="O14" s="116"/>
      <c r="P14" s="125"/>
      <c r="Q14" s="122">
        <f>COUNTIFS('Daily KPI'!$D:$D,D14,'Daily KPI'!$M:$M,"&gt;0")</f>
        <v>0</v>
      </c>
      <c r="R14" s="126"/>
      <c r="S14" s="126"/>
      <c r="T14" s="125">
        <f t="shared" si="0"/>
        <v>210</v>
      </c>
      <c r="U14" s="126">
        <f t="shared" si="1"/>
        <v>0</v>
      </c>
      <c r="V14" s="126">
        <f>SUMIF($F$2:F14,F14,$U$2:U14)</f>
        <v>0</v>
      </c>
      <c r="W14" s="116">
        <f t="shared" si="2"/>
        <v>0.12428977272727272</v>
      </c>
      <c r="X14" s="116" t="str">
        <f t="shared" si="3"/>
        <v/>
      </c>
      <c r="Y14" s="116" t="str">
        <f t="shared" si="4"/>
        <v/>
      </c>
      <c r="Z14" s="125">
        <f t="shared" si="5"/>
        <v>0</v>
      </c>
      <c r="AA14" s="124">
        <f>IFERROR(AVERAGEIF($F$2:F14,F14,$N$2:N14),"")</f>
        <v>70.400000000000006</v>
      </c>
      <c r="AB14" s="126"/>
      <c r="AC14" s="125">
        <v>6.4041034581308942</v>
      </c>
      <c r="AD14" s="125">
        <f>AVERAGEIF($F$2:F14,F14,$AC$2:AC14)</f>
        <v>6.4041034581308942</v>
      </c>
      <c r="AE14" s="116">
        <f t="shared" si="6"/>
        <v>0.96029999999999993</v>
      </c>
      <c r="AF14" s="116">
        <v>0.995</v>
      </c>
      <c r="AG14" s="116"/>
      <c r="AH14" s="116">
        <v>0.97</v>
      </c>
      <c r="AI14" s="116">
        <v>0.99</v>
      </c>
      <c r="AJ14" s="116">
        <v>0.95</v>
      </c>
      <c r="AK14" s="116">
        <v>0.05</v>
      </c>
      <c r="AL14" s="116">
        <v>0.05</v>
      </c>
    </row>
    <row r="15" spans="1:41">
      <c r="A15" s="123">
        <f t="shared" si="7"/>
        <v>14</v>
      </c>
      <c r="B15" s="114" t="str">
        <f t="shared" ref="B15:B49" si="11">B3</f>
        <v>May</v>
      </c>
      <c r="C15" s="123">
        <f t="shared" si="10"/>
        <v>6</v>
      </c>
      <c r="D15" s="114">
        <v>45047</v>
      </c>
      <c r="E15" s="117">
        <f t="shared" si="8"/>
        <v>2023</v>
      </c>
      <c r="F15" s="117" t="s">
        <v>786</v>
      </c>
      <c r="G15" s="123">
        <f t="shared" si="9"/>
        <v>31</v>
      </c>
      <c r="H15" s="127"/>
      <c r="I15" s="127"/>
      <c r="J15" s="125">
        <f t="shared" ref="J15:J49" si="12">J3</f>
        <v>5.7233333333333336</v>
      </c>
      <c r="K15" s="127"/>
      <c r="L15" s="123"/>
      <c r="M15" s="128">
        <v>10320</v>
      </c>
      <c r="N15" s="128">
        <v>70.400000000000006</v>
      </c>
      <c r="O15" s="118"/>
      <c r="P15" s="120"/>
      <c r="Q15" s="123">
        <f>COUNTIFS('Daily KPI'!$D:$D,D15,'Daily KPI'!$M:$M,"&gt;0")</f>
        <v>0</v>
      </c>
      <c r="R15" s="128"/>
      <c r="S15" s="128"/>
      <c r="T15" s="120">
        <f t="shared" si="0"/>
        <v>332.90322580645159</v>
      </c>
      <c r="U15" s="128">
        <f t="shared" si="1"/>
        <v>0</v>
      </c>
      <c r="V15" s="128">
        <f>SUMIF($F$2:F15,F15,$U$2:U15)</f>
        <v>0</v>
      </c>
      <c r="W15" s="118">
        <f t="shared" si="2"/>
        <v>0.19703079178885627</v>
      </c>
      <c r="X15" s="118" t="str">
        <f t="shared" si="3"/>
        <v/>
      </c>
      <c r="Y15" s="118" t="str">
        <f t="shared" si="4"/>
        <v/>
      </c>
      <c r="Z15" s="120">
        <f t="shared" si="5"/>
        <v>0</v>
      </c>
      <c r="AA15" s="127">
        <f>IFERROR(AVERAGEIF($F$2:F15,F15,$N$2:N15),"")</f>
        <v>70.400000000000006</v>
      </c>
      <c r="AB15" s="128"/>
      <c r="AC15" s="120">
        <v>5.9681800514432695</v>
      </c>
      <c r="AD15" s="120">
        <f>AVERAGEIF($F$2:F15,F15,$AC$2:AC15)</f>
        <v>6.1861417547870818</v>
      </c>
      <c r="AE15" s="118">
        <f t="shared" si="6"/>
        <v>0.96029999999999993</v>
      </c>
      <c r="AF15" s="118">
        <v>0.995</v>
      </c>
      <c r="AG15" s="118"/>
      <c r="AH15" s="118">
        <v>0.97</v>
      </c>
      <c r="AI15" s="118">
        <v>0.99</v>
      </c>
      <c r="AJ15" s="118">
        <v>0.95</v>
      </c>
      <c r="AK15" s="118">
        <v>0.05</v>
      </c>
      <c r="AL15" s="118">
        <v>0.05</v>
      </c>
    </row>
    <row r="16" spans="1:41">
      <c r="A16" s="123">
        <f t="shared" si="7"/>
        <v>15</v>
      </c>
      <c r="B16" s="114" t="str">
        <f t="shared" si="11"/>
        <v>June</v>
      </c>
      <c r="C16" s="123">
        <f t="shared" si="10"/>
        <v>7</v>
      </c>
      <c r="D16" s="114">
        <v>45078</v>
      </c>
      <c r="E16" s="115">
        <f t="shared" si="8"/>
        <v>2023</v>
      </c>
      <c r="F16" s="115" t="s">
        <v>786</v>
      </c>
      <c r="G16" s="122">
        <f t="shared" si="9"/>
        <v>30</v>
      </c>
      <c r="H16" s="124"/>
      <c r="I16" s="124"/>
      <c r="J16" s="125">
        <f t="shared" si="12"/>
        <v>6.81</v>
      </c>
      <c r="K16" s="124"/>
      <c r="L16" s="122"/>
      <c r="M16" s="126">
        <v>14360</v>
      </c>
      <c r="N16" s="126">
        <v>70.400000000000006</v>
      </c>
      <c r="O16" s="116"/>
      <c r="P16" s="125"/>
      <c r="Q16" s="122">
        <f>COUNTIFS('Daily KPI'!$D:$D,D16,'Daily KPI'!$M:$M,"&gt;0")</f>
        <v>0</v>
      </c>
      <c r="R16" s="126"/>
      <c r="S16" s="126"/>
      <c r="T16" s="125">
        <f t="shared" si="0"/>
        <v>478.66666666666669</v>
      </c>
      <c r="U16" s="126">
        <f t="shared" si="1"/>
        <v>0</v>
      </c>
      <c r="V16" s="126">
        <f>SUMIF($F$2:F16,F16,$U$2:U16)</f>
        <v>0</v>
      </c>
      <c r="W16" s="116">
        <f t="shared" si="2"/>
        <v>0.28330176767676768</v>
      </c>
      <c r="X16" s="116" t="str">
        <f t="shared" si="3"/>
        <v/>
      </c>
      <c r="Y16" s="116" t="str">
        <f t="shared" si="4"/>
        <v/>
      </c>
      <c r="Z16" s="125">
        <f t="shared" si="5"/>
        <v>0</v>
      </c>
      <c r="AA16" s="124">
        <f>IFERROR(AVERAGEIF($F$2:F16,F16,$N$2:N16),"")</f>
        <v>70.400000000000006</v>
      </c>
      <c r="AB16" s="126"/>
      <c r="AC16" s="125">
        <v>5.6310997427836513</v>
      </c>
      <c r="AD16" s="125">
        <f>AVERAGEIF($F$2:F16,F16,$AC$2:AC16)</f>
        <v>6.0011277507859377</v>
      </c>
      <c r="AE16" s="116">
        <f t="shared" si="6"/>
        <v>0.96029999999999993</v>
      </c>
      <c r="AF16" s="116">
        <v>0.995</v>
      </c>
      <c r="AG16" s="116"/>
      <c r="AH16" s="116">
        <v>0.97</v>
      </c>
      <c r="AI16" s="116">
        <v>0.99</v>
      </c>
      <c r="AJ16" s="116">
        <v>0.95</v>
      </c>
      <c r="AK16" s="116">
        <v>0.05</v>
      </c>
      <c r="AL16" s="116">
        <v>0.05</v>
      </c>
    </row>
    <row r="17" spans="1:38">
      <c r="A17" s="123">
        <f t="shared" si="7"/>
        <v>16</v>
      </c>
      <c r="B17" s="114" t="str">
        <f t="shared" si="11"/>
        <v>July</v>
      </c>
      <c r="C17" s="123">
        <f t="shared" si="10"/>
        <v>8</v>
      </c>
      <c r="D17" s="114">
        <v>45108</v>
      </c>
      <c r="E17" s="117">
        <f t="shared" si="8"/>
        <v>2023</v>
      </c>
      <c r="F17" s="117" t="s">
        <v>786</v>
      </c>
      <c r="G17" s="123">
        <f t="shared" si="9"/>
        <v>31</v>
      </c>
      <c r="H17" s="127"/>
      <c r="I17" s="127"/>
      <c r="J17" s="125">
        <f t="shared" si="12"/>
        <v>9.8233333333333324</v>
      </c>
      <c r="K17" s="127"/>
      <c r="L17" s="123"/>
      <c r="M17" s="128">
        <v>26690</v>
      </c>
      <c r="N17" s="128">
        <v>70.400000000000006</v>
      </c>
      <c r="O17" s="118"/>
      <c r="P17" s="120"/>
      <c r="Q17" s="123">
        <f>COUNTIFS('Daily KPI'!$D:$D,D17,'Daily KPI'!$M:$M,"&gt;0")</f>
        <v>0</v>
      </c>
      <c r="R17" s="128"/>
      <c r="S17" s="128"/>
      <c r="T17" s="120">
        <f t="shared" si="0"/>
        <v>860.9677419354839</v>
      </c>
      <c r="U17" s="128">
        <f t="shared" si="1"/>
        <v>0</v>
      </c>
      <c r="V17" s="128">
        <f>SUMIF($F$2:F17,F17,$U$2:U17)</f>
        <v>0</v>
      </c>
      <c r="W17" s="118">
        <f t="shared" si="2"/>
        <v>0.50956897605083085</v>
      </c>
      <c r="X17" s="118" t="str">
        <f t="shared" si="3"/>
        <v/>
      </c>
      <c r="Y17" s="118" t="str">
        <f t="shared" si="4"/>
        <v/>
      </c>
      <c r="Z17" s="120">
        <f t="shared" si="5"/>
        <v>0</v>
      </c>
      <c r="AA17" s="127">
        <f>IFERROR(AVERAGEIF($F$2:F17,F17,$N$2:N17),"")</f>
        <v>70.400000000000006</v>
      </c>
      <c r="AB17" s="128"/>
      <c r="AC17" s="120">
        <v>7.1310648756787653</v>
      </c>
      <c r="AD17" s="120">
        <f>AVERAGEIF($F$2:F17,F17,$AC$2:AC17)</f>
        <v>6.2836120320091453</v>
      </c>
      <c r="AE17" s="118">
        <f t="shared" si="6"/>
        <v>0.96029999999999993</v>
      </c>
      <c r="AF17" s="118">
        <v>0.995</v>
      </c>
      <c r="AG17" s="118"/>
      <c r="AH17" s="118">
        <v>0.97</v>
      </c>
      <c r="AI17" s="118">
        <v>0.99</v>
      </c>
      <c r="AJ17" s="118">
        <v>0.95</v>
      </c>
      <c r="AK17" s="118">
        <v>0.05</v>
      </c>
      <c r="AL17" s="118">
        <v>0.05</v>
      </c>
    </row>
    <row r="18" spans="1:38">
      <c r="A18" s="123">
        <f t="shared" si="7"/>
        <v>17</v>
      </c>
      <c r="B18" s="114" t="str">
        <f t="shared" si="11"/>
        <v>August</v>
      </c>
      <c r="C18" s="123">
        <f t="shared" si="10"/>
        <v>9</v>
      </c>
      <c r="D18" s="114">
        <v>45139</v>
      </c>
      <c r="E18" s="115">
        <f t="shared" si="8"/>
        <v>2023</v>
      </c>
      <c r="F18" s="115" t="s">
        <v>786</v>
      </c>
      <c r="G18" s="122">
        <f t="shared" si="9"/>
        <v>31</v>
      </c>
      <c r="H18" s="124"/>
      <c r="I18" s="124"/>
      <c r="J18" s="125">
        <f t="shared" si="12"/>
        <v>9.1</v>
      </c>
      <c r="K18" s="124"/>
      <c r="L18" s="122"/>
      <c r="M18" s="126">
        <v>31190</v>
      </c>
      <c r="N18" s="126">
        <v>70.400000000000006</v>
      </c>
      <c r="O18" s="116"/>
      <c r="P18" s="125"/>
      <c r="Q18" s="122">
        <f>COUNTIFS('Daily KPI'!$D:$D,D18,'Daily KPI'!$M:$M,"&gt;0")</f>
        <v>0</v>
      </c>
      <c r="R18" s="126"/>
      <c r="S18" s="126"/>
      <c r="T18" s="125">
        <f t="shared" si="0"/>
        <v>1006.1290322580645</v>
      </c>
      <c r="U18" s="126">
        <f t="shared" si="1"/>
        <v>0</v>
      </c>
      <c r="V18" s="126">
        <f>SUMIF($F$2:F18,F18,$U$2:U18)</f>
        <v>0</v>
      </c>
      <c r="W18" s="116">
        <f t="shared" si="2"/>
        <v>0.59548356549364612</v>
      </c>
      <c r="X18" s="116" t="str">
        <f t="shared" si="3"/>
        <v/>
      </c>
      <c r="Y18" s="116" t="str">
        <f t="shared" si="4"/>
        <v/>
      </c>
      <c r="Z18" s="125">
        <f t="shared" si="5"/>
        <v>0</v>
      </c>
      <c r="AA18" s="124">
        <f>IFERROR(AVERAGEIF($F$2:F18,F18,$N$2:N18),"")</f>
        <v>70.400000000000006</v>
      </c>
      <c r="AB18" s="126"/>
      <c r="AC18" s="125">
        <v>9.4530328665332952</v>
      </c>
      <c r="AD18" s="125">
        <f>AVERAGEIF($F$2:F18,F18,$AC$2:AC18)</f>
        <v>6.9174961989139749</v>
      </c>
      <c r="AE18" s="116">
        <f t="shared" si="6"/>
        <v>0.96029999999999993</v>
      </c>
      <c r="AF18" s="116">
        <v>0.995</v>
      </c>
      <c r="AG18" s="116"/>
      <c r="AH18" s="116">
        <v>0.97</v>
      </c>
      <c r="AI18" s="116">
        <v>0.99</v>
      </c>
      <c r="AJ18" s="116">
        <v>0.95</v>
      </c>
      <c r="AK18" s="116">
        <v>0.05</v>
      </c>
      <c r="AL18" s="116">
        <v>0.05</v>
      </c>
    </row>
    <row r="19" spans="1:38">
      <c r="A19" s="123">
        <f t="shared" si="7"/>
        <v>18</v>
      </c>
      <c r="B19" s="114" t="str">
        <f t="shared" si="11"/>
        <v>September</v>
      </c>
      <c r="C19" s="123">
        <f t="shared" si="10"/>
        <v>10</v>
      </c>
      <c r="D19" s="114">
        <v>45170</v>
      </c>
      <c r="E19" s="117">
        <f t="shared" si="8"/>
        <v>2023</v>
      </c>
      <c r="F19" s="117" t="s">
        <v>786</v>
      </c>
      <c r="G19" s="123">
        <f t="shared" si="9"/>
        <v>30</v>
      </c>
      <c r="H19" s="127"/>
      <c r="I19" s="127"/>
      <c r="J19" s="125">
        <f t="shared" si="12"/>
        <v>5.56</v>
      </c>
      <c r="K19" s="127"/>
      <c r="L19" s="123"/>
      <c r="M19" s="128">
        <v>10320</v>
      </c>
      <c r="N19" s="128">
        <v>70.400000000000006</v>
      </c>
      <c r="O19" s="118"/>
      <c r="P19" s="120"/>
      <c r="Q19" s="123">
        <f>COUNTIFS('Daily KPI'!$D:$D,D19,'Daily KPI'!$M:$M,"&gt;0")</f>
        <v>0</v>
      </c>
      <c r="R19" s="128"/>
      <c r="S19" s="128"/>
      <c r="T19" s="120">
        <f t="shared" si="0"/>
        <v>344</v>
      </c>
      <c r="U19" s="128">
        <f t="shared" si="1"/>
        <v>0</v>
      </c>
      <c r="V19" s="128">
        <f>SUMIF($F$2:F19,F19,$U$2:U19)</f>
        <v>0</v>
      </c>
      <c r="W19" s="118">
        <f t="shared" si="2"/>
        <v>0.20359848484848483</v>
      </c>
      <c r="X19" s="118" t="str">
        <f t="shared" si="3"/>
        <v/>
      </c>
      <c r="Y19" s="118" t="str">
        <f t="shared" si="4"/>
        <v/>
      </c>
      <c r="Z19" s="120">
        <f t="shared" si="5"/>
        <v>0</v>
      </c>
      <c r="AA19" s="127">
        <f>IFERROR(AVERAGEIF($F$2:F19,F19,$N$2:N19),"")</f>
        <v>70.399999999999991</v>
      </c>
      <c r="AB19" s="128"/>
      <c r="AC19" s="120">
        <v>10.303759359817088</v>
      </c>
      <c r="AD19" s="120">
        <f>AVERAGEIF($F$2:F19,F19,$AC$2:AC19)</f>
        <v>7.4818733923978264</v>
      </c>
      <c r="AE19" s="118">
        <f t="shared" si="6"/>
        <v>0.96029999999999993</v>
      </c>
      <c r="AF19" s="118">
        <v>0.995</v>
      </c>
      <c r="AG19" s="118"/>
      <c r="AH19" s="118">
        <v>0.97</v>
      </c>
      <c r="AI19" s="118">
        <v>0.99</v>
      </c>
      <c r="AJ19" s="118">
        <v>0.95</v>
      </c>
      <c r="AK19" s="118">
        <v>0.05</v>
      </c>
      <c r="AL19" s="118">
        <v>0.05</v>
      </c>
    </row>
    <row r="20" spans="1:38">
      <c r="A20" s="123">
        <f t="shared" si="7"/>
        <v>19</v>
      </c>
      <c r="B20" s="114" t="str">
        <f t="shared" si="11"/>
        <v>October</v>
      </c>
      <c r="C20" s="123">
        <f t="shared" si="10"/>
        <v>11</v>
      </c>
      <c r="D20" s="114">
        <v>45200</v>
      </c>
      <c r="E20" s="115">
        <f t="shared" si="8"/>
        <v>2023</v>
      </c>
      <c r="F20" s="115" t="s">
        <v>786</v>
      </c>
      <c r="G20" s="122">
        <f t="shared" si="9"/>
        <v>31</v>
      </c>
      <c r="H20" s="124"/>
      <c r="I20" s="124"/>
      <c r="J20" s="125">
        <f t="shared" si="12"/>
        <v>4.1733333333333329</v>
      </c>
      <c r="K20" s="124"/>
      <c r="L20" s="122"/>
      <c r="M20" s="126">
        <v>4720</v>
      </c>
      <c r="N20" s="126">
        <v>70.400000000000006</v>
      </c>
      <c r="O20" s="116"/>
      <c r="P20" s="125"/>
      <c r="Q20" s="122">
        <f>COUNTIFS('Daily KPI'!$D:$D,D20,'Daily KPI'!$M:$M,"&gt;0")</f>
        <v>0</v>
      </c>
      <c r="R20" s="126"/>
      <c r="S20" s="126"/>
      <c r="T20" s="125">
        <f t="shared" si="0"/>
        <v>152.25806451612902</v>
      </c>
      <c r="U20" s="126">
        <f t="shared" si="1"/>
        <v>0</v>
      </c>
      <c r="V20" s="126">
        <f>SUMIF($F$2:F20,F20,$U$2:U20)</f>
        <v>0</v>
      </c>
      <c r="W20" s="116">
        <f t="shared" si="2"/>
        <v>9.011485826001954E-2</v>
      </c>
      <c r="X20" s="116" t="str">
        <f t="shared" si="3"/>
        <v/>
      </c>
      <c r="Y20" s="116" t="str">
        <f t="shared" si="4"/>
        <v/>
      </c>
      <c r="Z20" s="125">
        <f t="shared" si="5"/>
        <v>0</v>
      </c>
      <c r="AA20" s="124">
        <f>IFERROR(AVERAGEIF($F$2:F20,F20,$N$2:N20),"")</f>
        <v>70.399999999999991</v>
      </c>
      <c r="AB20" s="126"/>
      <c r="AC20" s="125">
        <v>8.5195147184909956</v>
      </c>
      <c r="AD20" s="125">
        <f>AVERAGEIF($F$2:F20,F20,$AC$2:AC20)</f>
        <v>7.6301078675539937</v>
      </c>
      <c r="AE20" s="116">
        <f t="shared" si="6"/>
        <v>0.96029999999999993</v>
      </c>
      <c r="AF20" s="116">
        <v>0.995</v>
      </c>
      <c r="AG20" s="116"/>
      <c r="AH20" s="116">
        <v>0.97</v>
      </c>
      <c r="AI20" s="116">
        <v>0.99</v>
      </c>
      <c r="AJ20" s="116">
        <v>0.95</v>
      </c>
      <c r="AK20" s="116">
        <v>0.05</v>
      </c>
      <c r="AL20" s="116">
        <v>0.05</v>
      </c>
    </row>
    <row r="21" spans="1:38">
      <c r="A21" s="123">
        <f t="shared" si="7"/>
        <v>20</v>
      </c>
      <c r="B21" s="114" t="str">
        <f t="shared" si="11"/>
        <v>November</v>
      </c>
      <c r="C21" s="123">
        <f t="shared" si="10"/>
        <v>12</v>
      </c>
      <c r="D21" s="114">
        <v>45231</v>
      </c>
      <c r="E21" s="117">
        <f t="shared" si="8"/>
        <v>2023</v>
      </c>
      <c r="F21" s="117" t="s">
        <v>786</v>
      </c>
      <c r="G21" s="123">
        <f t="shared" si="9"/>
        <v>30</v>
      </c>
      <c r="H21" s="127"/>
      <c r="I21" s="127"/>
      <c r="J21" s="125">
        <f t="shared" si="12"/>
        <v>4.4633333333333338</v>
      </c>
      <c r="K21" s="127"/>
      <c r="L21" s="123"/>
      <c r="M21" s="128">
        <v>7060</v>
      </c>
      <c r="N21" s="128">
        <v>70.400000000000006</v>
      </c>
      <c r="O21" s="118"/>
      <c r="P21" s="120"/>
      <c r="Q21" s="123">
        <f>COUNTIFS('Daily KPI'!$D:$D,D21,'Daily KPI'!$M:$M,"&gt;0")</f>
        <v>0</v>
      </c>
      <c r="R21" s="128"/>
      <c r="S21" s="128"/>
      <c r="T21" s="120">
        <f t="shared" si="0"/>
        <v>235.33333333333334</v>
      </c>
      <c r="U21" s="128">
        <f t="shared" si="1"/>
        <v>0</v>
      </c>
      <c r="V21" s="128">
        <f>SUMIF($F$2:F21,F21,$U$2:U21)</f>
        <v>0</v>
      </c>
      <c r="W21" s="118">
        <f t="shared" si="2"/>
        <v>0.13928345959595959</v>
      </c>
      <c r="X21" s="118" t="str">
        <f t="shared" si="3"/>
        <v/>
      </c>
      <c r="Y21" s="118" t="str">
        <f t="shared" si="4"/>
        <v/>
      </c>
      <c r="Z21" s="120">
        <f t="shared" si="5"/>
        <v>0</v>
      </c>
      <c r="AA21" s="127">
        <f>IFERROR(AVERAGEIF($F$2:F21,F21,$N$2:N21),"")</f>
        <v>70.399999999999991</v>
      </c>
      <c r="AB21" s="128"/>
      <c r="AC21" s="120">
        <v>7.2366664761360369</v>
      </c>
      <c r="AD21" s="120">
        <f>AVERAGEIF($F$2:F21,F21,$AC$2:AC21)</f>
        <v>7.5809276936267489</v>
      </c>
      <c r="AE21" s="118">
        <f t="shared" si="6"/>
        <v>0.96029999999999993</v>
      </c>
      <c r="AF21" s="118">
        <v>0.995</v>
      </c>
      <c r="AG21" s="118"/>
      <c r="AH21" s="118">
        <v>0.97</v>
      </c>
      <c r="AI21" s="118">
        <v>0.99</v>
      </c>
      <c r="AJ21" s="118">
        <v>0.95</v>
      </c>
      <c r="AK21" s="118">
        <v>0.05</v>
      </c>
      <c r="AL21" s="118">
        <v>0.05</v>
      </c>
    </row>
    <row r="22" spans="1:38">
      <c r="A22" s="123">
        <f t="shared" si="7"/>
        <v>21</v>
      </c>
      <c r="B22" s="114" t="str">
        <f t="shared" si="11"/>
        <v>December</v>
      </c>
      <c r="C22" s="123">
        <f t="shared" si="10"/>
        <v>1</v>
      </c>
      <c r="D22" s="114">
        <v>45261</v>
      </c>
      <c r="E22" s="115">
        <f t="shared" si="8"/>
        <v>2023</v>
      </c>
      <c r="F22" s="115" t="s">
        <v>786</v>
      </c>
      <c r="G22" s="122">
        <f t="shared" si="9"/>
        <v>31</v>
      </c>
      <c r="H22" s="124"/>
      <c r="I22" s="124"/>
      <c r="J22" s="125">
        <f t="shared" si="12"/>
        <v>4.79</v>
      </c>
      <c r="K22" s="124"/>
      <c r="L22" s="122"/>
      <c r="M22" s="126">
        <v>7340</v>
      </c>
      <c r="N22" s="126">
        <v>70.400000000000006</v>
      </c>
      <c r="O22" s="116"/>
      <c r="P22" s="125"/>
      <c r="Q22" s="122">
        <f>COUNTIFS('Daily KPI'!$D:$D,D22,'Daily KPI'!$M:$M,"&gt;0")</f>
        <v>0</v>
      </c>
      <c r="R22" s="126"/>
      <c r="S22" s="126"/>
      <c r="T22" s="125">
        <f t="shared" si="0"/>
        <v>236.7741935483871</v>
      </c>
      <c r="U22" s="126">
        <f t="shared" si="1"/>
        <v>0</v>
      </c>
      <c r="V22" s="126">
        <f>SUMIF($F$2:F22,F22,$U$2:U22)</f>
        <v>0</v>
      </c>
      <c r="W22" s="116">
        <f t="shared" si="2"/>
        <v>0.14013624144672532</v>
      </c>
      <c r="X22" s="116" t="str">
        <f t="shared" si="3"/>
        <v/>
      </c>
      <c r="Y22" s="116" t="str">
        <f t="shared" si="4"/>
        <v/>
      </c>
      <c r="Z22" s="125">
        <f t="shared" si="5"/>
        <v>0</v>
      </c>
      <c r="AA22" s="124">
        <f>IFERROR(AVERAGEIF($F$2:F22,F22,$N$2:N22),"")</f>
        <v>70.399999999999991</v>
      </c>
      <c r="AB22" s="126"/>
      <c r="AC22" s="125">
        <v>6.0015501571877659</v>
      </c>
      <c r="AD22" s="125">
        <f>AVERAGEIF($F$2:F22,F22,$AC$2:AC22)</f>
        <v>7.4054413006890849</v>
      </c>
      <c r="AE22" s="116">
        <f t="shared" si="6"/>
        <v>0.96029999999999993</v>
      </c>
      <c r="AF22" s="116">
        <v>0.995</v>
      </c>
      <c r="AG22" s="116"/>
      <c r="AH22" s="116">
        <v>0.97</v>
      </c>
      <c r="AI22" s="116">
        <v>0.99</v>
      </c>
      <c r="AJ22" s="116">
        <v>0.95</v>
      </c>
      <c r="AK22" s="116">
        <v>0.05</v>
      </c>
      <c r="AL22" s="116">
        <v>0.05</v>
      </c>
    </row>
    <row r="23" spans="1:38">
      <c r="A23" s="123">
        <f t="shared" si="7"/>
        <v>22</v>
      </c>
      <c r="B23" s="114" t="str">
        <f t="shared" si="11"/>
        <v>January</v>
      </c>
      <c r="C23" s="123">
        <f t="shared" si="10"/>
        <v>2</v>
      </c>
      <c r="D23" s="114">
        <v>45292</v>
      </c>
      <c r="E23" s="117">
        <f t="shared" si="8"/>
        <v>2024</v>
      </c>
      <c r="F23" s="117" t="s">
        <v>786</v>
      </c>
      <c r="G23" s="123">
        <f t="shared" si="9"/>
        <v>31</v>
      </c>
      <c r="H23" s="127"/>
      <c r="I23" s="127"/>
      <c r="J23" s="125">
        <f t="shared" si="12"/>
        <v>3.75</v>
      </c>
      <c r="K23" s="127"/>
      <c r="L23" s="123"/>
      <c r="M23" s="128">
        <v>3350</v>
      </c>
      <c r="N23" s="128">
        <v>70.400000000000006</v>
      </c>
      <c r="O23" s="118"/>
      <c r="P23" s="120"/>
      <c r="Q23" s="123">
        <f>COUNTIFS('Daily KPI'!$D:$D,D23,'Daily KPI'!$M:$M,"&gt;0")</f>
        <v>0</v>
      </c>
      <c r="R23" s="128"/>
      <c r="S23" s="128"/>
      <c r="T23" s="120">
        <f t="shared" si="0"/>
        <v>108.06451612903226</v>
      </c>
      <c r="U23" s="128">
        <f t="shared" si="1"/>
        <v>0</v>
      </c>
      <c r="V23" s="128">
        <f>SUMIF($F$2:F23,F23,$U$2:U23)</f>
        <v>0</v>
      </c>
      <c r="W23" s="118">
        <f t="shared" si="2"/>
        <v>6.3958638807429122E-2</v>
      </c>
      <c r="X23" s="118" t="str">
        <f t="shared" si="3"/>
        <v/>
      </c>
      <c r="Y23" s="118" t="str">
        <f t="shared" si="4"/>
        <v/>
      </c>
      <c r="Z23" s="120">
        <f t="shared" si="5"/>
        <v>0</v>
      </c>
      <c r="AA23" s="127">
        <f>IFERROR(AVERAGEIF($F$2:F23,F23,$N$2:N23),"")</f>
        <v>70.399999999999991</v>
      </c>
      <c r="AB23" s="128"/>
      <c r="AC23" s="120">
        <v>6.7073912546441834</v>
      </c>
      <c r="AD23" s="120">
        <f>AVERAGEIF($F$2:F23,F23,$AC$2:AC23)</f>
        <v>7.3356362960845942</v>
      </c>
      <c r="AE23" s="118">
        <f t="shared" si="6"/>
        <v>0.96029999999999993</v>
      </c>
      <c r="AF23" s="118">
        <v>0.995</v>
      </c>
      <c r="AG23" s="118"/>
      <c r="AH23" s="118">
        <v>0.97</v>
      </c>
      <c r="AI23" s="118">
        <v>0.99</v>
      </c>
      <c r="AJ23" s="118">
        <v>0.95</v>
      </c>
      <c r="AK23" s="118">
        <v>0.05</v>
      </c>
      <c r="AL23" s="118">
        <v>0.05</v>
      </c>
    </row>
    <row r="24" spans="1:38">
      <c r="A24" s="123">
        <f t="shared" si="7"/>
        <v>23</v>
      </c>
      <c r="B24" s="114" t="str">
        <f t="shared" si="11"/>
        <v>February</v>
      </c>
      <c r="C24" s="123">
        <f t="shared" si="10"/>
        <v>4</v>
      </c>
      <c r="D24" s="114">
        <v>45323</v>
      </c>
      <c r="E24" s="115">
        <f>YEAR(D24)</f>
        <v>2024</v>
      </c>
      <c r="F24" s="115" t="s">
        <v>786</v>
      </c>
      <c r="G24" s="122">
        <f>DAY(EOMONTH(D24,0))</f>
        <v>29</v>
      </c>
      <c r="H24" s="124"/>
      <c r="I24" s="124"/>
      <c r="J24" s="125">
        <f t="shared" si="12"/>
        <v>3.9249999999999998</v>
      </c>
      <c r="K24" s="124"/>
      <c r="L24" s="122"/>
      <c r="M24" s="126">
        <v>3170</v>
      </c>
      <c r="N24" s="126">
        <v>70.400000000000006</v>
      </c>
      <c r="O24" s="116"/>
      <c r="P24" s="125"/>
      <c r="Q24" s="122">
        <f>COUNTIFS('Daily KPI'!$D:$D,D24,'Daily KPI'!$M:$M,"&gt;0")</f>
        <v>0</v>
      </c>
      <c r="R24" s="126"/>
      <c r="S24" s="126"/>
      <c r="T24" s="125">
        <f t="shared" si="0"/>
        <v>109.31034482758621</v>
      </c>
      <c r="U24" s="126">
        <f t="shared" si="1"/>
        <v>0</v>
      </c>
      <c r="V24" s="126">
        <f>SUMIF($F$2:F24,F24,$U$2:U24)</f>
        <v>0</v>
      </c>
      <c r="W24" s="116">
        <f t="shared" si="2"/>
        <v>6.4695990073145235E-2</v>
      </c>
      <c r="X24" s="116" t="str">
        <f t="shared" si="3"/>
        <v/>
      </c>
      <c r="Y24" s="116" t="str">
        <f t="shared" si="4"/>
        <v/>
      </c>
      <c r="Z24" s="125">
        <f t="shared" si="5"/>
        <v>0</v>
      </c>
      <c r="AA24" s="124">
        <f>IFERROR(AVERAGEIF($F$2:F24,F24,$N$2:N24),"")</f>
        <v>70.399999999999991</v>
      </c>
      <c r="AB24" s="126"/>
      <c r="AC24" s="125">
        <v>7.0533420977422105</v>
      </c>
      <c r="AD24" s="125">
        <f>AVERAGEIF($F$2:F24,F24,$AC$2:AC24)</f>
        <v>7.3099731871443785</v>
      </c>
      <c r="AE24" s="116">
        <f t="shared" si="6"/>
        <v>0.96029999999999993</v>
      </c>
      <c r="AF24" s="116">
        <v>0.995</v>
      </c>
      <c r="AG24" s="116"/>
      <c r="AH24" s="116">
        <v>0.97</v>
      </c>
      <c r="AI24" s="116">
        <v>0.99</v>
      </c>
      <c r="AJ24" s="116">
        <v>0.95</v>
      </c>
      <c r="AK24" s="116">
        <v>0.05</v>
      </c>
      <c r="AL24" s="116">
        <v>0.05</v>
      </c>
    </row>
    <row r="25" spans="1:38">
      <c r="A25" s="123">
        <f t="shared" si="7"/>
        <v>24</v>
      </c>
      <c r="B25" s="114" t="str">
        <f t="shared" si="11"/>
        <v>March</v>
      </c>
      <c r="C25" s="123">
        <f t="shared" si="10"/>
        <v>5</v>
      </c>
      <c r="D25" s="114">
        <v>45352</v>
      </c>
      <c r="E25" s="117">
        <f>YEAR(D25)</f>
        <v>2024</v>
      </c>
      <c r="F25" s="117" t="s">
        <v>786</v>
      </c>
      <c r="G25" s="123">
        <f>DAY(EOMONTH(D25,0))</f>
        <v>31</v>
      </c>
      <c r="H25" s="127"/>
      <c r="I25" s="127"/>
      <c r="J25" s="125">
        <f t="shared" si="12"/>
        <v>4.5649999999999995</v>
      </c>
      <c r="K25" s="127"/>
      <c r="L25" s="123"/>
      <c r="M25" s="128">
        <v>5570</v>
      </c>
      <c r="N25" s="128">
        <v>70.400000000000006</v>
      </c>
      <c r="O25" s="118"/>
      <c r="P25" s="120"/>
      <c r="Q25" s="123">
        <f>COUNTIFS('Daily KPI'!$D:$D,D25,'Daily KPI'!$M:$M,"&gt;0")</f>
        <v>0</v>
      </c>
      <c r="R25" s="128"/>
      <c r="S25" s="128"/>
      <c r="T25" s="120">
        <f t="shared" si="0"/>
        <v>179.67741935483872</v>
      </c>
      <c r="U25" s="128">
        <f t="shared" si="1"/>
        <v>0</v>
      </c>
      <c r="V25" s="128">
        <f>SUMIF($F$2:F25,F25,$U$2:U25)</f>
        <v>0</v>
      </c>
      <c r="W25" s="118">
        <f t="shared" si="2"/>
        <v>0.10634316959921798</v>
      </c>
      <c r="X25" s="118" t="str">
        <f t="shared" si="3"/>
        <v/>
      </c>
      <c r="Y25" s="118" t="str">
        <f t="shared" si="4"/>
        <v/>
      </c>
      <c r="Z25" s="120">
        <f t="shared" si="5"/>
        <v>0</v>
      </c>
      <c r="AA25" s="127">
        <f>IFERROR(AVERAGEIF($F$2:F25,F25,$N$2:N25),"")</f>
        <v>70.399999999999991</v>
      </c>
      <c r="AB25" s="128"/>
      <c r="AC25" s="120">
        <v>7.411120320091455</v>
      </c>
      <c r="AD25" s="120">
        <f>AVERAGEIF($F$2:F25,F25,$AC$2:AC25)</f>
        <v>7.3184021148899676</v>
      </c>
      <c r="AE25" s="118">
        <f t="shared" si="6"/>
        <v>0.96029999999999993</v>
      </c>
      <c r="AF25" s="118">
        <v>0.995</v>
      </c>
      <c r="AG25" s="118"/>
      <c r="AH25" s="118">
        <v>0.97</v>
      </c>
      <c r="AI25" s="118">
        <v>0.99</v>
      </c>
      <c r="AJ25" s="118">
        <v>0.95</v>
      </c>
      <c r="AK25" s="118">
        <v>0.05</v>
      </c>
      <c r="AL25" s="118">
        <v>0.05</v>
      </c>
    </row>
    <row r="26" spans="1:38">
      <c r="A26" s="123">
        <f t="shared" si="7"/>
        <v>25</v>
      </c>
      <c r="B26" s="114" t="str">
        <f t="shared" si="11"/>
        <v>April</v>
      </c>
      <c r="C26" s="123">
        <f t="shared" si="10"/>
        <v>6</v>
      </c>
      <c r="D26" s="114">
        <v>45383</v>
      </c>
      <c r="E26" s="117">
        <f t="shared" ref="E26:E39" si="13">YEAR(D26)</f>
        <v>2024</v>
      </c>
      <c r="F26" s="117" t="s">
        <v>787</v>
      </c>
      <c r="G26" s="123">
        <f t="shared" ref="G26:G39" si="14">DAY(EOMONTH(D26,0))</f>
        <v>30</v>
      </c>
      <c r="H26" s="127"/>
      <c r="I26" s="127"/>
      <c r="J26" s="125">
        <f t="shared" si="12"/>
        <v>5.22</v>
      </c>
      <c r="K26" s="127"/>
      <c r="L26" s="123"/>
      <c r="M26" s="128">
        <v>6843.4</v>
      </c>
      <c r="N26" s="128">
        <v>70.400000000000006</v>
      </c>
      <c r="O26" s="118"/>
      <c r="P26" s="120"/>
      <c r="Q26" s="123">
        <f>COUNTIFS('Daily KPI'!$D:$D,D26,'Daily KPI'!$M:$M,"&gt;0")</f>
        <v>0</v>
      </c>
      <c r="R26" s="128"/>
      <c r="S26" s="128"/>
      <c r="T26" s="120">
        <f t="shared" si="0"/>
        <v>228.11333333333332</v>
      </c>
      <c r="U26" s="128">
        <f t="shared" si="1"/>
        <v>0</v>
      </c>
      <c r="V26" s="129">
        <f>SUMIF($F$2:F49,F26,$U$2:U49)</f>
        <v>532.0645161290322</v>
      </c>
      <c r="W26" s="118">
        <f t="shared" si="2"/>
        <v>0.13501025883838383</v>
      </c>
      <c r="X26" s="118" t="str">
        <f t="shared" si="3"/>
        <v/>
      </c>
      <c r="Y26" s="118" t="str">
        <f t="shared" si="4"/>
        <v/>
      </c>
      <c r="Z26" s="120">
        <f t="shared" si="5"/>
        <v>0</v>
      </c>
      <c r="AA26" s="127">
        <f>IFERROR(AVERAGEIF($F$2:F26,F26,$N$2:N26),"")</f>
        <v>70.400000000000006</v>
      </c>
      <c r="AB26" s="128"/>
      <c r="AC26" s="120">
        <v>6.4041034581308942</v>
      </c>
      <c r="AD26" s="120">
        <f>AVERAGEIF($F$2:F26,F26,$AC$2:AC26)</f>
        <v>6.4041034581308942</v>
      </c>
      <c r="AE26" s="118">
        <f t="shared" si="6"/>
        <v>0.96029999999999993</v>
      </c>
      <c r="AF26" s="118">
        <v>0.995</v>
      </c>
      <c r="AG26" s="118"/>
      <c r="AH26" s="118">
        <v>0.97</v>
      </c>
      <c r="AI26" s="118">
        <v>0.99</v>
      </c>
      <c r="AJ26" s="118">
        <v>0.95</v>
      </c>
      <c r="AK26" s="118">
        <v>0.05</v>
      </c>
      <c r="AL26" s="118">
        <v>0.05</v>
      </c>
    </row>
    <row r="27" spans="1:38">
      <c r="A27" s="123">
        <f t="shared" si="7"/>
        <v>26</v>
      </c>
      <c r="B27" s="114" t="str">
        <f t="shared" si="11"/>
        <v>May</v>
      </c>
      <c r="C27" s="123">
        <f t="shared" si="10"/>
        <v>7</v>
      </c>
      <c r="D27" s="114">
        <v>45413</v>
      </c>
      <c r="E27" s="117">
        <f t="shared" si="13"/>
        <v>2024</v>
      </c>
      <c r="F27" s="117" t="s">
        <v>787</v>
      </c>
      <c r="G27" s="123">
        <f t="shared" si="14"/>
        <v>31</v>
      </c>
      <c r="H27" s="127"/>
      <c r="I27" s="127"/>
      <c r="J27" s="125">
        <f t="shared" si="12"/>
        <v>5.7233333333333336</v>
      </c>
      <c r="K27" s="127"/>
      <c r="L27" s="123"/>
      <c r="M27" s="128">
        <v>10848.5</v>
      </c>
      <c r="N27" s="128">
        <v>70.400000000000006</v>
      </c>
      <c r="O27" s="118"/>
      <c r="P27" s="120"/>
      <c r="Q27" s="123">
        <f>COUNTIFS('Daily KPI'!$D:$D,D27,'Daily KPI'!$M:$M,"&gt;0")</f>
        <v>0</v>
      </c>
      <c r="R27" s="128"/>
      <c r="S27" s="128"/>
      <c r="T27" s="120">
        <f t="shared" si="0"/>
        <v>349.95161290322579</v>
      </c>
      <c r="U27" s="128">
        <f t="shared" si="1"/>
        <v>0</v>
      </c>
      <c r="V27" s="129">
        <f>SUMIF($F$2:F49,F27,$U$2:U49)</f>
        <v>532.0645161290322</v>
      </c>
      <c r="W27" s="118">
        <f t="shared" si="2"/>
        <v>0.20712098301564025</v>
      </c>
      <c r="X27" s="118" t="str">
        <f t="shared" si="3"/>
        <v/>
      </c>
      <c r="Y27" s="118" t="str">
        <f t="shared" si="4"/>
        <v/>
      </c>
      <c r="Z27" s="120">
        <f t="shared" si="5"/>
        <v>0</v>
      </c>
      <c r="AA27" s="130">
        <f>IFERROR(AVERAGEIF($F$2:F49,F27,$N$2:N49),"")</f>
        <v>70.399999999999991</v>
      </c>
      <c r="AB27" s="128"/>
      <c r="AC27" s="120">
        <v>5.9681800514432695</v>
      </c>
      <c r="AD27" s="131">
        <f>AVERAGEIF($F$2:F49,F27,$AC$2:AC49)</f>
        <v>7.3184021148899676</v>
      </c>
      <c r="AE27" s="118">
        <f t="shared" si="6"/>
        <v>0.96029999999999993</v>
      </c>
      <c r="AF27" s="118">
        <v>0.995</v>
      </c>
      <c r="AG27" s="118"/>
      <c r="AH27" s="118">
        <v>0.97</v>
      </c>
      <c r="AI27" s="118">
        <v>0.99</v>
      </c>
      <c r="AJ27" s="118">
        <v>0.95</v>
      </c>
      <c r="AK27" s="118">
        <v>0.05</v>
      </c>
      <c r="AL27" s="118">
        <v>0.05</v>
      </c>
    </row>
    <row r="28" spans="1:38">
      <c r="A28" s="123">
        <f t="shared" si="7"/>
        <v>27</v>
      </c>
      <c r="B28" s="114" t="str">
        <f t="shared" si="11"/>
        <v>June</v>
      </c>
      <c r="C28" s="123">
        <f t="shared" si="10"/>
        <v>8</v>
      </c>
      <c r="D28" s="114">
        <v>45444</v>
      </c>
      <c r="E28" s="117">
        <f t="shared" si="13"/>
        <v>2024</v>
      </c>
      <c r="F28" s="117" t="s">
        <v>787</v>
      </c>
      <c r="G28" s="123">
        <f t="shared" si="14"/>
        <v>30</v>
      </c>
      <c r="H28" s="127"/>
      <c r="I28" s="127"/>
      <c r="J28" s="125">
        <f t="shared" si="12"/>
        <v>6.81</v>
      </c>
      <c r="K28" s="127"/>
      <c r="L28" s="123"/>
      <c r="M28" s="128">
        <v>15593.1</v>
      </c>
      <c r="N28" s="128">
        <v>70.400000000000006</v>
      </c>
      <c r="O28" s="118"/>
      <c r="P28" s="120"/>
      <c r="Q28" s="123">
        <f>COUNTIFS('Daily KPI'!$D:$D,D28,'Daily KPI'!$M:$M,"&gt;0")</f>
        <v>0</v>
      </c>
      <c r="R28" s="128"/>
      <c r="S28" s="128"/>
      <c r="T28" s="120">
        <f t="shared" si="0"/>
        <v>519.77</v>
      </c>
      <c r="U28" s="128">
        <f t="shared" si="1"/>
        <v>0</v>
      </c>
      <c r="V28" s="128">
        <f>SUMIF($F$2:F28,F28,$U$2:U28)</f>
        <v>0</v>
      </c>
      <c r="W28" s="118">
        <f t="shared" si="2"/>
        <v>0.30762902462121211</v>
      </c>
      <c r="X28" s="118" t="str">
        <f t="shared" si="3"/>
        <v/>
      </c>
      <c r="Y28" s="118" t="str">
        <f t="shared" si="4"/>
        <v/>
      </c>
      <c r="Z28" s="120">
        <f t="shared" si="5"/>
        <v>0</v>
      </c>
      <c r="AA28" s="127">
        <f>IFERROR(AVERAGEIF($F$2:F28,F28,$N$2:N28),"")</f>
        <v>70.400000000000006</v>
      </c>
      <c r="AB28" s="128"/>
      <c r="AC28" s="120">
        <f>AC16</f>
        <v>5.6310997427836513</v>
      </c>
      <c r="AD28" s="120">
        <f>AVERAGEIF($F$2:F28,F28,$AC$2:AC28)</f>
        <v>6.0011277507859377</v>
      </c>
      <c r="AE28" s="118">
        <f t="shared" si="6"/>
        <v>0.96029999999999993</v>
      </c>
      <c r="AF28" s="118">
        <v>0.995</v>
      </c>
      <c r="AG28" s="118"/>
      <c r="AH28" s="118">
        <v>0.97</v>
      </c>
      <c r="AI28" s="118">
        <v>0.99</v>
      </c>
      <c r="AJ28" s="118">
        <v>0.95</v>
      </c>
      <c r="AK28" s="118">
        <v>0.05</v>
      </c>
      <c r="AL28" s="118">
        <v>0.05</v>
      </c>
    </row>
    <row r="29" spans="1:38">
      <c r="A29" s="123">
        <f t="shared" si="7"/>
        <v>28</v>
      </c>
      <c r="B29" s="114" t="str">
        <f t="shared" si="11"/>
        <v>July</v>
      </c>
      <c r="C29" s="123">
        <f t="shared" si="10"/>
        <v>9</v>
      </c>
      <c r="D29" s="114">
        <v>45474</v>
      </c>
      <c r="E29" s="117">
        <f t="shared" si="13"/>
        <v>2024</v>
      </c>
      <c r="F29" s="117" t="s">
        <v>787</v>
      </c>
      <c r="G29" s="123">
        <f t="shared" si="14"/>
        <v>31</v>
      </c>
      <c r="H29" s="127"/>
      <c r="I29" s="127"/>
      <c r="J29" s="125">
        <f t="shared" si="12"/>
        <v>9.8233333333333324</v>
      </c>
      <c r="K29" s="127"/>
      <c r="L29" s="123"/>
      <c r="M29" s="128">
        <v>28051.7</v>
      </c>
      <c r="N29" s="128">
        <v>70.400000000000006</v>
      </c>
      <c r="O29" s="118"/>
      <c r="P29" s="120"/>
      <c r="Q29" s="123">
        <f>COUNTIFS('Daily KPI'!$D:$D,D29,'Daily KPI'!$M:$M,"&gt;0")</f>
        <v>0</v>
      </c>
      <c r="R29" s="128"/>
      <c r="S29" s="128"/>
      <c r="T29" s="120">
        <f t="shared" si="0"/>
        <v>904.89354838709676</v>
      </c>
      <c r="U29" s="128">
        <f t="shared" si="1"/>
        <v>0</v>
      </c>
      <c r="V29" s="128">
        <f>SUMIF($F$2:F29,F29,$U$2:U29)</f>
        <v>0</v>
      </c>
      <c r="W29" s="118">
        <f t="shared" si="2"/>
        <v>0.53556673081622674</v>
      </c>
      <c r="X29" s="118" t="str">
        <f t="shared" si="3"/>
        <v/>
      </c>
      <c r="Y29" s="118" t="str">
        <f t="shared" si="4"/>
        <v/>
      </c>
      <c r="Z29" s="120">
        <f t="shared" si="5"/>
        <v>0</v>
      </c>
      <c r="AA29" s="127">
        <f>IFERROR(AVERAGEIF($F$2:F29,F29,$N$2:N29),"")</f>
        <v>70.400000000000006</v>
      </c>
      <c r="AB29" s="128"/>
      <c r="AC29" s="120">
        <f t="shared" ref="AC29:AC49" si="15">AC17</f>
        <v>7.1310648756787653</v>
      </c>
      <c r="AD29" s="120">
        <f>AVERAGEIF($F$2:F29,F29,$AC$2:AC29)</f>
        <v>6.2836120320091453</v>
      </c>
      <c r="AE29" s="118">
        <f t="shared" si="6"/>
        <v>0.96029999999999993</v>
      </c>
      <c r="AF29" s="118">
        <v>0.995</v>
      </c>
      <c r="AG29" s="118"/>
      <c r="AH29" s="118">
        <v>0.97</v>
      </c>
      <c r="AI29" s="118">
        <v>0.99</v>
      </c>
      <c r="AJ29" s="118">
        <v>0.95</v>
      </c>
      <c r="AK29" s="118">
        <v>0.05</v>
      </c>
      <c r="AL29" s="118">
        <v>0.05</v>
      </c>
    </row>
    <row r="30" spans="1:38">
      <c r="A30" s="123">
        <f t="shared" si="7"/>
        <v>29</v>
      </c>
      <c r="B30" s="114" t="str">
        <f t="shared" si="11"/>
        <v>August</v>
      </c>
      <c r="C30" s="123">
        <f t="shared" si="10"/>
        <v>10</v>
      </c>
      <c r="D30" s="114">
        <v>45505</v>
      </c>
      <c r="E30" s="117">
        <f t="shared" si="13"/>
        <v>2024</v>
      </c>
      <c r="F30" s="117" t="s">
        <v>787</v>
      </c>
      <c r="G30" s="123">
        <f t="shared" si="14"/>
        <v>31</v>
      </c>
      <c r="H30" s="127"/>
      <c r="I30" s="127"/>
      <c r="J30" s="125">
        <f t="shared" si="12"/>
        <v>9.1</v>
      </c>
      <c r="K30" s="127"/>
      <c r="L30" s="123"/>
      <c r="M30" s="128">
        <v>32781.599999999999</v>
      </c>
      <c r="N30" s="128">
        <v>70.400000000000006</v>
      </c>
      <c r="O30" s="118"/>
      <c r="P30" s="120"/>
      <c r="Q30" s="123">
        <f>COUNTIFS('Daily KPI'!$D:$D,D30,'Daily KPI'!$M:$M,"&gt;0")</f>
        <v>0</v>
      </c>
      <c r="R30" s="128"/>
      <c r="S30" s="128"/>
      <c r="T30" s="120">
        <f t="shared" si="0"/>
        <v>1057.4709677419355</v>
      </c>
      <c r="U30" s="128">
        <f t="shared" si="1"/>
        <v>0</v>
      </c>
      <c r="V30" s="128">
        <f>SUMIF($F$2:F30,F30,$U$2:U30)</f>
        <v>0</v>
      </c>
      <c r="W30" s="118">
        <f t="shared" si="2"/>
        <v>0.62587060117302051</v>
      </c>
      <c r="X30" s="118" t="str">
        <f t="shared" si="3"/>
        <v/>
      </c>
      <c r="Y30" s="118" t="str">
        <f t="shared" si="4"/>
        <v/>
      </c>
      <c r="Z30" s="120">
        <f t="shared" si="5"/>
        <v>0</v>
      </c>
      <c r="AA30" s="127">
        <f>IFERROR(AVERAGEIF($F$2:F30,F30,$N$2:N30),"")</f>
        <v>70.400000000000006</v>
      </c>
      <c r="AB30" s="128"/>
      <c r="AC30" s="120">
        <f t="shared" si="15"/>
        <v>9.4530328665332952</v>
      </c>
      <c r="AD30" s="120">
        <f>AVERAGEIF($F$2:F30,F30,$AC$2:AC30)</f>
        <v>6.9174961989139749</v>
      </c>
      <c r="AE30" s="118">
        <f t="shared" si="6"/>
        <v>0.96029999999999993</v>
      </c>
      <c r="AF30" s="118">
        <v>0.995</v>
      </c>
      <c r="AG30" s="118"/>
      <c r="AH30" s="118">
        <v>0.97</v>
      </c>
      <c r="AI30" s="118">
        <v>0.99</v>
      </c>
      <c r="AJ30" s="118">
        <v>0.95</v>
      </c>
      <c r="AK30" s="118">
        <v>0.05</v>
      </c>
      <c r="AL30" s="118">
        <v>0.05</v>
      </c>
    </row>
    <row r="31" spans="1:38">
      <c r="A31" s="123">
        <f t="shared" si="7"/>
        <v>30</v>
      </c>
      <c r="B31" s="114" t="str">
        <f t="shared" si="11"/>
        <v>September</v>
      </c>
      <c r="C31" s="123">
        <f t="shared" si="10"/>
        <v>11</v>
      </c>
      <c r="D31" s="114">
        <v>45536</v>
      </c>
      <c r="E31" s="117">
        <f t="shared" si="13"/>
        <v>2024</v>
      </c>
      <c r="F31" s="117" t="s">
        <v>787</v>
      </c>
      <c r="G31" s="123">
        <f t="shared" si="14"/>
        <v>30</v>
      </c>
      <c r="H31" s="127"/>
      <c r="I31" s="127"/>
      <c r="J31" s="125">
        <f t="shared" si="12"/>
        <v>5.56</v>
      </c>
      <c r="K31" s="127"/>
      <c r="L31" s="123"/>
      <c r="M31" s="128">
        <v>11201.7</v>
      </c>
      <c r="N31" s="128">
        <v>70.400000000000006</v>
      </c>
      <c r="O31" s="118"/>
      <c r="P31" s="120"/>
      <c r="Q31" s="123">
        <f>COUNTIFS('Daily KPI'!$D:$D,D31,'Daily KPI'!$M:$M,"&gt;0")</f>
        <v>0</v>
      </c>
      <c r="R31" s="128"/>
      <c r="S31" s="128"/>
      <c r="T31" s="120">
        <f t="shared" si="0"/>
        <v>373.39000000000004</v>
      </c>
      <c r="U31" s="128">
        <f t="shared" si="1"/>
        <v>0</v>
      </c>
      <c r="V31" s="128">
        <f>SUMIF($F$2:F31,F31,$U$2:U31)</f>
        <v>0</v>
      </c>
      <c r="W31" s="118">
        <f t="shared" si="2"/>
        <v>0.22099313446969698</v>
      </c>
      <c r="X31" s="118" t="str">
        <f t="shared" si="3"/>
        <v/>
      </c>
      <c r="Y31" s="118" t="str">
        <f t="shared" si="4"/>
        <v/>
      </c>
      <c r="Z31" s="120">
        <f t="shared" si="5"/>
        <v>0</v>
      </c>
      <c r="AA31" s="127">
        <f>IFERROR(AVERAGEIF($F$2:F31,F31,$N$2:N31),"")</f>
        <v>70.399999999999991</v>
      </c>
      <c r="AB31" s="128"/>
      <c r="AC31" s="120">
        <f t="shared" si="15"/>
        <v>10.303759359817088</v>
      </c>
      <c r="AD31" s="120">
        <f>AVERAGEIF($F$2:F31,F31,$AC$2:AC31)</f>
        <v>7.4818733923978264</v>
      </c>
      <c r="AE31" s="118">
        <f t="shared" si="6"/>
        <v>0.96029999999999993</v>
      </c>
      <c r="AF31" s="118">
        <v>0.995</v>
      </c>
      <c r="AG31" s="118"/>
      <c r="AH31" s="118">
        <v>0.97</v>
      </c>
      <c r="AI31" s="118">
        <v>0.99</v>
      </c>
      <c r="AJ31" s="118">
        <v>0.95</v>
      </c>
      <c r="AK31" s="118">
        <v>0.05</v>
      </c>
      <c r="AL31" s="118">
        <v>0.05</v>
      </c>
    </row>
    <row r="32" spans="1:38">
      <c r="A32" s="123">
        <f t="shared" si="7"/>
        <v>31</v>
      </c>
      <c r="B32" s="114" t="str">
        <f t="shared" si="11"/>
        <v>October</v>
      </c>
      <c r="C32" s="123">
        <f t="shared" si="10"/>
        <v>12</v>
      </c>
      <c r="D32" s="114">
        <v>45566</v>
      </c>
      <c r="E32" s="117">
        <f t="shared" si="13"/>
        <v>2024</v>
      </c>
      <c r="F32" s="117" t="s">
        <v>787</v>
      </c>
      <c r="G32" s="123">
        <f t="shared" si="14"/>
        <v>31</v>
      </c>
      <c r="H32" s="127"/>
      <c r="I32" s="127"/>
      <c r="J32" s="125">
        <f t="shared" si="12"/>
        <v>4.1733333333333329</v>
      </c>
      <c r="K32" s="127"/>
      <c r="L32" s="123"/>
      <c r="M32" s="128">
        <v>4658.2</v>
      </c>
      <c r="N32" s="128">
        <v>70.400000000000006</v>
      </c>
      <c r="O32" s="118"/>
      <c r="P32" s="120"/>
      <c r="Q32" s="123">
        <f>COUNTIFS('Daily KPI'!$D:$D,D32,'Daily KPI'!$M:$M,"&gt;0")</f>
        <v>0</v>
      </c>
      <c r="R32" s="128"/>
      <c r="S32" s="128"/>
      <c r="T32" s="120">
        <f t="shared" si="0"/>
        <v>150.26451612903224</v>
      </c>
      <c r="U32" s="128">
        <f t="shared" si="1"/>
        <v>0</v>
      </c>
      <c r="V32" s="128">
        <f>SUMIF($F$2:F32,F32,$U$2:U32)</f>
        <v>0</v>
      </c>
      <c r="W32" s="118">
        <f t="shared" si="2"/>
        <v>8.8934964565004868E-2</v>
      </c>
      <c r="X32" s="118" t="str">
        <f t="shared" si="3"/>
        <v/>
      </c>
      <c r="Y32" s="118" t="str">
        <f t="shared" si="4"/>
        <v/>
      </c>
      <c r="Z32" s="120">
        <f t="shared" si="5"/>
        <v>0</v>
      </c>
      <c r="AA32" s="127">
        <f>IFERROR(AVERAGEIF($F$2:F32,F32,$N$2:N32),"")</f>
        <v>70.399999999999991</v>
      </c>
      <c r="AB32" s="128"/>
      <c r="AC32" s="120">
        <f t="shared" si="15"/>
        <v>8.5195147184909956</v>
      </c>
      <c r="AD32" s="120">
        <f>AVERAGEIF($F$2:F32,F32,$AC$2:AC32)</f>
        <v>7.6301078675539937</v>
      </c>
      <c r="AE32" s="118">
        <f t="shared" si="6"/>
        <v>0.96029999999999993</v>
      </c>
      <c r="AF32" s="118">
        <v>0.995</v>
      </c>
      <c r="AG32" s="118"/>
      <c r="AH32" s="118">
        <v>0.97</v>
      </c>
      <c r="AI32" s="118">
        <v>0.99</v>
      </c>
      <c r="AJ32" s="118">
        <v>0.95</v>
      </c>
      <c r="AK32" s="118">
        <v>0.05</v>
      </c>
      <c r="AL32" s="118">
        <v>0.05</v>
      </c>
    </row>
    <row r="33" spans="1:38">
      <c r="A33" s="123">
        <f t="shared" si="7"/>
        <v>32</v>
      </c>
      <c r="B33" s="114" t="str">
        <f t="shared" si="11"/>
        <v>November</v>
      </c>
      <c r="C33" s="123">
        <f t="shared" si="10"/>
        <v>1</v>
      </c>
      <c r="D33" s="114">
        <v>45597</v>
      </c>
      <c r="E33" s="117">
        <f t="shared" si="13"/>
        <v>2024</v>
      </c>
      <c r="F33" s="117" t="s">
        <v>787</v>
      </c>
      <c r="G33" s="123">
        <f t="shared" si="14"/>
        <v>30</v>
      </c>
      <c r="H33" s="127"/>
      <c r="I33" s="127"/>
      <c r="J33" s="125">
        <f t="shared" si="12"/>
        <v>4.4633333333333338</v>
      </c>
      <c r="K33" s="127"/>
      <c r="L33" s="123"/>
      <c r="M33" s="128">
        <v>7203.1</v>
      </c>
      <c r="N33" s="128">
        <v>70.400000000000006</v>
      </c>
      <c r="O33" s="118"/>
      <c r="P33" s="120"/>
      <c r="Q33" s="123">
        <f>COUNTIFS('Daily KPI'!$D:$D,D33,'Daily KPI'!$M:$M,"&gt;0")</f>
        <v>0</v>
      </c>
      <c r="R33" s="128"/>
      <c r="S33" s="128"/>
      <c r="T33" s="120">
        <f t="shared" si="0"/>
        <v>240.10333333333335</v>
      </c>
      <c r="U33" s="128">
        <f t="shared" si="1"/>
        <v>0</v>
      </c>
      <c r="V33" s="128">
        <f>SUMIF($F$2:F33,F33,$U$2:U33)</f>
        <v>0</v>
      </c>
      <c r="W33" s="118">
        <f t="shared" si="2"/>
        <v>0.14210661300505051</v>
      </c>
      <c r="X33" s="118" t="str">
        <f t="shared" si="3"/>
        <v/>
      </c>
      <c r="Y33" s="118" t="str">
        <f t="shared" si="4"/>
        <v/>
      </c>
      <c r="Z33" s="120">
        <f t="shared" si="5"/>
        <v>0</v>
      </c>
      <c r="AA33" s="127">
        <f>IFERROR(AVERAGEIF($F$2:F33,F33,$N$2:N33),"")</f>
        <v>70.399999999999991</v>
      </c>
      <c r="AB33" s="128"/>
      <c r="AC33" s="120">
        <f t="shared" si="15"/>
        <v>7.2366664761360369</v>
      </c>
      <c r="AD33" s="120">
        <f>AVERAGEIF($F$2:F33,F33,$AC$2:AC33)</f>
        <v>7.5809276936267489</v>
      </c>
      <c r="AE33" s="118">
        <f t="shared" si="6"/>
        <v>0.96029999999999993</v>
      </c>
      <c r="AF33" s="118">
        <v>0.995</v>
      </c>
      <c r="AG33" s="118"/>
      <c r="AH33" s="118">
        <v>0.97</v>
      </c>
      <c r="AI33" s="118">
        <v>0.99</v>
      </c>
      <c r="AJ33" s="118">
        <v>0.95</v>
      </c>
      <c r="AK33" s="118">
        <v>0.05</v>
      </c>
      <c r="AL33" s="118">
        <v>0.05</v>
      </c>
    </row>
    <row r="34" spans="1:38">
      <c r="A34" s="123">
        <f t="shared" si="7"/>
        <v>33</v>
      </c>
      <c r="B34" s="114" t="str">
        <f t="shared" si="11"/>
        <v>December</v>
      </c>
      <c r="C34" s="123">
        <f t="shared" si="10"/>
        <v>2</v>
      </c>
      <c r="D34" s="114">
        <v>45627</v>
      </c>
      <c r="E34" s="117">
        <f t="shared" si="13"/>
        <v>2024</v>
      </c>
      <c r="F34" s="117" t="s">
        <v>787</v>
      </c>
      <c r="G34" s="123">
        <f t="shared" si="14"/>
        <v>31</v>
      </c>
      <c r="H34" s="127"/>
      <c r="I34" s="127"/>
      <c r="J34" s="125">
        <f t="shared" si="12"/>
        <v>4.79</v>
      </c>
      <c r="K34" s="127"/>
      <c r="L34" s="123"/>
      <c r="M34" s="128">
        <v>7252</v>
      </c>
      <c r="N34" s="128">
        <v>70.400000000000006</v>
      </c>
      <c r="O34" s="118"/>
      <c r="P34" s="120"/>
      <c r="Q34" s="123">
        <f>COUNTIFS('Daily KPI'!$D:$D,D34,'Daily KPI'!$M:$M,"&gt;0")</f>
        <v>0</v>
      </c>
      <c r="R34" s="128"/>
      <c r="S34" s="128"/>
      <c r="T34" s="120">
        <f t="shared" si="0"/>
        <v>233.93548387096774</v>
      </c>
      <c r="U34" s="128">
        <f t="shared" si="1"/>
        <v>0</v>
      </c>
      <c r="V34" s="128">
        <f>SUMIF($F$2:F34,F34,$U$2:U34)</f>
        <v>0</v>
      </c>
      <c r="W34" s="118">
        <f t="shared" si="2"/>
        <v>0.1384561339198436</v>
      </c>
      <c r="X34" s="118" t="str">
        <f t="shared" si="3"/>
        <v/>
      </c>
      <c r="Y34" s="118" t="str">
        <f t="shared" si="4"/>
        <v/>
      </c>
      <c r="Z34" s="120">
        <f t="shared" si="5"/>
        <v>0</v>
      </c>
      <c r="AA34" s="127">
        <f>IFERROR(AVERAGEIF($F$2:F34,F34,$N$2:N34),"")</f>
        <v>70.399999999999991</v>
      </c>
      <c r="AB34" s="128"/>
      <c r="AC34" s="120">
        <f t="shared" si="15"/>
        <v>6.0015501571877659</v>
      </c>
      <c r="AD34" s="120">
        <f>AVERAGEIF($F$2:F34,F34,$AC$2:AC34)</f>
        <v>7.4054413006890849</v>
      </c>
      <c r="AE34" s="118">
        <f t="shared" si="6"/>
        <v>0.96029999999999993</v>
      </c>
      <c r="AF34" s="118">
        <v>0.995</v>
      </c>
      <c r="AG34" s="118"/>
      <c r="AH34" s="118">
        <v>0.97</v>
      </c>
      <c r="AI34" s="118">
        <v>0.99</v>
      </c>
      <c r="AJ34" s="118">
        <v>0.95</v>
      </c>
      <c r="AK34" s="118">
        <v>0.05</v>
      </c>
      <c r="AL34" s="118">
        <v>0.05</v>
      </c>
    </row>
    <row r="35" spans="1:38">
      <c r="A35" s="123">
        <f t="shared" si="7"/>
        <v>34</v>
      </c>
      <c r="B35" s="114" t="str">
        <f t="shared" si="11"/>
        <v>January</v>
      </c>
      <c r="C35" s="123">
        <f t="shared" si="10"/>
        <v>4</v>
      </c>
      <c r="D35" s="114">
        <v>45658</v>
      </c>
      <c r="E35" s="117">
        <f t="shared" si="13"/>
        <v>2025</v>
      </c>
      <c r="F35" s="117" t="s">
        <v>787</v>
      </c>
      <c r="G35" s="123">
        <f t="shared" si="14"/>
        <v>31</v>
      </c>
      <c r="H35" s="127"/>
      <c r="I35" s="127"/>
      <c r="J35" s="125">
        <f t="shared" si="12"/>
        <v>3.75</v>
      </c>
      <c r="K35" s="127"/>
      <c r="L35" s="123"/>
      <c r="M35" s="128">
        <v>3308.3</v>
      </c>
      <c r="N35" s="128">
        <v>70.400000000000006</v>
      </c>
      <c r="O35" s="118"/>
      <c r="P35" s="120"/>
      <c r="Q35" s="123">
        <f>COUNTIFS('Daily KPI'!$D:$D,D35,'Daily KPI'!$M:$M,"&gt;0")</f>
        <v>0</v>
      </c>
      <c r="R35" s="128"/>
      <c r="S35" s="128"/>
      <c r="T35" s="120">
        <f t="shared" si="0"/>
        <v>106.71935483870968</v>
      </c>
      <c r="U35" s="128">
        <f t="shared" si="1"/>
        <v>0</v>
      </c>
      <c r="V35" s="128">
        <f>SUMIF($F$2:F35,F35,$U$2:U35)</f>
        <v>0</v>
      </c>
      <c r="W35" s="118">
        <f t="shared" si="2"/>
        <v>6.3162496945259036E-2</v>
      </c>
      <c r="X35" s="118" t="str">
        <f t="shared" si="3"/>
        <v/>
      </c>
      <c r="Y35" s="118" t="str">
        <f t="shared" si="4"/>
        <v/>
      </c>
      <c r="Z35" s="120">
        <f t="shared" si="5"/>
        <v>0</v>
      </c>
      <c r="AA35" s="127">
        <f>IFERROR(AVERAGEIF($F$2:F35,F35,$N$2:N35),"")</f>
        <v>70.399999999999991</v>
      </c>
      <c r="AB35" s="128"/>
      <c r="AC35" s="120">
        <f t="shared" si="15"/>
        <v>6.7073912546441834</v>
      </c>
      <c r="AD35" s="120">
        <f>AVERAGEIF($F$2:F35,F35,$AC$2:AC35)</f>
        <v>7.3356362960845942</v>
      </c>
      <c r="AE35" s="118">
        <f t="shared" si="6"/>
        <v>0.96029999999999993</v>
      </c>
      <c r="AF35" s="118">
        <v>0.995</v>
      </c>
      <c r="AG35" s="118"/>
      <c r="AH35" s="118">
        <v>0.97</v>
      </c>
      <c r="AI35" s="118">
        <v>0.99</v>
      </c>
      <c r="AJ35" s="118">
        <v>0.95</v>
      </c>
      <c r="AK35" s="118">
        <v>0.05</v>
      </c>
      <c r="AL35" s="118">
        <v>0.05</v>
      </c>
    </row>
    <row r="36" spans="1:38">
      <c r="A36" s="123">
        <f t="shared" si="7"/>
        <v>35</v>
      </c>
      <c r="B36" s="114" t="str">
        <f t="shared" si="11"/>
        <v>February</v>
      </c>
      <c r="C36" s="123">
        <f t="shared" si="10"/>
        <v>5</v>
      </c>
      <c r="D36" s="114">
        <v>45689</v>
      </c>
      <c r="E36" s="117">
        <f t="shared" si="13"/>
        <v>2025</v>
      </c>
      <c r="F36" s="117" t="s">
        <v>787</v>
      </c>
      <c r="G36" s="123">
        <f t="shared" si="14"/>
        <v>28</v>
      </c>
      <c r="H36" s="127"/>
      <c r="I36" s="127"/>
      <c r="J36" s="125">
        <f t="shared" si="12"/>
        <v>3.9249999999999998</v>
      </c>
      <c r="K36" s="127"/>
      <c r="L36" s="123"/>
      <c r="M36" s="128">
        <v>3320.2</v>
      </c>
      <c r="N36" s="128">
        <v>70.400000000000006</v>
      </c>
      <c r="O36" s="118"/>
      <c r="P36" s="120"/>
      <c r="Q36" s="123">
        <f>COUNTIFS('Daily KPI'!$D:$D,D36,'Daily KPI'!$M:$M,"&gt;0")</f>
        <v>0</v>
      </c>
      <c r="R36" s="128"/>
      <c r="S36" s="128"/>
      <c r="T36" s="120">
        <f t="shared" si="0"/>
        <v>118.57857142857142</v>
      </c>
      <c r="U36" s="128">
        <f t="shared" si="1"/>
        <v>0</v>
      </c>
      <c r="V36" s="128">
        <f>SUMIF($F$2:F36,F36,$U$2:U36)</f>
        <v>0</v>
      </c>
      <c r="W36" s="118">
        <f t="shared" si="2"/>
        <v>7.0181446158008642E-2</v>
      </c>
      <c r="X36" s="118" t="str">
        <f t="shared" si="3"/>
        <v/>
      </c>
      <c r="Y36" s="118" t="str">
        <f t="shared" si="4"/>
        <v/>
      </c>
      <c r="Z36" s="120">
        <f t="shared" si="5"/>
        <v>0</v>
      </c>
      <c r="AA36" s="127">
        <f>IFERROR(AVERAGEIF($F$2:F36,F36,$N$2:N36),"")</f>
        <v>70.399999999999991</v>
      </c>
      <c r="AB36" s="128"/>
      <c r="AC36" s="120">
        <f t="shared" si="15"/>
        <v>7.0533420977422105</v>
      </c>
      <c r="AD36" s="120">
        <f>AVERAGEIF($F$2:F36,F36,$AC$2:AC36)</f>
        <v>7.3099731871443785</v>
      </c>
      <c r="AE36" s="118">
        <f t="shared" si="6"/>
        <v>0.96029999999999993</v>
      </c>
      <c r="AF36" s="118">
        <v>0.995</v>
      </c>
      <c r="AG36" s="118"/>
      <c r="AH36" s="118">
        <v>0.97</v>
      </c>
      <c r="AI36" s="118">
        <v>0.99</v>
      </c>
      <c r="AJ36" s="118">
        <v>0.95</v>
      </c>
      <c r="AK36" s="118">
        <v>0.05</v>
      </c>
      <c r="AL36" s="118">
        <v>0.05</v>
      </c>
    </row>
    <row r="37" spans="1:38">
      <c r="A37" s="123">
        <f t="shared" si="7"/>
        <v>36</v>
      </c>
      <c r="B37" s="114" t="str">
        <f t="shared" si="11"/>
        <v>March</v>
      </c>
      <c r="C37" s="123">
        <f t="shared" si="10"/>
        <v>6</v>
      </c>
      <c r="D37" s="114">
        <v>45717</v>
      </c>
      <c r="E37" s="117">
        <f t="shared" si="13"/>
        <v>2025</v>
      </c>
      <c r="F37" s="117" t="s">
        <v>787</v>
      </c>
      <c r="G37" s="123">
        <f t="shared" si="14"/>
        <v>31</v>
      </c>
      <c r="H37" s="127"/>
      <c r="I37" s="127"/>
      <c r="J37" s="125">
        <f t="shared" si="12"/>
        <v>4.5649999999999995</v>
      </c>
      <c r="K37" s="127"/>
      <c r="L37" s="123"/>
      <c r="M37" s="128">
        <v>5498</v>
      </c>
      <c r="N37" s="128">
        <v>70.400000000000006</v>
      </c>
      <c r="O37" s="118"/>
      <c r="P37" s="120"/>
      <c r="Q37" s="123">
        <f>COUNTIFS('Daily KPI'!$D:$D,D37,'Daily KPI'!$M:$M,"&gt;0")</f>
        <v>3</v>
      </c>
      <c r="R37" s="128"/>
      <c r="S37" s="128"/>
      <c r="T37" s="120">
        <f t="shared" si="0"/>
        <v>177.35483870967741</v>
      </c>
      <c r="U37" s="128">
        <f t="shared" si="1"/>
        <v>532.0645161290322</v>
      </c>
      <c r="V37" s="128">
        <f>SUMIF($F$2:F37,F37,$U$2:U37)</f>
        <v>532.0645161290322</v>
      </c>
      <c r="W37" s="118">
        <f t="shared" si="2"/>
        <v>0.10496853616813293</v>
      </c>
      <c r="X37" s="118">
        <f t="shared" si="3"/>
        <v>0.10496853616813293</v>
      </c>
      <c r="Y37" s="118">
        <f t="shared" si="4"/>
        <v>0.10496853616813293</v>
      </c>
      <c r="Z37" s="120">
        <f t="shared" si="5"/>
        <v>6.8129032258064512</v>
      </c>
      <c r="AA37" s="127">
        <f>IFERROR(AVERAGEIF($F$2:F37,F37,$N$2:N37),"")</f>
        <v>70.399999999999991</v>
      </c>
      <c r="AB37" s="128"/>
      <c r="AC37" s="120">
        <f t="shared" si="15"/>
        <v>7.411120320091455</v>
      </c>
      <c r="AD37" s="120">
        <f>AVERAGEIF($F$2:F37,F37,$AC$2:AC37)</f>
        <v>7.3184021148899676</v>
      </c>
      <c r="AE37" s="118">
        <f t="shared" si="6"/>
        <v>0.96029999999999993</v>
      </c>
      <c r="AF37" s="118">
        <v>0.995</v>
      </c>
      <c r="AG37" s="118"/>
      <c r="AH37" s="118">
        <v>0.97</v>
      </c>
      <c r="AI37" s="118">
        <v>0.99</v>
      </c>
      <c r="AJ37" s="118">
        <v>0.95</v>
      </c>
      <c r="AK37" s="118">
        <v>0.05</v>
      </c>
      <c r="AL37" s="118">
        <v>0.05</v>
      </c>
    </row>
    <row r="38" spans="1:38">
      <c r="A38" s="123">
        <f t="shared" si="7"/>
        <v>37</v>
      </c>
      <c r="B38" s="114" t="str">
        <f t="shared" si="11"/>
        <v>April</v>
      </c>
      <c r="C38" s="123">
        <f t="shared" si="10"/>
        <v>7</v>
      </c>
      <c r="D38" s="114">
        <v>45748</v>
      </c>
      <c r="E38" s="117">
        <f t="shared" si="13"/>
        <v>2025</v>
      </c>
      <c r="F38" s="117" t="s">
        <v>788</v>
      </c>
      <c r="G38" s="123">
        <f t="shared" si="14"/>
        <v>30</v>
      </c>
      <c r="H38" s="127"/>
      <c r="I38" s="127"/>
      <c r="J38" s="125">
        <f t="shared" si="12"/>
        <v>5.22</v>
      </c>
      <c r="K38" s="127"/>
      <c r="L38" s="123"/>
      <c r="M38" s="128">
        <v>6843.3984423788379</v>
      </c>
      <c r="N38" s="128">
        <v>70.400000000000006</v>
      </c>
      <c r="O38" s="118"/>
      <c r="P38" s="120"/>
      <c r="Q38" s="123">
        <f>COUNTIFS('Daily KPI'!$D:$D,D38,'Daily KPI'!$M:$M,"&gt;0")</f>
        <v>30</v>
      </c>
      <c r="R38" s="128"/>
      <c r="S38" s="128"/>
      <c r="T38" s="120">
        <f t="shared" si="0"/>
        <v>228.11328141262794</v>
      </c>
      <c r="U38" s="128">
        <f t="shared" si="1"/>
        <v>6843.3984423788379</v>
      </c>
      <c r="V38" s="128">
        <f>SUMIF($F$2:F38,F38,$U$2:U38)</f>
        <v>6843.3984423788379</v>
      </c>
      <c r="W38" s="118">
        <f t="shared" si="2"/>
        <v>0.13501022810879967</v>
      </c>
      <c r="X38" s="118">
        <f t="shared" si="3"/>
        <v>0.13501022810879965</v>
      </c>
      <c r="Y38" s="118">
        <f t="shared" si="4"/>
        <v>0.13501022810879965</v>
      </c>
      <c r="Z38" s="120">
        <f t="shared" si="5"/>
        <v>70.400000000000006</v>
      </c>
      <c r="AA38" s="127">
        <f>IFERROR(AVERAGEIF($F$2:F38,F38,$N$2:N38),"")</f>
        <v>70.400000000000006</v>
      </c>
      <c r="AB38" s="128"/>
      <c r="AC38" s="120">
        <f t="shared" si="15"/>
        <v>6.4041034581308942</v>
      </c>
      <c r="AD38" s="120">
        <f>AVERAGEIF($F$2:F38,F38,$AC$2:AC38)</f>
        <v>6.4041034581308942</v>
      </c>
      <c r="AE38" s="118">
        <f t="shared" si="6"/>
        <v>0.96029999999999993</v>
      </c>
      <c r="AF38" s="118">
        <v>0.995</v>
      </c>
      <c r="AG38" s="118"/>
      <c r="AH38" s="118">
        <v>0.97</v>
      </c>
      <c r="AI38" s="118">
        <v>0.99</v>
      </c>
      <c r="AJ38" s="118">
        <v>0.95</v>
      </c>
      <c r="AK38" s="118">
        <v>0.05</v>
      </c>
      <c r="AL38" s="118">
        <v>0.05</v>
      </c>
    </row>
    <row r="39" spans="1:38">
      <c r="A39" s="123">
        <f t="shared" si="7"/>
        <v>38</v>
      </c>
      <c r="B39" s="114" t="str">
        <f t="shared" si="11"/>
        <v>May</v>
      </c>
      <c r="C39" s="123">
        <f t="shared" si="10"/>
        <v>8</v>
      </c>
      <c r="D39" s="114">
        <v>45778</v>
      </c>
      <c r="E39" s="117">
        <f t="shared" si="13"/>
        <v>2025</v>
      </c>
      <c r="F39" s="117" t="s">
        <v>788</v>
      </c>
      <c r="G39" s="123">
        <f t="shared" si="14"/>
        <v>31</v>
      </c>
      <c r="H39" s="127"/>
      <c r="I39" s="127"/>
      <c r="J39" s="125">
        <f t="shared" si="12"/>
        <v>5.7233333333333336</v>
      </c>
      <c r="K39" s="127"/>
      <c r="L39" s="123"/>
      <c r="M39" s="128">
        <v>10848.465957638593</v>
      </c>
      <c r="N39" s="128">
        <v>70.400000000000006</v>
      </c>
      <c r="O39" s="118"/>
      <c r="P39" s="120"/>
      <c r="Q39" s="123">
        <f>COUNTIFS('Daily KPI'!$D:$D,D39,'Daily KPI'!$M:$M,"&gt;0")</f>
        <v>31</v>
      </c>
      <c r="R39" s="128"/>
      <c r="S39" s="128"/>
      <c r="T39" s="120">
        <f t="shared" si="0"/>
        <v>349.95051476253525</v>
      </c>
      <c r="U39" s="128">
        <f t="shared" si="1"/>
        <v>10848.465957638593</v>
      </c>
      <c r="V39" s="128">
        <f>SUMIF($F$2:F39,F39,$U$2:U39)</f>
        <v>17691.864400017432</v>
      </c>
      <c r="W39" s="118">
        <f t="shared" si="2"/>
        <v>0.20712033307441716</v>
      </c>
      <c r="X39" s="118">
        <f t="shared" si="3"/>
        <v>0.20712033307441716</v>
      </c>
      <c r="Y39" s="118">
        <f t="shared" si="4"/>
        <v>0.17165634702575283</v>
      </c>
      <c r="Z39" s="120">
        <f t="shared" si="5"/>
        <v>70.400000000000006</v>
      </c>
      <c r="AA39" s="127">
        <f>IFERROR(AVERAGEIF($F$2:F39,F39,$N$2:N39),"")</f>
        <v>70.400000000000006</v>
      </c>
      <c r="AB39" s="128"/>
      <c r="AC39" s="120">
        <f t="shared" si="15"/>
        <v>5.9681800514432695</v>
      </c>
      <c r="AD39" s="131">
        <f>AVERAGEIF($F$2:F49,F39,$AC$2:AC49)</f>
        <v>7.3184021148899676</v>
      </c>
      <c r="AE39" s="118">
        <f t="shared" si="6"/>
        <v>0.96029999999999993</v>
      </c>
      <c r="AF39" s="118">
        <v>0.995</v>
      </c>
      <c r="AG39" s="118"/>
      <c r="AH39" s="118">
        <v>0.97</v>
      </c>
      <c r="AI39" s="118">
        <v>0.99</v>
      </c>
      <c r="AJ39" s="118">
        <v>0.95</v>
      </c>
      <c r="AK39" s="118">
        <v>0.05</v>
      </c>
      <c r="AL39" s="118">
        <v>0.05</v>
      </c>
    </row>
    <row r="40" spans="1:38">
      <c r="A40" s="123">
        <f t="shared" si="7"/>
        <v>39</v>
      </c>
      <c r="B40" s="114" t="str">
        <f t="shared" si="11"/>
        <v>June</v>
      </c>
      <c r="C40" s="123">
        <f t="shared" si="10"/>
        <v>9</v>
      </c>
      <c r="D40" s="114">
        <v>45809</v>
      </c>
      <c r="E40" s="117">
        <f t="shared" ref="E40:E49" si="16">YEAR(D40)</f>
        <v>2025</v>
      </c>
      <c r="F40" s="117" t="s">
        <v>788</v>
      </c>
      <c r="G40" s="123">
        <f t="shared" ref="G40:G49" si="17">DAY(EOMONTH(D40,0))</f>
        <v>30</v>
      </c>
      <c r="H40" s="127"/>
      <c r="I40" s="127"/>
      <c r="J40" s="125">
        <f t="shared" si="12"/>
        <v>6.81</v>
      </c>
      <c r="K40" s="127"/>
      <c r="L40" s="123"/>
      <c r="M40" s="128">
        <v>15593.087917699977</v>
      </c>
      <c r="N40" s="128">
        <v>70.400000000000006</v>
      </c>
      <c r="O40" s="118"/>
      <c r="P40" s="120"/>
      <c r="Q40" s="123">
        <f>COUNTIFS('Daily KPI'!$D:$D,D40,'Daily KPI'!$M:$M,"&gt;0")</f>
        <v>30</v>
      </c>
      <c r="R40" s="128"/>
      <c r="S40" s="128"/>
      <c r="T40" s="120">
        <f t="shared" si="0"/>
        <v>519.76959725666586</v>
      </c>
      <c r="U40" s="128">
        <f t="shared" si="1"/>
        <v>15593.087917699975</v>
      </c>
      <c r="V40" s="128">
        <f>SUMIF($F$2:F40,F40,$U$2:U40)</f>
        <v>33284.952317717405</v>
      </c>
      <c r="W40" s="118">
        <f t="shared" ref="W40:W48" si="18">IFERROR(T40/(24*N40),"")</f>
        <v>0.30762878625512891</v>
      </c>
      <c r="X40" s="118">
        <f t="shared" si="3"/>
        <v>0.30762878625512891</v>
      </c>
      <c r="Y40" s="118">
        <f t="shared" si="4"/>
        <v>0.2164824258925801</v>
      </c>
      <c r="Z40" s="120">
        <f t="shared" ref="Z40:Z48" si="19">IFERROR(N40/G40*Q40,"")</f>
        <v>70.400000000000006</v>
      </c>
      <c r="AA40" s="127">
        <f>IFERROR(AVERAGEIF($F$2:F40,F40,$N$2:N40),"")</f>
        <v>70.400000000000006</v>
      </c>
      <c r="AB40" s="128"/>
      <c r="AC40" s="120">
        <f t="shared" si="15"/>
        <v>5.6310997427836513</v>
      </c>
      <c r="AD40" s="131">
        <f>AVERAGEIF($F$2:F40,F40,$AC$2:AC40)</f>
        <v>6.0011277507859377</v>
      </c>
      <c r="AE40" s="118">
        <f t="shared" si="6"/>
        <v>0.96029999999999993</v>
      </c>
      <c r="AF40" s="118">
        <v>0.995</v>
      </c>
      <c r="AG40" s="118"/>
      <c r="AH40" s="118">
        <v>0.97</v>
      </c>
      <c r="AI40" s="118">
        <v>0.99</v>
      </c>
      <c r="AJ40" s="118">
        <v>0.95</v>
      </c>
      <c r="AK40" s="118">
        <v>0.05</v>
      </c>
      <c r="AL40" s="118">
        <v>0.05</v>
      </c>
    </row>
    <row r="41" spans="1:38">
      <c r="A41" s="123">
        <f t="shared" si="7"/>
        <v>40</v>
      </c>
      <c r="B41" s="114" t="str">
        <f t="shared" si="11"/>
        <v>July</v>
      </c>
      <c r="C41" s="123">
        <f t="shared" si="10"/>
        <v>10</v>
      </c>
      <c r="D41" s="114">
        <v>45839</v>
      </c>
      <c r="E41" s="117">
        <f t="shared" si="16"/>
        <v>2025</v>
      </c>
      <c r="F41" s="117" t="s">
        <v>788</v>
      </c>
      <c r="G41" s="123">
        <f t="shared" si="17"/>
        <v>31</v>
      </c>
      <c r="H41" s="127"/>
      <c r="I41" s="127"/>
      <c r="J41" s="125">
        <f t="shared" si="12"/>
        <v>9.8233333333333324</v>
      </c>
      <c r="K41" s="127"/>
      <c r="L41" s="123"/>
      <c r="M41" s="128">
        <v>28051.714067423651</v>
      </c>
      <c r="N41" s="128">
        <v>70.400000000000006</v>
      </c>
      <c r="O41" s="118"/>
      <c r="P41" s="120"/>
      <c r="Q41" s="123">
        <f>COUNTIFS('Daily KPI'!$D:$D,D41,'Daily KPI'!$M:$M,"&gt;0")</f>
        <v>9</v>
      </c>
      <c r="R41" s="128"/>
      <c r="S41" s="128"/>
      <c r="T41" s="120">
        <f t="shared" si="0"/>
        <v>904.89400217495643</v>
      </c>
      <c r="U41" s="128">
        <f t="shared" si="1"/>
        <v>8144.0460195746082</v>
      </c>
      <c r="V41" s="128">
        <f>SUMIF($F$2:F41,F41,$U$2:U41)</f>
        <v>41428.998337292011</v>
      </c>
      <c r="W41" s="118">
        <f t="shared" si="18"/>
        <v>0.53556699939332175</v>
      </c>
      <c r="X41" s="118">
        <f t="shared" si="3"/>
        <v>0.53556699939332175</v>
      </c>
      <c r="Y41" s="118">
        <f t="shared" si="4"/>
        <v>0.24520003750764685</v>
      </c>
      <c r="Z41" s="120">
        <f t="shared" si="19"/>
        <v>20.438709677419354</v>
      </c>
      <c r="AA41" s="127">
        <f>IFERROR(AVERAGEIF($F$2:F41,F41,$N$2:N41),"")</f>
        <v>70.400000000000006</v>
      </c>
      <c r="AB41" s="128"/>
      <c r="AC41" s="120">
        <f t="shared" si="15"/>
        <v>7.1310648756787653</v>
      </c>
      <c r="AD41" s="131">
        <f>AVERAGEIF($F$2:F41,F41,$AC$2:AC41)</f>
        <v>6.2836120320091453</v>
      </c>
      <c r="AE41" s="118">
        <f t="shared" si="6"/>
        <v>0.96029999999999993</v>
      </c>
      <c r="AF41" s="118">
        <v>0.995</v>
      </c>
      <c r="AG41" s="118"/>
      <c r="AH41" s="118">
        <v>0.97</v>
      </c>
      <c r="AI41" s="118">
        <v>0.99</v>
      </c>
      <c r="AJ41" s="118">
        <v>0.95</v>
      </c>
      <c r="AK41" s="118">
        <v>0.05</v>
      </c>
      <c r="AL41" s="118">
        <v>0.05</v>
      </c>
    </row>
    <row r="42" spans="1:38">
      <c r="A42" s="123">
        <f t="shared" si="7"/>
        <v>41</v>
      </c>
      <c r="B42" s="114" t="str">
        <f t="shared" si="11"/>
        <v>August</v>
      </c>
      <c r="C42" s="123">
        <f t="shared" si="10"/>
        <v>11</v>
      </c>
      <c r="D42" s="114">
        <v>45870</v>
      </c>
      <c r="E42" s="117">
        <f t="shared" si="16"/>
        <v>2025</v>
      </c>
      <c r="F42" s="117" t="s">
        <v>788</v>
      </c>
      <c r="G42" s="123">
        <f t="shared" si="17"/>
        <v>31</v>
      </c>
      <c r="H42" s="127"/>
      <c r="I42" s="127"/>
      <c r="J42" s="125">
        <f t="shared" si="12"/>
        <v>9.1</v>
      </c>
      <c r="K42" s="127"/>
      <c r="L42" s="123"/>
      <c r="M42" s="128">
        <v>32781.585430855521</v>
      </c>
      <c r="N42" s="128">
        <v>70.400000000000006</v>
      </c>
      <c r="O42" s="118"/>
      <c r="P42" s="120"/>
      <c r="Q42" s="123">
        <f>COUNTIFS('Daily KPI'!$D:$D,D42,'Daily KPI'!$M:$M,"&gt;0")</f>
        <v>0</v>
      </c>
      <c r="R42" s="128"/>
      <c r="S42" s="128"/>
      <c r="T42" s="120">
        <f t="shared" si="0"/>
        <v>1057.470497769533</v>
      </c>
      <c r="U42" s="128">
        <f t="shared" si="1"/>
        <v>0</v>
      </c>
      <c r="V42" s="128">
        <f>SUMIF($F$2:F42,F42,$U$2:U42)</f>
        <v>41428.998337292011</v>
      </c>
      <c r="W42" s="118">
        <f t="shared" si="18"/>
        <v>0.62587032301700574</v>
      </c>
      <c r="X42" s="118" t="str">
        <f t="shared" si="3"/>
        <v/>
      </c>
      <c r="Y42" s="118">
        <f t="shared" si="4"/>
        <v>0.24520003750764685</v>
      </c>
      <c r="Z42" s="120">
        <f t="shared" si="19"/>
        <v>0</v>
      </c>
      <c r="AA42" s="127">
        <f>IFERROR(AVERAGEIF($F$2:F42,F42,$N$2:N42),"")</f>
        <v>70.400000000000006</v>
      </c>
      <c r="AB42" s="128"/>
      <c r="AC42" s="120">
        <f t="shared" si="15"/>
        <v>9.4530328665332952</v>
      </c>
      <c r="AD42" s="131">
        <f>AVERAGEIF($F$2:F42,F42,$AC$2:AC42)</f>
        <v>6.9174961989139749</v>
      </c>
      <c r="AE42" s="118">
        <f t="shared" si="6"/>
        <v>0.96029999999999993</v>
      </c>
      <c r="AF42" s="118">
        <v>0.995</v>
      </c>
      <c r="AG42" s="118"/>
      <c r="AH42" s="118">
        <v>0.97</v>
      </c>
      <c r="AI42" s="118">
        <v>0.99</v>
      </c>
      <c r="AJ42" s="118">
        <v>0.95</v>
      </c>
      <c r="AK42" s="118">
        <v>0.05</v>
      </c>
      <c r="AL42" s="118">
        <v>0.05</v>
      </c>
    </row>
    <row r="43" spans="1:38">
      <c r="A43" s="123">
        <f t="shared" si="7"/>
        <v>42</v>
      </c>
      <c r="B43" s="114" t="str">
        <f t="shared" si="11"/>
        <v>September</v>
      </c>
      <c r="C43" s="123">
        <f t="shared" si="10"/>
        <v>12</v>
      </c>
      <c r="D43" s="114">
        <v>45901</v>
      </c>
      <c r="E43" s="117">
        <f t="shared" si="16"/>
        <v>2025</v>
      </c>
      <c r="F43" s="117" t="s">
        <v>788</v>
      </c>
      <c r="G43" s="123">
        <f t="shared" si="17"/>
        <v>30</v>
      </c>
      <c r="H43" s="127"/>
      <c r="I43" s="127"/>
      <c r="J43" s="125">
        <f t="shared" si="12"/>
        <v>5.56</v>
      </c>
      <c r="K43" s="127"/>
      <c r="L43" s="123"/>
      <c r="M43" s="128">
        <v>11201.6537079954</v>
      </c>
      <c r="N43" s="128">
        <v>70.400000000000006</v>
      </c>
      <c r="O43" s="118"/>
      <c r="P43" s="120"/>
      <c r="Q43" s="123">
        <f>COUNTIFS('Daily KPI'!$D:$D,D43,'Daily KPI'!$M:$M,"&gt;0")</f>
        <v>0</v>
      </c>
      <c r="R43" s="128"/>
      <c r="S43" s="128"/>
      <c r="T43" s="120">
        <f t="shared" si="0"/>
        <v>373.38845693318001</v>
      </c>
      <c r="U43" s="128">
        <f t="shared" si="1"/>
        <v>0</v>
      </c>
      <c r="V43" s="128">
        <f>SUMIF($F$2:F43,F43,$U$2:U43)</f>
        <v>41428.998337292011</v>
      </c>
      <c r="W43" s="118">
        <f t="shared" si="18"/>
        <v>0.22099222119624762</v>
      </c>
      <c r="X43" s="118" t="str">
        <f t="shared" si="3"/>
        <v/>
      </c>
      <c r="Y43" s="118">
        <f t="shared" si="4"/>
        <v>0.24520003750764685</v>
      </c>
      <c r="Z43" s="120">
        <f t="shared" si="19"/>
        <v>0</v>
      </c>
      <c r="AA43" s="127">
        <f>IFERROR(AVERAGEIF($F$2:F43,F43,$N$2:N43),"")</f>
        <v>70.399999999999991</v>
      </c>
      <c r="AB43" s="128"/>
      <c r="AC43" s="120">
        <f t="shared" si="15"/>
        <v>10.303759359817088</v>
      </c>
      <c r="AD43" s="131">
        <f>AVERAGEIF($F$2:F43,F43,$AC$2:AC43)</f>
        <v>7.4818733923978264</v>
      </c>
      <c r="AE43" s="118">
        <f t="shared" si="6"/>
        <v>0.96029999999999993</v>
      </c>
      <c r="AF43" s="118">
        <v>0.995</v>
      </c>
      <c r="AG43" s="118"/>
      <c r="AH43" s="118">
        <v>0.97</v>
      </c>
      <c r="AI43" s="118">
        <v>0.99</v>
      </c>
      <c r="AJ43" s="118">
        <v>0.95</v>
      </c>
      <c r="AK43" s="118">
        <v>0.05</v>
      </c>
      <c r="AL43" s="118">
        <v>0.05</v>
      </c>
    </row>
    <row r="44" spans="1:38">
      <c r="A44" s="123">
        <f t="shared" si="7"/>
        <v>43</v>
      </c>
      <c r="B44" s="114" t="str">
        <f t="shared" si="11"/>
        <v>October</v>
      </c>
      <c r="C44" s="123">
        <f t="shared" si="10"/>
        <v>1</v>
      </c>
      <c r="D44" s="114">
        <v>45931</v>
      </c>
      <c r="E44" s="117">
        <f t="shared" si="16"/>
        <v>2025</v>
      </c>
      <c r="F44" s="117" t="s">
        <v>788</v>
      </c>
      <c r="G44" s="123">
        <f t="shared" si="17"/>
        <v>31</v>
      </c>
      <c r="H44" s="127"/>
      <c r="I44" s="127"/>
      <c r="J44" s="125">
        <f t="shared" si="12"/>
        <v>4.1733333333333329</v>
      </c>
      <c r="K44" s="127"/>
      <c r="L44" s="123"/>
      <c r="M44" s="128">
        <v>4658.2034502884617</v>
      </c>
      <c r="N44" s="128">
        <v>70.400000000000006</v>
      </c>
      <c r="O44" s="118"/>
      <c r="P44" s="120"/>
      <c r="Q44" s="123">
        <f>COUNTIFS('Daily KPI'!$D:$D,D44,'Daily KPI'!$M:$M,"&gt;0")</f>
        <v>0</v>
      </c>
      <c r="R44" s="128"/>
      <c r="S44" s="128"/>
      <c r="T44" s="120">
        <f t="shared" si="0"/>
        <v>150.26462742866005</v>
      </c>
      <c r="U44" s="128">
        <f t="shared" si="1"/>
        <v>0</v>
      </c>
      <c r="V44" s="128">
        <f>SUMIF($F$2:F44,F44,$U$2:U44)</f>
        <v>41428.998337292011</v>
      </c>
      <c r="W44" s="118">
        <f t="shared" si="18"/>
        <v>8.8935030438364135E-2</v>
      </c>
      <c r="X44" s="118" t="str">
        <f t="shared" si="3"/>
        <v/>
      </c>
      <c r="Y44" s="118">
        <f t="shared" si="4"/>
        <v>0.24520003750764685</v>
      </c>
      <c r="Z44" s="120">
        <f t="shared" si="19"/>
        <v>0</v>
      </c>
      <c r="AA44" s="127">
        <f>IFERROR(AVERAGEIF($F$2:F44,F44,$N$2:N44),"")</f>
        <v>70.399999999999991</v>
      </c>
      <c r="AB44" s="128"/>
      <c r="AC44" s="120">
        <f t="shared" si="15"/>
        <v>8.5195147184909956</v>
      </c>
      <c r="AD44" s="131">
        <f>AVERAGEIF($F$2:F44,F44,$AC$2:AC44)</f>
        <v>7.6301078675539937</v>
      </c>
      <c r="AE44" s="118">
        <f t="shared" si="6"/>
        <v>0.96029999999999993</v>
      </c>
      <c r="AF44" s="118">
        <v>0.995</v>
      </c>
      <c r="AG44" s="118"/>
      <c r="AH44" s="118">
        <v>0.97</v>
      </c>
      <c r="AI44" s="118">
        <v>0.99</v>
      </c>
      <c r="AJ44" s="118">
        <v>0.95</v>
      </c>
      <c r="AK44" s="118">
        <v>0.05</v>
      </c>
      <c r="AL44" s="118">
        <v>0.05</v>
      </c>
    </row>
    <row r="45" spans="1:38">
      <c r="A45" s="123">
        <f t="shared" si="7"/>
        <v>44</v>
      </c>
      <c r="B45" s="114" t="str">
        <f t="shared" si="11"/>
        <v>November</v>
      </c>
      <c r="C45" s="123">
        <f t="shared" si="10"/>
        <v>2</v>
      </c>
      <c r="D45" s="114">
        <v>45962</v>
      </c>
      <c r="E45" s="117">
        <f t="shared" si="16"/>
        <v>2025</v>
      </c>
      <c r="F45" s="117" t="s">
        <v>788</v>
      </c>
      <c r="G45" s="123">
        <f t="shared" si="17"/>
        <v>30</v>
      </c>
      <c r="H45" s="127"/>
      <c r="I45" s="127"/>
      <c r="J45" s="125">
        <f t="shared" si="12"/>
        <v>4.4633333333333338</v>
      </c>
      <c r="K45" s="127"/>
      <c r="L45" s="123"/>
      <c r="M45" s="128">
        <v>7203.0753420295587</v>
      </c>
      <c r="N45" s="128">
        <v>70.400000000000006</v>
      </c>
      <c r="O45" s="118"/>
      <c r="P45" s="120"/>
      <c r="Q45" s="123">
        <f>COUNTIFS('Daily KPI'!$D:$D,D45,'Daily KPI'!$M:$M,"&gt;0")</f>
        <v>0</v>
      </c>
      <c r="R45" s="128"/>
      <c r="S45" s="128"/>
      <c r="T45" s="120">
        <f t="shared" si="0"/>
        <v>240.10251140098529</v>
      </c>
      <c r="U45" s="128">
        <f t="shared" si="1"/>
        <v>0</v>
      </c>
      <c r="V45" s="128">
        <f>SUMIF($F$2:F45,F45,$U$2:U45)</f>
        <v>41428.998337292011</v>
      </c>
      <c r="W45" s="118">
        <f t="shared" si="18"/>
        <v>0.14210612653940891</v>
      </c>
      <c r="X45" s="118" t="str">
        <f t="shared" si="3"/>
        <v/>
      </c>
      <c r="Y45" s="118">
        <f t="shared" si="4"/>
        <v>0.24520003750764685</v>
      </c>
      <c r="Z45" s="120">
        <f t="shared" si="19"/>
        <v>0</v>
      </c>
      <c r="AA45" s="127">
        <f>IFERROR(AVERAGEIF($F$2:F45,F45,$N$2:N45),"")</f>
        <v>70.399999999999991</v>
      </c>
      <c r="AB45" s="128"/>
      <c r="AC45" s="120">
        <f t="shared" si="15"/>
        <v>7.2366664761360369</v>
      </c>
      <c r="AD45" s="131">
        <f>AVERAGEIF($F$2:F45,F45,$AC$2:AC45)</f>
        <v>7.5809276936267489</v>
      </c>
      <c r="AE45" s="118">
        <f t="shared" si="6"/>
        <v>0.96029999999999993</v>
      </c>
      <c r="AF45" s="118">
        <v>0.995</v>
      </c>
      <c r="AG45" s="118"/>
      <c r="AH45" s="118">
        <v>0.97</v>
      </c>
      <c r="AI45" s="118">
        <v>0.99</v>
      </c>
      <c r="AJ45" s="118">
        <v>0.95</v>
      </c>
      <c r="AK45" s="118">
        <v>0.05</v>
      </c>
      <c r="AL45" s="118">
        <v>0.05</v>
      </c>
    </row>
    <row r="46" spans="1:38">
      <c r="A46" s="123">
        <f t="shared" si="7"/>
        <v>45</v>
      </c>
      <c r="B46" s="114" t="str">
        <f t="shared" si="11"/>
        <v>December</v>
      </c>
      <c r="C46" s="123">
        <f t="shared" si="10"/>
        <v>4</v>
      </c>
      <c r="D46" s="114">
        <v>45992</v>
      </c>
      <c r="E46" s="117">
        <f t="shared" si="16"/>
        <v>2025</v>
      </c>
      <c r="F46" s="117" t="s">
        <v>788</v>
      </c>
      <c r="G46" s="123">
        <f t="shared" si="17"/>
        <v>31</v>
      </c>
      <c r="H46" s="127"/>
      <c r="I46" s="127"/>
      <c r="J46" s="125">
        <f t="shared" si="12"/>
        <v>4.79</v>
      </c>
      <c r="K46" s="127"/>
      <c r="L46" s="123"/>
      <c r="M46" s="128">
        <v>7252.032844518877</v>
      </c>
      <c r="N46" s="128">
        <v>70.400000000000006</v>
      </c>
      <c r="O46" s="118"/>
      <c r="P46" s="120"/>
      <c r="Q46" s="123">
        <f>COUNTIFS('Daily KPI'!$D:$D,D46,'Daily KPI'!$M:$M,"&gt;0")</f>
        <v>0</v>
      </c>
      <c r="R46" s="128"/>
      <c r="S46" s="128"/>
      <c r="T46" s="120">
        <f t="shared" si="0"/>
        <v>233.93654337157668</v>
      </c>
      <c r="U46" s="128">
        <f t="shared" si="1"/>
        <v>0</v>
      </c>
      <c r="V46" s="128">
        <f>SUMIF($F$2:F46,F46,$U$2:U46)</f>
        <v>41428.998337292011</v>
      </c>
      <c r="W46" s="118">
        <f t="shared" si="18"/>
        <v>0.13845676099170021</v>
      </c>
      <c r="X46" s="118" t="str">
        <f t="shared" si="3"/>
        <v/>
      </c>
      <c r="Y46" s="118">
        <f t="shared" si="4"/>
        <v>0.24520003750764685</v>
      </c>
      <c r="Z46" s="120">
        <f t="shared" si="19"/>
        <v>0</v>
      </c>
      <c r="AA46" s="127">
        <f>IFERROR(AVERAGEIF($F$2:F46,F46,$N$2:N46),"")</f>
        <v>70.399999999999991</v>
      </c>
      <c r="AB46" s="128"/>
      <c r="AC46" s="120">
        <f t="shared" si="15"/>
        <v>6.0015501571877659</v>
      </c>
      <c r="AD46" s="131">
        <f>AVERAGEIF($F$2:F46,F46,$AC$2:AC46)</f>
        <v>7.4054413006890849</v>
      </c>
      <c r="AE46" s="118">
        <f t="shared" si="6"/>
        <v>0.96029999999999993</v>
      </c>
      <c r="AF46" s="118">
        <v>0.995</v>
      </c>
      <c r="AG46" s="118"/>
      <c r="AH46" s="118">
        <v>0.97</v>
      </c>
      <c r="AI46" s="118">
        <v>0.99</v>
      </c>
      <c r="AJ46" s="118">
        <v>0.95</v>
      </c>
      <c r="AK46" s="118">
        <v>0.05</v>
      </c>
      <c r="AL46" s="118">
        <v>0.05</v>
      </c>
    </row>
    <row r="47" spans="1:38">
      <c r="A47" s="123">
        <f t="shared" si="7"/>
        <v>46</v>
      </c>
      <c r="B47" s="114" t="str">
        <f t="shared" si="11"/>
        <v>January</v>
      </c>
      <c r="C47" s="123">
        <f t="shared" si="10"/>
        <v>5</v>
      </c>
      <c r="D47" s="114">
        <v>46023</v>
      </c>
      <c r="E47" s="117">
        <f t="shared" si="16"/>
        <v>2026</v>
      </c>
      <c r="F47" s="117" t="s">
        <v>788</v>
      </c>
      <c r="G47" s="123">
        <f t="shared" si="17"/>
        <v>31</v>
      </c>
      <c r="H47" s="127"/>
      <c r="I47" s="127"/>
      <c r="J47" s="125">
        <f t="shared" si="12"/>
        <v>3.75</v>
      </c>
      <c r="K47" s="127"/>
      <c r="L47" s="123"/>
      <c r="M47" s="128">
        <v>3308.3228583635255</v>
      </c>
      <c r="N47" s="128">
        <v>70.400000000000006</v>
      </c>
      <c r="O47" s="118"/>
      <c r="P47" s="120"/>
      <c r="Q47" s="123">
        <f>COUNTIFS('Daily KPI'!$D:$D,D47,'Daily KPI'!$M:$M,"&gt;0")</f>
        <v>0</v>
      </c>
      <c r="R47" s="128"/>
      <c r="S47" s="128"/>
      <c r="T47" s="120">
        <f t="shared" si="0"/>
        <v>106.72009220527501</v>
      </c>
      <c r="U47" s="128">
        <f t="shared" si="1"/>
        <v>0</v>
      </c>
      <c r="V47" s="128">
        <f>SUMIF($F$2:F47,F47,$U$2:U47)</f>
        <v>41428.998337292011</v>
      </c>
      <c r="W47" s="118">
        <f t="shared" si="18"/>
        <v>6.3162933360129611E-2</v>
      </c>
      <c r="X47" s="118" t="str">
        <f t="shared" si="3"/>
        <v/>
      </c>
      <c r="Y47" s="118">
        <f t="shared" si="4"/>
        <v>0.24520003750764685</v>
      </c>
      <c r="Z47" s="120">
        <f t="shared" si="19"/>
        <v>0</v>
      </c>
      <c r="AA47" s="127">
        <f>IFERROR(AVERAGEIF($F$2:F47,F47,$N$2:N47),"")</f>
        <v>70.399999999999991</v>
      </c>
      <c r="AB47" s="128"/>
      <c r="AC47" s="120">
        <f t="shared" si="15"/>
        <v>6.7073912546441834</v>
      </c>
      <c r="AD47" s="131">
        <f>AVERAGEIF($F$2:F47,F47,$AC$2:AC47)</f>
        <v>7.3356362960845942</v>
      </c>
      <c r="AE47" s="118">
        <f t="shared" si="6"/>
        <v>0.96029999999999993</v>
      </c>
      <c r="AF47" s="118">
        <v>0.995</v>
      </c>
      <c r="AG47" s="118"/>
      <c r="AH47" s="118">
        <v>0.97</v>
      </c>
      <c r="AI47" s="118">
        <v>0.99</v>
      </c>
      <c r="AJ47" s="118">
        <v>0.95</v>
      </c>
      <c r="AK47" s="118">
        <v>0.05</v>
      </c>
      <c r="AL47" s="118">
        <v>0.05</v>
      </c>
    </row>
    <row r="48" spans="1:38">
      <c r="A48" s="123">
        <f t="shared" si="7"/>
        <v>47</v>
      </c>
      <c r="B48" s="114" t="str">
        <f t="shared" si="11"/>
        <v>February</v>
      </c>
      <c r="C48" s="123">
        <f t="shared" si="10"/>
        <v>6</v>
      </c>
      <c r="D48" s="114">
        <v>46054</v>
      </c>
      <c r="E48" s="117">
        <f t="shared" si="16"/>
        <v>2026</v>
      </c>
      <c r="F48" s="117" t="s">
        <v>788</v>
      </c>
      <c r="G48" s="123">
        <f t="shared" si="17"/>
        <v>28</v>
      </c>
      <c r="H48" s="127"/>
      <c r="I48" s="127"/>
      <c r="J48" s="125">
        <f t="shared" si="12"/>
        <v>3.9249999999999998</v>
      </c>
      <c r="K48" s="127"/>
      <c r="L48" s="123"/>
      <c r="M48" s="128">
        <v>3320.2001927539386</v>
      </c>
      <c r="N48" s="128">
        <v>70.400000000000006</v>
      </c>
      <c r="O48" s="118"/>
      <c r="P48" s="120"/>
      <c r="Q48" s="123">
        <f>COUNTIFS('Daily KPI'!$D:$D,D48,'Daily KPI'!$M:$M,"&gt;0")</f>
        <v>0</v>
      </c>
      <c r="R48" s="128"/>
      <c r="S48" s="128"/>
      <c r="T48" s="120">
        <f t="shared" si="0"/>
        <v>118.57857831264066</v>
      </c>
      <c r="U48" s="128">
        <f t="shared" si="1"/>
        <v>0</v>
      </c>
      <c r="V48" s="128">
        <f>SUMIF($F$2:F48,F48,$U$2:U48)</f>
        <v>41428.998337292011</v>
      </c>
      <c r="W48" s="118">
        <f t="shared" si="18"/>
        <v>7.0181450232386741E-2</v>
      </c>
      <c r="X48" s="118" t="str">
        <f t="shared" si="3"/>
        <v/>
      </c>
      <c r="Y48" s="118">
        <f t="shared" si="4"/>
        <v>0.24520003750764685</v>
      </c>
      <c r="Z48" s="120">
        <f t="shared" si="19"/>
        <v>0</v>
      </c>
      <c r="AA48" s="127">
        <f>IFERROR(AVERAGEIF($F$2:F48,F48,$N$2:N48),"")</f>
        <v>70.399999999999991</v>
      </c>
      <c r="AB48" s="128"/>
      <c r="AC48" s="120">
        <f t="shared" si="15"/>
        <v>7.0533420977422105</v>
      </c>
      <c r="AD48" s="131">
        <f>AVERAGEIF($F$2:F49,F48,$AC$2:AC49)</f>
        <v>7.3184021148899676</v>
      </c>
      <c r="AE48" s="118">
        <f t="shared" si="6"/>
        <v>0.96029999999999993</v>
      </c>
      <c r="AF48" s="118">
        <v>0.995</v>
      </c>
      <c r="AG48" s="118"/>
      <c r="AH48" s="118">
        <v>0.97</v>
      </c>
      <c r="AI48" s="118">
        <v>0.99</v>
      </c>
      <c r="AJ48" s="118">
        <v>0.95</v>
      </c>
      <c r="AK48" s="118">
        <v>0.05</v>
      </c>
      <c r="AL48" s="118">
        <v>0.05</v>
      </c>
    </row>
    <row r="49" spans="1:38">
      <c r="A49" s="123">
        <f t="shared" si="7"/>
        <v>48</v>
      </c>
      <c r="B49" s="114" t="str">
        <f t="shared" si="11"/>
        <v>March</v>
      </c>
      <c r="C49" s="123">
        <f t="shared" si="10"/>
        <v>7</v>
      </c>
      <c r="D49" s="114">
        <v>46082</v>
      </c>
      <c r="E49" s="117">
        <f t="shared" si="16"/>
        <v>2026</v>
      </c>
      <c r="F49" s="117" t="s">
        <v>788</v>
      </c>
      <c r="G49" s="123">
        <f t="shared" si="17"/>
        <v>31</v>
      </c>
      <c r="H49" s="127"/>
      <c r="I49" s="127"/>
      <c r="J49" s="125">
        <f t="shared" si="12"/>
        <v>4.5649999999999995</v>
      </c>
      <c r="K49" s="127"/>
      <c r="L49" s="123"/>
      <c r="M49" s="128">
        <v>5498.0142061122951</v>
      </c>
      <c r="N49" s="128">
        <v>70.400000000000006</v>
      </c>
      <c r="O49" s="118"/>
      <c r="P49" s="120"/>
      <c r="Q49" s="123">
        <f>COUNTIFS('Daily KPI'!$D:$D,D49,'Daily KPI'!$M:$M,"&gt;0")</f>
        <v>0</v>
      </c>
      <c r="R49" s="128"/>
      <c r="S49" s="128"/>
      <c r="T49" s="120">
        <f t="shared" si="0"/>
        <v>177.35529697136437</v>
      </c>
      <c r="U49" s="128">
        <f t="shared" si="1"/>
        <v>0</v>
      </c>
      <c r="V49" s="128">
        <f>SUMIF($F$2:F49,F49,$U$2:U49)</f>
        <v>41428.998337292011</v>
      </c>
      <c r="W49" s="118">
        <f>IFERROR(T49/(24*N49),"")</f>
        <v>0.1049688073930897</v>
      </c>
      <c r="X49" s="118" t="str">
        <f t="shared" si="3"/>
        <v/>
      </c>
      <c r="Y49" s="118">
        <f t="shared" si="4"/>
        <v>0.24520003750764685</v>
      </c>
      <c r="Z49" s="120">
        <f>IFERROR(N49/G49*Q49,"")</f>
        <v>0</v>
      </c>
      <c r="AA49" s="127">
        <f>IFERROR(AVERAGEIF($F$2:F49,F49,$N$2:N49),"")</f>
        <v>70.399999999999991</v>
      </c>
      <c r="AB49" s="128"/>
      <c r="AC49" s="120">
        <f t="shared" si="15"/>
        <v>7.411120320091455</v>
      </c>
      <c r="AD49" s="131">
        <f>AVERAGEIF($F$2:F49,F49,$AC$2:AC49)</f>
        <v>7.3184021148899676</v>
      </c>
      <c r="AE49" s="118">
        <f t="shared" si="6"/>
        <v>0.96029999999999993</v>
      </c>
      <c r="AF49" s="118">
        <v>0.995</v>
      </c>
      <c r="AG49" s="118"/>
      <c r="AH49" s="118">
        <v>0.97</v>
      </c>
      <c r="AI49" s="118">
        <v>0.99</v>
      </c>
      <c r="AJ49" s="118">
        <v>0.95</v>
      </c>
      <c r="AK49" s="118">
        <v>0.05</v>
      </c>
      <c r="AL49" s="118">
        <v>0.05</v>
      </c>
    </row>
  </sheetData>
  <phoneticPr fontId="9" type="noConversion"/>
  <pageMargins left="0.7" right="0.7" top="0.75" bottom="0.75" header="0.3" footer="0.3"/>
  <ignoredErrors>
    <ignoredError sqref="AA3:AA38" formulaRange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"/>
  <sheetViews>
    <sheetView workbookViewId="0">
      <selection activeCell="J10" sqref="J10"/>
    </sheetView>
  </sheetViews>
  <sheetFormatPr defaultColWidth="8.5546875" defaultRowHeight="14.4"/>
  <cols>
    <col min="1" max="1" width="11" customWidth="1"/>
    <col min="2" max="2" width="10.44140625" customWidth="1"/>
    <col min="3" max="5" width="13.44140625" customWidth="1"/>
    <col min="6" max="6" width="14" customWidth="1"/>
    <col min="7" max="7" width="9.5546875" customWidth="1"/>
    <col min="8" max="8" width="10.44140625" customWidth="1"/>
    <col min="10" max="10" width="9.44140625" customWidth="1"/>
    <col min="11" max="11" width="9" customWidth="1"/>
    <col min="12" max="12" width="9.44140625" customWidth="1"/>
    <col min="14" max="14" width="9.44140625" customWidth="1"/>
    <col min="16" max="16" width="10.44140625" customWidth="1"/>
    <col min="19" max="19" width="10.109375" customWidth="1"/>
  </cols>
  <sheetData>
    <row r="1" spans="1:19">
      <c r="A1" s="20" t="s">
        <v>45</v>
      </c>
      <c r="B1" s="21">
        <f>O2Summary!B4</f>
        <v>45847</v>
      </c>
      <c r="C1" s="153">
        <f>O2Summary!B3</f>
        <v>45839</v>
      </c>
    </row>
    <row r="2" spans="1:19" ht="21">
      <c r="A2" s="365" t="s">
        <v>46</v>
      </c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  <c r="R2" s="366"/>
      <c r="S2" s="366"/>
    </row>
    <row r="3" spans="1:19" ht="31.35" customHeight="1">
      <c r="A3" s="154" t="s">
        <v>47</v>
      </c>
      <c r="B3" s="154" t="s">
        <v>48</v>
      </c>
      <c r="C3" s="155" t="s">
        <v>49</v>
      </c>
      <c r="D3" s="155" t="s">
        <v>50</v>
      </c>
      <c r="E3" s="155" t="s">
        <v>51</v>
      </c>
      <c r="F3" s="155" t="s">
        <v>52</v>
      </c>
      <c r="G3" s="155" t="s">
        <v>53</v>
      </c>
      <c r="H3" s="155" t="s">
        <v>54</v>
      </c>
      <c r="I3" s="155" t="s">
        <v>55</v>
      </c>
      <c r="J3" s="155" t="s">
        <v>56</v>
      </c>
      <c r="K3" s="155" t="s">
        <v>57</v>
      </c>
      <c r="L3" s="155" t="s">
        <v>58</v>
      </c>
      <c r="M3" s="155" t="s">
        <v>59</v>
      </c>
      <c r="N3" s="155" t="s">
        <v>60</v>
      </c>
      <c r="O3" s="155" t="s">
        <v>61</v>
      </c>
      <c r="P3" s="155" t="s">
        <v>62</v>
      </c>
      <c r="Q3" s="101" t="s">
        <v>63</v>
      </c>
      <c r="R3" s="101" t="s">
        <v>64</v>
      </c>
      <c r="S3" s="101" t="s">
        <v>65</v>
      </c>
    </row>
    <row r="4" spans="1:19" s="23" customFormat="1" ht="15.75" customHeight="1">
      <c r="A4" s="156">
        <f>YEAR(B1)+IF(MONTH(B1)&gt;=4,1,0)</f>
        <v>2026</v>
      </c>
      <c r="B4" s="157">
        <f>($B$1-O2Summary!$B$6)+1</f>
        <v>100</v>
      </c>
      <c r="C4" s="158">
        <f>IFERROR(_xlfn.XLOOKUP($C$1,'Modelling New'!$D:$D,'Modelling New'!$AD:$AD),"")</f>
        <v>6.2836120320091453</v>
      </c>
      <c r="D4" s="159">
        <f>AVERAGEIFS('Daily KPI'!$M:$M,'Daily KPI'!$A:$A,"&gt;="&amp;O2Summary!$B$6,'Daily KPI'!$A:$A,"&lt;="&amp;AnnualKPI!$B$1)</f>
        <v>6.9090568181818188</v>
      </c>
      <c r="E4" s="157">
        <f>_xlfn.XLOOKUP($C$1,'Modelling New'!$D:$D,'Modelling New'!$V:$V)</f>
        <v>41428.998337292011</v>
      </c>
      <c r="F4" s="160">
        <f>SUMIFS('Daily KPI'!$AA:$AA,'Daily KPI'!$A:$A,"&gt;="&amp;O2Summary!$B$6,'Daily KPI'!$A:$A,"&lt;="&amp;AnnualKPI!$B$1)/1000</f>
        <v>58731.362000000001</v>
      </c>
      <c r="G4" s="161">
        <f>_xlfn.XLOOKUP($C$1,'Modelling New'!$D:$D,'Modelling New'!$Y:$Y)</f>
        <v>0.24520003750764685</v>
      </c>
      <c r="H4" s="162">
        <f>IFERROR(F4/(B4*24*'Basic Data'!$L$2),"")</f>
        <v>0.34760512547348488</v>
      </c>
      <c r="I4" s="161">
        <f>IFERROR(_xlfn.XLOOKUP($C$1,'Modelling New'!$D:$D,'Modelling New'!AF:AF),"")</f>
        <v>0.995</v>
      </c>
      <c r="J4" s="163">
        <f>AVERAGEIFS('Daily KPI'!$R:$R,'Daily KPI'!$A:$A,"&gt;="&amp;O2Summary!$B$6,'Daily KPI'!$A:$A,"&lt;="&amp;AnnualKPI!$B$1)</f>
        <v>0.9933892635945003</v>
      </c>
      <c r="K4" s="161">
        <f>IFERROR(_xlfn.XLOOKUP($C$1,'Modelling New'!$D:$D,'Modelling New'!$AH:$AH),"")</f>
        <v>0.97</v>
      </c>
      <c r="L4" s="163">
        <f>AVERAGEIFS('Daily KPI'!$P:$P,'Daily KPI'!$A:$A,"&gt;="&amp;O2Summary!$B$6,'Daily KPI'!$A:$A,"&lt;="&amp;AnnualKPI!$B$1)</f>
        <v>0.99002526906113264</v>
      </c>
      <c r="M4" s="161">
        <f>IFERROR(_xlfn.XLOOKUP($C$1,'Modelling New'!$D:$D,'Modelling New'!$AI:$AI),"")</f>
        <v>0.99</v>
      </c>
      <c r="N4" s="163">
        <f>AVERAGEIFS('Daily KPI'!$Q:$Q,'Daily KPI'!$A:$A,"&gt;="&amp;O2Summary!$B$6,'Daily KPI'!$A:$A,"&lt;="&amp;AnnualKPI!$B$1)</f>
        <v>0.98406539588182229</v>
      </c>
      <c r="O4" s="161">
        <f>K4*M4</f>
        <v>0.96029999999999993</v>
      </c>
      <c r="P4" s="163">
        <f>L4*N4</f>
        <v>0.97424960833165108</v>
      </c>
      <c r="Q4" s="160">
        <f>SUMIFS('Daily KPI'!$AI:$AI,'Daily KPI'!$A:$A,"&gt;="&amp;O2Summary!$B$6,'Daily KPI'!$A:$A,"&lt;="&amp;AnnualKPI!$B$1)</f>
        <v>59079.6</v>
      </c>
      <c r="R4" s="163">
        <f>AVERAGEIFS('Daily KPI'!AN:AN,'Daily KPI'!$A:$A,"&gt;="&amp;O2Summary!$B$6,'Daily KPI'!$A:$A,"&lt;="&amp;AnnualKPI!$B$1)</f>
        <v>9.9920072216264085E-18</v>
      </c>
      <c r="S4" s="163">
        <f>AVERAGEIFS('Daily KPI'!AO:AO,'Daily KPI'!$A:$A,"&gt;="&amp;O2Summary!$B$6,'Daily KPI'!$A:$A,"&lt;="&amp;AnnualKPI!$B$1)</f>
        <v>1.5849748709773103E-4</v>
      </c>
    </row>
    <row r="5" spans="1:19" ht="26.25" customHeight="1"/>
  </sheetData>
  <sheetProtection algorithmName="SHA-512" hashValue="X4SImZ9lQggnuedAqsmCiyGBhrZROP6nQRt08UsEKlXvLfigQ9S1hqJPl2f5z2qKebPdiFQcMgNGwWg9HZ5PVg==" saltValue="9pPUoAPjKekqUq4luMCjsQ==" spinCount="100000" sheet="1" objects="1" scenarios="1"/>
  <mergeCells count="1">
    <mergeCell ref="A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8"/>
  <sheetViews>
    <sheetView zoomScale="80" zoomScaleNormal="80" workbookViewId="0">
      <selection activeCell="F20" sqref="F20"/>
    </sheetView>
  </sheetViews>
  <sheetFormatPr defaultColWidth="8.5546875" defaultRowHeight="29.1" customHeight="1"/>
  <cols>
    <col min="1" max="1" width="40.44140625" bestFit="1" customWidth="1"/>
    <col min="2" max="2" width="19.5546875" bestFit="1" customWidth="1"/>
    <col min="3" max="3" width="15.44140625" bestFit="1" customWidth="1"/>
    <col min="4" max="4" width="12" customWidth="1"/>
    <col min="5" max="5" width="14.5546875" customWidth="1"/>
    <col min="6" max="16" width="12.44140625" customWidth="1"/>
    <col min="17" max="17" width="12" customWidth="1"/>
    <col min="18" max="18" width="13" bestFit="1" customWidth="1"/>
  </cols>
  <sheetData>
    <row r="1" spans="1:22" ht="29.1" customHeight="1">
      <c r="A1" s="20" t="s">
        <v>45</v>
      </c>
      <c r="B1" s="21">
        <f>O2Summary!B4</f>
        <v>45847</v>
      </c>
      <c r="C1" s="22">
        <v>0</v>
      </c>
      <c r="D1" s="22">
        <v>0</v>
      </c>
      <c r="E1" s="22">
        <v>0</v>
      </c>
      <c r="F1" s="22">
        <v>0</v>
      </c>
    </row>
    <row r="2" spans="1:22" ht="29.1" customHeight="1">
      <c r="A2" s="367" t="s">
        <v>66</v>
      </c>
      <c r="B2" s="368"/>
      <c r="C2" s="368"/>
      <c r="D2" s="368"/>
      <c r="E2" s="368"/>
      <c r="F2" s="368"/>
      <c r="G2" s="368"/>
      <c r="H2" s="368"/>
      <c r="I2" s="368"/>
      <c r="J2" s="368"/>
      <c r="K2" s="368"/>
      <c r="L2" s="368"/>
      <c r="M2" s="368"/>
      <c r="N2" s="368"/>
      <c r="O2" s="368"/>
      <c r="P2" s="368"/>
      <c r="Q2" s="368"/>
      <c r="R2" s="368"/>
    </row>
    <row r="3" spans="1:22" ht="29.1" customHeight="1">
      <c r="A3" s="164" t="s">
        <v>47</v>
      </c>
      <c r="B3" s="164" t="s">
        <v>48</v>
      </c>
      <c r="C3" s="155" t="s">
        <v>49</v>
      </c>
      <c r="D3" s="155" t="s">
        <v>50</v>
      </c>
      <c r="E3" s="155" t="s">
        <v>51</v>
      </c>
      <c r="F3" s="155" t="s">
        <v>52</v>
      </c>
      <c r="G3" s="155" t="s">
        <v>53</v>
      </c>
      <c r="H3" s="155" t="s">
        <v>54</v>
      </c>
      <c r="I3" s="155" t="s">
        <v>55</v>
      </c>
      <c r="J3" s="155" t="s">
        <v>56</v>
      </c>
      <c r="K3" s="155" t="s">
        <v>57</v>
      </c>
      <c r="L3" s="155" t="s">
        <v>58</v>
      </c>
      <c r="M3" s="155" t="s">
        <v>67</v>
      </c>
      <c r="N3" s="155" t="s">
        <v>60</v>
      </c>
      <c r="O3" s="155" t="s">
        <v>61</v>
      </c>
      <c r="P3" s="155" t="s">
        <v>62</v>
      </c>
      <c r="Q3" s="155" t="s">
        <v>68</v>
      </c>
      <c r="R3" s="155" t="s">
        <v>69</v>
      </c>
      <c r="S3" s="101" t="s">
        <v>70</v>
      </c>
      <c r="T3" s="101" t="s">
        <v>63</v>
      </c>
      <c r="U3" s="101" t="s">
        <v>64</v>
      </c>
      <c r="V3" s="101" t="s">
        <v>65</v>
      </c>
    </row>
    <row r="4" spans="1:22" s="23" customFormat="1" ht="29.1" customHeight="1">
      <c r="A4" s="153">
        <f>O2Summary!B3</f>
        <v>45839</v>
      </c>
      <c r="B4" s="157">
        <f>DAY(B1)</f>
        <v>9</v>
      </c>
      <c r="C4" s="158">
        <f>IFERROR(_xlfn.XLOOKUP($A$4,'Modelling New'!$D:$D,'Modelling New'!$J:$J),"")</f>
        <v>9.8233333333333324</v>
      </c>
      <c r="D4" s="159">
        <f>IFERROR(AVERAGEIF('Daily KPI'!$D:$D,$A$4,'Daily KPI'!$M:$M),"")</f>
        <v>11.679040404040403</v>
      </c>
      <c r="E4" s="157">
        <f>IFERROR(_xlfn.XLOOKUP($A$4,'Modelling New'!$D:$D,'Modelling New'!$U:$U),"")</f>
        <v>8144.0460195746082</v>
      </c>
      <c r="F4" s="160">
        <f>IFERROR(SUMIFS('Daily KPI'!$AA:$AA,'Daily KPI'!$D:$D,$A$4)/1000,"")</f>
        <v>13292.556</v>
      </c>
      <c r="G4" s="161">
        <f>IFERROR(_xlfn.XLOOKUP($A$4,'Modelling New'!$D:$D,'Modelling New'!X:X),"")</f>
        <v>0.53556699939332175</v>
      </c>
      <c r="H4" s="162">
        <f>F4/(24*B4*'Basic Data'!$L$2)</f>
        <v>0.87414220328282821</v>
      </c>
      <c r="I4" s="161">
        <f>IFERROR(_xlfn.XLOOKUP($A$4,'Modelling New'!$D:$D,'Modelling New'!AF:AF),"")</f>
        <v>0.995</v>
      </c>
      <c r="J4" s="162">
        <f>IFERROR(AVERAGEIFS('Daily KPI'!$R:$R,'Daily KPI'!$A:$A,"&lt;="&amp;MonthlyKPI!$B$1,'Daily KPI'!$D:$D,$A$4),"")</f>
        <v>1</v>
      </c>
      <c r="K4" s="161">
        <f>IFERROR(_xlfn.XLOOKUP($A$4,'Modelling New'!$D:$D,'Modelling New'!$AH:$AH),"")</f>
        <v>0.97</v>
      </c>
      <c r="L4" s="162">
        <f>IFERROR(AVERAGEIFS('Daily KPI'!$P:$P,'Daily KPI'!$A:$A,"&lt;="&amp;MonthlyKPI!$B$1,'Daily KPI'!$D:$D,$A$4),"")</f>
        <v>0.99349504554405443</v>
      </c>
      <c r="M4" s="161">
        <f>IFERROR(_xlfn.XLOOKUP($A$4,'Modelling New'!$D:$D,'Modelling New'!$AI:$AI),"")</f>
        <v>0.99</v>
      </c>
      <c r="N4" s="162">
        <f>IFERROR(AVERAGEIFS('Daily KPI'!$Q:$Q,'Daily KPI'!$A:$A,"&lt;="&amp;MonthlyKPI!$B$1,'Daily KPI'!$D:$D,$A$4),"")</f>
        <v>0.99647521294472974</v>
      </c>
      <c r="O4" s="161">
        <f>IFERROR(_xlfn.XLOOKUP($A$4,'Modelling New'!$D:$D,'Modelling New'!$AE:$AE),"")</f>
        <v>0.96029999999999993</v>
      </c>
      <c r="P4" s="163">
        <f>L4*N4</f>
        <v>0.98999318706804562</v>
      </c>
      <c r="Q4" s="157">
        <f>SUMIFS('Daily KPI'!$X:$X,'Daily KPI'!$D:$D,$A$4)/1000</f>
        <v>13292.556</v>
      </c>
      <c r="R4" s="163">
        <f>Q4/F4-1</f>
        <v>0</v>
      </c>
      <c r="S4" s="157">
        <f>SUMIFS(Input_Raw!DP:DP,Input_Raw!A:A,"&gt;="&amp;A4,Input_Raw!A:A,"&lt;="&amp;B1)</f>
        <v>13570.93</v>
      </c>
      <c r="T4" s="160">
        <f>SUMIFS('Daily KPI'!$AI:$AI,'Daily KPI'!$D:$D,$A$4)</f>
        <v>13570.93</v>
      </c>
      <c r="U4" s="162">
        <f>AVERAGEIFS('Daily KPI'!$AN:$AN,'Daily KPI'!$A:$A,"&lt;="&amp;MonthlyKPI!$B$1,'Daily KPI'!$D:$D,$A$4)</f>
        <v>-1.2335811384723961E-17</v>
      </c>
      <c r="V4" s="162">
        <f>AVERAGEIFS('Daily KPI'!$AO:$AO,'Daily KPI'!$A:$A,"&lt;="&amp;MonthlyKPI!$B$1,'Daily KPI'!$D:$D,$A$4)</f>
        <v>1.8931790754864156E-4</v>
      </c>
    </row>
    <row r="6" spans="1:22" ht="29.1" customHeight="1">
      <c r="Q6" s="3"/>
    </row>
    <row r="7" spans="1:22" ht="29.1" customHeight="1">
      <c r="A7" s="20" t="s">
        <v>71</v>
      </c>
      <c r="B7" s="21">
        <f>B8-6</f>
        <v>45841</v>
      </c>
      <c r="D7" s="24"/>
      <c r="F7" s="24"/>
    </row>
    <row r="8" spans="1:22" ht="29.1" customHeight="1">
      <c r="A8" s="20" t="s">
        <v>72</v>
      </c>
      <c r="B8" s="21">
        <f>B1</f>
        <v>45847</v>
      </c>
    </row>
    <row r="9" spans="1:22" ht="29.1" customHeight="1">
      <c r="A9" s="367" t="s">
        <v>73</v>
      </c>
      <c r="B9" s="368"/>
      <c r="C9" s="368"/>
      <c r="D9" s="368"/>
      <c r="E9" s="368"/>
      <c r="F9" s="368"/>
      <c r="G9" s="368"/>
      <c r="H9" s="368"/>
      <c r="I9" s="368"/>
      <c r="J9" s="368"/>
      <c r="K9" s="368"/>
      <c r="L9" s="368"/>
      <c r="M9" s="368"/>
      <c r="N9" s="368"/>
      <c r="O9" s="368"/>
      <c r="P9" s="368"/>
    </row>
    <row r="10" spans="1:22" ht="29.1" customHeight="1">
      <c r="A10" s="164" t="s">
        <v>47</v>
      </c>
      <c r="B10" s="164" t="s">
        <v>48</v>
      </c>
      <c r="C10" s="155" t="s">
        <v>49</v>
      </c>
      <c r="D10" s="155" t="s">
        <v>50</v>
      </c>
      <c r="E10" s="155" t="s">
        <v>51</v>
      </c>
      <c r="F10" s="155" t="s">
        <v>52</v>
      </c>
      <c r="G10" s="155" t="s">
        <v>53</v>
      </c>
      <c r="H10" s="155" t="s">
        <v>54</v>
      </c>
      <c r="I10" s="155" t="s">
        <v>55</v>
      </c>
      <c r="J10" s="155" t="s">
        <v>56</v>
      </c>
      <c r="K10" s="155" t="s">
        <v>57</v>
      </c>
      <c r="L10" s="155" t="s">
        <v>58</v>
      </c>
      <c r="M10" s="155" t="s">
        <v>67</v>
      </c>
      <c r="N10" s="155" t="s">
        <v>60</v>
      </c>
      <c r="O10" s="155" t="s">
        <v>61</v>
      </c>
      <c r="P10" s="155" t="s">
        <v>62</v>
      </c>
      <c r="Q10" s="101" t="s">
        <v>70</v>
      </c>
    </row>
    <row r="11" spans="1:22" s="23" customFormat="1" ht="29.1" customHeight="1">
      <c r="A11" s="153">
        <f>A4</f>
        <v>45839</v>
      </c>
      <c r="B11" s="157">
        <f>(B8-B7)+1</f>
        <v>7</v>
      </c>
      <c r="C11" s="158">
        <f>IFERROR(_xlfn.XLOOKUP($A$11,'Modelling New'!$D:$D,'Modelling New'!$J:$J),"")</f>
        <v>9.8233333333333324</v>
      </c>
      <c r="D11" s="159">
        <f>AVERAGEIFS('Daily KPI'!$M:$M,'Daily KPI'!$A:$A,"&gt;="&amp;$B$7,'Daily KPI'!$A:$A,"&lt;="&amp;$B$8)</f>
        <v>11.774155844155844</v>
      </c>
      <c r="E11" s="157">
        <f>SUMIFS('Daily KPI'!$AD:$AD,'Daily KPI'!$A:$A,"&gt;="&amp;$B$7,'Daily KPI'!$A:$A,"&lt;="&amp;$B$8)/1000</f>
        <v>6334.2580152246956</v>
      </c>
      <c r="F11" s="160">
        <f>SUMIFS('Daily KPI'!$AA:$AA,'Daily KPI'!$A:$A,"&gt;="&amp;$B$7,'Daily KPI'!$A:$A,"&lt;="&amp;$B$8)/1000</f>
        <v>10380.662</v>
      </c>
      <c r="G11" s="161">
        <f>E11/(24*$B$11*'Basic Data'!$L$2)</f>
        <v>0.53556699939332175</v>
      </c>
      <c r="H11" s="162">
        <f>F11/(24*B11*'Basic Data'!$L$2)</f>
        <v>0.87769395968614716</v>
      </c>
      <c r="I11" s="161">
        <f>IFERROR(_xlfn.XLOOKUP($A$11,'Modelling New'!$D:$D,'Modelling New'!AF:AF),"")</f>
        <v>0.995</v>
      </c>
      <c r="J11" s="162">
        <f>IFERROR(AVERAGEIFS('Daily KPI'!$R:$R,'Daily KPI'!$A:$A,"&gt;="&amp;$B$7,'Daily KPI'!$A:$A,"&lt;="&amp;$B$8),"")</f>
        <v>1</v>
      </c>
      <c r="K11" s="161">
        <f>IFERROR(_xlfn.XLOOKUP($A$11,'Modelling New'!$D:$D,'Modelling New'!$AH:$AH),"")</f>
        <v>0.97</v>
      </c>
      <c r="L11" s="162">
        <f>IFERROR(AVERAGEIFS('Daily KPI'!$P:$P,'Daily KPI'!$A:$A,"&gt;="&amp;$B$7,'Daily KPI'!$A:$A,"&lt;="&amp;$B$8),"")</f>
        <v>0.99492098360243753</v>
      </c>
      <c r="M11" s="161">
        <f>IFERROR(_xlfn.XLOOKUP($A$11,'Modelling New'!$D:$D,'Modelling New'!$AI:$AI),"")</f>
        <v>0.99</v>
      </c>
      <c r="N11" s="162">
        <f>IFERROR(AVERAGEIFS('Daily KPI'!$Q:$Q,'Daily KPI'!$A:$A,"&gt;="&amp;$B$7,'Daily KPI'!$A:$A,"&lt;="&amp;$B$8),"")</f>
        <v>0.99870482457936205</v>
      </c>
      <c r="O11" s="161">
        <f>IFERROR(_xlfn.XLOOKUP($A$11,'Modelling New'!$D:$D,'Modelling New'!$AE:$AE),"")</f>
        <v>0.96029999999999993</v>
      </c>
      <c r="P11" s="163">
        <f>L11*N11</f>
        <v>0.99363238639899876</v>
      </c>
      <c r="Q11" s="157">
        <f>SUMIFS(Input_Raw!DP:DP,Input_Raw!A:A,"&gt;="&amp;B7,Input_Raw!A:A,"&lt;="&amp;B8)</f>
        <v>10561.32</v>
      </c>
      <c r="R11"/>
    </row>
    <row r="14" spans="1:22" ht="29.1" customHeight="1">
      <c r="A14" s="20" t="s">
        <v>71</v>
      </c>
      <c r="B14" s="21">
        <f>B15-29</f>
        <v>45818</v>
      </c>
      <c r="D14" s="24"/>
      <c r="F14" s="24"/>
    </row>
    <row r="15" spans="1:22" ht="29.1" customHeight="1">
      <c r="A15" s="20" t="s">
        <v>72</v>
      </c>
      <c r="B15" s="21">
        <f>B8</f>
        <v>45847</v>
      </c>
    </row>
    <row r="16" spans="1:22" ht="29.1" customHeight="1">
      <c r="A16" s="367" t="s">
        <v>74</v>
      </c>
      <c r="B16" s="368"/>
      <c r="C16" s="368"/>
      <c r="D16" s="368"/>
      <c r="E16" s="368"/>
      <c r="F16" s="368"/>
      <c r="G16" s="368"/>
      <c r="H16" s="368"/>
      <c r="I16" s="368"/>
      <c r="J16" s="368"/>
      <c r="K16" s="368"/>
      <c r="L16" s="368"/>
      <c r="M16" s="368"/>
      <c r="N16" s="368"/>
      <c r="O16" s="368"/>
      <c r="P16" s="368"/>
    </row>
    <row r="17" spans="1:18" ht="29.1" customHeight="1">
      <c r="A17" s="164" t="s">
        <v>47</v>
      </c>
      <c r="B17" s="164" t="s">
        <v>48</v>
      </c>
      <c r="C17" s="155" t="s">
        <v>49</v>
      </c>
      <c r="D17" s="155" t="s">
        <v>50</v>
      </c>
      <c r="E17" s="155" t="s">
        <v>51</v>
      </c>
      <c r="F17" s="155" t="s">
        <v>52</v>
      </c>
      <c r="G17" s="155" t="s">
        <v>53</v>
      </c>
      <c r="H17" s="155" t="s">
        <v>54</v>
      </c>
      <c r="I17" s="155" t="s">
        <v>55</v>
      </c>
      <c r="J17" s="155" t="s">
        <v>56</v>
      </c>
      <c r="K17" s="155" t="s">
        <v>57</v>
      </c>
      <c r="L17" s="155" t="s">
        <v>58</v>
      </c>
      <c r="M17" s="155" t="s">
        <v>67</v>
      </c>
      <c r="N17" s="155" t="s">
        <v>60</v>
      </c>
      <c r="O17" s="155" t="s">
        <v>61</v>
      </c>
      <c r="P17" s="155" t="s">
        <v>62</v>
      </c>
    </row>
    <row r="18" spans="1:18" s="23" customFormat="1" ht="29.1" customHeight="1">
      <c r="A18" s="153">
        <f>A11</f>
        <v>45839</v>
      </c>
      <c r="B18" s="157">
        <f>(B15-B14)+1</f>
        <v>30</v>
      </c>
      <c r="C18" s="158">
        <f>_xlfn.XLOOKUP($A$18,'Modelling New'!$D:$D,'Modelling New'!$AC:$AC)</f>
        <v>7.1310648756787653</v>
      </c>
      <c r="D18" s="159">
        <f>AVERAGEIFS('Daily KPI'!$M:$M,'Daily KPI'!$A:$A,"&gt;="&amp;$B$14,'Daily KPI'!$A:$A,"&lt;="&amp;$B$15)</f>
        <v>10.549090909090905</v>
      </c>
      <c r="E18" s="157">
        <f>SUMIFS('Daily KPI'!$AD:$AD,'Daily KPI'!$A:$A,"&gt;="&amp;$B$14,'Daily KPI'!$A:$A,"&lt;="&amp;$B$15)/1000</f>
        <v>19059.207561964591</v>
      </c>
      <c r="F18" s="160">
        <f>SUMIFS('Daily KPI'!$AA:$AA,'Daily KPI'!$A:$A,"&gt;="&amp;$B$14,'Daily KPI'!$A:$A,"&lt;="&amp;$B$15)/1000</f>
        <v>37508.580999999998</v>
      </c>
      <c r="G18" s="161">
        <f>E18/(24*$B$18*'Basic Data'!$L$2)</f>
        <v>0.37601025019658674</v>
      </c>
      <c r="H18" s="162">
        <f>F18/(24*B18*'Basic Data'!$L$2)</f>
        <v>0.73998936631944434</v>
      </c>
      <c r="I18" s="161">
        <v>0.997</v>
      </c>
      <c r="J18" s="162">
        <f>AVERAGEIFS('Daily KPI'!$AH:$AH,'Daily KPI'!$A:$A,"&gt;="&amp;$B$14,'Daily KPI'!$A:$A,"&lt;="&amp;$B$15)</f>
        <v>0.99500000000000033</v>
      </c>
      <c r="K18" s="161">
        <v>0.98599999999999999</v>
      </c>
      <c r="L18" s="162">
        <f>AVERAGEIFS('Daily KPI'!$P:$P,'Daily KPI'!$A:$A,"&gt;="&amp;$B$14,'Daily KPI'!$A:$A,"&lt;="&amp;$B$15)</f>
        <v>0.99088914381027027</v>
      </c>
      <c r="M18" s="161">
        <v>0.995</v>
      </c>
      <c r="N18" s="162">
        <f>AVERAGEIFS('Daily KPI'!$Q:$Q,'Daily KPI'!$A:$A,"&gt;="&amp;$B$14,'Daily KPI'!$A:$A,"&lt;="&amp;$B$15)</f>
        <v>0.99220865328335772</v>
      </c>
      <c r="O18" s="161">
        <f>K18*M18</f>
        <v>0.98107</v>
      </c>
      <c r="P18" s="163">
        <f>L18*N18</f>
        <v>0.98316878293308763</v>
      </c>
      <c r="Q18"/>
      <c r="R18"/>
    </row>
  </sheetData>
  <sheetProtection algorithmName="SHA-512" hashValue="ol5xbBaJMgyaq5cGXOlCe843kPR3Ehgy+HQWVDUwZH9OyX3YhFvEVlA/412qqP/08otKWVnu7VFNSNRQ9KEbiQ==" saltValue="RSI1svTXobxDYOYJHTlOFw==" spinCount="100000" sheet="1" objects="1" scenarios="1"/>
  <mergeCells count="3">
    <mergeCell ref="A2:R2"/>
    <mergeCell ref="A9:P9"/>
    <mergeCell ref="A16:P1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92"/>
  <sheetViews>
    <sheetView workbookViewId="0">
      <selection activeCell="A15" sqref="A15"/>
    </sheetView>
  </sheetViews>
  <sheetFormatPr defaultColWidth="8.5546875" defaultRowHeight="29.1" customHeight="1"/>
  <cols>
    <col min="1" max="1" width="45.5546875" bestFit="1" customWidth="1"/>
    <col min="2" max="2" width="22.5546875" bestFit="1" customWidth="1"/>
    <col min="3" max="3" width="17.5546875" bestFit="1" customWidth="1"/>
    <col min="4" max="4" width="12" customWidth="1"/>
    <col min="5" max="5" width="14.5546875" customWidth="1"/>
    <col min="6" max="16" width="12.44140625" customWidth="1"/>
    <col min="17" max="17" width="12" customWidth="1"/>
    <col min="18" max="45" width="10.5546875" bestFit="1" customWidth="1"/>
    <col min="46" max="46" width="14.44140625" bestFit="1" customWidth="1"/>
  </cols>
  <sheetData>
    <row r="1" spans="1:46" ht="15" customHeight="1"/>
    <row r="2" spans="1:46" ht="29.1" customHeight="1">
      <c r="A2" s="165" t="s">
        <v>71</v>
      </c>
      <c r="B2" s="166">
        <f>B3-27</f>
        <v>45820</v>
      </c>
    </row>
    <row r="3" spans="1:46" ht="29.1" customHeight="1">
      <c r="A3" s="83" t="s">
        <v>72</v>
      </c>
      <c r="B3" s="84">
        <f>O2Summary!B4</f>
        <v>45847</v>
      </c>
      <c r="C3">
        <f>((B3-B2)*1)*24</f>
        <v>648</v>
      </c>
      <c r="D3" s="75">
        <f>MEDIAN(B21:X21)</f>
        <v>10.475357142857144</v>
      </c>
    </row>
    <row r="4" spans="1:46" ht="29.1" customHeight="1">
      <c r="A4" s="167" t="s">
        <v>75</v>
      </c>
      <c r="B4" s="168" t="s">
        <v>76</v>
      </c>
      <c r="C4" s="168" t="s">
        <v>77</v>
      </c>
      <c r="D4" s="168" t="s">
        <v>78</v>
      </c>
      <c r="E4" s="168" t="s">
        <v>79</v>
      </c>
      <c r="F4" s="168" t="s">
        <v>80</v>
      </c>
      <c r="G4" s="168" t="s">
        <v>81</v>
      </c>
      <c r="H4" s="168" t="s">
        <v>82</v>
      </c>
      <c r="I4" s="168" t="s">
        <v>83</v>
      </c>
      <c r="J4" s="168" t="s">
        <v>84</v>
      </c>
      <c r="K4" s="168" t="s">
        <v>85</v>
      </c>
      <c r="L4" s="168" t="s">
        <v>86</v>
      </c>
      <c r="M4" s="168" t="s">
        <v>87</v>
      </c>
      <c r="N4" s="168" t="s">
        <v>88</v>
      </c>
      <c r="O4" s="168" t="s">
        <v>89</v>
      </c>
      <c r="P4" s="168" t="s">
        <v>90</v>
      </c>
      <c r="Q4" s="168" t="s">
        <v>91</v>
      </c>
      <c r="R4" s="168" t="s">
        <v>92</v>
      </c>
      <c r="S4" s="168" t="s">
        <v>93</v>
      </c>
      <c r="T4" s="168" t="s">
        <v>94</v>
      </c>
      <c r="U4" s="168" t="s">
        <v>95</v>
      </c>
      <c r="V4" s="168" t="s">
        <v>96</v>
      </c>
      <c r="W4" s="168" t="s">
        <v>97</v>
      </c>
      <c r="X4" s="168" t="s">
        <v>98</v>
      </c>
      <c r="Y4" s="168" t="s">
        <v>99</v>
      </c>
      <c r="Z4" s="168" t="s">
        <v>100</v>
      </c>
      <c r="AA4" s="168" t="s">
        <v>101</v>
      </c>
      <c r="AB4" s="168" t="s">
        <v>102</v>
      </c>
      <c r="AC4" s="168" t="s">
        <v>103</v>
      </c>
      <c r="AD4" s="168" t="s">
        <v>104</v>
      </c>
      <c r="AE4" s="168" t="s">
        <v>105</v>
      </c>
      <c r="AF4" s="168" t="s">
        <v>106</v>
      </c>
      <c r="AG4" s="168" t="s">
        <v>107</v>
      </c>
      <c r="AH4" s="168" t="s">
        <v>108</v>
      </c>
      <c r="AI4" s="168" t="s">
        <v>109</v>
      </c>
      <c r="AJ4" s="168" t="s">
        <v>110</v>
      </c>
      <c r="AK4" s="168" t="s">
        <v>111</v>
      </c>
      <c r="AL4" s="168" t="s">
        <v>112</v>
      </c>
      <c r="AM4" s="168" t="s">
        <v>113</v>
      </c>
      <c r="AN4" s="168" t="s">
        <v>114</v>
      </c>
      <c r="AO4" s="168" t="s">
        <v>115</v>
      </c>
      <c r="AP4" s="168" t="s">
        <v>116</v>
      </c>
      <c r="AQ4" s="168" t="s">
        <v>117</v>
      </c>
      <c r="AR4" s="168" t="s">
        <v>118</v>
      </c>
      <c r="AS4" s="168" t="s">
        <v>119</v>
      </c>
    </row>
    <row r="5" spans="1:46" ht="14.4">
      <c r="A5" s="167" t="s">
        <v>120</v>
      </c>
      <c r="B5" s="169">
        <f>($C$3-B6)/$C$3</f>
        <v>0.98958333333333337</v>
      </c>
      <c r="C5" s="169">
        <f t="shared" ref="C5:AS5" si="0">($C$3-C6)/$C$3</f>
        <v>0.99508744855967091</v>
      </c>
      <c r="D5" s="169">
        <f t="shared" si="0"/>
        <v>0.95452674897119338</v>
      </c>
      <c r="E5" s="169">
        <f t="shared" si="0"/>
        <v>0.94714506172839508</v>
      </c>
      <c r="F5" s="169">
        <f t="shared" si="0"/>
        <v>0.99989711934156367</v>
      </c>
      <c r="G5" s="169">
        <f t="shared" si="0"/>
        <v>0.99320987654320991</v>
      </c>
      <c r="H5" s="169">
        <f t="shared" si="0"/>
        <v>0.99963991769547322</v>
      </c>
      <c r="I5" s="169">
        <f t="shared" si="0"/>
        <v>0.99681069958847723</v>
      </c>
      <c r="J5" s="169">
        <f t="shared" si="0"/>
        <v>0.99570473251028813</v>
      </c>
      <c r="K5" s="169">
        <f t="shared" si="0"/>
        <v>0.99822530864197534</v>
      </c>
      <c r="L5" s="169">
        <f t="shared" si="0"/>
        <v>0.98912037037037048</v>
      </c>
      <c r="M5" s="169">
        <f t="shared" si="0"/>
        <v>0.99994855967078189</v>
      </c>
      <c r="N5" s="169">
        <f t="shared" si="0"/>
        <v>0.96332304526748969</v>
      </c>
      <c r="O5" s="169">
        <f t="shared" si="0"/>
        <v>0.99819958847736634</v>
      </c>
      <c r="P5" s="169">
        <f t="shared" si="0"/>
        <v>0.97613168724279831</v>
      </c>
      <c r="Q5" s="169">
        <f t="shared" si="0"/>
        <v>0.9916666666666667</v>
      </c>
      <c r="R5" s="169">
        <f t="shared" si="0"/>
        <v>0.99886831275720167</v>
      </c>
      <c r="S5" s="169">
        <f t="shared" si="0"/>
        <v>0.99992283950617289</v>
      </c>
      <c r="T5" s="169">
        <f t="shared" si="0"/>
        <v>0.98994341563786015</v>
      </c>
      <c r="U5" s="169">
        <f t="shared" si="0"/>
        <v>0.99580761316872424</v>
      </c>
      <c r="V5" s="169">
        <f t="shared" si="0"/>
        <v>0.99853395061728389</v>
      </c>
      <c r="W5" s="169">
        <f t="shared" si="0"/>
        <v>0.99408436213991769</v>
      </c>
      <c r="X5" s="169">
        <f t="shared" si="0"/>
        <v>0.9975823045267489</v>
      </c>
      <c r="Y5" s="169">
        <f t="shared" si="0"/>
        <v>0.97541152263374498</v>
      </c>
      <c r="Z5" s="169">
        <f t="shared" si="0"/>
        <v>0.99994855967078189</v>
      </c>
      <c r="AA5" s="169">
        <f t="shared" si="0"/>
        <v>0.99308127572016458</v>
      </c>
      <c r="AB5" s="169">
        <f t="shared" si="0"/>
        <v>0.99981995884773667</v>
      </c>
      <c r="AC5" s="169">
        <f t="shared" si="0"/>
        <v>0.99686213991769557</v>
      </c>
      <c r="AD5" s="169">
        <f t="shared" si="0"/>
        <v>0.97291666666666676</v>
      </c>
      <c r="AE5" s="169">
        <f t="shared" si="0"/>
        <v>0.98798868312757204</v>
      </c>
      <c r="AF5" s="169">
        <f t="shared" si="0"/>
        <v>0.99897119341563789</v>
      </c>
      <c r="AG5" s="169">
        <f t="shared" si="0"/>
        <v>0.98199588477366262</v>
      </c>
      <c r="AH5" s="169">
        <f t="shared" si="0"/>
        <v>0.98768004115226338</v>
      </c>
      <c r="AI5" s="169">
        <f t="shared" si="0"/>
        <v>0.99423868312757202</v>
      </c>
      <c r="AJ5" s="169">
        <f t="shared" si="0"/>
        <v>0.99724794238683134</v>
      </c>
      <c r="AK5" s="169">
        <f t="shared" si="0"/>
        <v>0.99940843621399178</v>
      </c>
      <c r="AL5" s="169">
        <f t="shared" si="0"/>
        <v>0.99987139917695467</v>
      </c>
      <c r="AM5" s="169">
        <f t="shared" si="0"/>
        <v>0.99989711934156367</v>
      </c>
      <c r="AN5" s="169">
        <f t="shared" si="0"/>
        <v>0.99989711934156367</v>
      </c>
      <c r="AO5" s="169">
        <f t="shared" si="0"/>
        <v>0.97975823045267485</v>
      </c>
      <c r="AP5" s="169">
        <f t="shared" si="0"/>
        <v>0.9927211934156378</v>
      </c>
      <c r="AQ5" s="169">
        <f t="shared" si="0"/>
        <v>0.9970421810699589</v>
      </c>
      <c r="AR5" s="169">
        <f t="shared" si="0"/>
        <v>0.99989711934156367</v>
      </c>
      <c r="AS5" s="169">
        <f t="shared" si="0"/>
        <v>0.97780349794238686</v>
      </c>
      <c r="AT5" s="85">
        <f>AVERAGE(B5:AS5)</f>
        <v>0.99080504115226331</v>
      </c>
    </row>
    <row r="6" spans="1:46" ht="14.4" hidden="1">
      <c r="A6" s="170" t="s">
        <v>121</v>
      </c>
      <c r="B6" s="171">
        <f>(SUMIFS(WTG_BD!$T:$T,WTG_BD!$G:$G,Analytics!B$4,WTG_BD!$F:$F,"&gt;="&amp;Analytics!$B$2,WTG_BD!$F:$F,"&lt;="&amp;Analytics!$B$3))</f>
        <v>6.7500000000000009</v>
      </c>
      <c r="C6" s="171">
        <f>(SUMIFS(WTG_BD!$T:$T,WTG_BD!$G:$G,Analytics!C$4,WTG_BD!$F:$F,"&gt;="&amp;Analytics!$B$2,WTG_BD!$F:$F,"&lt;="&amp;Analytics!$B$3))</f>
        <v>3.1833333333333336</v>
      </c>
      <c r="D6" s="171">
        <f>(SUMIFS(WTG_BD!$T:$T,WTG_BD!$G:$G,Analytics!D$4,WTG_BD!$F:$F,"&gt;="&amp;Analytics!$B$2,WTG_BD!$F:$F,"&lt;="&amp;Analytics!$B$3))</f>
        <v>29.466666666666665</v>
      </c>
      <c r="E6" s="171">
        <f>(SUMIFS(WTG_BD!$T:$T,WTG_BD!$G:$G,Analytics!E$4,WTG_BD!$F:$F,"&gt;="&amp;Analytics!$B$2,WTG_BD!$F:$F,"&lt;="&amp;Analytics!$B$3))</f>
        <v>34.249999999999993</v>
      </c>
      <c r="F6" s="171">
        <f>(SUMIFS(WTG_BD!$T:$T,WTG_BD!$G:$G,Analytics!F$4,WTG_BD!$F:$F,"&gt;="&amp;Analytics!$B$2,WTG_BD!$F:$F,"&lt;="&amp;Analytics!$B$3))</f>
        <v>6.666666666666643E-2</v>
      </c>
      <c r="G6" s="171">
        <f>(SUMIFS(WTG_BD!$T:$T,WTG_BD!$G:$G,Analytics!G$4,WTG_BD!$F:$F,"&gt;="&amp;Analytics!$B$2,WTG_BD!$F:$F,"&lt;="&amp;Analytics!$B$3))</f>
        <v>4.3999999999999977</v>
      </c>
      <c r="H6" s="171">
        <f>(SUMIFS(WTG_BD!$T:$T,WTG_BD!$G:$G,Analytics!H$4,WTG_BD!$F:$F,"&gt;="&amp;Analytics!$B$2,WTG_BD!$F:$F,"&lt;="&amp;Analytics!$B$3))</f>
        <v>0.2333333333333325</v>
      </c>
      <c r="I6" s="171">
        <f>(SUMIFS(WTG_BD!$T:$T,WTG_BD!$G:$G,Analytics!I$4,WTG_BD!$F:$F,"&gt;="&amp;Analytics!$B$2,WTG_BD!$F:$F,"&lt;="&amp;Analytics!$B$3))</f>
        <v>2.0666666666666647</v>
      </c>
      <c r="J6" s="171">
        <f>(SUMIFS(WTG_BD!$T:$T,WTG_BD!$G:$G,Analytics!J$4,WTG_BD!$F:$F,"&gt;="&amp;Analytics!$B$2,WTG_BD!$F:$F,"&lt;="&amp;Analytics!$B$3))</f>
        <v>2.7833333333333354</v>
      </c>
      <c r="K6" s="171">
        <f>(SUMIFS(WTG_BD!$T:$T,WTG_BD!$G:$G,Analytics!K$4,WTG_BD!$F:$F,"&gt;="&amp;Analytics!$B$2,WTG_BD!$F:$F,"&lt;="&amp;Analytics!$B$3))</f>
        <v>1.1499999999999972</v>
      </c>
      <c r="L6" s="171">
        <f>(SUMIFS(WTG_BD!$T:$T,WTG_BD!$G:$G,Analytics!L$4,WTG_BD!$F:$F,"&gt;="&amp;Analytics!$B$2,WTG_BD!$F:$F,"&lt;="&amp;Analytics!$B$3))</f>
        <v>7.0499999999999963</v>
      </c>
      <c r="M6" s="171">
        <f>(SUMIFS(WTG_BD!$T:$T,WTG_BD!$G:$G,Analytics!M$4,WTG_BD!$F:$F,"&gt;="&amp;Analytics!$B$2,WTG_BD!$F:$F,"&lt;="&amp;Analytics!$B$3))</f>
        <v>3.3333333333333215E-2</v>
      </c>
      <c r="N6" s="171">
        <f>(SUMIFS(WTG_BD!$T:$T,WTG_BD!$G:$G,Analytics!N$4,WTG_BD!$F:$F,"&gt;="&amp;Analytics!$B$2,WTG_BD!$F:$F,"&lt;="&amp;Analytics!$B$3))</f>
        <v>23.766666666666662</v>
      </c>
      <c r="O6" s="171">
        <f>(SUMIFS(WTG_BD!$T:$T,WTG_BD!$G:$G,Analytics!O$4,WTG_BD!$F:$F,"&gt;="&amp;Analytics!$B$2,WTG_BD!$F:$F,"&lt;="&amp;Analytics!$B$3))</f>
        <v>1.1666666666666679</v>
      </c>
      <c r="P6" s="171">
        <f>(SUMIFS(WTG_BD!$T:$T,WTG_BD!$G:$G,Analytics!P$4,WTG_BD!$F:$F,"&gt;="&amp;Analytics!$B$2,WTG_BD!$F:$F,"&lt;="&amp;Analytics!$B$3))</f>
        <v>15.466666666666669</v>
      </c>
      <c r="Q6" s="171">
        <f>(SUMIFS(WTG_BD!$T:$T,WTG_BD!$G:$G,Analytics!Q$4,WTG_BD!$F:$F,"&gt;="&amp;Analytics!$B$2,WTG_BD!$F:$F,"&lt;="&amp;Analytics!$B$3))</f>
        <v>5.4000000000000021</v>
      </c>
      <c r="R6" s="171">
        <f>(SUMIFS(WTG_BD!$T:$T,WTG_BD!$G:$G,Analytics!R$4,WTG_BD!$F:$F,"&gt;="&amp;Analytics!$B$2,WTG_BD!$F:$F,"&lt;="&amp;Analytics!$B$3))</f>
        <v>0.73333333333333117</v>
      </c>
      <c r="S6" s="171">
        <f>(SUMIFS(WTG_BD!$T:$T,WTG_BD!$G:$G,Analytics!S$4,WTG_BD!$F:$F,"&gt;="&amp;Analytics!$B$2,WTG_BD!$F:$F,"&lt;="&amp;Analytics!$B$3))</f>
        <v>4.9999999999999822E-2</v>
      </c>
      <c r="T6" s="171">
        <f>(SUMIFS(WTG_BD!$T:$T,WTG_BD!$G:$G,Analytics!T$4,WTG_BD!$F:$F,"&gt;="&amp;Analytics!$B$2,WTG_BD!$F:$F,"&lt;="&amp;Analytics!$B$3))</f>
        <v>6.5166666666666648</v>
      </c>
      <c r="U6" s="171">
        <f>(SUMIFS(WTG_BD!$T:$T,WTG_BD!$G:$G,Analytics!U$4,WTG_BD!$F:$F,"&gt;="&amp;Analytics!$B$2,WTG_BD!$F:$F,"&lt;="&amp;Analytics!$B$3))</f>
        <v>2.7166666666666712</v>
      </c>
      <c r="V6" s="171">
        <f>(SUMIFS(WTG_BD!$T:$T,WTG_BD!$G:$G,Analytics!V$4,WTG_BD!$F:$F,"&gt;="&amp;Analytics!$B$2,WTG_BD!$F:$F,"&lt;="&amp;Analytics!$B$3))</f>
        <v>0.94999999999999929</v>
      </c>
      <c r="W6" s="171">
        <f>(SUMIFS(WTG_BD!$T:$T,WTG_BD!$G:$G,Analytics!W$4,WTG_BD!$F:$F,"&gt;="&amp;Analytics!$B$2,WTG_BD!$F:$F,"&lt;="&amp;Analytics!$B$3))</f>
        <v>3.8333333333333317</v>
      </c>
      <c r="X6" s="171">
        <f>(SUMIFS(WTG_BD!$T:$T,WTG_BD!$G:$G,Analytics!X$4,WTG_BD!$F:$F,"&gt;="&amp;Analytics!$B$2,WTG_BD!$F:$F,"&lt;="&amp;Analytics!$B$3))</f>
        <v>1.5666666666666664</v>
      </c>
      <c r="Y6" s="171">
        <f>(SUMIFS(WTG_BD!$T:$T,WTG_BD!$G:$G,Analytics!Y$4,WTG_BD!$F:$F,"&gt;="&amp;Analytics!$B$2,WTG_BD!$F:$F,"&lt;="&amp;Analytics!$B$3))</f>
        <v>15.933333333333334</v>
      </c>
      <c r="Z6" s="171">
        <f>(SUMIFS(WTG_BD!$T:$T,WTG_BD!$G:$G,Analytics!Z$4,WTG_BD!$F:$F,"&gt;="&amp;Analytics!$B$2,WTG_BD!$F:$F,"&lt;="&amp;Analytics!$B$3))</f>
        <v>3.3333333333335879E-2</v>
      </c>
      <c r="AA6" s="171">
        <f>(SUMIFS(WTG_BD!$T:$T,WTG_BD!$G:$G,Analytics!AA$4,WTG_BD!$F:$F,"&gt;="&amp;Analytics!$B$2,WTG_BD!$F:$F,"&lt;="&amp;Analytics!$B$3))</f>
        <v>4.4833333333333361</v>
      </c>
      <c r="AB6" s="171">
        <f>(SUMIFS(WTG_BD!$T:$T,WTG_BD!$G:$G,Analytics!AB$4,WTG_BD!$F:$F,"&gt;="&amp;Analytics!$B$2,WTG_BD!$F:$F,"&lt;="&amp;Analytics!$B$3))</f>
        <v>0.11666666666666625</v>
      </c>
      <c r="AC6" s="171">
        <f>(SUMIFS(WTG_BD!$T:$T,WTG_BD!$G:$G,Analytics!AC$4,WTG_BD!$F:$F,"&gt;="&amp;Analytics!$B$2,WTG_BD!$F:$F,"&lt;="&amp;Analytics!$B$3))</f>
        <v>2.0333333333333288</v>
      </c>
      <c r="AD6" s="171">
        <f>(SUMIFS(WTG_BD!$T:$T,WTG_BD!$G:$G,Analytics!AD$4,WTG_BD!$F:$F,"&gt;="&amp;Analytics!$B$2,WTG_BD!$F:$F,"&lt;="&amp;Analytics!$B$3))</f>
        <v>17.549999999999997</v>
      </c>
      <c r="AE6" s="171">
        <f>(SUMIFS(WTG_BD!$T:$T,WTG_BD!$G:$G,Analytics!AE$4,WTG_BD!$F:$F,"&gt;="&amp;Analytics!$B$2,WTG_BD!$F:$F,"&lt;="&amp;Analytics!$B$3))</f>
        <v>7.7833333333333288</v>
      </c>
      <c r="AF6" s="171">
        <f>(SUMIFS(WTG_BD!$T:$T,WTG_BD!$G:$G,Analytics!AF$4,WTG_BD!$F:$F,"&gt;="&amp;Analytics!$B$2,WTG_BD!$F:$F,"&lt;="&amp;Analytics!$B$3))</f>
        <v>0.66666666666666963</v>
      </c>
      <c r="AG6" s="171">
        <f>(SUMIFS(WTG_BD!$T:$T,WTG_BD!$G:$G,Analytics!AG$4,WTG_BD!$F:$F,"&gt;="&amp;Analytics!$B$2,WTG_BD!$F:$F,"&lt;="&amp;Analytics!$B$3))</f>
        <v>11.666666666666666</v>
      </c>
      <c r="AH6" s="171">
        <f>(SUMIFS(WTG_BD!$T:$T,WTG_BD!$G:$G,Analytics!AH$4,WTG_BD!$F:$F,"&gt;="&amp;Analytics!$B$2,WTG_BD!$F:$F,"&lt;="&amp;Analytics!$B$3))</f>
        <v>7.9833333333333307</v>
      </c>
      <c r="AI6" s="171">
        <f>(SUMIFS(WTG_BD!$T:$T,WTG_BD!$G:$G,Analytics!AI$4,WTG_BD!$F:$F,"&gt;="&amp;Analytics!$B$2,WTG_BD!$F:$F,"&lt;="&amp;Analytics!$B$3))</f>
        <v>3.7333333333333334</v>
      </c>
      <c r="AJ6" s="171">
        <f>(SUMIFS(WTG_BD!$T:$T,WTG_BD!$G:$G,Analytics!AJ$4,WTG_BD!$F:$F,"&gt;="&amp;Analytics!$B$2,WTG_BD!$F:$F,"&lt;="&amp;Analytics!$B$3))</f>
        <v>1.783333333333333</v>
      </c>
      <c r="AK6" s="171">
        <f>(SUMIFS(WTG_BD!$T:$T,WTG_BD!$G:$G,Analytics!AK$4,WTG_BD!$F:$F,"&gt;="&amp;Analytics!$B$2,WTG_BD!$F:$F,"&lt;="&amp;Analytics!$B$3))</f>
        <v>0.38333333333333464</v>
      </c>
      <c r="AL6" s="171">
        <f>(SUMIFS(WTG_BD!$T:$T,WTG_BD!$G:$G,Analytics!AL$4,WTG_BD!$F:$F,"&gt;="&amp;Analytics!$B$2,WTG_BD!$F:$F,"&lt;="&amp;Analytics!$B$3))</f>
        <v>8.3333333333333037E-2</v>
      </c>
      <c r="AM6" s="171">
        <f>(SUMIFS(WTG_BD!$T:$T,WTG_BD!$G:$G,Analytics!AM$4,WTG_BD!$F:$F,"&gt;="&amp;Analytics!$B$2,WTG_BD!$F:$F,"&lt;="&amp;Analytics!$B$3))</f>
        <v>6.666666666666643E-2</v>
      </c>
      <c r="AN6" s="171">
        <f>(SUMIFS(WTG_BD!$T:$T,WTG_BD!$G:$G,Analytics!AN$4,WTG_BD!$F:$F,"&gt;="&amp;Analytics!$B$2,WTG_BD!$F:$F,"&lt;="&amp;Analytics!$B$3))</f>
        <v>6.666666666666643E-2</v>
      </c>
      <c r="AO6" s="171">
        <f>(SUMIFS(WTG_BD!$T:$T,WTG_BD!$G:$G,Analytics!AO$4,WTG_BD!$F:$F,"&gt;="&amp;Analytics!$B$2,WTG_BD!$F:$F,"&lt;="&amp;Analytics!$B$3))</f>
        <v>13.116666666666667</v>
      </c>
      <c r="AP6" s="171">
        <f>(SUMIFS(WTG_BD!$T:$T,WTG_BD!$G:$G,Analytics!AP$4,WTG_BD!$F:$F,"&gt;="&amp;Analytics!$B$2,WTG_BD!$F:$F,"&lt;="&amp;Analytics!$B$3))</f>
        <v>4.7166666666666623</v>
      </c>
      <c r="AQ6" s="171">
        <f>(SUMIFS(WTG_BD!$T:$T,WTG_BD!$G:$G,Analytics!AQ$4,WTG_BD!$F:$F,"&gt;="&amp;Analytics!$B$2,WTG_BD!$F:$F,"&lt;="&amp;Analytics!$B$3))</f>
        <v>1.9166666666666585</v>
      </c>
      <c r="AR6" s="171">
        <f>(SUMIFS(WTG_BD!$T:$T,WTG_BD!$G:$G,Analytics!AR$4,WTG_BD!$F:$F,"&gt;="&amp;Analytics!$B$2,WTG_BD!$F:$F,"&lt;="&amp;Analytics!$B$3))</f>
        <v>6.666666666666643E-2</v>
      </c>
      <c r="AS6" s="171">
        <f>(SUMIFS(WTG_BD!$T:$T,WTG_BD!$G:$G,Analytics!AS$4,WTG_BD!$F:$F,"&gt;="&amp;Analytics!$B$2,WTG_BD!$F:$F,"&lt;="&amp;Analytics!$B$3))</f>
        <v>14.383333333333333</v>
      </c>
      <c r="AT6" s="171">
        <f>(SUMIFS(WTG_BD!$T:$T,WTG_BD!$G:$G,Analytics!AT$4,WTG_BD!$F:$F,"&gt;="&amp;Analytics!$B$2,WTG_BD!$F:$F,"&lt;="&amp;Analytics!$B$3))</f>
        <v>0</v>
      </c>
    </row>
    <row r="7" spans="1:46" ht="14.4">
      <c r="A7" s="167" t="s">
        <v>122</v>
      </c>
      <c r="B7" s="172">
        <f>($C$3-SUM(B8:B12))/$C$3</f>
        <v>0.98613683127572016</v>
      </c>
      <c r="C7" s="172">
        <f t="shared" ref="C7:AS7" si="1">($C$3-SUM(C8:C12))/$C$3</f>
        <v>0.98613683127572016</v>
      </c>
      <c r="D7" s="172">
        <f t="shared" si="1"/>
        <v>0.98613683127572016</v>
      </c>
      <c r="E7" s="172">
        <f t="shared" si="1"/>
        <v>0.99894547325102889</v>
      </c>
      <c r="F7" s="172">
        <f t="shared" si="1"/>
        <v>1</v>
      </c>
      <c r="G7" s="172">
        <f t="shared" si="1"/>
        <v>1</v>
      </c>
      <c r="H7" s="172">
        <f t="shared" si="1"/>
        <v>0.98613683127572016</v>
      </c>
      <c r="I7" s="172">
        <f t="shared" si="1"/>
        <v>1</v>
      </c>
      <c r="J7" s="172">
        <f t="shared" si="1"/>
        <v>1</v>
      </c>
      <c r="K7" s="172">
        <f t="shared" si="1"/>
        <v>1</v>
      </c>
      <c r="L7" s="172">
        <f t="shared" si="1"/>
        <v>1</v>
      </c>
      <c r="M7" s="172">
        <f t="shared" si="1"/>
        <v>1</v>
      </c>
      <c r="N7" s="172">
        <f t="shared" si="1"/>
        <v>1</v>
      </c>
      <c r="O7" s="172">
        <f t="shared" si="1"/>
        <v>0.99894547325102889</v>
      </c>
      <c r="P7" s="172">
        <f t="shared" si="1"/>
        <v>0.99894547325102889</v>
      </c>
      <c r="Q7" s="172">
        <f t="shared" si="1"/>
        <v>0.99894547325102889</v>
      </c>
      <c r="R7" s="172">
        <f t="shared" si="1"/>
        <v>0.99894547325102889</v>
      </c>
      <c r="S7" s="172">
        <f t="shared" si="1"/>
        <v>0.98613683127572016</v>
      </c>
      <c r="T7" s="172">
        <f t="shared" si="1"/>
        <v>0.99894547325102889</v>
      </c>
      <c r="U7" s="172">
        <f t="shared" si="1"/>
        <v>0.99894547325102889</v>
      </c>
      <c r="V7" s="172">
        <f t="shared" si="1"/>
        <v>0.99894547325102889</v>
      </c>
      <c r="W7" s="172">
        <f t="shared" si="1"/>
        <v>0.99894547325102889</v>
      </c>
      <c r="X7" s="172">
        <f t="shared" si="1"/>
        <v>1</v>
      </c>
      <c r="Y7" s="172">
        <f t="shared" si="1"/>
        <v>1</v>
      </c>
      <c r="Z7" s="172">
        <f t="shared" si="1"/>
        <v>1</v>
      </c>
      <c r="AA7" s="172">
        <f t="shared" si="1"/>
        <v>1</v>
      </c>
      <c r="AB7" s="172">
        <f t="shared" si="1"/>
        <v>0.98613683127572016</v>
      </c>
      <c r="AC7" s="172">
        <f t="shared" si="1"/>
        <v>0.98613683127572016</v>
      </c>
      <c r="AD7" s="172">
        <f t="shared" si="1"/>
        <v>0.99894547325102889</v>
      </c>
      <c r="AE7" s="172">
        <f t="shared" si="1"/>
        <v>0.98613683127572016</v>
      </c>
      <c r="AF7" s="172">
        <f t="shared" si="1"/>
        <v>0.99894547325102889</v>
      </c>
      <c r="AG7" s="172">
        <f t="shared" si="1"/>
        <v>1</v>
      </c>
      <c r="AH7" s="172">
        <f t="shared" si="1"/>
        <v>1</v>
      </c>
      <c r="AI7" s="172">
        <f t="shared" si="1"/>
        <v>1</v>
      </c>
      <c r="AJ7" s="172">
        <f t="shared" si="1"/>
        <v>0.99894547325102889</v>
      </c>
      <c r="AK7" s="172">
        <f t="shared" si="1"/>
        <v>1</v>
      </c>
      <c r="AL7" s="172">
        <f t="shared" si="1"/>
        <v>1</v>
      </c>
      <c r="AM7" s="172">
        <f t="shared" si="1"/>
        <v>1</v>
      </c>
      <c r="AN7" s="172">
        <f t="shared" si="1"/>
        <v>1</v>
      </c>
      <c r="AO7" s="172">
        <f t="shared" si="1"/>
        <v>0.98613683127572016</v>
      </c>
      <c r="AP7" s="172">
        <f t="shared" si="1"/>
        <v>0.98613683127572016</v>
      </c>
      <c r="AQ7" s="172">
        <f t="shared" si="1"/>
        <v>0.98613683127572016</v>
      </c>
      <c r="AR7" s="172">
        <f t="shared" si="1"/>
        <v>0.98613683127572016</v>
      </c>
      <c r="AS7" s="172">
        <f t="shared" si="1"/>
        <v>0.98613683127572016</v>
      </c>
      <c r="AT7" s="85">
        <f t="shared" ref="AT7:AT21" si="2">AVERAGE(B7:AS7)</f>
        <v>0.99561646558174377</v>
      </c>
    </row>
    <row r="8" spans="1:46" ht="15" hidden="1" customHeight="1">
      <c r="A8" s="170" t="s">
        <v>123</v>
      </c>
      <c r="B8" s="173"/>
      <c r="C8" s="173"/>
      <c r="D8" s="173"/>
      <c r="E8" s="173"/>
      <c r="F8" s="173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85" t="e">
        <f t="shared" si="2"/>
        <v>#DIV/0!</v>
      </c>
    </row>
    <row r="9" spans="1:46" ht="15" hidden="1" customHeight="1">
      <c r="A9" s="170" t="s">
        <v>124</v>
      </c>
      <c r="B9" s="267">
        <f>SUMIFS(IGA_BD!$Q:$Q,IGA_BD!$G:$G,(VLOOKUP(B$4,'Basic Data'!$A:$F,6,0)),IGA_BD!$F:$F,"&gt;="&amp;Analytics!$B$2,IGA_BD!$F:$F,"&lt;="&amp;Analytics!$B$3)</f>
        <v>8.9833333333333343</v>
      </c>
      <c r="C9" s="267">
        <f>SUMIFS(IGA_BD!$Q:$Q,IGA_BD!$G:$G,(VLOOKUP(C$4,'Basic Data'!$A:$F,6,0)),IGA_BD!$F:$F,"&gt;="&amp;Analytics!$B$2,IGA_BD!$F:$F,"&lt;="&amp;Analytics!$B$3)</f>
        <v>8.9833333333333343</v>
      </c>
      <c r="D9" s="267">
        <f>SUMIFS(IGA_BD!$Q:$Q,IGA_BD!$G:$G,(VLOOKUP(D$4,'Basic Data'!$A:$F,6,0)),IGA_BD!$F:$F,"&gt;="&amp;Analytics!$B$2,IGA_BD!$F:$F,"&lt;="&amp;Analytics!$B$3)</f>
        <v>8.9833333333333343</v>
      </c>
      <c r="E9" s="267">
        <f>SUMIFS(IGA_BD!$Q:$Q,IGA_BD!$G:$G,(VLOOKUP(E$4,'Basic Data'!$A:$F,6,0)),IGA_BD!$F:$F,"&gt;="&amp;Analytics!$B$2,IGA_BD!$F:$F,"&lt;="&amp;Analytics!$B$3)</f>
        <v>0.68333333333333357</v>
      </c>
      <c r="F9" s="267">
        <f>SUMIFS(IGA_BD!$Q:$Q,IGA_BD!$G:$G,(VLOOKUP(F$4,'Basic Data'!$A:$F,6,0)),IGA_BD!$F:$F,"&gt;="&amp;Analytics!$B$2,IGA_BD!$F:$F,"&lt;="&amp;Analytics!$B$3)</f>
        <v>0</v>
      </c>
      <c r="G9" s="267">
        <f>SUMIFS(IGA_BD!$Q:$Q,IGA_BD!$G:$G,(VLOOKUP(G$4,'Basic Data'!$A:$F,6,0)),IGA_BD!$F:$F,"&gt;="&amp;Analytics!$B$2,IGA_BD!$F:$F,"&lt;="&amp;Analytics!$B$3)</f>
        <v>0</v>
      </c>
      <c r="H9" s="267">
        <f>SUMIFS(IGA_BD!$Q:$Q,IGA_BD!$G:$G,(VLOOKUP(H$4,'Basic Data'!$A:$F,6,0)),IGA_BD!$F:$F,"&gt;="&amp;Analytics!$B$2,IGA_BD!$F:$F,"&lt;="&amp;Analytics!$B$3)</f>
        <v>8.9833333333333343</v>
      </c>
      <c r="I9" s="267">
        <f>SUMIFS(IGA_BD!$Q:$Q,IGA_BD!$G:$G,(VLOOKUP(I$4,'Basic Data'!$A:$F,6,0)),IGA_BD!$F:$F,"&gt;="&amp;Analytics!$B$2,IGA_BD!$F:$F,"&lt;="&amp;Analytics!$B$3)</f>
        <v>0</v>
      </c>
      <c r="J9" s="267">
        <f>SUMIFS(IGA_BD!$Q:$Q,IGA_BD!$G:$G,(VLOOKUP(J$4,'Basic Data'!$A:$F,6,0)),IGA_BD!$F:$F,"&gt;="&amp;Analytics!$B$2,IGA_BD!$F:$F,"&lt;="&amp;Analytics!$B$3)</f>
        <v>0</v>
      </c>
      <c r="K9" s="267">
        <f>SUMIFS(IGA_BD!$Q:$Q,IGA_BD!$G:$G,(VLOOKUP(K$4,'Basic Data'!$A:$F,6,0)),IGA_BD!$F:$F,"&gt;="&amp;Analytics!$B$2,IGA_BD!$F:$F,"&lt;="&amp;Analytics!$B$3)</f>
        <v>0</v>
      </c>
      <c r="L9" s="267">
        <f>SUMIFS(IGA_BD!$Q:$Q,IGA_BD!$G:$G,(VLOOKUP(L$4,'Basic Data'!$A:$F,6,0)),IGA_BD!$F:$F,"&gt;="&amp;Analytics!$B$2,IGA_BD!$F:$F,"&lt;="&amp;Analytics!$B$3)</f>
        <v>0</v>
      </c>
      <c r="M9" s="267">
        <f>SUMIFS(IGA_BD!$Q:$Q,IGA_BD!$G:$G,(VLOOKUP(M$4,'Basic Data'!$A:$F,6,0)),IGA_BD!$F:$F,"&gt;="&amp;Analytics!$B$2,IGA_BD!$F:$F,"&lt;="&amp;Analytics!$B$3)</f>
        <v>0</v>
      </c>
      <c r="N9" s="267">
        <f>SUMIFS(IGA_BD!$Q:$Q,IGA_BD!$G:$G,(VLOOKUP(N$4,'Basic Data'!$A:$F,6,0)),IGA_BD!$F:$F,"&gt;="&amp;Analytics!$B$2,IGA_BD!$F:$F,"&lt;="&amp;Analytics!$B$3)</f>
        <v>0</v>
      </c>
      <c r="O9" s="267">
        <f>SUMIFS(IGA_BD!$Q:$Q,IGA_BD!$G:$G,(VLOOKUP(O$4,'Basic Data'!$A:$F,6,0)),IGA_BD!$F:$F,"&gt;="&amp;Analytics!$B$2,IGA_BD!$F:$F,"&lt;="&amp;Analytics!$B$3)</f>
        <v>0.68333333333333357</v>
      </c>
      <c r="P9" s="267">
        <f>SUMIFS(IGA_BD!$Q:$Q,IGA_BD!$G:$G,(VLOOKUP(P$4,'Basic Data'!$A:$F,6,0)),IGA_BD!$F:$F,"&gt;="&amp;Analytics!$B$2,IGA_BD!$F:$F,"&lt;="&amp;Analytics!$B$3)</f>
        <v>0.68333333333333357</v>
      </c>
      <c r="Q9" s="267">
        <f>SUMIFS(IGA_BD!$Q:$Q,IGA_BD!$G:$G,(VLOOKUP(Q$4,'Basic Data'!$A:$F,6,0)),IGA_BD!$F:$F,"&gt;="&amp;Analytics!$B$2,IGA_BD!$F:$F,"&lt;="&amp;Analytics!$B$3)</f>
        <v>0.68333333333333357</v>
      </c>
      <c r="R9" s="267">
        <f>SUMIFS(IGA_BD!$Q:$Q,IGA_BD!$G:$G,(VLOOKUP(R$4,'Basic Data'!$A:$F,6,0)),IGA_BD!$F:$F,"&gt;="&amp;Analytics!$B$2,IGA_BD!$F:$F,"&lt;="&amp;Analytics!$B$3)</f>
        <v>0.68333333333333357</v>
      </c>
      <c r="S9" s="267">
        <f>SUMIFS(IGA_BD!$Q:$Q,IGA_BD!$G:$G,(VLOOKUP(S$4,'Basic Data'!$A:$F,6,0)),IGA_BD!$F:$F,"&gt;="&amp;Analytics!$B$2,IGA_BD!$F:$F,"&lt;="&amp;Analytics!$B$3)</f>
        <v>8.9833333333333343</v>
      </c>
      <c r="T9" s="267">
        <f>SUMIFS(IGA_BD!$Q:$Q,IGA_BD!$G:$G,(VLOOKUP(T$4,'Basic Data'!$A:$F,6,0)),IGA_BD!$F:$F,"&gt;="&amp;Analytics!$B$2,IGA_BD!$F:$F,"&lt;="&amp;Analytics!$B$3)</f>
        <v>0.68333333333333357</v>
      </c>
      <c r="U9" s="267">
        <f>SUMIFS(IGA_BD!$Q:$Q,IGA_BD!$G:$G,(VLOOKUP(U$4,'Basic Data'!$A:$F,6,0)),IGA_BD!$F:$F,"&gt;="&amp;Analytics!$B$2,IGA_BD!$F:$F,"&lt;="&amp;Analytics!$B$3)</f>
        <v>0.68333333333333357</v>
      </c>
      <c r="V9" s="267">
        <f>SUMIFS(IGA_BD!$Q:$Q,IGA_BD!$G:$G,(VLOOKUP(V$4,'Basic Data'!$A:$F,6,0)),IGA_BD!$F:$F,"&gt;="&amp;Analytics!$B$2,IGA_BD!$F:$F,"&lt;="&amp;Analytics!$B$3)</f>
        <v>0.68333333333333357</v>
      </c>
      <c r="W9" s="267">
        <f>SUMIFS(IGA_BD!$Q:$Q,IGA_BD!$G:$G,(VLOOKUP(W$4,'Basic Data'!$A:$F,6,0)),IGA_BD!$F:$F,"&gt;="&amp;Analytics!$B$2,IGA_BD!$F:$F,"&lt;="&amp;Analytics!$B$3)</f>
        <v>0.68333333333333357</v>
      </c>
      <c r="X9" s="267">
        <f>SUMIFS(IGA_BD!$Q:$Q,IGA_BD!$G:$G,(VLOOKUP(X$4,'Basic Data'!$A:$F,6,0)),IGA_BD!$F:$F,"&gt;="&amp;Analytics!$B$2,IGA_BD!$F:$F,"&lt;="&amp;Analytics!$B$3)</f>
        <v>0</v>
      </c>
      <c r="Y9" s="267">
        <f>SUMIFS(IGA_BD!$Q:$Q,IGA_BD!$G:$G,(VLOOKUP(Y$4,'Basic Data'!$A:$F,6,0)),IGA_BD!$F:$F,"&gt;="&amp;Analytics!$B$2,IGA_BD!$F:$F,"&lt;="&amp;Analytics!$B$3)</f>
        <v>0</v>
      </c>
      <c r="Z9" s="267">
        <f>SUMIFS(IGA_BD!$Q:$Q,IGA_BD!$G:$G,(VLOOKUP(Z$4,'Basic Data'!$A:$F,6,0)),IGA_BD!$F:$F,"&gt;="&amp;Analytics!$B$2,IGA_BD!$F:$F,"&lt;="&amp;Analytics!$B$3)</f>
        <v>0</v>
      </c>
      <c r="AA9" s="267">
        <f>SUMIFS(IGA_BD!$Q:$Q,IGA_BD!$G:$G,(VLOOKUP(AA$4,'Basic Data'!$A:$F,6,0)),IGA_BD!$F:$F,"&gt;="&amp;Analytics!$B$2,IGA_BD!$F:$F,"&lt;="&amp;Analytics!$B$3)</f>
        <v>0</v>
      </c>
      <c r="AB9" s="267">
        <f>SUMIFS(IGA_BD!$Q:$Q,IGA_BD!$G:$G,(VLOOKUP(AB$4,'Basic Data'!$A:$F,6,0)),IGA_BD!$F:$F,"&gt;="&amp;Analytics!$B$2,IGA_BD!$F:$F,"&lt;="&amp;Analytics!$B$3)</f>
        <v>8.9833333333333343</v>
      </c>
      <c r="AC9" s="267">
        <f>SUMIFS(IGA_BD!$Q:$Q,IGA_BD!$G:$G,(VLOOKUP(AC$4,'Basic Data'!$A:$F,6,0)),IGA_BD!$F:$F,"&gt;="&amp;Analytics!$B$2,IGA_BD!$F:$F,"&lt;="&amp;Analytics!$B$3)</f>
        <v>8.9833333333333343</v>
      </c>
      <c r="AD9" s="267">
        <f>SUMIFS(IGA_BD!$Q:$Q,IGA_BD!$G:$G,(VLOOKUP(AD$4,'Basic Data'!$A:$F,6,0)),IGA_BD!$F:$F,"&gt;="&amp;Analytics!$B$2,IGA_BD!$F:$F,"&lt;="&amp;Analytics!$B$3)</f>
        <v>0.68333333333333357</v>
      </c>
      <c r="AE9" s="267">
        <f>SUMIFS(IGA_BD!$Q:$Q,IGA_BD!$G:$G,(VLOOKUP(AE$4,'Basic Data'!$A:$F,6,0)),IGA_BD!$F:$F,"&gt;="&amp;Analytics!$B$2,IGA_BD!$F:$F,"&lt;="&amp;Analytics!$B$3)</f>
        <v>8.9833333333333343</v>
      </c>
      <c r="AF9" s="267">
        <f>SUMIFS(IGA_BD!$Q:$Q,IGA_BD!$G:$G,(VLOOKUP(AF$4,'Basic Data'!$A:$F,6,0)),IGA_BD!$F:$F,"&gt;="&amp;Analytics!$B$2,IGA_BD!$F:$F,"&lt;="&amp;Analytics!$B$3)</f>
        <v>0.68333333333333357</v>
      </c>
      <c r="AG9" s="267">
        <f>SUMIFS(IGA_BD!$Q:$Q,IGA_BD!$G:$G,(VLOOKUP(AG$4,'Basic Data'!$A:$F,6,0)),IGA_BD!$F:$F,"&gt;="&amp;Analytics!$B$2,IGA_BD!$F:$F,"&lt;="&amp;Analytics!$B$3)</f>
        <v>0</v>
      </c>
      <c r="AH9" s="267">
        <f>SUMIFS(IGA_BD!$Q:$Q,IGA_BD!$G:$G,(VLOOKUP(AH$4,'Basic Data'!$A:$F,6,0)),IGA_BD!$F:$F,"&gt;="&amp;Analytics!$B$2,IGA_BD!$F:$F,"&lt;="&amp;Analytics!$B$3)</f>
        <v>0</v>
      </c>
      <c r="AI9" s="267">
        <f>SUMIFS(IGA_BD!$Q:$Q,IGA_BD!$G:$G,(VLOOKUP(AI$4,'Basic Data'!$A:$F,6,0)),IGA_BD!$F:$F,"&gt;="&amp;Analytics!$B$2,IGA_BD!$F:$F,"&lt;="&amp;Analytics!$B$3)</f>
        <v>0</v>
      </c>
      <c r="AJ9" s="267">
        <f>SUMIFS(IGA_BD!$Q:$Q,IGA_BD!$G:$G,(VLOOKUP(AJ$4,'Basic Data'!$A:$F,6,0)),IGA_BD!$F:$F,"&gt;="&amp;Analytics!$B$2,IGA_BD!$F:$F,"&lt;="&amp;Analytics!$B$3)</f>
        <v>0.68333333333333357</v>
      </c>
      <c r="AK9" s="267">
        <f>SUMIFS(IGA_BD!$Q:$Q,IGA_BD!$G:$G,(VLOOKUP(AK$4,'Basic Data'!$A:$F,6,0)),IGA_BD!$F:$F,"&gt;="&amp;Analytics!$B$2,IGA_BD!$F:$F,"&lt;="&amp;Analytics!$B$3)</f>
        <v>0</v>
      </c>
      <c r="AL9" s="267">
        <f>SUMIFS(IGA_BD!$Q:$Q,IGA_BD!$G:$G,(VLOOKUP(AL$4,'Basic Data'!$A:$F,6,0)),IGA_BD!$F:$F,"&gt;="&amp;Analytics!$B$2,IGA_BD!$F:$F,"&lt;="&amp;Analytics!$B$3)</f>
        <v>0</v>
      </c>
      <c r="AM9" s="267">
        <f>SUMIFS(IGA_BD!$Q:$Q,IGA_BD!$G:$G,(VLOOKUP(AM$4,'Basic Data'!$A:$F,6,0)),IGA_BD!$F:$F,"&gt;="&amp;Analytics!$B$2,IGA_BD!$F:$F,"&lt;="&amp;Analytics!$B$3)</f>
        <v>0</v>
      </c>
      <c r="AN9" s="267">
        <f>SUMIFS(IGA_BD!$Q:$Q,IGA_BD!$G:$G,(VLOOKUP(AN$4,'Basic Data'!$A:$F,6,0)),IGA_BD!$F:$F,"&gt;="&amp;Analytics!$B$2,IGA_BD!$F:$F,"&lt;="&amp;Analytics!$B$3)</f>
        <v>0</v>
      </c>
      <c r="AO9" s="267">
        <f>SUMIFS(IGA_BD!$Q:$Q,IGA_BD!$G:$G,(VLOOKUP(AO$4,'Basic Data'!$A:$F,6,0)),IGA_BD!$F:$F,"&gt;="&amp;Analytics!$B$2,IGA_BD!$F:$F,"&lt;="&amp;Analytics!$B$3)</f>
        <v>8.9833333333333343</v>
      </c>
      <c r="AP9" s="267">
        <f>SUMIFS(IGA_BD!$Q:$Q,IGA_BD!$G:$G,(VLOOKUP(AP$4,'Basic Data'!$A:$F,6,0)),IGA_BD!$F:$F,"&gt;="&amp;Analytics!$B$2,IGA_BD!$F:$F,"&lt;="&amp;Analytics!$B$3)</f>
        <v>8.9833333333333343</v>
      </c>
      <c r="AQ9" s="267">
        <f>SUMIFS(IGA_BD!$Q:$Q,IGA_BD!$G:$G,(VLOOKUP(AQ$4,'Basic Data'!$A:$F,6,0)),IGA_BD!$F:$F,"&gt;="&amp;Analytics!$B$2,IGA_BD!$F:$F,"&lt;="&amp;Analytics!$B$3)</f>
        <v>8.9833333333333343</v>
      </c>
      <c r="AR9" s="267">
        <f>SUMIFS(IGA_BD!$Q:$Q,IGA_BD!$G:$G,(VLOOKUP(AR$4,'Basic Data'!$A:$F,6,0)),IGA_BD!$F:$F,"&gt;="&amp;Analytics!$B$2,IGA_BD!$F:$F,"&lt;="&amp;Analytics!$B$3)</f>
        <v>8.9833333333333343</v>
      </c>
      <c r="AS9" s="267">
        <f>SUMIFS(IGA_BD!$Q:$Q,IGA_BD!$G:$G,(VLOOKUP(AS$4,'Basic Data'!$A:$F,6,0)),IGA_BD!$F:$F,"&gt;="&amp;Analytics!$B$2,IGA_BD!$F:$F,"&lt;="&amp;Analytics!$B$3)</f>
        <v>8.9833333333333343</v>
      </c>
      <c r="AT9" s="267">
        <f>SUMIFS(IGA_BD!$Q:$Q,IGA_BD!$G:$G,(VLOOKUP(AT$4,'Basic Data'!$A:$F,6,0)),IGA_BD!$F:$F,"&gt;="&amp;Analytics!$B$2,IGA_BD!$F:$F,"&lt;="&amp;Analytics!$B$3)</f>
        <v>0</v>
      </c>
    </row>
    <row r="10" spans="1:46" ht="15" hidden="1" customHeight="1">
      <c r="A10" s="170" t="s">
        <v>125</v>
      </c>
      <c r="B10" s="173"/>
      <c r="C10" s="173"/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85" t="e">
        <f t="shared" si="2"/>
        <v>#DIV/0!</v>
      </c>
    </row>
    <row r="11" spans="1:46" ht="15" hidden="1" customHeight="1">
      <c r="A11" s="170" t="s">
        <v>126</v>
      </c>
      <c r="B11" s="173"/>
      <c r="C11" s="173"/>
      <c r="D11" s="173"/>
      <c r="E11" s="173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85" t="e">
        <f t="shared" si="2"/>
        <v>#DIV/0!</v>
      </c>
    </row>
    <row r="12" spans="1:46" ht="15" hidden="1" customHeight="1">
      <c r="A12" s="170" t="s">
        <v>127</v>
      </c>
      <c r="B12" s="173"/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85" t="e">
        <f t="shared" si="2"/>
        <v>#DIV/0!</v>
      </c>
    </row>
    <row r="13" spans="1:46" ht="29.1" customHeight="1">
      <c r="A13" s="167" t="s">
        <v>128</v>
      </c>
      <c r="B13" s="174">
        <f>($C$3-B14)/$C$3</f>
        <v>1</v>
      </c>
      <c r="C13" s="174">
        <f t="shared" ref="C13:F13" si="3">($C$3-C14)/$C$3</f>
        <v>1</v>
      </c>
      <c r="D13" s="174">
        <f t="shared" si="3"/>
        <v>1</v>
      </c>
      <c r="E13" s="174">
        <f t="shared" si="3"/>
        <v>1</v>
      </c>
      <c r="F13" s="174">
        <f t="shared" si="3"/>
        <v>1</v>
      </c>
      <c r="G13" s="174">
        <f t="shared" ref="G13" si="4">($C$3-G14)/$C$3</f>
        <v>1</v>
      </c>
      <c r="H13" s="174">
        <f t="shared" ref="H13" si="5">($C$3-H14)/$C$3</f>
        <v>1</v>
      </c>
      <c r="I13" s="174">
        <f t="shared" ref="I13:J13" si="6">($C$3-I14)/$C$3</f>
        <v>1</v>
      </c>
      <c r="J13" s="174">
        <f t="shared" si="6"/>
        <v>1</v>
      </c>
      <c r="K13" s="174">
        <f t="shared" ref="K13" si="7">($C$3-K14)/$C$3</f>
        <v>1</v>
      </c>
      <c r="L13" s="174">
        <f t="shared" ref="L13" si="8">($C$3-L14)/$C$3</f>
        <v>1</v>
      </c>
      <c r="M13" s="174">
        <f t="shared" ref="M13:N13" si="9">($C$3-M14)/$C$3</f>
        <v>1</v>
      </c>
      <c r="N13" s="174">
        <f t="shared" si="9"/>
        <v>1</v>
      </c>
      <c r="O13" s="174">
        <f t="shared" ref="O13" si="10">($C$3-O14)/$C$3</f>
        <v>1</v>
      </c>
      <c r="P13" s="174">
        <f t="shared" ref="P13" si="11">($C$3-P14)/$C$3</f>
        <v>1</v>
      </c>
      <c r="Q13" s="174">
        <f t="shared" ref="Q13:R13" si="12">($C$3-Q14)/$C$3</f>
        <v>1</v>
      </c>
      <c r="R13" s="174">
        <f t="shared" si="12"/>
        <v>1</v>
      </c>
      <c r="S13" s="174">
        <f t="shared" ref="S13" si="13">($C$3-S14)/$C$3</f>
        <v>1</v>
      </c>
      <c r="T13" s="174">
        <f t="shared" ref="T13" si="14">($C$3-T14)/$C$3</f>
        <v>1</v>
      </c>
      <c r="U13" s="174">
        <f t="shared" ref="U13:V13" si="15">($C$3-U14)/$C$3</f>
        <v>1</v>
      </c>
      <c r="V13" s="174">
        <f t="shared" si="15"/>
        <v>1</v>
      </c>
      <c r="W13" s="174">
        <f t="shared" ref="W13" si="16">($C$3-W14)/$C$3</f>
        <v>1</v>
      </c>
      <c r="X13" s="174">
        <f t="shared" ref="X13" si="17">($C$3-X14)/$C$3</f>
        <v>1</v>
      </c>
      <c r="Y13" s="174">
        <f t="shared" ref="Y13:Z13" si="18">($C$3-Y14)/$C$3</f>
        <v>1</v>
      </c>
      <c r="Z13" s="174">
        <f t="shared" si="18"/>
        <v>1</v>
      </c>
      <c r="AA13" s="174">
        <f t="shared" ref="AA13" si="19">($C$3-AA14)/$C$3</f>
        <v>1</v>
      </c>
      <c r="AB13" s="174">
        <f t="shared" ref="AB13" si="20">($C$3-AB14)/$C$3</f>
        <v>1</v>
      </c>
      <c r="AC13" s="174">
        <f t="shared" ref="AC13:AD13" si="21">($C$3-AC14)/$C$3</f>
        <v>1</v>
      </c>
      <c r="AD13" s="174">
        <f t="shared" si="21"/>
        <v>1</v>
      </c>
      <c r="AE13" s="174">
        <f t="shared" ref="AE13" si="22">($C$3-AE14)/$C$3</f>
        <v>1</v>
      </c>
      <c r="AF13" s="174">
        <f t="shared" ref="AF13" si="23">($C$3-AF14)/$C$3</f>
        <v>1</v>
      </c>
      <c r="AG13" s="174">
        <f t="shared" ref="AG13:AH13" si="24">($C$3-AG14)/$C$3</f>
        <v>1</v>
      </c>
      <c r="AH13" s="174">
        <f t="shared" si="24"/>
        <v>1</v>
      </c>
      <c r="AI13" s="174">
        <f t="shared" ref="AI13" si="25">($C$3-AI14)/$C$3</f>
        <v>1</v>
      </c>
      <c r="AJ13" s="174">
        <f t="shared" ref="AJ13" si="26">($C$3-AJ14)/$C$3</f>
        <v>1</v>
      </c>
      <c r="AK13" s="174">
        <f t="shared" ref="AK13:AL13" si="27">($C$3-AK14)/$C$3</f>
        <v>1</v>
      </c>
      <c r="AL13" s="174">
        <f t="shared" si="27"/>
        <v>1</v>
      </c>
      <c r="AM13" s="174">
        <f t="shared" ref="AM13" si="28">($C$3-AM14)/$C$3</f>
        <v>1</v>
      </c>
      <c r="AN13" s="174">
        <f t="shared" ref="AN13" si="29">($C$3-AN14)/$C$3</f>
        <v>1</v>
      </c>
      <c r="AO13" s="174">
        <f t="shared" ref="AO13:AP13" si="30">($C$3-AO14)/$C$3</f>
        <v>1</v>
      </c>
      <c r="AP13" s="174">
        <f t="shared" si="30"/>
        <v>1</v>
      </c>
      <c r="AQ13" s="174">
        <f t="shared" ref="AQ13" si="31">($C$3-AQ14)/$C$3</f>
        <v>1</v>
      </c>
      <c r="AR13" s="174">
        <f t="shared" ref="AR13" si="32">($C$3-AR14)/$C$3</f>
        <v>1</v>
      </c>
      <c r="AS13" s="174">
        <f t="shared" ref="AS13" si="33">($C$3-AS14)/$C$3</f>
        <v>1</v>
      </c>
      <c r="AT13" s="85">
        <f t="shared" si="2"/>
        <v>1</v>
      </c>
    </row>
    <row r="14" spans="1:46" ht="29.1" hidden="1" customHeight="1">
      <c r="A14" s="170" t="s">
        <v>129</v>
      </c>
      <c r="B14" s="267">
        <f>SUMIFS(Grid_BD!$R:$R,Grid_BD!$G:$G,(VLOOKUP(B$4,'Basic Data'!$A:$F,6,0)),Grid_BD!$F:$F,"&gt;="&amp;Analytics!$B$2,Grid_BD!$F:$F,"&lt;="&amp;Analytics!$B$3)</f>
        <v>0</v>
      </c>
      <c r="C14" s="267">
        <f>SUMIFS(Grid_BD!$R:$R,Grid_BD!$G:$G,(VLOOKUP(C$4,'Basic Data'!$A:$F,6,0)),Grid_BD!$F:$F,"&gt;="&amp;Analytics!$B$2,Grid_BD!$F:$F,"&lt;="&amp;Analytics!$B$3)</f>
        <v>0</v>
      </c>
      <c r="D14" s="267">
        <f>SUMIFS(Grid_BD!$R:$R,Grid_BD!$G:$G,(VLOOKUP(D$4,'Basic Data'!$A:$F,6,0)),Grid_BD!$F:$F,"&gt;="&amp;Analytics!$B$2,Grid_BD!$F:$F,"&lt;="&amp;Analytics!$B$3)</f>
        <v>0</v>
      </c>
      <c r="E14" s="267">
        <f>SUMIFS(Grid_BD!$R:$R,Grid_BD!$G:$G,(VLOOKUP(E$4,'Basic Data'!$A:$F,6,0)),Grid_BD!$F:$F,"&gt;="&amp;Analytics!$B$2,Grid_BD!$F:$F,"&lt;="&amp;Analytics!$B$3)</f>
        <v>0</v>
      </c>
      <c r="F14" s="267">
        <f>SUMIFS(Grid_BD!$R:$R,Grid_BD!$G:$G,(VLOOKUP(F$4,'Basic Data'!$A:$F,6,0)),Grid_BD!$F:$F,"&gt;="&amp;Analytics!$B$2,Grid_BD!$F:$F,"&lt;="&amp;Analytics!$B$3)</f>
        <v>0</v>
      </c>
      <c r="G14" s="267">
        <f>SUMIFS(Grid_BD!$R:$R,Grid_BD!$G:$G,(VLOOKUP(G$4,'Basic Data'!$A:$F,6,0)),Grid_BD!$F:$F,"&gt;="&amp;Analytics!$B$2,Grid_BD!$F:$F,"&lt;="&amp;Analytics!$B$3)</f>
        <v>0</v>
      </c>
      <c r="H14" s="267">
        <f>SUMIFS(Grid_BD!$R:$R,Grid_BD!$G:$G,(VLOOKUP(H$4,'Basic Data'!$A:$F,6,0)),Grid_BD!$F:$F,"&gt;="&amp;Analytics!$B$2,Grid_BD!$F:$F,"&lt;="&amp;Analytics!$B$3)</f>
        <v>0</v>
      </c>
      <c r="I14" s="267">
        <f>SUMIFS(Grid_BD!$R:$R,Grid_BD!$G:$G,(VLOOKUP(I$4,'Basic Data'!$A:$F,6,0)),Grid_BD!$F:$F,"&gt;="&amp;Analytics!$B$2,Grid_BD!$F:$F,"&lt;="&amp;Analytics!$B$3)</f>
        <v>0</v>
      </c>
      <c r="J14" s="267">
        <f>SUMIFS(Grid_BD!$R:$R,Grid_BD!$G:$G,(VLOOKUP(J$4,'Basic Data'!$A:$F,6,0)),Grid_BD!$F:$F,"&gt;="&amp;Analytics!$B$2,Grid_BD!$F:$F,"&lt;="&amp;Analytics!$B$3)</f>
        <v>0</v>
      </c>
      <c r="K14" s="267">
        <f>SUMIFS(Grid_BD!$R:$R,Grid_BD!$G:$G,(VLOOKUP(K$4,'Basic Data'!$A:$F,6,0)),Grid_BD!$F:$F,"&gt;="&amp;Analytics!$B$2,Grid_BD!$F:$F,"&lt;="&amp;Analytics!$B$3)</f>
        <v>0</v>
      </c>
      <c r="L14" s="267">
        <f>SUMIFS(Grid_BD!$R:$R,Grid_BD!$G:$G,(VLOOKUP(L$4,'Basic Data'!$A:$F,6,0)),Grid_BD!$F:$F,"&gt;="&amp;Analytics!$B$2,Grid_BD!$F:$F,"&lt;="&amp;Analytics!$B$3)</f>
        <v>0</v>
      </c>
      <c r="M14" s="267">
        <f>SUMIFS(Grid_BD!$R:$R,Grid_BD!$G:$G,(VLOOKUP(M$4,'Basic Data'!$A:$F,6,0)),Grid_BD!$F:$F,"&gt;="&amp;Analytics!$B$2,Grid_BD!$F:$F,"&lt;="&amp;Analytics!$B$3)</f>
        <v>0</v>
      </c>
      <c r="N14" s="267">
        <f>SUMIFS(Grid_BD!$R:$R,Grid_BD!$G:$G,(VLOOKUP(N$4,'Basic Data'!$A:$F,6,0)),Grid_BD!$F:$F,"&gt;="&amp;Analytics!$B$2,Grid_BD!$F:$F,"&lt;="&amp;Analytics!$B$3)</f>
        <v>0</v>
      </c>
      <c r="O14" s="267">
        <f>SUMIFS(Grid_BD!$R:$R,Grid_BD!$G:$G,(VLOOKUP(O$4,'Basic Data'!$A:$F,6,0)),Grid_BD!$F:$F,"&gt;="&amp;Analytics!$B$2,Grid_BD!$F:$F,"&lt;="&amp;Analytics!$B$3)</f>
        <v>0</v>
      </c>
      <c r="P14" s="267">
        <f>SUMIFS(Grid_BD!$R:$R,Grid_BD!$G:$G,(VLOOKUP(P$4,'Basic Data'!$A:$F,6,0)),Grid_BD!$F:$F,"&gt;="&amp;Analytics!$B$2,Grid_BD!$F:$F,"&lt;="&amp;Analytics!$B$3)</f>
        <v>0</v>
      </c>
      <c r="Q14" s="267">
        <f>SUMIFS(Grid_BD!$R:$R,Grid_BD!$G:$G,(VLOOKUP(Q$4,'Basic Data'!$A:$F,6,0)),Grid_BD!$F:$F,"&gt;="&amp;Analytics!$B$2,Grid_BD!$F:$F,"&lt;="&amp;Analytics!$B$3)</f>
        <v>0</v>
      </c>
      <c r="R14" s="267">
        <f>SUMIFS(Grid_BD!$R:$R,Grid_BD!$G:$G,(VLOOKUP(R$4,'Basic Data'!$A:$F,6,0)),Grid_BD!$F:$F,"&gt;="&amp;Analytics!$B$2,Grid_BD!$F:$F,"&lt;="&amp;Analytics!$B$3)</f>
        <v>0</v>
      </c>
      <c r="S14" s="267">
        <f>SUMIFS(Grid_BD!$R:$R,Grid_BD!$G:$G,(VLOOKUP(S$4,'Basic Data'!$A:$F,6,0)),Grid_BD!$F:$F,"&gt;="&amp;Analytics!$B$2,Grid_BD!$F:$F,"&lt;="&amp;Analytics!$B$3)</f>
        <v>0</v>
      </c>
      <c r="T14" s="267">
        <f>SUMIFS(Grid_BD!$R:$R,Grid_BD!$G:$G,(VLOOKUP(T$4,'Basic Data'!$A:$F,6,0)),Grid_BD!$F:$F,"&gt;="&amp;Analytics!$B$2,Grid_BD!$F:$F,"&lt;="&amp;Analytics!$B$3)</f>
        <v>0</v>
      </c>
      <c r="U14" s="267">
        <f>SUMIFS(Grid_BD!$R:$R,Grid_BD!$G:$G,(VLOOKUP(U$4,'Basic Data'!$A:$F,6,0)),Grid_BD!$F:$F,"&gt;="&amp;Analytics!$B$2,Grid_BD!$F:$F,"&lt;="&amp;Analytics!$B$3)</f>
        <v>0</v>
      </c>
      <c r="V14" s="267">
        <f>SUMIFS(Grid_BD!$R:$R,Grid_BD!$G:$G,(VLOOKUP(V$4,'Basic Data'!$A:$F,6,0)),Grid_BD!$F:$F,"&gt;="&amp;Analytics!$B$2,Grid_BD!$F:$F,"&lt;="&amp;Analytics!$B$3)</f>
        <v>0</v>
      </c>
      <c r="W14" s="267">
        <f>SUMIFS(Grid_BD!$R:$R,Grid_BD!$G:$G,(VLOOKUP(W$4,'Basic Data'!$A:$F,6,0)),Grid_BD!$F:$F,"&gt;="&amp;Analytics!$B$2,Grid_BD!$F:$F,"&lt;="&amp;Analytics!$B$3)</f>
        <v>0</v>
      </c>
      <c r="X14" s="267">
        <f>SUMIFS(Grid_BD!$R:$R,Grid_BD!$G:$G,(VLOOKUP(X$4,'Basic Data'!$A:$F,6,0)),Grid_BD!$F:$F,"&gt;="&amp;Analytics!$B$2,Grid_BD!$F:$F,"&lt;="&amp;Analytics!$B$3)</f>
        <v>0</v>
      </c>
      <c r="Y14" s="267">
        <f>SUMIFS(Grid_BD!$R:$R,Grid_BD!$G:$G,(VLOOKUP(Y$4,'Basic Data'!$A:$F,6,0)),Grid_BD!$F:$F,"&gt;="&amp;Analytics!$B$2,Grid_BD!$F:$F,"&lt;="&amp;Analytics!$B$3)</f>
        <v>0</v>
      </c>
      <c r="Z14" s="267">
        <f>SUMIFS(Grid_BD!$R:$R,Grid_BD!$G:$G,(VLOOKUP(Z$4,'Basic Data'!$A:$F,6,0)),Grid_BD!$F:$F,"&gt;="&amp;Analytics!$B$2,Grid_BD!$F:$F,"&lt;="&amp;Analytics!$B$3)</f>
        <v>0</v>
      </c>
      <c r="AA14" s="267">
        <f>SUMIFS(Grid_BD!$R:$R,Grid_BD!$G:$G,(VLOOKUP(AA$4,'Basic Data'!$A:$F,6,0)),Grid_BD!$F:$F,"&gt;="&amp;Analytics!$B$2,Grid_BD!$F:$F,"&lt;="&amp;Analytics!$B$3)</f>
        <v>0</v>
      </c>
      <c r="AB14" s="267">
        <f>SUMIFS(Grid_BD!$R:$R,Grid_BD!$G:$G,(VLOOKUP(AB$4,'Basic Data'!$A:$F,6,0)),Grid_BD!$F:$F,"&gt;="&amp;Analytics!$B$2,Grid_BD!$F:$F,"&lt;="&amp;Analytics!$B$3)</f>
        <v>0</v>
      </c>
      <c r="AC14" s="267">
        <f>SUMIFS(Grid_BD!$R:$R,Grid_BD!$G:$G,(VLOOKUP(AC$4,'Basic Data'!$A:$F,6,0)),Grid_BD!$F:$F,"&gt;="&amp;Analytics!$B$2,Grid_BD!$F:$F,"&lt;="&amp;Analytics!$B$3)</f>
        <v>0</v>
      </c>
      <c r="AD14" s="267">
        <f>SUMIFS(Grid_BD!$R:$R,Grid_BD!$G:$G,(VLOOKUP(AD$4,'Basic Data'!$A:$F,6,0)),Grid_BD!$F:$F,"&gt;="&amp;Analytics!$B$2,Grid_BD!$F:$F,"&lt;="&amp;Analytics!$B$3)</f>
        <v>0</v>
      </c>
      <c r="AE14" s="267">
        <f>SUMIFS(Grid_BD!$R:$R,Grid_BD!$G:$G,(VLOOKUP(AE$4,'Basic Data'!$A:$F,6,0)),Grid_BD!$F:$F,"&gt;="&amp;Analytics!$B$2,Grid_BD!$F:$F,"&lt;="&amp;Analytics!$B$3)</f>
        <v>0</v>
      </c>
      <c r="AF14" s="267">
        <f>SUMIFS(Grid_BD!$R:$R,Grid_BD!$G:$G,(VLOOKUP(AF$4,'Basic Data'!$A:$F,6,0)),Grid_BD!$F:$F,"&gt;="&amp;Analytics!$B$2,Grid_BD!$F:$F,"&lt;="&amp;Analytics!$B$3)</f>
        <v>0</v>
      </c>
      <c r="AG14" s="267">
        <f>SUMIFS(Grid_BD!$R:$R,Grid_BD!$G:$G,(VLOOKUP(AG$4,'Basic Data'!$A:$F,6,0)),Grid_BD!$F:$F,"&gt;="&amp;Analytics!$B$2,Grid_BD!$F:$F,"&lt;="&amp;Analytics!$B$3)</f>
        <v>0</v>
      </c>
      <c r="AH14" s="267">
        <f>SUMIFS(Grid_BD!$R:$R,Grid_BD!$G:$G,(VLOOKUP(AH$4,'Basic Data'!$A:$F,6,0)),Grid_BD!$F:$F,"&gt;="&amp;Analytics!$B$2,Grid_BD!$F:$F,"&lt;="&amp;Analytics!$B$3)</f>
        <v>0</v>
      </c>
      <c r="AI14" s="267">
        <f>SUMIFS(Grid_BD!$R:$R,Grid_BD!$G:$G,(VLOOKUP(AI$4,'Basic Data'!$A:$F,6,0)),Grid_BD!$F:$F,"&gt;="&amp;Analytics!$B$2,Grid_BD!$F:$F,"&lt;="&amp;Analytics!$B$3)</f>
        <v>0</v>
      </c>
      <c r="AJ14" s="267">
        <f>SUMIFS(Grid_BD!$R:$R,Grid_BD!$G:$G,(VLOOKUP(AJ$4,'Basic Data'!$A:$F,6,0)),Grid_BD!$F:$F,"&gt;="&amp;Analytics!$B$2,Grid_BD!$F:$F,"&lt;="&amp;Analytics!$B$3)</f>
        <v>0</v>
      </c>
      <c r="AK14" s="267">
        <f>SUMIFS(Grid_BD!$R:$R,Grid_BD!$G:$G,(VLOOKUP(AK$4,'Basic Data'!$A:$F,6,0)),Grid_BD!$F:$F,"&gt;="&amp;Analytics!$B$2,Grid_BD!$F:$F,"&lt;="&amp;Analytics!$B$3)</f>
        <v>0</v>
      </c>
      <c r="AL14" s="267">
        <f>SUMIFS(Grid_BD!$R:$R,Grid_BD!$G:$G,(VLOOKUP(AL$4,'Basic Data'!$A:$F,6,0)),Grid_BD!$F:$F,"&gt;="&amp;Analytics!$B$2,Grid_BD!$F:$F,"&lt;="&amp;Analytics!$B$3)</f>
        <v>0</v>
      </c>
      <c r="AM14" s="267">
        <f>SUMIFS(Grid_BD!$R:$R,Grid_BD!$G:$G,(VLOOKUP(AM$4,'Basic Data'!$A:$F,6,0)),Grid_BD!$F:$F,"&gt;="&amp;Analytics!$B$2,Grid_BD!$F:$F,"&lt;="&amp;Analytics!$B$3)</f>
        <v>0</v>
      </c>
      <c r="AN14" s="267">
        <f>SUMIFS(Grid_BD!$R:$R,Grid_BD!$G:$G,(VLOOKUP(AN$4,'Basic Data'!$A:$F,6,0)),Grid_BD!$F:$F,"&gt;="&amp;Analytics!$B$2,Grid_BD!$F:$F,"&lt;="&amp;Analytics!$B$3)</f>
        <v>0</v>
      </c>
      <c r="AO14" s="267">
        <f>SUMIFS(Grid_BD!$R:$R,Grid_BD!$G:$G,(VLOOKUP(AO$4,'Basic Data'!$A:$F,6,0)),Grid_BD!$F:$F,"&gt;="&amp;Analytics!$B$2,Grid_BD!$F:$F,"&lt;="&amp;Analytics!$B$3)</f>
        <v>0</v>
      </c>
      <c r="AP14" s="267">
        <f>SUMIFS(Grid_BD!$R:$R,Grid_BD!$G:$G,(VLOOKUP(AP$4,'Basic Data'!$A:$F,6,0)),Grid_BD!$F:$F,"&gt;="&amp;Analytics!$B$2,Grid_BD!$F:$F,"&lt;="&amp;Analytics!$B$3)</f>
        <v>0</v>
      </c>
      <c r="AQ14" s="267">
        <f>SUMIFS(Grid_BD!$R:$R,Grid_BD!$G:$G,(VLOOKUP(AQ$4,'Basic Data'!$A:$F,6,0)),Grid_BD!$F:$F,"&gt;="&amp;Analytics!$B$2,Grid_BD!$F:$F,"&lt;="&amp;Analytics!$B$3)</f>
        <v>0</v>
      </c>
      <c r="AR14" s="267">
        <f>SUMIFS(Grid_BD!$R:$R,Grid_BD!$G:$G,(VLOOKUP(AR$4,'Basic Data'!$A:$F,6,0)),Grid_BD!$F:$F,"&gt;="&amp;Analytics!$B$2,Grid_BD!$F:$F,"&lt;="&amp;Analytics!$B$3)</f>
        <v>0</v>
      </c>
      <c r="AS14" s="267">
        <f>SUMIFS(Grid_BD!$R:$R,Grid_BD!$G:$G,(VLOOKUP(AS$4,'Basic Data'!$A:$F,6,0)),Grid_BD!$F:$F,"&gt;="&amp;Analytics!$B$2,Grid_BD!$F:$F,"&lt;="&amp;Analytics!$B$3)</f>
        <v>0</v>
      </c>
      <c r="AT14" s="267">
        <f>SUMIFS(Grid_BD!$R:$R,Grid_BD!$G:$G,(VLOOKUP(AT$4,'Basic Data'!$A:$F,6,0)),Grid_BD!$F:$F,"&gt;="&amp;Analytics!$B$2,Grid_BD!$F:$F,"&lt;="&amp;Analytics!$B$3)</f>
        <v>0</v>
      </c>
    </row>
    <row r="15" spans="1:46" ht="29.1" customHeight="1">
      <c r="A15" s="167" t="s">
        <v>130</v>
      </c>
      <c r="B15" s="173">
        <f>SUMIFS(Input_Raw!F:F,Input_Raw!$A:$A,"&gt;="&amp;Analytics!$B$2,Input_Raw!$A:$A,"&lt;="&amp;Analytics!$B$3)</f>
        <v>887180</v>
      </c>
      <c r="C15" s="173">
        <f>SUMIFS(Input_Raw!G:G,Input_Raw!$A:$A,"&gt;="&amp;Analytics!$B$2,Input_Raw!$A:$A,"&lt;="&amp;Analytics!$B$3)</f>
        <v>851680</v>
      </c>
      <c r="D15" s="173">
        <f>SUMIFS(Input_Raw!H:H,Input_Raw!$A:$A,"&gt;="&amp;Analytics!$B$2,Input_Raw!$A:$A,"&lt;="&amp;Analytics!$B$3)</f>
        <v>746140</v>
      </c>
      <c r="E15" s="173">
        <f>SUMIFS(Input_Raw!I:I,Input_Raw!$A:$A,"&gt;="&amp;Analytics!$B$2,Input_Raw!$A:$A,"&lt;="&amp;Analytics!$B$3)</f>
        <v>815110</v>
      </c>
      <c r="F15" s="173">
        <f>SUMIFS(Input_Raw!J:J,Input_Raw!$A:$A,"&gt;="&amp;Analytics!$B$2,Input_Raw!$A:$A,"&lt;="&amp;Analytics!$B$3)</f>
        <v>866192</v>
      </c>
      <c r="G15" s="173">
        <f>SUMIFS(Input_Raw!K:K,Input_Raw!$A:$A,"&gt;="&amp;Analytics!$B$2,Input_Raw!$A:$A,"&lt;="&amp;Analytics!$B$3)</f>
        <v>864288</v>
      </c>
      <c r="H15" s="173">
        <f>SUMIFS(Input_Raw!L:L,Input_Raw!$A:$A,"&gt;="&amp;Analytics!$B$2,Input_Raw!$A:$A,"&lt;="&amp;Analytics!$B$3)</f>
        <v>863304</v>
      </c>
      <c r="I15" s="173">
        <f>SUMIFS(Input_Raw!M:M,Input_Raw!$A:$A,"&gt;="&amp;Analytics!$B$2,Input_Raw!$A:$A,"&lt;="&amp;Analytics!$B$3)</f>
        <v>788256</v>
      </c>
      <c r="J15" s="173">
        <f>SUMIFS(Input_Raw!N:N,Input_Raw!$A:$A,"&gt;="&amp;Analytics!$B$2,Input_Raw!$A:$A,"&lt;="&amp;Analytics!$B$3)</f>
        <v>663320</v>
      </c>
      <c r="K15" s="173">
        <f>SUMIFS(Input_Raw!O:O,Input_Raw!$A:$A,"&gt;="&amp;Analytics!$B$2,Input_Raw!$A:$A,"&lt;="&amp;Analytics!$B$3)</f>
        <v>694564</v>
      </c>
      <c r="L15" s="173">
        <f>SUMIFS(Input_Raw!P:P,Input_Raw!$A:$A,"&gt;="&amp;Analytics!$B$2,Input_Raw!$A:$A,"&lt;="&amp;Analytics!$B$3)</f>
        <v>786482</v>
      </c>
      <c r="M15" s="173">
        <f>SUMIFS(Input_Raw!Q:Q,Input_Raw!$A:$A,"&gt;="&amp;Analytics!$B$2,Input_Raw!$A:$A,"&lt;="&amp;Analytics!$B$3)</f>
        <v>867960</v>
      </c>
      <c r="N15" s="173">
        <f>SUMIFS(Input_Raw!R:R,Input_Raw!$A:$A,"&gt;="&amp;Analytics!$B$2,Input_Raw!$A:$A,"&lt;="&amp;Analytics!$B$3)</f>
        <v>855036</v>
      </c>
      <c r="O15" s="173">
        <f>SUMIFS(Input_Raw!S:S,Input_Raw!$A:$A,"&gt;="&amp;Analytics!$B$2,Input_Raw!$A:$A,"&lt;="&amp;Analytics!$B$3)</f>
        <v>813078</v>
      </c>
      <c r="P15" s="173">
        <f>SUMIFS(Input_Raw!T:T,Input_Raw!$A:$A,"&gt;="&amp;Analytics!$B$2,Input_Raw!$A:$A,"&lt;="&amp;Analytics!$B$3)</f>
        <v>759072</v>
      </c>
      <c r="Q15" s="173">
        <f>SUMIFS(Input_Raw!U:U,Input_Raw!$A:$A,"&gt;="&amp;Analytics!$B$2,Input_Raw!$A:$A,"&lt;="&amp;Analytics!$B$3)</f>
        <v>793688</v>
      </c>
      <c r="R15" s="173">
        <f>SUMIFS(Input_Raw!V:V,Input_Raw!$A:$A,"&gt;="&amp;Analytics!$B$2,Input_Raw!$A:$A,"&lt;="&amp;Analytics!$B$3)</f>
        <v>818794</v>
      </c>
      <c r="S15" s="173">
        <f>SUMIFS(Input_Raw!W:W,Input_Raw!$A:$A,"&gt;="&amp;Analytics!$B$2,Input_Raw!$A:$A,"&lt;="&amp;Analytics!$B$3)</f>
        <v>814012</v>
      </c>
      <c r="T15" s="173">
        <f>SUMIFS(Input_Raw!X:X,Input_Raw!$A:$A,"&gt;="&amp;Analytics!$B$2,Input_Raw!$A:$A,"&lt;="&amp;Analytics!$B$3)</f>
        <v>797492</v>
      </c>
      <c r="U15" s="173">
        <f>SUMIFS(Input_Raw!Y:Y,Input_Raw!$A:$A,"&gt;="&amp;Analytics!$B$2,Input_Raw!$A:$A,"&lt;="&amp;Analytics!$B$3)</f>
        <v>729511</v>
      </c>
      <c r="V15" s="173">
        <f>SUMIFS(Input_Raw!Z:Z,Input_Raw!$A:$A,"&gt;="&amp;Analytics!$B$2,Input_Raw!$A:$A,"&lt;="&amp;Analytics!$B$3)</f>
        <v>861796</v>
      </c>
      <c r="W15" s="173">
        <f>SUMIFS(Input_Raw!AA:AA,Input_Raw!$A:$A,"&gt;="&amp;Analytics!$B$2,Input_Raw!$A:$A,"&lt;="&amp;Analytics!$B$3)</f>
        <v>794032</v>
      </c>
      <c r="X15" s="173">
        <f>SUMIFS(Input_Raw!AB:AB,Input_Raw!$A:$A,"&gt;="&amp;Analytics!$B$2,Input_Raw!$A:$A,"&lt;="&amp;Analytics!$B$3)</f>
        <v>799272</v>
      </c>
      <c r="Y15" s="173">
        <f>SUMIFS(Input_Raw!AC:AC,Input_Raw!$A:$A,"&gt;="&amp;Analytics!$B$2,Input_Raw!$A:$A,"&lt;="&amp;Analytics!$B$3)</f>
        <v>809920</v>
      </c>
      <c r="Z15" s="173">
        <f>SUMIFS(Input_Raw!AD:AD,Input_Raw!$A:$A,"&gt;="&amp;Analytics!$B$2,Input_Raw!$A:$A,"&lt;="&amp;Analytics!$B$3)</f>
        <v>850960</v>
      </c>
      <c r="AA15" s="173">
        <f>SUMIFS(Input_Raw!AE:AE,Input_Raw!$A:$A,"&gt;="&amp;Analytics!$B$2,Input_Raw!$A:$A,"&lt;="&amp;Analytics!$B$3)</f>
        <v>823488</v>
      </c>
      <c r="AB15" s="173">
        <f>SUMIFS(Input_Raw!AF:AF,Input_Raw!$A:$A,"&gt;="&amp;Analytics!$B$2,Input_Raw!$A:$A,"&lt;="&amp;Analytics!$B$3)</f>
        <v>697290</v>
      </c>
      <c r="AC15" s="173">
        <f>SUMIFS(Input_Raw!AG:AG,Input_Raw!$A:$A,"&gt;="&amp;Analytics!$B$2,Input_Raw!$A:$A,"&lt;="&amp;Analytics!$B$3)</f>
        <v>732842</v>
      </c>
      <c r="AD15" s="173">
        <f>SUMIFS(Input_Raw!AH:AH,Input_Raw!$A:$A,"&gt;="&amp;Analytics!$B$2,Input_Raw!$A:$A,"&lt;="&amp;Analytics!$B$3)</f>
        <v>840016</v>
      </c>
      <c r="AE15" s="173">
        <f>SUMIFS(Input_Raw!AI:AI,Input_Raw!$A:$A,"&gt;="&amp;Analytics!$B$2,Input_Raw!$A:$A,"&lt;="&amp;Analytics!$B$3)</f>
        <v>802052</v>
      </c>
      <c r="AF15" s="173">
        <f>SUMIFS(Input_Raw!AJ:AJ,Input_Raw!$A:$A,"&gt;="&amp;Analytics!$B$2,Input_Raw!$A:$A,"&lt;="&amp;Analytics!$B$3)</f>
        <v>791488</v>
      </c>
      <c r="AG15" s="173">
        <f>SUMIFS(Input_Raw!AK:AK,Input_Raw!$A:$A,"&gt;="&amp;Analytics!$B$2,Input_Raw!$A:$A,"&lt;="&amp;Analytics!$B$3)</f>
        <v>734396</v>
      </c>
      <c r="AH15" s="173">
        <f>SUMIFS(Input_Raw!AL:AL,Input_Raw!$A:$A,"&gt;="&amp;Analytics!$B$2,Input_Raw!$A:$A,"&lt;="&amp;Analytics!$B$3)</f>
        <v>852184</v>
      </c>
      <c r="AI15" s="173">
        <f>SUMIFS(Input_Raw!AM:AM,Input_Raw!$A:$A,"&gt;="&amp;Analytics!$B$2,Input_Raw!$A:$A,"&lt;="&amp;Analytics!$B$3)</f>
        <v>870252</v>
      </c>
      <c r="AJ15" s="173">
        <f>SUMIFS(Input_Raw!AN:AN,Input_Raw!$A:$A,"&gt;="&amp;Analytics!$B$2,Input_Raw!$A:$A,"&lt;="&amp;Analytics!$B$3)</f>
        <v>753126</v>
      </c>
      <c r="AK15" s="173">
        <f>SUMIFS(Input_Raw!AO:AO,Input_Raw!$A:$A,"&gt;="&amp;Analytics!$B$2,Input_Raw!$A:$A,"&lt;="&amp;Analytics!$B$3)</f>
        <v>935644</v>
      </c>
      <c r="AL15" s="173">
        <f>SUMIFS(Input_Raw!AP:AP,Input_Raw!$A:$A,"&gt;="&amp;Analytics!$B$2,Input_Raw!$A:$A,"&lt;="&amp;Analytics!$B$3)</f>
        <v>928512</v>
      </c>
      <c r="AM15" s="173">
        <f>SUMIFS(Input_Raw!AQ:AQ,Input_Raw!$A:$A,"&gt;="&amp;Analytics!$B$2,Input_Raw!$A:$A,"&lt;="&amp;Analytics!$B$3)</f>
        <v>871756</v>
      </c>
      <c r="AN15" s="173">
        <f>SUMIFS(Input_Raw!AR:AR,Input_Raw!$A:$A,"&gt;="&amp;Analytics!$B$2,Input_Raw!$A:$A,"&lt;="&amp;Analytics!$B$3)</f>
        <v>912304</v>
      </c>
      <c r="AO15" s="173">
        <f>SUMIFS(Input_Raw!AS:AS,Input_Raw!$A:$A,"&gt;="&amp;Analytics!$B$2,Input_Raw!$A:$A,"&lt;="&amp;Analytics!$B$3)</f>
        <v>754254</v>
      </c>
      <c r="AP15" s="173">
        <f>SUMIFS(Input_Raw!AT:AT,Input_Raw!$A:$A,"&gt;="&amp;Analytics!$B$2,Input_Raw!$A:$A,"&lt;="&amp;Analytics!$B$3)</f>
        <v>833658</v>
      </c>
      <c r="AQ15" s="173">
        <f>SUMIFS(Input_Raw!AU:AU,Input_Raw!$A:$A,"&gt;="&amp;Analytics!$B$2,Input_Raw!$A:$A,"&lt;="&amp;Analytics!$B$3)</f>
        <v>795260</v>
      </c>
      <c r="AR15" s="173">
        <f>SUMIFS(Input_Raw!AV:AV,Input_Raw!$A:$A,"&gt;="&amp;Analytics!$B$2,Input_Raw!$A:$A,"&lt;="&amp;Analytics!$B$3)</f>
        <v>898000</v>
      </c>
      <c r="AS15" s="173">
        <f>SUMIFS(Input_Raw!AW:AW,Input_Raw!$A:$A,"&gt;="&amp;Analytics!$B$2,Input_Raw!$A:$A,"&lt;="&amp;Analytics!$B$3)</f>
        <v>878236</v>
      </c>
      <c r="AT15">
        <f>SUM(B15:AS15)</f>
        <v>35895897</v>
      </c>
    </row>
    <row r="16" spans="1:46" ht="29.1" customHeight="1">
      <c r="A16" s="167" t="s">
        <v>131</v>
      </c>
      <c r="B16" s="172">
        <f>($C$3-(SUM(B8:B12,B14,B6)))/$C$3</f>
        <v>0.97572016460905342</v>
      </c>
      <c r="C16" s="172">
        <f t="shared" ref="C16:AS16" si="34">($C$3-(SUM(C8:C12,C14,C6)))/$C$3</f>
        <v>0.98122427983539096</v>
      </c>
      <c r="D16" s="172">
        <f t="shared" si="34"/>
        <v>0.94066358024691354</v>
      </c>
      <c r="E16" s="172">
        <f t="shared" si="34"/>
        <v>0.94609053497942397</v>
      </c>
      <c r="F16" s="172">
        <f t="shared" si="34"/>
        <v>0.99989711934156367</v>
      </c>
      <c r="G16" s="172">
        <f t="shared" si="34"/>
        <v>0.99320987654320991</v>
      </c>
      <c r="H16" s="172">
        <f t="shared" si="34"/>
        <v>0.98577674897119338</v>
      </c>
      <c r="I16" s="172">
        <f t="shared" si="34"/>
        <v>0.99681069958847723</v>
      </c>
      <c r="J16" s="172">
        <f t="shared" si="34"/>
        <v>0.99570473251028813</v>
      </c>
      <c r="K16" s="172">
        <f t="shared" si="34"/>
        <v>0.99822530864197534</v>
      </c>
      <c r="L16" s="172">
        <f t="shared" si="34"/>
        <v>0.98912037037037048</v>
      </c>
      <c r="M16" s="172">
        <f t="shared" si="34"/>
        <v>0.99994855967078189</v>
      </c>
      <c r="N16" s="172">
        <f t="shared" si="34"/>
        <v>0.96332304526748969</v>
      </c>
      <c r="O16" s="172">
        <f t="shared" si="34"/>
        <v>0.99714506172839501</v>
      </c>
      <c r="P16" s="172">
        <f t="shared" si="34"/>
        <v>0.9750771604938272</v>
      </c>
      <c r="Q16" s="172">
        <f t="shared" si="34"/>
        <v>0.99061213991769537</v>
      </c>
      <c r="R16" s="172">
        <f t="shared" si="34"/>
        <v>0.99781378600823056</v>
      </c>
      <c r="S16" s="172">
        <f t="shared" si="34"/>
        <v>0.98605967078189305</v>
      </c>
      <c r="T16" s="172">
        <f t="shared" si="34"/>
        <v>0.98888888888888882</v>
      </c>
      <c r="U16" s="172">
        <f t="shared" si="34"/>
        <v>0.99475308641975313</v>
      </c>
      <c r="V16" s="172">
        <f t="shared" si="34"/>
        <v>0.99747942386831279</v>
      </c>
      <c r="W16" s="172">
        <f t="shared" si="34"/>
        <v>0.99302983539094658</v>
      </c>
      <c r="X16" s="172">
        <f t="shared" si="34"/>
        <v>0.9975823045267489</v>
      </c>
      <c r="Y16" s="172">
        <f t="shared" si="34"/>
        <v>0.97541152263374498</v>
      </c>
      <c r="Z16" s="172">
        <f t="shared" si="34"/>
        <v>0.99994855967078189</v>
      </c>
      <c r="AA16" s="172">
        <f t="shared" si="34"/>
        <v>0.99308127572016458</v>
      </c>
      <c r="AB16" s="172">
        <f t="shared" si="34"/>
        <v>0.98595679012345672</v>
      </c>
      <c r="AC16" s="172">
        <f t="shared" si="34"/>
        <v>0.98299897119341562</v>
      </c>
      <c r="AD16" s="172">
        <f t="shared" si="34"/>
        <v>0.97186213991769543</v>
      </c>
      <c r="AE16" s="172">
        <f t="shared" si="34"/>
        <v>0.9741255144032922</v>
      </c>
      <c r="AF16" s="172">
        <f t="shared" si="34"/>
        <v>0.99791666666666667</v>
      </c>
      <c r="AG16" s="172">
        <f t="shared" si="34"/>
        <v>0.98199588477366262</v>
      </c>
      <c r="AH16" s="172">
        <f t="shared" si="34"/>
        <v>0.98768004115226338</v>
      </c>
      <c r="AI16" s="172">
        <f t="shared" si="34"/>
        <v>0.99423868312757202</v>
      </c>
      <c r="AJ16" s="172">
        <f t="shared" si="34"/>
        <v>0.99619341563786001</v>
      </c>
      <c r="AK16" s="172">
        <f t="shared" si="34"/>
        <v>0.99940843621399178</v>
      </c>
      <c r="AL16" s="172">
        <f t="shared" si="34"/>
        <v>0.99987139917695467</v>
      </c>
      <c r="AM16" s="172">
        <f t="shared" si="34"/>
        <v>0.99989711934156367</v>
      </c>
      <c r="AN16" s="172">
        <f t="shared" si="34"/>
        <v>0.99989711934156367</v>
      </c>
      <c r="AO16" s="172">
        <f t="shared" si="34"/>
        <v>0.96589506172839501</v>
      </c>
      <c r="AP16" s="172">
        <f t="shared" si="34"/>
        <v>0.97885802469135796</v>
      </c>
      <c r="AQ16" s="172">
        <f t="shared" si="34"/>
        <v>0.98317901234567906</v>
      </c>
      <c r="AR16" s="172">
        <f t="shared" si="34"/>
        <v>0.98603395061728405</v>
      </c>
      <c r="AS16" s="172">
        <f t="shared" si="34"/>
        <v>0.96394032921810702</v>
      </c>
      <c r="AT16" s="85">
        <f t="shared" si="2"/>
        <v>0.9864215067340063</v>
      </c>
    </row>
    <row r="17" spans="1:46" ht="29.1" hidden="1" customHeight="1">
      <c r="A17" s="170" t="s">
        <v>132</v>
      </c>
      <c r="B17" s="171">
        <f>SUMIFS(WTG_BD!$T:$T,WTG_BD!$G:$G,Analytics!B$4,WTG_BD!$F:$F,"&gt;="&amp;Analytics!$B$2,WTG_BD!$F:$F,"&lt;="&amp;Analytics!$B$3)</f>
        <v>6.7500000000000009</v>
      </c>
      <c r="C17" s="171">
        <f>SUMIFS(WTG_BD!$T:$T,WTG_BD!$G:$G,Analytics!C$4,WTG_BD!$F:$F,"&gt;="&amp;Analytics!$B$2,WTG_BD!$F:$F,"&lt;="&amp;Analytics!$B$3)</f>
        <v>3.1833333333333336</v>
      </c>
      <c r="D17" s="171">
        <f>SUMIFS(WTG_BD!$T:$T,WTG_BD!$G:$G,Analytics!D$4,WTG_BD!$F:$F,"&gt;="&amp;Analytics!$B$2,WTG_BD!$F:$F,"&lt;="&amp;Analytics!$B$3)</f>
        <v>29.466666666666665</v>
      </c>
      <c r="E17" s="171">
        <f>SUMIFS(WTG_BD!$T:$T,WTG_BD!$G:$G,Analytics!E$4,WTG_BD!$F:$F,"&gt;="&amp;Analytics!$B$2,WTG_BD!$F:$F,"&lt;="&amp;Analytics!$B$3)</f>
        <v>34.249999999999993</v>
      </c>
      <c r="F17" s="171">
        <f>SUMIFS(WTG_BD!$T:$T,WTG_BD!$G:$G,Analytics!F$4,WTG_BD!$F:$F,"&gt;="&amp;Analytics!$B$2,WTG_BD!$F:$F,"&lt;="&amp;Analytics!$B$3)</f>
        <v>6.666666666666643E-2</v>
      </c>
      <c r="G17" s="171">
        <f>SUMIFS(WTG_BD!$T:$T,WTG_BD!$G:$G,Analytics!G$4,WTG_BD!$F:$F,"&gt;="&amp;Analytics!$B$2,WTG_BD!$F:$F,"&lt;="&amp;Analytics!$B$3)</f>
        <v>4.3999999999999977</v>
      </c>
      <c r="H17" s="171">
        <f>SUMIFS(WTG_BD!$T:$T,WTG_BD!$G:$G,Analytics!H$4,WTG_BD!$F:$F,"&gt;="&amp;Analytics!$B$2,WTG_BD!$F:$F,"&lt;="&amp;Analytics!$B$3)</f>
        <v>0.2333333333333325</v>
      </c>
      <c r="I17" s="171">
        <f>SUMIFS(WTG_BD!$T:$T,WTG_BD!$G:$G,Analytics!I$4,WTG_BD!$F:$F,"&gt;="&amp;Analytics!$B$2,WTG_BD!$F:$F,"&lt;="&amp;Analytics!$B$3)</f>
        <v>2.0666666666666647</v>
      </c>
      <c r="J17" s="171">
        <f>SUMIFS(WTG_BD!$T:$T,WTG_BD!$G:$G,Analytics!J$4,WTG_BD!$F:$F,"&gt;="&amp;Analytics!$B$2,WTG_BD!$F:$F,"&lt;="&amp;Analytics!$B$3)</f>
        <v>2.7833333333333354</v>
      </c>
      <c r="K17" s="171">
        <f>SUMIFS(WTG_BD!$T:$T,WTG_BD!$G:$G,Analytics!K$4,WTG_BD!$F:$F,"&gt;="&amp;Analytics!$B$2,WTG_BD!$F:$F,"&lt;="&amp;Analytics!$B$3)</f>
        <v>1.1499999999999972</v>
      </c>
      <c r="L17" s="171">
        <f>SUMIFS(WTG_BD!$T:$T,WTG_BD!$G:$G,Analytics!L$4,WTG_BD!$F:$F,"&gt;="&amp;Analytics!$B$2,WTG_BD!$F:$F,"&lt;="&amp;Analytics!$B$3)</f>
        <v>7.0499999999999963</v>
      </c>
      <c r="M17" s="171">
        <f>SUMIFS(WTG_BD!$T:$T,WTG_BD!$G:$G,Analytics!M$4,WTG_BD!$F:$F,"&gt;="&amp;Analytics!$B$2,WTG_BD!$F:$F,"&lt;="&amp;Analytics!$B$3)</f>
        <v>3.3333333333333215E-2</v>
      </c>
      <c r="N17" s="171">
        <f>SUMIFS(WTG_BD!$T:$T,WTG_BD!$G:$G,Analytics!N$4,WTG_BD!$F:$F,"&gt;="&amp;Analytics!$B$2,WTG_BD!$F:$F,"&lt;="&amp;Analytics!$B$3)</f>
        <v>23.766666666666662</v>
      </c>
      <c r="O17" s="171">
        <f>SUMIFS(WTG_BD!$T:$T,WTG_BD!$G:$G,Analytics!O$4,WTG_BD!$F:$F,"&gt;="&amp;Analytics!$B$2,WTG_BD!$F:$F,"&lt;="&amp;Analytics!$B$3)</f>
        <v>1.1666666666666679</v>
      </c>
      <c r="P17" s="171">
        <f>SUMIFS(WTG_BD!$T:$T,WTG_BD!$G:$G,Analytics!P$4,WTG_BD!$F:$F,"&gt;="&amp;Analytics!$B$2,WTG_BD!$F:$F,"&lt;="&amp;Analytics!$B$3)</f>
        <v>15.466666666666669</v>
      </c>
      <c r="Q17" s="171">
        <f>SUMIFS(WTG_BD!$T:$T,WTG_BD!$G:$G,Analytics!Q$4,WTG_BD!$F:$F,"&gt;="&amp;Analytics!$B$2,WTG_BD!$F:$F,"&lt;="&amp;Analytics!$B$3)</f>
        <v>5.4000000000000021</v>
      </c>
      <c r="R17" s="171">
        <f>SUMIFS(WTG_BD!$T:$T,WTG_BD!$G:$G,Analytics!R$4,WTG_BD!$F:$F,"&gt;="&amp;Analytics!$B$2,WTG_BD!$F:$F,"&lt;="&amp;Analytics!$B$3)</f>
        <v>0.73333333333333117</v>
      </c>
      <c r="S17" s="171">
        <f>SUMIFS(WTG_BD!$T:$T,WTG_BD!$G:$G,Analytics!S$4,WTG_BD!$F:$F,"&gt;="&amp;Analytics!$B$2,WTG_BD!$F:$F,"&lt;="&amp;Analytics!$B$3)</f>
        <v>4.9999999999999822E-2</v>
      </c>
      <c r="T17" s="171">
        <f>SUMIFS(WTG_BD!$T:$T,WTG_BD!$G:$G,Analytics!T$4,WTG_BD!$F:$F,"&gt;="&amp;Analytics!$B$2,WTG_BD!$F:$F,"&lt;="&amp;Analytics!$B$3)</f>
        <v>6.5166666666666648</v>
      </c>
      <c r="U17" s="171">
        <f>SUMIFS(WTG_BD!$T:$T,WTG_BD!$G:$G,Analytics!U$4,WTG_BD!$F:$F,"&gt;="&amp;Analytics!$B$2,WTG_BD!$F:$F,"&lt;="&amp;Analytics!$B$3)</f>
        <v>2.7166666666666712</v>
      </c>
      <c r="V17" s="171">
        <f>SUMIFS(WTG_BD!$T:$T,WTG_BD!$G:$G,Analytics!V$4,WTG_BD!$F:$F,"&gt;="&amp;Analytics!$B$2,WTG_BD!$F:$F,"&lt;="&amp;Analytics!$B$3)</f>
        <v>0.94999999999999929</v>
      </c>
      <c r="W17" s="171">
        <f>SUMIFS(WTG_BD!$T:$T,WTG_BD!$G:$G,Analytics!W$4,WTG_BD!$F:$F,"&gt;="&amp;Analytics!$B$2,WTG_BD!$F:$F,"&lt;="&amp;Analytics!$B$3)</f>
        <v>3.8333333333333317</v>
      </c>
      <c r="X17" s="171">
        <f>SUMIFS(WTG_BD!$T:$T,WTG_BD!$G:$G,Analytics!X$4,WTG_BD!$F:$F,"&gt;="&amp;Analytics!$B$2,WTG_BD!$F:$F,"&lt;="&amp;Analytics!$B$3)</f>
        <v>1.5666666666666664</v>
      </c>
      <c r="Y17" s="171">
        <f>SUMIFS(WTG_BD!$T:$T,WTG_BD!$G:$G,Analytics!Y$4,WTG_BD!$F:$F,"&gt;="&amp;Analytics!$B$2,WTG_BD!$F:$F,"&lt;="&amp;Analytics!$B$3)</f>
        <v>15.933333333333334</v>
      </c>
      <c r="Z17" s="171">
        <f>SUMIFS(WTG_BD!$T:$T,WTG_BD!$G:$G,Analytics!Z$4,WTG_BD!$F:$F,"&gt;="&amp;Analytics!$B$2,WTG_BD!$F:$F,"&lt;="&amp;Analytics!$B$3)</f>
        <v>3.3333333333335879E-2</v>
      </c>
      <c r="AA17" s="171">
        <f>SUMIFS(WTG_BD!$T:$T,WTG_BD!$G:$G,Analytics!AA$4,WTG_BD!$F:$F,"&gt;="&amp;Analytics!$B$2,WTG_BD!$F:$F,"&lt;="&amp;Analytics!$B$3)</f>
        <v>4.4833333333333361</v>
      </c>
      <c r="AB17" s="171">
        <f>SUMIFS(WTG_BD!$T:$T,WTG_BD!$G:$G,Analytics!AB$4,WTG_BD!$F:$F,"&gt;="&amp;Analytics!$B$2,WTG_BD!$F:$F,"&lt;="&amp;Analytics!$B$3)</f>
        <v>0.11666666666666625</v>
      </c>
      <c r="AC17" s="171">
        <f>SUMIFS(WTG_BD!$T:$T,WTG_BD!$G:$G,Analytics!AC$4,WTG_BD!$F:$F,"&gt;="&amp;Analytics!$B$2,WTG_BD!$F:$F,"&lt;="&amp;Analytics!$B$3)</f>
        <v>2.0333333333333288</v>
      </c>
      <c r="AD17" s="171">
        <f>SUMIFS(WTG_BD!$T:$T,WTG_BD!$G:$G,Analytics!AD$4,WTG_BD!$F:$F,"&gt;="&amp;Analytics!$B$2,WTG_BD!$F:$F,"&lt;="&amp;Analytics!$B$3)</f>
        <v>17.549999999999997</v>
      </c>
      <c r="AE17" s="171">
        <f>SUMIFS(WTG_BD!$T:$T,WTG_BD!$G:$G,Analytics!AE$4,WTG_BD!$F:$F,"&gt;="&amp;Analytics!$B$2,WTG_BD!$F:$F,"&lt;="&amp;Analytics!$B$3)</f>
        <v>7.7833333333333288</v>
      </c>
      <c r="AF17" s="171">
        <f>SUMIFS(WTG_BD!$T:$T,WTG_BD!$G:$G,Analytics!AF$4,WTG_BD!$F:$F,"&gt;="&amp;Analytics!$B$2,WTG_BD!$F:$F,"&lt;="&amp;Analytics!$B$3)</f>
        <v>0.66666666666666963</v>
      </c>
      <c r="AG17" s="171">
        <f>SUMIFS(WTG_BD!$T:$T,WTG_BD!$G:$G,Analytics!AG$4,WTG_BD!$F:$F,"&gt;="&amp;Analytics!$B$2,WTG_BD!$F:$F,"&lt;="&amp;Analytics!$B$3)</f>
        <v>11.666666666666666</v>
      </c>
      <c r="AH17" s="171">
        <f>SUMIFS(WTG_BD!$T:$T,WTG_BD!$G:$G,Analytics!AH$4,WTG_BD!$F:$F,"&gt;="&amp;Analytics!$B$2,WTG_BD!$F:$F,"&lt;="&amp;Analytics!$B$3)</f>
        <v>7.9833333333333307</v>
      </c>
      <c r="AI17" s="171">
        <f>SUMIFS(WTG_BD!$T:$T,WTG_BD!$G:$G,Analytics!AI$4,WTG_BD!$F:$F,"&gt;="&amp;Analytics!$B$2,WTG_BD!$F:$F,"&lt;="&amp;Analytics!$B$3)</f>
        <v>3.7333333333333334</v>
      </c>
      <c r="AJ17" s="171">
        <f>SUMIFS(WTG_BD!$T:$T,WTG_BD!$G:$G,Analytics!AJ$4,WTG_BD!$F:$F,"&gt;="&amp;Analytics!$B$2,WTG_BD!$F:$F,"&lt;="&amp;Analytics!$B$3)</f>
        <v>1.783333333333333</v>
      </c>
      <c r="AK17" s="171">
        <f>SUMIFS(WTG_BD!$T:$T,WTG_BD!$G:$G,Analytics!AK$4,WTG_BD!$F:$F,"&gt;="&amp;Analytics!$B$2,WTG_BD!$F:$F,"&lt;="&amp;Analytics!$B$3)</f>
        <v>0.38333333333333464</v>
      </c>
      <c r="AL17" s="171">
        <f>SUMIFS(WTG_BD!$T:$T,WTG_BD!$G:$G,Analytics!AL$4,WTG_BD!$F:$F,"&gt;="&amp;Analytics!$B$2,WTG_BD!$F:$F,"&lt;="&amp;Analytics!$B$3)</f>
        <v>8.3333333333333037E-2</v>
      </c>
      <c r="AM17" s="171">
        <f>SUMIFS(WTG_BD!$T:$T,WTG_BD!$G:$G,Analytics!AM$4,WTG_BD!$F:$F,"&gt;="&amp;Analytics!$B$2,WTG_BD!$F:$F,"&lt;="&amp;Analytics!$B$3)</f>
        <v>6.666666666666643E-2</v>
      </c>
      <c r="AN17" s="171">
        <f>SUMIFS(WTG_BD!$T:$T,WTG_BD!$G:$G,Analytics!AN$4,WTG_BD!$F:$F,"&gt;="&amp;Analytics!$B$2,WTG_BD!$F:$F,"&lt;="&amp;Analytics!$B$3)</f>
        <v>6.666666666666643E-2</v>
      </c>
      <c r="AO17" s="171">
        <f>SUMIFS(WTG_BD!$T:$T,WTG_BD!$G:$G,Analytics!AO$4,WTG_BD!$F:$F,"&gt;="&amp;Analytics!$B$2,WTG_BD!$F:$F,"&lt;="&amp;Analytics!$B$3)</f>
        <v>13.116666666666667</v>
      </c>
      <c r="AP17" s="171">
        <f>SUMIFS(WTG_BD!$T:$T,WTG_BD!$G:$G,Analytics!AP$4,WTG_BD!$F:$F,"&gt;="&amp;Analytics!$B$2,WTG_BD!$F:$F,"&lt;="&amp;Analytics!$B$3)</f>
        <v>4.7166666666666623</v>
      </c>
      <c r="AQ17" s="171">
        <f>SUMIFS(WTG_BD!$T:$T,WTG_BD!$G:$G,Analytics!AQ$4,WTG_BD!$F:$F,"&gt;="&amp;Analytics!$B$2,WTG_BD!$F:$F,"&lt;="&amp;Analytics!$B$3)</f>
        <v>1.9166666666666585</v>
      </c>
      <c r="AR17" s="171">
        <f>SUMIFS(WTG_BD!$T:$T,WTG_BD!$G:$G,Analytics!AR$4,WTG_BD!$F:$F,"&gt;="&amp;Analytics!$B$2,WTG_BD!$F:$F,"&lt;="&amp;Analytics!$B$3)</f>
        <v>6.666666666666643E-2</v>
      </c>
      <c r="AS17" s="171">
        <f>SUMIFS(WTG_BD!$T:$T,WTG_BD!$G:$G,Analytics!AS$4,WTG_BD!$F:$F,"&gt;="&amp;Analytics!$B$2,WTG_BD!$F:$F,"&lt;="&amp;Analytics!$B$3)</f>
        <v>14.383333333333333</v>
      </c>
      <c r="AT17" s="171">
        <f>SUMIFS(WTG_BD!$T:$T,WTG_BD!$G:$G,Analytics!AT$4,WTG_BD!$F:$F,"&gt;="&amp;Analytics!$B$2,WTG_BD!$F:$F,"&lt;="&amp;Analytics!$B$3)</f>
        <v>0</v>
      </c>
    </row>
    <row r="18" spans="1:46" ht="29.1" hidden="1" customHeight="1">
      <c r="A18" s="170" t="s">
        <v>133</v>
      </c>
      <c r="B18" s="171">
        <f>COUNTIFS(WTG_BD!$G:$G,Analytics!B$4,WTG_BD!$F:$F,"&gt;="&amp;Analytics!$B$2,WTG_BD!$F:$F,"&lt;="&amp;Analytics!$B$3)</f>
        <v>6</v>
      </c>
      <c r="C18" s="171">
        <f>COUNTIFS(WTG_BD!$G:$G,Analytics!C$4,WTG_BD!$F:$F,"&gt;="&amp;Analytics!$B$2,WTG_BD!$F:$F,"&lt;="&amp;Analytics!$B$3)</f>
        <v>2</v>
      </c>
      <c r="D18" s="171">
        <f>COUNTIFS(WTG_BD!$G:$G,Analytics!D$4,WTG_BD!$F:$F,"&gt;="&amp;Analytics!$B$2,WTG_BD!$F:$F,"&lt;="&amp;Analytics!$B$3)</f>
        <v>3</v>
      </c>
      <c r="E18" s="171">
        <f>COUNTIFS(WTG_BD!$G:$G,Analytics!E$4,WTG_BD!$F:$F,"&gt;="&amp;Analytics!$B$2,WTG_BD!$F:$F,"&lt;="&amp;Analytics!$B$3)</f>
        <v>8</v>
      </c>
      <c r="F18" s="171">
        <f>COUNTIFS(WTG_BD!$G:$G,Analytics!F$4,WTG_BD!$F:$F,"&gt;="&amp;Analytics!$B$2,WTG_BD!$F:$F,"&lt;="&amp;Analytics!$B$3)</f>
        <v>1</v>
      </c>
      <c r="G18" s="171">
        <f>COUNTIFS(WTG_BD!$G:$G,Analytics!G$4,WTG_BD!$F:$F,"&gt;="&amp;Analytics!$B$2,WTG_BD!$F:$F,"&lt;="&amp;Analytics!$B$3)</f>
        <v>4</v>
      </c>
      <c r="H18" s="171">
        <f>COUNTIFS(WTG_BD!$G:$G,Analytics!H$4,WTG_BD!$F:$F,"&gt;="&amp;Analytics!$B$2,WTG_BD!$F:$F,"&lt;="&amp;Analytics!$B$3)</f>
        <v>2</v>
      </c>
      <c r="I18" s="171">
        <f>COUNTIFS(WTG_BD!$G:$G,Analytics!I$4,WTG_BD!$F:$F,"&gt;="&amp;Analytics!$B$2,WTG_BD!$F:$F,"&lt;="&amp;Analytics!$B$3)</f>
        <v>4</v>
      </c>
      <c r="J18" s="171">
        <f>COUNTIFS(WTG_BD!$G:$G,Analytics!J$4,WTG_BD!$F:$F,"&gt;="&amp;Analytics!$B$2,WTG_BD!$F:$F,"&lt;="&amp;Analytics!$B$3)</f>
        <v>3</v>
      </c>
      <c r="K18" s="171">
        <f>COUNTIFS(WTG_BD!$G:$G,Analytics!K$4,WTG_BD!$F:$F,"&gt;="&amp;Analytics!$B$2,WTG_BD!$F:$F,"&lt;="&amp;Analytics!$B$3)</f>
        <v>4</v>
      </c>
      <c r="L18" s="171">
        <f>COUNTIFS(WTG_BD!$G:$G,Analytics!L$4,WTG_BD!$F:$F,"&gt;="&amp;Analytics!$B$2,WTG_BD!$F:$F,"&lt;="&amp;Analytics!$B$3)</f>
        <v>7</v>
      </c>
      <c r="M18" s="171">
        <f>COUNTIFS(WTG_BD!$G:$G,Analytics!M$4,WTG_BD!$F:$F,"&gt;="&amp;Analytics!$B$2,WTG_BD!$F:$F,"&lt;="&amp;Analytics!$B$3)</f>
        <v>1</v>
      </c>
      <c r="N18" s="171">
        <f>COUNTIFS(WTG_BD!$G:$G,Analytics!N$4,WTG_BD!$F:$F,"&gt;="&amp;Analytics!$B$2,WTG_BD!$F:$F,"&lt;="&amp;Analytics!$B$3)</f>
        <v>4</v>
      </c>
      <c r="O18" s="171">
        <f>COUNTIFS(WTG_BD!$G:$G,Analytics!O$4,WTG_BD!$F:$F,"&gt;="&amp;Analytics!$B$2,WTG_BD!$F:$F,"&lt;="&amp;Analytics!$B$3)</f>
        <v>1</v>
      </c>
      <c r="P18" s="171">
        <f>COUNTIFS(WTG_BD!$G:$G,Analytics!P$4,WTG_BD!$F:$F,"&gt;="&amp;Analytics!$B$2,WTG_BD!$F:$F,"&lt;="&amp;Analytics!$B$3)</f>
        <v>3</v>
      </c>
      <c r="Q18" s="171">
        <f>COUNTIFS(WTG_BD!$G:$G,Analytics!Q$4,WTG_BD!$F:$F,"&gt;="&amp;Analytics!$B$2,WTG_BD!$F:$F,"&lt;="&amp;Analytics!$B$3)</f>
        <v>2</v>
      </c>
      <c r="R18" s="171">
        <f>COUNTIFS(WTG_BD!$G:$G,Analytics!R$4,WTG_BD!$F:$F,"&gt;="&amp;Analytics!$B$2,WTG_BD!$F:$F,"&lt;="&amp;Analytics!$B$3)</f>
        <v>3</v>
      </c>
      <c r="S18" s="171">
        <f>COUNTIFS(WTG_BD!$G:$G,Analytics!S$4,WTG_BD!$F:$F,"&gt;="&amp;Analytics!$B$2,WTG_BD!$F:$F,"&lt;="&amp;Analytics!$B$3)</f>
        <v>1</v>
      </c>
      <c r="T18" s="171">
        <f>COUNTIFS(WTG_BD!$G:$G,Analytics!T$4,WTG_BD!$F:$F,"&gt;="&amp;Analytics!$B$2,WTG_BD!$F:$F,"&lt;="&amp;Analytics!$B$3)</f>
        <v>4</v>
      </c>
      <c r="U18" s="171">
        <f>COUNTIFS(WTG_BD!$G:$G,Analytics!U$4,WTG_BD!$F:$F,"&gt;="&amp;Analytics!$B$2,WTG_BD!$F:$F,"&lt;="&amp;Analytics!$B$3)</f>
        <v>3</v>
      </c>
      <c r="V18" s="171">
        <f>COUNTIFS(WTG_BD!$G:$G,Analytics!V$4,WTG_BD!$F:$F,"&gt;="&amp;Analytics!$B$2,WTG_BD!$F:$F,"&lt;="&amp;Analytics!$B$3)</f>
        <v>2</v>
      </c>
      <c r="W18" s="171">
        <f>COUNTIFS(WTG_BD!$G:$G,Analytics!W$4,WTG_BD!$F:$F,"&gt;="&amp;Analytics!$B$2,WTG_BD!$F:$F,"&lt;="&amp;Analytics!$B$3)</f>
        <v>5</v>
      </c>
      <c r="X18" s="171">
        <f>COUNTIFS(WTG_BD!$G:$G,Analytics!X$4,WTG_BD!$F:$F,"&gt;="&amp;Analytics!$B$2,WTG_BD!$F:$F,"&lt;="&amp;Analytics!$B$3)</f>
        <v>2</v>
      </c>
      <c r="Y18" s="171">
        <f>COUNTIFS(WTG_BD!$G:$G,Analytics!Y$4,WTG_BD!$F:$F,"&gt;="&amp;Analytics!$B$2,WTG_BD!$F:$F,"&lt;="&amp;Analytics!$B$3)</f>
        <v>7</v>
      </c>
      <c r="Z18" s="171">
        <f>COUNTIFS(WTG_BD!$G:$G,Analytics!Z$4,WTG_BD!$F:$F,"&gt;="&amp;Analytics!$B$2,WTG_BD!$F:$F,"&lt;="&amp;Analytics!$B$3)</f>
        <v>1</v>
      </c>
      <c r="AA18" s="171">
        <f>COUNTIFS(WTG_BD!$G:$G,Analytics!AA$4,WTG_BD!$F:$F,"&gt;="&amp;Analytics!$B$2,WTG_BD!$F:$F,"&lt;="&amp;Analytics!$B$3)</f>
        <v>4</v>
      </c>
      <c r="AB18" s="171">
        <f>COUNTIFS(WTG_BD!$G:$G,Analytics!AB$4,WTG_BD!$F:$F,"&gt;="&amp;Analytics!$B$2,WTG_BD!$F:$F,"&lt;="&amp;Analytics!$B$3)</f>
        <v>1</v>
      </c>
      <c r="AC18" s="171">
        <f>COUNTIFS(WTG_BD!$G:$G,Analytics!AC$4,WTG_BD!$F:$F,"&gt;="&amp;Analytics!$B$2,WTG_BD!$F:$F,"&lt;="&amp;Analytics!$B$3)</f>
        <v>2</v>
      </c>
      <c r="AD18" s="171">
        <f>COUNTIFS(WTG_BD!$G:$G,Analytics!AD$4,WTG_BD!$F:$F,"&gt;="&amp;Analytics!$B$2,WTG_BD!$F:$F,"&lt;="&amp;Analytics!$B$3)</f>
        <v>10</v>
      </c>
      <c r="AE18" s="171">
        <f>COUNTIFS(WTG_BD!$G:$G,Analytics!AE$4,WTG_BD!$F:$F,"&gt;="&amp;Analytics!$B$2,WTG_BD!$F:$F,"&lt;="&amp;Analytics!$B$3)</f>
        <v>5</v>
      </c>
      <c r="AF18" s="171">
        <f>COUNTIFS(WTG_BD!$G:$G,Analytics!AF$4,WTG_BD!$F:$F,"&gt;="&amp;Analytics!$B$2,WTG_BD!$F:$F,"&lt;="&amp;Analytics!$B$3)</f>
        <v>3</v>
      </c>
      <c r="AG18" s="171">
        <f>COUNTIFS(WTG_BD!$G:$G,Analytics!AG$4,WTG_BD!$F:$F,"&gt;="&amp;Analytics!$B$2,WTG_BD!$F:$F,"&lt;="&amp;Analytics!$B$3)</f>
        <v>2</v>
      </c>
      <c r="AH18" s="171">
        <f>COUNTIFS(WTG_BD!$G:$G,Analytics!AH$4,WTG_BD!$F:$F,"&gt;="&amp;Analytics!$B$2,WTG_BD!$F:$F,"&lt;="&amp;Analytics!$B$3)</f>
        <v>6</v>
      </c>
      <c r="AI18" s="171">
        <f>COUNTIFS(WTG_BD!$G:$G,Analytics!AI$4,WTG_BD!$F:$F,"&gt;="&amp;Analytics!$B$2,WTG_BD!$F:$F,"&lt;="&amp;Analytics!$B$3)</f>
        <v>3</v>
      </c>
      <c r="AJ18" s="171">
        <f>COUNTIFS(WTG_BD!$G:$G,Analytics!AJ$4,WTG_BD!$F:$F,"&gt;="&amp;Analytics!$B$2,WTG_BD!$F:$F,"&lt;="&amp;Analytics!$B$3)</f>
        <v>2</v>
      </c>
      <c r="AK18" s="171">
        <f>COUNTIFS(WTG_BD!$G:$G,Analytics!AK$4,WTG_BD!$F:$F,"&gt;="&amp;Analytics!$B$2,WTG_BD!$F:$F,"&lt;="&amp;Analytics!$B$3)</f>
        <v>2</v>
      </c>
      <c r="AL18" s="171">
        <f>COUNTIFS(WTG_BD!$G:$G,Analytics!AL$4,WTG_BD!$F:$F,"&gt;="&amp;Analytics!$B$2,WTG_BD!$F:$F,"&lt;="&amp;Analytics!$B$3)</f>
        <v>1</v>
      </c>
      <c r="AM18" s="171">
        <f>COUNTIFS(WTG_BD!$G:$G,Analytics!AM$4,WTG_BD!$F:$F,"&gt;="&amp;Analytics!$B$2,WTG_BD!$F:$F,"&lt;="&amp;Analytics!$B$3)</f>
        <v>1</v>
      </c>
      <c r="AN18" s="171">
        <f>COUNTIFS(WTG_BD!$G:$G,Analytics!AN$4,WTG_BD!$F:$F,"&gt;="&amp;Analytics!$B$2,WTG_BD!$F:$F,"&lt;="&amp;Analytics!$B$3)</f>
        <v>1</v>
      </c>
      <c r="AO18" s="171">
        <f>COUNTIFS(WTG_BD!$G:$G,Analytics!AO$4,WTG_BD!$F:$F,"&gt;="&amp;Analytics!$B$2,WTG_BD!$F:$F,"&lt;="&amp;Analytics!$B$3)</f>
        <v>5</v>
      </c>
      <c r="AP18" s="171">
        <f>COUNTIFS(WTG_BD!$G:$G,Analytics!AP$4,WTG_BD!$F:$F,"&gt;="&amp;Analytics!$B$2,WTG_BD!$F:$F,"&lt;="&amp;Analytics!$B$3)</f>
        <v>3</v>
      </c>
      <c r="AQ18" s="171">
        <f>COUNTIFS(WTG_BD!$G:$G,Analytics!AQ$4,WTG_BD!$F:$F,"&gt;="&amp;Analytics!$B$2,WTG_BD!$F:$F,"&lt;="&amp;Analytics!$B$3)</f>
        <v>3</v>
      </c>
      <c r="AR18" s="171">
        <f>COUNTIFS(WTG_BD!$G:$G,Analytics!AR$4,WTG_BD!$F:$F,"&gt;="&amp;Analytics!$B$2,WTG_BD!$F:$F,"&lt;="&amp;Analytics!$B$3)</f>
        <v>1</v>
      </c>
      <c r="AS18" s="171">
        <f>COUNTIFS(WTG_BD!$G:$G,Analytics!AS$4,WTG_BD!$F:$F,"&gt;="&amp;Analytics!$B$2,WTG_BD!$F:$F,"&lt;="&amp;Analytics!$B$3)</f>
        <v>6</v>
      </c>
      <c r="AT18" s="171">
        <f>COUNTIFS(WTG_BD!$G:$G,Analytics!AT$4,WTG_BD!$F:$F,"&gt;="&amp;Analytics!$B$2,WTG_BD!$F:$F,"&lt;="&amp;Analytics!$B$3)</f>
        <v>0</v>
      </c>
    </row>
    <row r="19" spans="1:46" ht="29.1" customHeight="1">
      <c r="A19" s="167" t="s">
        <v>134</v>
      </c>
      <c r="B19" s="171">
        <f>IFERROR(B17/B18,0)</f>
        <v>1.1250000000000002</v>
      </c>
      <c r="C19" s="171">
        <f t="shared" ref="C19:AS19" si="35">IFERROR(C17/C18,0)</f>
        <v>1.5916666666666668</v>
      </c>
      <c r="D19" s="171">
        <f t="shared" si="35"/>
        <v>9.8222222222222211</v>
      </c>
      <c r="E19" s="171">
        <f t="shared" si="35"/>
        <v>4.2812499999999991</v>
      </c>
      <c r="F19" s="171">
        <f t="shared" si="35"/>
        <v>6.666666666666643E-2</v>
      </c>
      <c r="G19" s="171">
        <f t="shared" si="35"/>
        <v>1.0999999999999994</v>
      </c>
      <c r="H19" s="171">
        <f t="shared" si="35"/>
        <v>0.11666666666666625</v>
      </c>
      <c r="I19" s="171">
        <f t="shared" si="35"/>
        <v>0.51666666666666616</v>
      </c>
      <c r="J19" s="171">
        <f t="shared" si="35"/>
        <v>0.92777777777777848</v>
      </c>
      <c r="K19" s="171">
        <f t="shared" si="35"/>
        <v>0.28749999999999931</v>
      </c>
      <c r="L19" s="171">
        <f t="shared" si="35"/>
        <v>1.0071428571428567</v>
      </c>
      <c r="M19" s="171">
        <f t="shared" si="35"/>
        <v>3.3333333333333215E-2</v>
      </c>
      <c r="N19" s="171">
        <f t="shared" si="35"/>
        <v>5.9416666666666655</v>
      </c>
      <c r="O19" s="171">
        <f t="shared" si="35"/>
        <v>1.1666666666666679</v>
      </c>
      <c r="P19" s="171">
        <f t="shared" si="35"/>
        <v>5.1555555555555559</v>
      </c>
      <c r="Q19" s="171">
        <f t="shared" si="35"/>
        <v>2.7000000000000011</v>
      </c>
      <c r="R19" s="171">
        <f t="shared" si="35"/>
        <v>0.24444444444444371</v>
      </c>
      <c r="S19" s="171">
        <f t="shared" si="35"/>
        <v>4.9999999999999822E-2</v>
      </c>
      <c r="T19" s="171">
        <f t="shared" si="35"/>
        <v>1.6291666666666662</v>
      </c>
      <c r="U19" s="171">
        <f t="shared" si="35"/>
        <v>0.90555555555555711</v>
      </c>
      <c r="V19" s="171">
        <f t="shared" si="35"/>
        <v>0.47499999999999964</v>
      </c>
      <c r="W19" s="171">
        <f t="shared" si="35"/>
        <v>0.76666666666666639</v>
      </c>
      <c r="X19" s="171">
        <f t="shared" si="35"/>
        <v>0.78333333333333321</v>
      </c>
      <c r="Y19" s="171">
        <f>IFERROR(Y17/Y18,0)</f>
        <v>2.2761904761904761</v>
      </c>
      <c r="Z19" s="171">
        <f t="shared" si="35"/>
        <v>3.3333333333335879E-2</v>
      </c>
      <c r="AA19" s="171">
        <f t="shared" si="35"/>
        <v>1.120833333333334</v>
      </c>
      <c r="AB19" s="171">
        <f t="shared" si="35"/>
        <v>0.11666666666666625</v>
      </c>
      <c r="AC19" s="171">
        <f t="shared" si="35"/>
        <v>1.0166666666666644</v>
      </c>
      <c r="AD19" s="171">
        <f t="shared" si="35"/>
        <v>1.7549999999999997</v>
      </c>
      <c r="AE19" s="171">
        <f t="shared" si="35"/>
        <v>1.5566666666666658</v>
      </c>
      <c r="AF19" s="171">
        <f t="shared" si="35"/>
        <v>0.22222222222222321</v>
      </c>
      <c r="AG19" s="171">
        <f t="shared" si="35"/>
        <v>5.833333333333333</v>
      </c>
      <c r="AH19" s="171">
        <f t="shared" si="35"/>
        <v>1.330555555555555</v>
      </c>
      <c r="AI19" s="171">
        <f t="shared" si="35"/>
        <v>1.2444444444444445</v>
      </c>
      <c r="AJ19" s="171">
        <f t="shared" si="35"/>
        <v>0.8916666666666665</v>
      </c>
      <c r="AK19" s="171">
        <f t="shared" si="35"/>
        <v>0.19166666666666732</v>
      </c>
      <c r="AL19" s="171">
        <f t="shared" si="35"/>
        <v>8.3333333333333037E-2</v>
      </c>
      <c r="AM19" s="171">
        <f t="shared" si="35"/>
        <v>6.666666666666643E-2</v>
      </c>
      <c r="AN19" s="171">
        <f t="shared" si="35"/>
        <v>6.666666666666643E-2</v>
      </c>
      <c r="AO19" s="171">
        <f t="shared" si="35"/>
        <v>2.6233333333333335</v>
      </c>
      <c r="AP19" s="171">
        <f t="shared" si="35"/>
        <v>1.5722222222222209</v>
      </c>
      <c r="AQ19" s="171">
        <f t="shared" si="35"/>
        <v>0.63888888888888618</v>
      </c>
      <c r="AR19" s="171">
        <f t="shared" si="35"/>
        <v>6.666666666666643E-2</v>
      </c>
      <c r="AS19" s="171">
        <f t="shared" si="35"/>
        <v>2.3972222222222221</v>
      </c>
      <c r="AT19" s="87">
        <f t="shared" si="2"/>
        <v>1.4954135101010104</v>
      </c>
    </row>
    <row r="20" spans="1:46" ht="29.1" customHeight="1">
      <c r="A20" s="167" t="s">
        <v>135</v>
      </c>
      <c r="B20" s="171">
        <f>IFERROR(($C$3-B17)/B18,$C$3)</f>
        <v>106.875</v>
      </c>
      <c r="C20" s="171">
        <f t="shared" ref="C20:AS20" si="36">IFERROR(($C$3-C17)/C18,$C$3)</f>
        <v>322.40833333333336</v>
      </c>
      <c r="D20" s="171">
        <f t="shared" si="36"/>
        <v>206.17777777777778</v>
      </c>
      <c r="E20" s="171">
        <f t="shared" si="36"/>
        <v>76.71875</v>
      </c>
      <c r="F20" s="171">
        <f t="shared" si="36"/>
        <v>647.93333333333328</v>
      </c>
      <c r="G20" s="171">
        <f t="shared" si="36"/>
        <v>160.9</v>
      </c>
      <c r="H20" s="171">
        <f t="shared" si="36"/>
        <v>323.88333333333333</v>
      </c>
      <c r="I20" s="171">
        <f t="shared" si="36"/>
        <v>161.48333333333332</v>
      </c>
      <c r="J20" s="171">
        <f t="shared" si="36"/>
        <v>215.07222222222222</v>
      </c>
      <c r="K20" s="171">
        <f t="shared" si="36"/>
        <v>161.71250000000001</v>
      </c>
      <c r="L20" s="171">
        <f t="shared" si="36"/>
        <v>91.564285714285717</v>
      </c>
      <c r="M20" s="171">
        <f t="shared" si="36"/>
        <v>647.9666666666667</v>
      </c>
      <c r="N20" s="171">
        <f t="shared" si="36"/>
        <v>156.05833333333334</v>
      </c>
      <c r="O20" s="171">
        <f t="shared" si="36"/>
        <v>646.83333333333337</v>
      </c>
      <c r="P20" s="171">
        <f t="shared" si="36"/>
        <v>210.84444444444443</v>
      </c>
      <c r="Q20" s="171">
        <f t="shared" si="36"/>
        <v>321.3</v>
      </c>
      <c r="R20" s="171">
        <f t="shared" si="36"/>
        <v>215.75555555555556</v>
      </c>
      <c r="S20" s="171">
        <f t="shared" si="36"/>
        <v>647.95000000000005</v>
      </c>
      <c r="T20" s="171">
        <f t="shared" si="36"/>
        <v>160.37083333333334</v>
      </c>
      <c r="U20" s="171">
        <f t="shared" si="36"/>
        <v>215.09444444444443</v>
      </c>
      <c r="V20" s="171">
        <f t="shared" si="36"/>
        <v>323.52499999999998</v>
      </c>
      <c r="W20" s="171">
        <f t="shared" si="36"/>
        <v>128.83333333333331</v>
      </c>
      <c r="X20" s="171">
        <f t="shared" si="36"/>
        <v>323.21666666666664</v>
      </c>
      <c r="Y20" s="171">
        <f t="shared" si="36"/>
        <v>90.295238095238105</v>
      </c>
      <c r="Z20" s="171">
        <f t="shared" si="36"/>
        <v>647.9666666666667</v>
      </c>
      <c r="AA20" s="171">
        <f t="shared" si="36"/>
        <v>160.87916666666666</v>
      </c>
      <c r="AB20" s="171">
        <f t="shared" si="36"/>
        <v>647.88333333333333</v>
      </c>
      <c r="AC20" s="171">
        <f t="shared" si="36"/>
        <v>322.98333333333335</v>
      </c>
      <c r="AD20" s="171">
        <f t="shared" si="36"/>
        <v>63.045000000000002</v>
      </c>
      <c r="AE20" s="171">
        <f t="shared" si="36"/>
        <v>128.04333333333335</v>
      </c>
      <c r="AF20" s="171">
        <f t="shared" si="36"/>
        <v>215.7777777777778</v>
      </c>
      <c r="AG20" s="171">
        <f t="shared" si="36"/>
        <v>318.16666666666669</v>
      </c>
      <c r="AH20" s="171">
        <f t="shared" si="36"/>
        <v>106.66944444444444</v>
      </c>
      <c r="AI20" s="171">
        <f t="shared" si="36"/>
        <v>214.75555555555556</v>
      </c>
      <c r="AJ20" s="171">
        <f t="shared" si="36"/>
        <v>323.10833333333335</v>
      </c>
      <c r="AK20" s="171">
        <f t="shared" si="36"/>
        <v>323.80833333333334</v>
      </c>
      <c r="AL20" s="171">
        <f t="shared" si="36"/>
        <v>647.91666666666663</v>
      </c>
      <c r="AM20" s="171">
        <f t="shared" si="36"/>
        <v>647.93333333333328</v>
      </c>
      <c r="AN20" s="171">
        <f t="shared" si="36"/>
        <v>647.93333333333328</v>
      </c>
      <c r="AO20" s="171">
        <f t="shared" si="36"/>
        <v>126.97666666666666</v>
      </c>
      <c r="AP20" s="171">
        <f t="shared" si="36"/>
        <v>214.42777777777778</v>
      </c>
      <c r="AQ20" s="171">
        <f t="shared" si="36"/>
        <v>215.36111111111111</v>
      </c>
      <c r="AR20" s="171">
        <f t="shared" si="36"/>
        <v>647.93333333333328</v>
      </c>
      <c r="AS20" s="171">
        <f t="shared" si="36"/>
        <v>105.60277777777777</v>
      </c>
      <c r="AT20" s="87">
        <f t="shared" si="2"/>
        <v>302.04419687950923</v>
      </c>
    </row>
    <row r="21" spans="1:46" ht="29.1" customHeight="1">
      <c r="A21" s="167" t="s">
        <v>136</v>
      </c>
      <c r="B21" s="171">
        <f>AVERAGEIFS(Input_Raw!AX:AX,Input_Raw!$A:$A,"&gt;="&amp;Analytics!$B$2,Input_Raw!$A:$A,"&lt;="&amp;Analytics!$B$3)</f>
        <v>11.135714285714286</v>
      </c>
      <c r="C21" s="171">
        <f>AVERAGEIFS(Input_Raw!AY:AY,Input_Raw!$A:$A,"&gt;="&amp;Analytics!$B$2,Input_Raw!$A:$A,"&lt;="&amp;Analytics!$B$3)</f>
        <v>11.304285714285712</v>
      </c>
      <c r="D21" s="171">
        <f>AVERAGEIFS(Input_Raw!AZ:AZ,Input_Raw!$A:$A,"&gt;="&amp;Analytics!$B$2,Input_Raw!$A:$A,"&lt;="&amp;Analytics!$B$3)</f>
        <v>10.205</v>
      </c>
      <c r="E21" s="171">
        <f>AVERAGEIFS(Input_Raw!BA:BA,Input_Raw!$A:$A,"&gt;="&amp;Analytics!$B$2,Input_Raw!$A:$A,"&lt;="&amp;Analytics!$B$3)</f>
        <v>11.165714285714284</v>
      </c>
      <c r="F21" s="171">
        <f>AVERAGEIFS(Input_Raw!BB:BB,Input_Raw!$A:$A,"&gt;="&amp;Analytics!$B$2,Input_Raw!$A:$A,"&lt;="&amp;Analytics!$B$3)</f>
        <v>10.644642857142859</v>
      </c>
      <c r="G21" s="171">
        <f>AVERAGEIFS(Input_Raw!BC:BC,Input_Raw!$A:$A,"&gt;="&amp;Analytics!$B$2,Input_Raw!$A:$A,"&lt;="&amp;Analytics!$B$3)</f>
        <v>11.313214285714283</v>
      </c>
      <c r="H21" s="171">
        <f>AVERAGEIFS(Input_Raw!BD:BD,Input_Raw!$A:$A,"&gt;="&amp;Analytics!$B$2,Input_Raw!$A:$A,"&lt;="&amp;Analytics!$B$3)</f>
        <v>11.254999999999997</v>
      </c>
      <c r="I21" s="171">
        <f>AVERAGEIFS(Input_Raw!BE:BE,Input_Raw!$A:$A,"&gt;="&amp;Analytics!$B$2,Input_Raw!$A:$A,"&lt;="&amp;Analytics!$B$3)</f>
        <v>10.350000000000003</v>
      </c>
      <c r="J21" s="171">
        <f>AVERAGEIFS(Input_Raw!BF:BF,Input_Raw!$A:$A,"&gt;="&amp;Analytics!$B$2,Input_Raw!$A:$A,"&lt;="&amp;Analytics!$B$3)</f>
        <v>9.2467857142857124</v>
      </c>
      <c r="K21" s="171">
        <f>AVERAGEIFS(Input_Raw!BG:BG,Input_Raw!$A:$A,"&gt;="&amp;Analytics!$B$2,Input_Raw!$A:$A,"&lt;="&amp;Analytics!$B$3)</f>
        <v>9.6685714285714273</v>
      </c>
      <c r="L21" s="171">
        <f>AVERAGEIFS(Input_Raw!BH:BH,Input_Raw!$A:$A,"&gt;="&amp;Analytics!$B$2,Input_Raw!$A:$A,"&lt;="&amp;Analytics!$B$3)</f>
        <v>11.016071428571427</v>
      </c>
      <c r="M21" s="171">
        <f>AVERAGEIFS(Input_Raw!BI:BI,Input_Raw!$A:$A,"&gt;="&amp;Analytics!$B$2,Input_Raw!$A:$A,"&lt;="&amp;Analytics!$B$3)</f>
        <v>11.988214285714287</v>
      </c>
      <c r="N21" s="171">
        <f>AVERAGEIFS(Input_Raw!BJ:BJ,Input_Raw!$A:$A,"&gt;="&amp;Analytics!$B$2,Input_Raw!$A:$A,"&lt;="&amp;Analytics!$B$3)</f>
        <v>11.177142857142856</v>
      </c>
      <c r="O21" s="171">
        <f>AVERAGEIFS(Input_Raw!BK:BK,Input_Raw!$A:$A,"&gt;="&amp;Analytics!$B$2,Input_Raw!$A:$A,"&lt;="&amp;Analytics!$B$3)</f>
        <v>10.36678571428571</v>
      </c>
      <c r="P21" s="171">
        <f>AVERAGEIFS(Input_Raw!BL:BL,Input_Raw!$A:$A,"&gt;="&amp;Analytics!$B$2,Input_Raw!$A:$A,"&lt;="&amp;Analytics!$B$3)</f>
        <v>10.475357142857144</v>
      </c>
      <c r="Q21" s="171">
        <f>AVERAGEIFS(Input_Raw!BM:BM,Input_Raw!$A:$A,"&gt;="&amp;Analytics!$B$2,Input_Raw!$A:$A,"&lt;="&amp;Analytics!$B$3)</f>
        <v>10.174285714285716</v>
      </c>
      <c r="R21" s="171">
        <f>AVERAGEIFS(Input_Raw!BN:BN,Input_Raw!$A:$A,"&gt;="&amp;Analytics!$B$2,Input_Raw!$A:$A,"&lt;="&amp;Analytics!$B$3)</f>
        <v>10.799285714285716</v>
      </c>
      <c r="S21" s="171">
        <f>AVERAGEIFS(Input_Raw!BO:BO,Input_Raw!$A:$A,"&gt;="&amp;Analytics!$B$2,Input_Raw!$A:$A,"&lt;="&amp;Analytics!$B$3)</f>
        <v>10.337142857142856</v>
      </c>
      <c r="T21" s="171">
        <f>AVERAGEIFS(Input_Raw!BP:BP,Input_Raw!$A:$A,"&gt;="&amp;Analytics!$B$2,Input_Raw!$A:$A,"&lt;="&amp;Analytics!$B$3)</f>
        <v>10.200714285714286</v>
      </c>
      <c r="U21" s="171">
        <f>AVERAGEIFS(Input_Raw!BQ:BQ,Input_Raw!$A:$A,"&gt;="&amp;Analytics!$B$2,Input_Raw!$A:$A,"&lt;="&amp;Analytics!$B$3)</f>
        <v>9.1732142857142858</v>
      </c>
      <c r="V21" s="171">
        <f>AVERAGEIFS(Input_Raw!BR:BR,Input_Raw!$A:$A,"&gt;="&amp;Analytics!$B$2,Input_Raw!$A:$A,"&lt;="&amp;Analytics!$B$3)</f>
        <v>10.709285714285715</v>
      </c>
      <c r="W21" s="171">
        <f>AVERAGEIFS(Input_Raw!BS:BS,Input_Raw!$A:$A,"&gt;="&amp;Analytics!$B$2,Input_Raw!$A:$A,"&lt;="&amp;Analytics!$B$3)</f>
        <v>10.087857142857143</v>
      </c>
      <c r="X21" s="171">
        <f>AVERAGEIFS(Input_Raw!BT:BT,Input_Raw!$A:$A,"&gt;="&amp;Analytics!$B$2,Input_Raw!$A:$A,"&lt;="&amp;Analytics!$B$3)</f>
        <v>9.6596428571428579</v>
      </c>
      <c r="Y21" s="171">
        <f>AVERAGEIFS(Input_Raw!BU:BU,Input_Raw!$A:$A,"&gt;="&amp;Analytics!$B$2,Input_Raw!$A:$A,"&lt;="&amp;Analytics!$B$3)</f>
        <v>11.071785714285713</v>
      </c>
      <c r="Z21" s="171">
        <f>AVERAGEIFS(Input_Raw!BV:BV,Input_Raw!$A:$A,"&gt;="&amp;Analytics!$B$2,Input_Raw!$A:$A,"&lt;="&amp;Analytics!$B$3)</f>
        <v>11.127142857142857</v>
      </c>
      <c r="AA21" s="171">
        <f>AVERAGEIFS(Input_Raw!BW:BW,Input_Raw!$A:$A,"&gt;="&amp;Analytics!$B$2,Input_Raw!$A:$A,"&lt;="&amp;Analytics!$B$3)</f>
        <v>10.434285714285712</v>
      </c>
      <c r="AB21" s="171">
        <f>AVERAGEIFS(Input_Raw!BX:BX,Input_Raw!$A:$A,"&gt;="&amp;Analytics!$B$2,Input_Raw!$A:$A,"&lt;="&amp;Analytics!$B$3)</f>
        <v>9.1403571428571428</v>
      </c>
      <c r="AC21" s="171">
        <f>AVERAGEIFS(Input_Raw!BY:BY,Input_Raw!$A:$A,"&gt;="&amp;Analytics!$B$2,Input_Raw!$A:$A,"&lt;="&amp;Analytics!$B$3)</f>
        <v>9.6542857142857113</v>
      </c>
      <c r="AD21" s="171">
        <f>AVERAGEIFS(Input_Raw!BZ:BZ,Input_Raw!$A:$A,"&gt;="&amp;Analytics!$B$2,Input_Raw!$A:$A,"&lt;="&amp;Analytics!$B$3)</f>
        <v>10.954285714285714</v>
      </c>
      <c r="AE21" s="171">
        <f>AVERAGEIFS(Input_Raw!CA:CA,Input_Raw!$A:$A,"&gt;="&amp;Analytics!$B$2,Input_Raw!$A:$A,"&lt;="&amp;Analytics!$B$3)</f>
        <v>10.301071428571431</v>
      </c>
      <c r="AF21" s="171">
        <f>AVERAGEIFS(Input_Raw!CB:CB,Input_Raw!$A:$A,"&gt;="&amp;Analytics!$B$2,Input_Raw!$A:$A,"&lt;="&amp;Analytics!$B$3)</f>
        <v>10.222857142857142</v>
      </c>
      <c r="AG21" s="171">
        <f>AVERAGEIFS(Input_Raw!CC:CC,Input_Raw!$A:$A,"&gt;="&amp;Analytics!$B$2,Input_Raw!$A:$A,"&lt;="&amp;Analytics!$B$3)</f>
        <v>9.8314285714285727</v>
      </c>
      <c r="AH21" s="171">
        <f>AVERAGEIFS(Input_Raw!CD:CD,Input_Raw!$A:$A,"&gt;="&amp;Analytics!$B$2,Input_Raw!$A:$A,"&lt;="&amp;Analytics!$B$3)</f>
        <v>11.290357142857145</v>
      </c>
      <c r="AI21" s="171">
        <f>AVERAGEIFS(Input_Raw!CE:CE,Input_Raw!$A:$A,"&gt;="&amp;Analytics!$B$2,Input_Raw!$A:$A,"&lt;="&amp;Analytics!$B$3)</f>
        <v>11.176785714285714</v>
      </c>
      <c r="AJ21" s="171">
        <f>AVERAGEIFS(Input_Raw!CF:CF,Input_Raw!$A:$A,"&gt;="&amp;Analytics!$B$2,Input_Raw!$A:$A,"&lt;="&amp;Analytics!$B$3)</f>
        <v>9.6299999999999972</v>
      </c>
      <c r="AK21" s="171">
        <f>AVERAGEIFS(Input_Raw!CG:CG,Input_Raw!$A:$A,"&gt;="&amp;Analytics!$B$2,Input_Raw!$A:$A,"&lt;="&amp;Analytics!$B$3)</f>
        <v>13.213571428571429</v>
      </c>
      <c r="AL21" s="171">
        <f>AVERAGEIFS(Input_Raw!CH:CH,Input_Raw!$A:$A,"&gt;="&amp;Analytics!$B$2,Input_Raw!$A:$A,"&lt;="&amp;Analytics!$B$3)</f>
        <v>12.099285714285713</v>
      </c>
      <c r="AM21" s="171">
        <f>AVERAGEIFS(Input_Raw!CI:CI,Input_Raw!$A:$A,"&gt;="&amp;Analytics!$B$2,Input_Raw!$A:$A,"&lt;="&amp;Analytics!$B$3)</f>
        <v>10.825714285714286</v>
      </c>
      <c r="AN21" s="171">
        <f>AVERAGEIFS(Input_Raw!CJ:CJ,Input_Raw!$A:$A,"&gt;="&amp;Analytics!$B$2,Input_Raw!$A:$A,"&lt;="&amp;Analytics!$B$3)</f>
        <v>11.60642857142857</v>
      </c>
      <c r="AO21" s="171">
        <f>AVERAGEIFS(Input_Raw!CK:CK,Input_Raw!$A:$A,"&gt;="&amp;Analytics!$B$2,Input_Raw!$A:$A,"&lt;="&amp;Analytics!$B$3)</f>
        <v>10.029999999999998</v>
      </c>
      <c r="AP21" s="171">
        <f>AVERAGEIFS(Input_Raw!CL:CL,Input_Raw!$A:$A,"&gt;="&amp;Analytics!$B$2,Input_Raw!$A:$A,"&lt;="&amp;Analytics!$B$3)</f>
        <v>10.991785714285715</v>
      </c>
      <c r="AQ21" s="171">
        <f>AVERAGEIFS(Input_Raw!CM:CM,Input_Raw!$A:$A,"&gt;="&amp;Analytics!$B$2,Input_Raw!$A:$A,"&lt;="&amp;Analytics!$B$3)</f>
        <v>11.010000000000002</v>
      </c>
      <c r="AR21" s="171">
        <f>AVERAGEIFS(Input_Raw!CN:CN,Input_Raw!$A:$A,"&gt;="&amp;Analytics!$B$2,Input_Raw!$A:$A,"&lt;="&amp;Analytics!$B$3)</f>
        <v>12.798928571428572</v>
      </c>
      <c r="AS21" s="171">
        <f>AVERAGEIFS(Input_Raw!CO:CO,Input_Raw!$A:$A,"&gt;="&amp;Analytics!$B$2,Input_Raw!$A:$A,"&lt;="&amp;Analytics!$B$3)</f>
        <v>11.659285714285714</v>
      </c>
      <c r="AT21" s="86">
        <f t="shared" si="2"/>
        <v>10.716444805194804</v>
      </c>
    </row>
    <row r="22" spans="1:46" ht="29.1" customHeight="1">
      <c r="A22" s="104" t="s">
        <v>137</v>
      </c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86"/>
    </row>
    <row r="23" spans="1:46" ht="29.1" customHeight="1">
      <c r="A23" s="104" t="s">
        <v>138</v>
      </c>
    </row>
    <row r="24" spans="1:46" ht="29.1" customHeight="1">
      <c r="A24" s="104" t="s">
        <v>139</v>
      </c>
    </row>
    <row r="25" spans="1:46" ht="29.1" customHeight="1">
      <c r="A25" s="104"/>
    </row>
    <row r="26" spans="1:46" ht="29.1" customHeight="1">
      <c r="A26" s="373" t="s">
        <v>140</v>
      </c>
      <c r="B26" s="373"/>
      <c r="C26" s="373"/>
      <c r="D26" s="373"/>
      <c r="E26" s="373"/>
      <c r="F26" s="373"/>
      <c r="G26" s="373"/>
    </row>
    <row r="28" spans="1:46" ht="29.1" customHeight="1">
      <c r="D28" s="369" t="s">
        <v>141</v>
      </c>
      <c r="E28" s="369"/>
      <c r="F28" s="370" t="s">
        <v>142</v>
      </c>
      <c r="G28" s="371"/>
    </row>
    <row r="29" spans="1:46" ht="29.1" customHeight="1">
      <c r="D29" s="372" t="e">
        <f>(MAX(#REF!)-#REF!)*24</f>
        <v>#REF!</v>
      </c>
      <c r="E29" s="372"/>
      <c r="F29" s="369" t="e">
        <f>(MAX(#REF!)-#REF!)*24</f>
        <v>#REF!</v>
      </c>
      <c r="G29" s="369"/>
    </row>
    <row r="30" spans="1:46" ht="29.1" customHeight="1">
      <c r="A30" s="175" t="s">
        <v>143</v>
      </c>
      <c r="B30" s="173" t="s">
        <v>144</v>
      </c>
      <c r="C30" s="173" t="s">
        <v>145</v>
      </c>
      <c r="D30" s="176" t="s">
        <v>146</v>
      </c>
      <c r="E30" s="176" t="s">
        <v>147</v>
      </c>
    </row>
    <row r="31" spans="1:46" ht="29.1" customHeight="1">
      <c r="A31" s="177" t="s">
        <v>148</v>
      </c>
      <c r="B31" s="178">
        <v>289.10000000000002</v>
      </c>
      <c r="C31" s="178">
        <v>73</v>
      </c>
      <c r="D31" s="179">
        <f>B31/C31</f>
        <v>3.9602739726027401</v>
      </c>
      <c r="E31" s="179" t="e">
        <f>($D$29-B31)/C31</f>
        <v>#REF!</v>
      </c>
    </row>
    <row r="32" spans="1:46" ht="29.1" customHeight="1">
      <c r="A32" s="177" t="s">
        <v>149</v>
      </c>
      <c r="B32" s="178">
        <v>207.01666666666671</v>
      </c>
      <c r="C32" s="178">
        <v>26</v>
      </c>
      <c r="D32" s="179">
        <f t="shared" ref="D32:D80" si="37">B32/C32</f>
        <v>7.9621794871794886</v>
      </c>
      <c r="E32" s="179" t="e">
        <f t="shared" ref="E32:E80" si="38">($D$29-B32)/C32</f>
        <v>#REF!</v>
      </c>
    </row>
    <row r="33" spans="1:5" ht="29.1" customHeight="1">
      <c r="A33" s="177" t="s">
        <v>150</v>
      </c>
      <c r="B33" s="178">
        <v>84.225277777777777</v>
      </c>
      <c r="C33" s="178">
        <v>12</v>
      </c>
      <c r="D33" s="179">
        <f t="shared" si="37"/>
        <v>7.0187731481481483</v>
      </c>
      <c r="E33" s="179" t="e">
        <f t="shared" si="38"/>
        <v>#REF!</v>
      </c>
    </row>
    <row r="34" spans="1:5" ht="29.1" customHeight="1">
      <c r="A34" s="177" t="s">
        <v>151</v>
      </c>
      <c r="B34" s="178">
        <v>65.850000000000009</v>
      </c>
      <c r="C34" s="178">
        <v>8</v>
      </c>
      <c r="D34" s="179">
        <f t="shared" si="37"/>
        <v>8.2312500000000011</v>
      </c>
      <c r="E34" s="179" t="e">
        <f t="shared" si="38"/>
        <v>#REF!</v>
      </c>
    </row>
    <row r="35" spans="1:5" ht="29.1" customHeight="1">
      <c r="A35" s="177" t="s">
        <v>152</v>
      </c>
      <c r="B35" s="178">
        <v>65.083333333333329</v>
      </c>
      <c r="C35" s="178">
        <v>7</v>
      </c>
      <c r="D35" s="179">
        <f t="shared" si="37"/>
        <v>9.2976190476190474</v>
      </c>
      <c r="E35" s="179" t="e">
        <f t="shared" si="38"/>
        <v>#REF!</v>
      </c>
    </row>
    <row r="36" spans="1:5" ht="29.1" customHeight="1">
      <c r="A36" s="177" t="s">
        <v>153</v>
      </c>
      <c r="B36" s="178">
        <v>58.083333333333336</v>
      </c>
      <c r="C36" s="178">
        <v>9</v>
      </c>
      <c r="D36" s="179">
        <f t="shared" si="37"/>
        <v>6.4537037037037042</v>
      </c>
      <c r="E36" s="179" t="e">
        <f t="shared" si="38"/>
        <v>#REF!</v>
      </c>
    </row>
    <row r="37" spans="1:5" ht="29.1" customHeight="1">
      <c r="A37" s="177" t="s">
        <v>154</v>
      </c>
      <c r="B37" s="178">
        <v>40.299999999999997</v>
      </c>
      <c r="C37" s="178">
        <v>20</v>
      </c>
      <c r="D37" s="179">
        <f t="shared" si="37"/>
        <v>2.0149999999999997</v>
      </c>
      <c r="E37" s="179" t="e">
        <f t="shared" si="38"/>
        <v>#REF!</v>
      </c>
    </row>
    <row r="38" spans="1:5" ht="29.1" customHeight="1">
      <c r="A38" s="177" t="s">
        <v>155</v>
      </c>
      <c r="B38" s="178">
        <v>39.799999999999997</v>
      </c>
      <c r="C38" s="178">
        <v>7</v>
      </c>
      <c r="D38" s="179">
        <f t="shared" si="37"/>
        <v>5.6857142857142851</v>
      </c>
      <c r="E38" s="179" t="e">
        <f t="shared" si="38"/>
        <v>#REF!</v>
      </c>
    </row>
    <row r="39" spans="1:5" ht="29.1" customHeight="1">
      <c r="A39" s="177" t="s">
        <v>156</v>
      </c>
      <c r="B39" s="178">
        <v>34.216666666666669</v>
      </c>
      <c r="C39" s="178">
        <v>5</v>
      </c>
      <c r="D39" s="179">
        <f t="shared" si="37"/>
        <v>6.8433333333333337</v>
      </c>
      <c r="E39" s="179" t="e">
        <f t="shared" si="38"/>
        <v>#REF!</v>
      </c>
    </row>
    <row r="40" spans="1:5" ht="29.1" customHeight="1">
      <c r="A40" s="177" t="s">
        <v>157</v>
      </c>
      <c r="B40" s="178">
        <v>28.95</v>
      </c>
      <c r="C40" s="178">
        <v>2</v>
      </c>
      <c r="D40" s="179">
        <f t="shared" si="37"/>
        <v>14.475</v>
      </c>
      <c r="E40" s="179" t="e">
        <f t="shared" si="38"/>
        <v>#REF!</v>
      </c>
    </row>
    <row r="41" spans="1:5" ht="29.1" customHeight="1">
      <c r="A41" s="177" t="s">
        <v>158</v>
      </c>
      <c r="B41" s="178">
        <v>26.983333333333331</v>
      </c>
      <c r="C41" s="178">
        <v>3</v>
      </c>
      <c r="D41" s="179">
        <f t="shared" si="37"/>
        <v>8.9944444444444436</v>
      </c>
      <c r="E41" s="179" t="e">
        <f t="shared" si="38"/>
        <v>#REF!</v>
      </c>
    </row>
    <row r="42" spans="1:5" ht="29.1" customHeight="1">
      <c r="A42" s="177" t="s">
        <v>159</v>
      </c>
      <c r="B42" s="178">
        <v>20.25</v>
      </c>
      <c r="C42" s="178">
        <v>2</v>
      </c>
      <c r="D42" s="179">
        <f t="shared" si="37"/>
        <v>10.125</v>
      </c>
      <c r="E42" s="179" t="e">
        <f t="shared" si="38"/>
        <v>#REF!</v>
      </c>
    </row>
    <row r="43" spans="1:5" ht="29.1" customHeight="1">
      <c r="A43" s="177" t="s">
        <v>160</v>
      </c>
      <c r="B43" s="178">
        <v>18.516666666666666</v>
      </c>
      <c r="C43" s="178">
        <v>2</v>
      </c>
      <c r="D43" s="179">
        <f t="shared" si="37"/>
        <v>9.2583333333333329</v>
      </c>
      <c r="E43" s="179" t="e">
        <f t="shared" si="38"/>
        <v>#REF!</v>
      </c>
    </row>
    <row r="44" spans="1:5" ht="29.1" customHeight="1">
      <c r="A44" s="177" t="s">
        <v>161</v>
      </c>
      <c r="B44" s="178">
        <v>18.016666666666676</v>
      </c>
      <c r="C44" s="178">
        <v>20</v>
      </c>
      <c r="D44" s="179">
        <f t="shared" si="37"/>
        <v>0.90083333333333382</v>
      </c>
      <c r="E44" s="179" t="e">
        <f t="shared" si="38"/>
        <v>#REF!</v>
      </c>
    </row>
    <row r="45" spans="1:5" ht="29.1" customHeight="1">
      <c r="A45" s="177" t="s">
        <v>162</v>
      </c>
      <c r="B45" s="178">
        <v>17.883333333333333</v>
      </c>
      <c r="C45" s="178">
        <v>4</v>
      </c>
      <c r="D45" s="179">
        <f t="shared" si="37"/>
        <v>4.4708333333333332</v>
      </c>
      <c r="E45" s="179" t="e">
        <f t="shared" si="38"/>
        <v>#REF!</v>
      </c>
    </row>
    <row r="46" spans="1:5" ht="29.1" customHeight="1">
      <c r="A46" s="177" t="s">
        <v>163</v>
      </c>
      <c r="B46" s="178">
        <v>15.583333333333332</v>
      </c>
      <c r="C46" s="178">
        <v>4</v>
      </c>
      <c r="D46" s="179">
        <f t="shared" si="37"/>
        <v>3.895833333333333</v>
      </c>
      <c r="E46" s="179" t="e">
        <f t="shared" si="38"/>
        <v>#REF!</v>
      </c>
    </row>
    <row r="47" spans="1:5" ht="29.1" customHeight="1">
      <c r="A47" s="177" t="s">
        <v>164</v>
      </c>
      <c r="B47" s="178">
        <v>14.383333333333336</v>
      </c>
      <c r="C47" s="178">
        <v>9</v>
      </c>
      <c r="D47" s="179">
        <f t="shared" si="37"/>
        <v>1.5981481481481485</v>
      </c>
      <c r="E47" s="179" t="e">
        <f t="shared" si="38"/>
        <v>#REF!</v>
      </c>
    </row>
    <row r="48" spans="1:5" ht="29.1" customHeight="1">
      <c r="A48" s="177" t="s">
        <v>165</v>
      </c>
      <c r="B48" s="178">
        <v>13.366666666666665</v>
      </c>
      <c r="C48" s="178">
        <v>3</v>
      </c>
      <c r="D48" s="179">
        <f t="shared" si="37"/>
        <v>4.4555555555555548</v>
      </c>
      <c r="E48" s="179" t="e">
        <f t="shared" si="38"/>
        <v>#REF!</v>
      </c>
    </row>
    <row r="49" spans="1:5" ht="29.1" customHeight="1">
      <c r="A49" s="177" t="s">
        <v>166</v>
      </c>
      <c r="B49" s="178">
        <v>6.5666666666666655</v>
      </c>
      <c r="C49" s="178">
        <v>3</v>
      </c>
      <c r="D49" s="179">
        <f t="shared" si="37"/>
        <v>2.1888888888888887</v>
      </c>
      <c r="E49" s="179" t="e">
        <f t="shared" si="38"/>
        <v>#REF!</v>
      </c>
    </row>
    <row r="50" spans="1:5" ht="29.1" customHeight="1">
      <c r="A50" s="177" t="s">
        <v>167</v>
      </c>
      <c r="B50" s="178">
        <v>6.5333333333333332</v>
      </c>
      <c r="C50" s="178">
        <v>4</v>
      </c>
      <c r="D50" s="179">
        <f t="shared" si="37"/>
        <v>1.6333333333333333</v>
      </c>
      <c r="E50" s="179" t="e">
        <f t="shared" si="38"/>
        <v>#REF!</v>
      </c>
    </row>
    <row r="51" spans="1:5" ht="29.1" customHeight="1">
      <c r="A51" s="177" t="s">
        <v>168</v>
      </c>
      <c r="B51" s="178">
        <v>6.4666666666666686</v>
      </c>
      <c r="C51" s="178">
        <v>5</v>
      </c>
      <c r="D51" s="179">
        <f t="shared" si="37"/>
        <v>1.2933333333333337</v>
      </c>
      <c r="E51" s="179" t="e">
        <f t="shared" si="38"/>
        <v>#REF!</v>
      </c>
    </row>
    <row r="52" spans="1:5" ht="29.1" customHeight="1">
      <c r="A52" s="177" t="s">
        <v>169</v>
      </c>
      <c r="B52" s="178">
        <v>6.0333333333333332</v>
      </c>
      <c r="C52" s="178">
        <v>4</v>
      </c>
      <c r="D52" s="179">
        <f t="shared" si="37"/>
        <v>1.5083333333333333</v>
      </c>
      <c r="E52" s="179" t="e">
        <f t="shared" si="38"/>
        <v>#REF!</v>
      </c>
    </row>
    <row r="53" spans="1:5" ht="29.1" customHeight="1">
      <c r="A53" s="177" t="s">
        <v>170</v>
      </c>
      <c r="B53" s="178">
        <v>5.8999999999999986</v>
      </c>
      <c r="C53" s="178">
        <v>3</v>
      </c>
      <c r="D53" s="179">
        <f t="shared" si="37"/>
        <v>1.9666666666666661</v>
      </c>
      <c r="E53" s="179" t="e">
        <f t="shared" si="38"/>
        <v>#REF!</v>
      </c>
    </row>
    <row r="54" spans="1:5" ht="29.1" customHeight="1">
      <c r="A54" s="177" t="s">
        <v>171</v>
      </c>
      <c r="B54" s="178">
        <v>5.4166666666666741</v>
      </c>
      <c r="C54" s="178">
        <v>13</v>
      </c>
      <c r="D54" s="179">
        <f t="shared" si="37"/>
        <v>0.41666666666666724</v>
      </c>
      <c r="E54" s="179" t="e">
        <f t="shared" si="38"/>
        <v>#REF!</v>
      </c>
    </row>
    <row r="55" spans="1:5" ht="29.1" customHeight="1">
      <c r="A55" s="177" t="s">
        <v>172</v>
      </c>
      <c r="B55" s="178">
        <v>5.3333333333333304</v>
      </c>
      <c r="C55" s="178">
        <v>1</v>
      </c>
      <c r="D55" s="179">
        <f t="shared" si="37"/>
        <v>5.3333333333333304</v>
      </c>
      <c r="E55" s="179" t="e">
        <f t="shared" si="38"/>
        <v>#REF!</v>
      </c>
    </row>
    <row r="56" spans="1:5" ht="29.1" customHeight="1">
      <c r="A56" s="177" t="s">
        <v>173</v>
      </c>
      <c r="B56" s="178">
        <v>4.6166666666666663</v>
      </c>
      <c r="C56" s="178">
        <v>1</v>
      </c>
      <c r="D56" s="179">
        <f t="shared" si="37"/>
        <v>4.6166666666666663</v>
      </c>
      <c r="E56" s="179" t="e">
        <f t="shared" si="38"/>
        <v>#REF!</v>
      </c>
    </row>
    <row r="57" spans="1:5" ht="29.1" customHeight="1">
      <c r="A57" s="177" t="s">
        <v>174</v>
      </c>
      <c r="B57" s="178">
        <v>4.2999999999999989</v>
      </c>
      <c r="C57" s="178">
        <v>2</v>
      </c>
      <c r="D57" s="179">
        <f t="shared" si="37"/>
        <v>2.1499999999999995</v>
      </c>
      <c r="E57" s="179" t="e">
        <f t="shared" si="38"/>
        <v>#REF!</v>
      </c>
    </row>
    <row r="58" spans="1:5" ht="29.1" customHeight="1">
      <c r="A58" s="177" t="s">
        <v>175</v>
      </c>
      <c r="B58" s="178">
        <v>4.2499999999999982</v>
      </c>
      <c r="C58" s="178">
        <v>2</v>
      </c>
      <c r="D58" s="179">
        <f t="shared" si="37"/>
        <v>2.1249999999999991</v>
      </c>
      <c r="E58" s="179" t="e">
        <f t="shared" si="38"/>
        <v>#REF!</v>
      </c>
    </row>
    <row r="59" spans="1:5" ht="29.1" customHeight="1">
      <c r="A59" s="177" t="s">
        <v>176</v>
      </c>
      <c r="B59" s="178">
        <v>3.833333333333333</v>
      </c>
      <c r="C59" s="178">
        <v>1</v>
      </c>
      <c r="D59" s="179">
        <f t="shared" si="37"/>
        <v>3.833333333333333</v>
      </c>
      <c r="E59" s="179" t="e">
        <f t="shared" si="38"/>
        <v>#REF!</v>
      </c>
    </row>
    <row r="60" spans="1:5" ht="29.1" customHeight="1">
      <c r="A60" s="177" t="s">
        <v>177</v>
      </c>
      <c r="B60" s="178">
        <v>3.1833333333333327</v>
      </c>
      <c r="C60" s="178">
        <v>1</v>
      </c>
      <c r="D60" s="179">
        <f t="shared" si="37"/>
        <v>3.1833333333333327</v>
      </c>
      <c r="E60" s="179" t="e">
        <f t="shared" si="38"/>
        <v>#REF!</v>
      </c>
    </row>
    <row r="61" spans="1:5" ht="29.1" customHeight="1">
      <c r="A61" s="177" t="s">
        <v>178</v>
      </c>
      <c r="B61" s="178">
        <v>3.1166666666666649</v>
      </c>
      <c r="C61" s="178">
        <v>2</v>
      </c>
      <c r="D61" s="179">
        <f t="shared" si="37"/>
        <v>1.5583333333333325</v>
      </c>
      <c r="E61" s="179" t="e">
        <f t="shared" si="38"/>
        <v>#REF!</v>
      </c>
    </row>
    <row r="62" spans="1:5" ht="29.1" customHeight="1">
      <c r="A62" s="177" t="s">
        <v>179</v>
      </c>
      <c r="B62" s="178">
        <v>2.8499999999999988</v>
      </c>
      <c r="C62" s="178">
        <v>4</v>
      </c>
      <c r="D62" s="179">
        <f t="shared" si="37"/>
        <v>0.71249999999999969</v>
      </c>
      <c r="E62" s="179" t="e">
        <f t="shared" si="38"/>
        <v>#REF!</v>
      </c>
    </row>
    <row r="63" spans="1:5" ht="29.1" customHeight="1">
      <c r="A63" s="177" t="s">
        <v>180</v>
      </c>
      <c r="B63" s="178">
        <v>2.7999999999999954</v>
      </c>
      <c r="C63" s="178">
        <v>4</v>
      </c>
      <c r="D63" s="179">
        <f t="shared" si="37"/>
        <v>0.69999999999999885</v>
      </c>
      <c r="E63" s="179" t="e">
        <f t="shared" si="38"/>
        <v>#REF!</v>
      </c>
    </row>
    <row r="64" spans="1:5" ht="29.1" customHeight="1">
      <c r="A64" s="177" t="s">
        <v>181</v>
      </c>
      <c r="B64" s="178">
        <v>2.6833333333333331</v>
      </c>
      <c r="C64" s="178">
        <v>1</v>
      </c>
      <c r="D64" s="179">
        <f t="shared" si="37"/>
        <v>2.6833333333333331</v>
      </c>
      <c r="E64" s="179" t="e">
        <f t="shared" si="38"/>
        <v>#REF!</v>
      </c>
    </row>
    <row r="65" spans="1:5" ht="29.1" customHeight="1">
      <c r="A65" s="177" t="s">
        <v>182</v>
      </c>
      <c r="B65" s="178">
        <v>2.25</v>
      </c>
      <c r="C65" s="178">
        <v>1</v>
      </c>
      <c r="D65" s="179">
        <f t="shared" si="37"/>
        <v>2.25</v>
      </c>
      <c r="E65" s="179" t="e">
        <f t="shared" si="38"/>
        <v>#REF!</v>
      </c>
    </row>
    <row r="66" spans="1:5" ht="29.1" customHeight="1">
      <c r="A66" s="177" t="s">
        <v>183</v>
      </c>
      <c r="B66" s="178">
        <v>1.9333333333333331</v>
      </c>
      <c r="C66" s="178">
        <v>1</v>
      </c>
      <c r="D66" s="179">
        <f t="shared" si="37"/>
        <v>1.9333333333333331</v>
      </c>
      <c r="E66" s="179" t="e">
        <f t="shared" si="38"/>
        <v>#REF!</v>
      </c>
    </row>
    <row r="67" spans="1:5" ht="29.1" customHeight="1">
      <c r="A67" s="177" t="s">
        <v>184</v>
      </c>
      <c r="B67" s="178">
        <v>1.9000000000000012</v>
      </c>
      <c r="C67" s="178">
        <v>1</v>
      </c>
      <c r="D67" s="179">
        <f t="shared" si="37"/>
        <v>1.9000000000000012</v>
      </c>
      <c r="E67" s="179" t="e">
        <f t="shared" si="38"/>
        <v>#REF!</v>
      </c>
    </row>
    <row r="68" spans="1:5" ht="29.1" customHeight="1">
      <c r="A68" s="177" t="s">
        <v>185</v>
      </c>
      <c r="B68" s="178">
        <v>1.2500000000000016</v>
      </c>
      <c r="C68" s="178">
        <v>4</v>
      </c>
      <c r="D68" s="179">
        <f t="shared" si="37"/>
        <v>0.31250000000000039</v>
      </c>
      <c r="E68" s="179" t="e">
        <f t="shared" si="38"/>
        <v>#REF!</v>
      </c>
    </row>
    <row r="69" spans="1:5" ht="29.1" customHeight="1">
      <c r="A69" s="177" t="s">
        <v>186</v>
      </c>
      <c r="B69" s="178">
        <v>1.0166666666666664</v>
      </c>
      <c r="C69" s="178">
        <v>1</v>
      </c>
      <c r="D69" s="179">
        <f t="shared" si="37"/>
        <v>1.0166666666666664</v>
      </c>
      <c r="E69" s="179" t="e">
        <f t="shared" si="38"/>
        <v>#REF!</v>
      </c>
    </row>
    <row r="70" spans="1:5" ht="29.1" customHeight="1">
      <c r="A70" s="177" t="s">
        <v>187</v>
      </c>
      <c r="B70" s="178">
        <v>1.0000000000000004</v>
      </c>
      <c r="C70" s="178">
        <v>1</v>
      </c>
      <c r="D70" s="179">
        <f t="shared" si="37"/>
        <v>1.0000000000000004</v>
      </c>
      <c r="E70" s="179" t="e">
        <f t="shared" si="38"/>
        <v>#REF!</v>
      </c>
    </row>
    <row r="71" spans="1:5" ht="29.1" customHeight="1">
      <c r="A71" s="177" t="s">
        <v>188</v>
      </c>
      <c r="B71" s="178">
        <v>0.6666666666666663</v>
      </c>
      <c r="C71" s="178">
        <v>1</v>
      </c>
      <c r="D71" s="179">
        <f t="shared" si="37"/>
        <v>0.6666666666666663</v>
      </c>
      <c r="E71" s="179" t="e">
        <f t="shared" si="38"/>
        <v>#REF!</v>
      </c>
    </row>
    <row r="72" spans="1:5" ht="29.1" customHeight="1">
      <c r="A72" s="177" t="s">
        <v>189</v>
      </c>
      <c r="B72" s="178">
        <v>0.5999999999999992</v>
      </c>
      <c r="C72" s="178">
        <v>2</v>
      </c>
      <c r="D72" s="179">
        <f t="shared" si="37"/>
        <v>0.2999999999999996</v>
      </c>
      <c r="E72" s="179" t="e">
        <f t="shared" si="38"/>
        <v>#REF!</v>
      </c>
    </row>
    <row r="73" spans="1:5" ht="29.1" customHeight="1">
      <c r="A73" s="177" t="s">
        <v>190</v>
      </c>
      <c r="B73" s="178">
        <v>0.58333333333333393</v>
      </c>
      <c r="C73" s="178">
        <v>1</v>
      </c>
      <c r="D73" s="179">
        <f t="shared" si="37"/>
        <v>0.58333333333333393</v>
      </c>
      <c r="E73" s="179" t="e">
        <f t="shared" si="38"/>
        <v>#REF!</v>
      </c>
    </row>
    <row r="74" spans="1:5" ht="29.1" customHeight="1">
      <c r="A74" s="177" t="s">
        <v>191</v>
      </c>
      <c r="B74" s="178">
        <v>0.48333333333333361</v>
      </c>
      <c r="C74" s="178">
        <v>1</v>
      </c>
      <c r="D74" s="179">
        <f t="shared" si="37"/>
        <v>0.48333333333333361</v>
      </c>
      <c r="E74" s="179" t="e">
        <f t="shared" si="38"/>
        <v>#REF!</v>
      </c>
    </row>
    <row r="75" spans="1:5" ht="29.1" customHeight="1">
      <c r="A75" s="177" t="s">
        <v>192</v>
      </c>
      <c r="B75" s="178">
        <v>0.41666666666666785</v>
      </c>
      <c r="C75" s="178">
        <v>1</v>
      </c>
      <c r="D75" s="179">
        <f t="shared" si="37"/>
        <v>0.41666666666666785</v>
      </c>
      <c r="E75" s="179" t="e">
        <f t="shared" si="38"/>
        <v>#REF!</v>
      </c>
    </row>
    <row r="76" spans="1:5" ht="29.1" customHeight="1">
      <c r="A76" s="177" t="s">
        <v>193</v>
      </c>
      <c r="B76" s="178">
        <v>0.38333333333333597</v>
      </c>
      <c r="C76" s="178">
        <v>2</v>
      </c>
      <c r="D76" s="179">
        <f t="shared" si="37"/>
        <v>0.19166666666666798</v>
      </c>
      <c r="E76" s="179" t="e">
        <f t="shared" si="38"/>
        <v>#REF!</v>
      </c>
    </row>
    <row r="77" spans="1:5" ht="29.1" customHeight="1">
      <c r="A77" s="177" t="s">
        <v>194</v>
      </c>
      <c r="B77" s="178">
        <v>0.13333333333333286</v>
      </c>
      <c r="C77" s="178">
        <v>1</v>
      </c>
      <c r="D77" s="179">
        <f t="shared" si="37"/>
        <v>0.13333333333333286</v>
      </c>
      <c r="E77" s="179" t="e">
        <f t="shared" si="38"/>
        <v>#REF!</v>
      </c>
    </row>
    <row r="78" spans="1:5" ht="29.1" customHeight="1">
      <c r="A78" s="177" t="s">
        <v>195</v>
      </c>
      <c r="B78" s="178">
        <v>0</v>
      </c>
      <c r="C78" s="178">
        <v>12</v>
      </c>
      <c r="D78" s="179">
        <f t="shared" si="37"/>
        <v>0</v>
      </c>
      <c r="E78" s="179" t="e">
        <f t="shared" si="38"/>
        <v>#REF!</v>
      </c>
    </row>
    <row r="79" spans="1:5" ht="29.1" customHeight="1">
      <c r="A79" s="177" t="s">
        <v>196</v>
      </c>
      <c r="B79" s="178">
        <v>1144.1086111111126</v>
      </c>
      <c r="C79" s="178">
        <v>297</v>
      </c>
      <c r="D79" s="179">
        <f t="shared" si="37"/>
        <v>3.8522175458286618</v>
      </c>
      <c r="E79" s="179" t="e">
        <f t="shared" si="38"/>
        <v>#REF!</v>
      </c>
    </row>
    <row r="80" spans="1:5" ht="29.1" customHeight="1">
      <c r="D80" s="179" t="e">
        <f t="shared" si="37"/>
        <v>#DIV/0!</v>
      </c>
      <c r="E80" s="179" t="e">
        <f t="shared" si="38"/>
        <v>#REF!</v>
      </c>
    </row>
    <row r="81" spans="1:5" ht="29.1" customHeight="1">
      <c r="D81" s="173"/>
      <c r="E81" s="173"/>
    </row>
    <row r="82" spans="1:5" ht="29.1" customHeight="1">
      <c r="D82" s="173"/>
      <c r="E82" s="173"/>
    </row>
    <row r="83" spans="1:5" ht="29.1" customHeight="1">
      <c r="A83" s="173"/>
      <c r="B83" s="173"/>
      <c r="C83" s="173"/>
      <c r="D83" s="173"/>
      <c r="E83" s="173"/>
    </row>
    <row r="84" spans="1:5" ht="29.1" customHeight="1">
      <c r="A84" s="173"/>
      <c r="B84" s="173"/>
      <c r="C84" s="173"/>
      <c r="D84" s="173"/>
      <c r="E84" s="173"/>
    </row>
    <row r="85" spans="1:5" ht="29.1" customHeight="1">
      <c r="A85" s="173"/>
      <c r="B85" s="173"/>
      <c r="C85" s="173"/>
      <c r="D85" s="173"/>
      <c r="E85" s="173"/>
    </row>
    <row r="86" spans="1:5" ht="29.1" customHeight="1">
      <c r="A86" s="173"/>
      <c r="B86" s="173"/>
      <c r="C86" s="173"/>
      <c r="D86" s="173"/>
      <c r="E86" s="173"/>
    </row>
    <row r="87" spans="1:5" ht="29.1" customHeight="1">
      <c r="A87" s="173"/>
      <c r="B87" s="173"/>
      <c r="C87" s="173"/>
      <c r="D87" s="173"/>
      <c r="E87" s="173"/>
    </row>
    <row r="88" spans="1:5" ht="29.1" customHeight="1">
      <c r="A88" s="173"/>
      <c r="B88" s="173"/>
      <c r="C88" s="173"/>
      <c r="D88" s="173"/>
      <c r="E88" s="173"/>
    </row>
    <row r="89" spans="1:5" ht="29.1" customHeight="1">
      <c r="A89" s="173"/>
      <c r="B89" s="173"/>
      <c r="C89" s="173"/>
      <c r="D89" s="173"/>
      <c r="E89" s="173"/>
    </row>
    <row r="90" spans="1:5" ht="29.1" customHeight="1">
      <c r="A90" s="173"/>
      <c r="B90" s="173"/>
      <c r="C90" s="173"/>
      <c r="D90" s="173"/>
      <c r="E90" s="173"/>
    </row>
    <row r="91" spans="1:5" ht="29.1" customHeight="1">
      <c r="A91" s="173"/>
      <c r="B91" s="173"/>
      <c r="C91" s="173"/>
      <c r="D91" s="173"/>
      <c r="E91" s="173"/>
    </row>
    <row r="92" spans="1:5" ht="29.1" customHeight="1">
      <c r="A92" s="173"/>
      <c r="B92" s="173"/>
      <c r="C92" s="173"/>
      <c r="D92" s="173"/>
      <c r="E92" s="173"/>
    </row>
  </sheetData>
  <mergeCells count="5">
    <mergeCell ref="D28:E28"/>
    <mergeCell ref="F28:G28"/>
    <mergeCell ref="D29:E29"/>
    <mergeCell ref="F29:G29"/>
    <mergeCell ref="A26:G26"/>
  </mergeCells>
  <conditionalFormatting sqref="B5:AS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AS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AS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AS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AS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AS1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AS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AS22">
    <cfRule type="cellIs" dxfId="4" priority="6" operator="lessThan">
      <formula>$D$3</formula>
    </cfRule>
    <cfRule type="cellIs" dxfId="3" priority="7" operator="greaterThan">
      <formula>$D$3</formula>
    </cfRule>
  </conditionalFormatting>
  <conditionalFormatting sqref="D31:D8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:E8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allowBlank="1" showInputMessage="1" showErrorMessage="1" prompt="All breakdown including FM, EGA, IGA etc." sqref="A16" xr:uid="{00000000-0002-0000-0300-000000000000}"/>
    <dataValidation allowBlank="1" showInputMessage="1" showErrorMessage="1" prompt="Change the hours if you select specific period using Pivot Table." sqref="D29:E29" xr:uid="{00000000-0002-0000-0300-000001000000}"/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369"/>
  <sheetViews>
    <sheetView workbookViewId="0">
      <pane xSplit="1" ySplit="1" topLeftCell="B83" activePane="bottomRight" state="frozen"/>
      <selection pane="topRight" activeCell="AB39" sqref="AB39"/>
      <selection pane="bottomLeft" activeCell="AB39" sqref="AB39"/>
      <selection pane="bottomRight" activeCell="J112" sqref="J112"/>
    </sheetView>
  </sheetViews>
  <sheetFormatPr defaultColWidth="8.5546875" defaultRowHeight="14.4"/>
  <cols>
    <col min="1" max="1" width="10.109375" style="107" bestFit="1" customWidth="1"/>
    <col min="2" max="5" width="9" style="107" customWidth="1"/>
    <col min="6" max="9" width="10.44140625" style="107" customWidth="1"/>
    <col min="10" max="12" width="11.44140625" style="107" customWidth="1"/>
    <col min="13" max="13" width="15.109375" style="107" bestFit="1" customWidth="1"/>
    <col min="14" max="39" width="11.44140625" style="107" customWidth="1"/>
    <col min="40" max="40" width="11.44140625" style="112" customWidth="1"/>
    <col min="41" max="43" width="11.44140625" style="107" customWidth="1"/>
    <col min="44" max="16384" width="8.5546875" style="107"/>
  </cols>
  <sheetData>
    <row r="1" spans="1:45" ht="57.6">
      <c r="A1" s="133" t="s">
        <v>197</v>
      </c>
      <c r="B1" s="134" t="s">
        <v>3</v>
      </c>
      <c r="C1" s="134" t="s">
        <v>198</v>
      </c>
      <c r="D1" s="134" t="s">
        <v>199</v>
      </c>
      <c r="E1" s="134" t="s">
        <v>48</v>
      </c>
      <c r="F1" s="135" t="s">
        <v>200</v>
      </c>
      <c r="G1" s="135" t="s">
        <v>201</v>
      </c>
      <c r="H1" s="135" t="s">
        <v>202</v>
      </c>
      <c r="I1" s="135" t="s">
        <v>203</v>
      </c>
      <c r="J1" s="135" t="s">
        <v>204</v>
      </c>
      <c r="K1" s="135" t="s">
        <v>205</v>
      </c>
      <c r="L1" s="135" t="s">
        <v>206</v>
      </c>
      <c r="M1" s="135" t="s">
        <v>207</v>
      </c>
      <c r="N1" s="135" t="s">
        <v>208</v>
      </c>
      <c r="O1" s="135" t="s">
        <v>209</v>
      </c>
      <c r="P1" s="135" t="s">
        <v>210</v>
      </c>
      <c r="Q1" s="135" t="s">
        <v>211</v>
      </c>
      <c r="R1" s="135" t="s">
        <v>212</v>
      </c>
      <c r="S1" s="135" t="s">
        <v>213</v>
      </c>
      <c r="T1" s="135" t="s">
        <v>214</v>
      </c>
      <c r="U1" s="135" t="s">
        <v>215</v>
      </c>
      <c r="V1" s="135" t="s">
        <v>216</v>
      </c>
      <c r="W1" s="135" t="s">
        <v>217</v>
      </c>
      <c r="X1" s="135" t="s">
        <v>218</v>
      </c>
      <c r="Y1" s="135" t="s">
        <v>219</v>
      </c>
      <c r="Z1" s="135" t="s">
        <v>220</v>
      </c>
      <c r="AA1" s="135" t="s">
        <v>221</v>
      </c>
      <c r="AB1" s="135" t="s">
        <v>222</v>
      </c>
      <c r="AC1" s="135" t="s">
        <v>223</v>
      </c>
      <c r="AD1" s="135" t="s">
        <v>224</v>
      </c>
      <c r="AE1" s="135" t="s">
        <v>225</v>
      </c>
      <c r="AF1" s="135" t="s">
        <v>226</v>
      </c>
      <c r="AG1" s="135" t="s">
        <v>227</v>
      </c>
      <c r="AH1" s="135" t="s">
        <v>228</v>
      </c>
      <c r="AI1" s="135" t="s">
        <v>63</v>
      </c>
      <c r="AJ1" s="135" t="s">
        <v>229</v>
      </c>
      <c r="AK1" s="135" t="s">
        <v>230</v>
      </c>
      <c r="AL1" s="135" t="s">
        <v>231</v>
      </c>
      <c r="AM1" s="135" t="s">
        <v>232</v>
      </c>
      <c r="AN1" s="136" t="s">
        <v>233</v>
      </c>
      <c r="AO1" s="135" t="s">
        <v>65</v>
      </c>
      <c r="AP1" s="135" t="s">
        <v>234</v>
      </c>
      <c r="AQ1" s="135" t="s">
        <v>235</v>
      </c>
      <c r="AR1" s="135" t="s">
        <v>236</v>
      </c>
      <c r="AS1" s="135" t="s">
        <v>237</v>
      </c>
    </row>
    <row r="2" spans="1:45">
      <c r="A2" s="137">
        <v>45745</v>
      </c>
      <c r="B2" s="138">
        <f>YEAR(Daily_KPI[[#This Row],[Date]])+IF(MONTH(Daily_KPI[[#This Row],[Date]])&gt;=4,1,0)</f>
        <v>2025</v>
      </c>
      <c r="C2" s="108">
        <f>YEAR(Daily_KPI[[#This Row],[Date]])</f>
        <v>2025</v>
      </c>
      <c r="D2" s="139">
        <f>Daily_KPI[[#This Row],[Date]]-DAY(Daily_KPI[[#This Row],[Date]])+1</f>
        <v>45717</v>
      </c>
      <c r="E2" s="108">
        <f t="shared" ref="E2:E60" si="0">DAY(EOMONTH(A2,0))</f>
        <v>31</v>
      </c>
      <c r="F2" s="109"/>
      <c r="G2" s="143"/>
      <c r="H2" s="143"/>
      <c r="I2" s="143"/>
      <c r="J2" s="143"/>
      <c r="K2" s="111"/>
      <c r="L2" s="110"/>
      <c r="M2" s="110">
        <f>IFERROR(_xlfn.XLOOKUP($A2,Input_Raw!$A:$A,Input_Raw!$CQ:$CQ),"")</f>
        <v>4.6409090909090915</v>
      </c>
      <c r="N2" s="110">
        <f>IFERROR(_xlfn.XLOOKUP($A2,Input_Raw!$A:$A,Input_Raw!$CR:$CR),"")</f>
        <v>5.68</v>
      </c>
      <c r="O2" s="141">
        <f t="shared" ref="O2:O60" si="1">IFERROR(P2*Q2,"")</f>
        <v>0.96851330160491766</v>
      </c>
      <c r="P2" s="141">
        <f>IFERROR(1-SUMIF(WTG_BD!$F:$F,$A2,WTG_BD!$AA:$AA)/($AA2+SUMIF(WTG_BD!$F:$F,$A2,WTG_BD!$AA:$AA)),"")</f>
        <v>0.99330875565198473</v>
      </c>
      <c r="Q2" s="141">
        <f>IFERROR(1-SUMIF(IGA_BD!$F:$F,$A2,IGA_BD!$W:$W)/($AA2+SUMIF(IGA_BD!$F:$F,$A2,IGA_BD!$W:$W)),"")</f>
        <v>0.97503751587209975</v>
      </c>
      <c r="R2" s="141">
        <f>IFERROR(1-SUMIF(Grid_BD!$F:$F,$A2,Grid_BD!$Y:$Y)/($AA2+SUMIF(Grid_BD!$F:$F,$A2,Grid_BD!$Y:$Y)),"")</f>
        <v>1</v>
      </c>
      <c r="S2" s="108"/>
      <c r="T2" s="140"/>
      <c r="U2" s="141"/>
      <c r="V2" s="108"/>
      <c r="W2" s="142">
        <f t="shared" ref="W2:W60" si="2">IFERROR(X2/(24*AB2*1000),"")</f>
        <v>9.998520359848484E-2</v>
      </c>
      <c r="X2" s="108">
        <f>IFERROR(_xlfn.XLOOKUP($A2,Input_Raw!$A:$A,Input_Raw!$CP:$CP)*1000,"")</f>
        <v>168935</v>
      </c>
      <c r="Y2" s="108">
        <f>IFERROR(_xlfn.XLOOKUP($A2,Input_Raw!$A:$A,Input_Raw!DJ:DJ)*1000,"")</f>
        <v>168935</v>
      </c>
      <c r="Z2" s="108">
        <f>IFERROR(_xlfn.XLOOKUP($A2,Input_Raw!$A:$A,Input_Raw!DK:DK)*1000,"")</f>
        <v>0</v>
      </c>
      <c r="AA2" s="138">
        <f t="shared" ref="AA2:AA60" si="3">IFERROR(Y2-Z2,"")</f>
        <v>168935</v>
      </c>
      <c r="AB2" s="108">
        <f>IFERROR(_xlfn.XLOOKUP($A2,Input_Raw!$A:$A,Input_Raw!$DR:$DR),"")</f>
        <v>70.400000000000006</v>
      </c>
      <c r="AC2" s="143">
        <f>IFERROR(_xlfn.XLOOKUP($D2,'Modelling New'!$D:$D,'Modelling New'!$J:$J),"")</f>
        <v>4.5649999999999995</v>
      </c>
      <c r="AD2" s="138">
        <f>IFERROR(_xlfn.XLOOKUP($D2,'Modelling New'!$D:$D,'Modelling New'!$T:$T)*1000,"")</f>
        <v>177354.83870967739</v>
      </c>
      <c r="AE2" s="142"/>
      <c r="AF2" s="142">
        <f>IFERROR(_xlfn.XLOOKUP($D2,'Modelling New'!$D:$D,'Modelling New'!$W:$W),"")</f>
        <v>0.10496853616813293</v>
      </c>
      <c r="AG2" s="142">
        <f>IFERROR(_xlfn.XLOOKUP($D2,'Modelling New'!$D:$D,'Modelling New'!$AE:$AE),"")</f>
        <v>0.96029999999999993</v>
      </c>
      <c r="AH2" s="142">
        <f>IFERROR(_xlfn.XLOOKUP($D2,'Modelling New'!$D:$D,'Modelling New'!$AF:$AF),"")</f>
        <v>0.995</v>
      </c>
      <c r="AI2" s="109">
        <f>IFERROR(_xlfn.XLOOKUP($A2,Input_Raw!$A:$A,Input_Raw!$DP:$DP),"")</f>
        <v>156.79</v>
      </c>
      <c r="AJ2" s="108"/>
      <c r="AK2" s="108"/>
      <c r="AL2" s="108"/>
      <c r="AM2" s="108"/>
      <c r="AN2" s="132">
        <f>IFERROR(_xlfn.XLOOKUP($A2,Input_Raw!$A:$A,Input_Raw!$DL:$DL),"")</f>
        <v>0</v>
      </c>
      <c r="AO2" s="142">
        <f>IFERROR((_xlfn.XLOOKUP($A2,'WTG Reactive Power'!$A:$A,'WTG Reactive Power'!$AW:$AW))/X2,"")</f>
        <v>0</v>
      </c>
      <c r="AP2" s="142">
        <f>IFERROR(_xlfn.XLOOKUP($D2,'Modelling New'!$D:$D,'Modelling New'!$AK:$AK),"")</f>
        <v>0.05</v>
      </c>
      <c r="AQ2" s="142">
        <f>IFERROR(_xlfn.XLOOKUP($D2,'Modelling New'!$D:$D,'Modelling New'!$AL:$AL),"")</f>
        <v>0.05</v>
      </c>
      <c r="AR2" s="198">
        <f>IFERROR(_xlfn.XLOOKUP($D2,'Modelling New'!$D:$D,'Modelling New'!$N:$N),"")</f>
        <v>70.400000000000006</v>
      </c>
      <c r="AS2" s="198"/>
    </row>
    <row r="3" spans="1:45">
      <c r="A3" s="137">
        <f t="shared" ref="A3:A62" si="4">A2+1</f>
        <v>45746</v>
      </c>
      <c r="B3" s="138">
        <f>YEAR(Daily_KPI[[#This Row],[Date]])+IF(MONTH(Daily_KPI[[#This Row],[Date]])&gt;=4,1,0)</f>
        <v>2025</v>
      </c>
      <c r="C3" s="108">
        <f>YEAR(Daily_KPI[[#This Row],[Date]])</f>
        <v>2025</v>
      </c>
      <c r="D3" s="139">
        <f>Daily_KPI[[#This Row],[Date]]-DAY(Daily_KPI[[#This Row],[Date]])+1</f>
        <v>45717</v>
      </c>
      <c r="E3" s="108">
        <f t="shared" si="0"/>
        <v>31</v>
      </c>
      <c r="F3" s="109"/>
      <c r="G3" s="110"/>
      <c r="H3" s="110"/>
      <c r="I3" s="110"/>
      <c r="J3" s="110"/>
      <c r="K3" s="111"/>
      <c r="L3" s="110"/>
      <c r="M3" s="110">
        <f>IFERROR(_xlfn.XLOOKUP($A3,Input_Raw!$A:$A,Input_Raw!$CQ:$CQ),"")</f>
        <v>4.932500000000001</v>
      </c>
      <c r="N3" s="110">
        <f>IFERROR(_xlfn.XLOOKUP($A3,Input_Raw!$A:$A,Input_Raw!$CR:$CR),"")</f>
        <v>6.15</v>
      </c>
      <c r="O3" s="141">
        <f t="shared" si="1"/>
        <v>0.99496952896974911</v>
      </c>
      <c r="P3" s="141">
        <f>IFERROR(1-SUMIF(WTG_BD!$F:$F,$A3,WTG_BD!$AA:$AA)/($AA3+SUMIF(WTG_BD!$F:$F,$A3,WTG_BD!$AA:$AA)),"")</f>
        <v>1</v>
      </c>
      <c r="Q3" s="141">
        <f>IFERROR(1-SUMIF(IGA_BD!$F:$F,$A3,IGA_BD!$W:$W)/($AA3+SUMIF(IGA_BD!$F:$F,$A3,IGA_BD!$W:$W)),"")</f>
        <v>0.99496952896974911</v>
      </c>
      <c r="R3" s="141">
        <f>IFERROR(1-SUMIF(Grid_BD!$F:$F,$A3,Grid_BD!$Y:$Y)/($AA3+SUMIF(Grid_BD!$F:$F,$A3,Grid_BD!$Y:$Y)),"")</f>
        <v>1</v>
      </c>
      <c r="S3" s="108"/>
      <c r="T3" s="140"/>
      <c r="U3" s="141"/>
      <c r="V3" s="108"/>
      <c r="W3" s="142">
        <f t="shared" si="2"/>
        <v>0.11237985321969696</v>
      </c>
      <c r="X3" s="108">
        <f>IFERROR(_xlfn.XLOOKUP($A3,Input_Raw!$A:$A,Input_Raw!$CP:$CP)*1000,"")</f>
        <v>189877</v>
      </c>
      <c r="Y3" s="108">
        <f>IFERROR(_xlfn.XLOOKUP($A3,Input_Raw!$A:$A,Input_Raw!DJ:DJ)*1000,"")</f>
        <v>189877</v>
      </c>
      <c r="Z3" s="108">
        <f>IFERROR(_xlfn.XLOOKUP($A3,Input_Raw!$A:$A,Input_Raw!DK:DK)*1000,"")</f>
        <v>0</v>
      </c>
      <c r="AA3" s="138">
        <f t="shared" si="3"/>
        <v>189877</v>
      </c>
      <c r="AB3" s="108">
        <f>IFERROR(_xlfn.XLOOKUP($A3,Input_Raw!$A:$A,Input_Raw!$DR:$DR),"")</f>
        <v>70.400000000000006</v>
      </c>
      <c r="AC3" s="143">
        <f>IFERROR(_xlfn.XLOOKUP($D3,'Modelling New'!$D:$D,'Modelling New'!$J:$J),"")</f>
        <v>4.5649999999999995</v>
      </c>
      <c r="AD3" s="138">
        <f>IFERROR(_xlfn.XLOOKUP($D3,'Modelling New'!$D:$D,'Modelling New'!$T:$T)*1000,"")</f>
        <v>177354.83870967739</v>
      </c>
      <c r="AE3" s="142"/>
      <c r="AF3" s="142">
        <f>IFERROR(_xlfn.XLOOKUP($D3,'Modelling New'!$D:$D,'Modelling New'!$W:$W),"")</f>
        <v>0.10496853616813293</v>
      </c>
      <c r="AG3" s="142">
        <f>IFERROR(_xlfn.XLOOKUP($D3,'Modelling New'!$D:$D,'Modelling New'!$AE:$AE),"")</f>
        <v>0.96029999999999993</v>
      </c>
      <c r="AH3" s="142">
        <f>IFERROR(_xlfn.XLOOKUP($D3,'Modelling New'!$D:$D,'Modelling New'!$AF:$AF),"")</f>
        <v>0.995</v>
      </c>
      <c r="AI3" s="109">
        <f>IFERROR(_xlfn.XLOOKUP($A3,Input_Raw!$A:$A,Input_Raw!$DP:$DP),"")</f>
        <v>162.74</v>
      </c>
      <c r="AJ3" s="108"/>
      <c r="AK3" s="108"/>
      <c r="AL3" s="108"/>
      <c r="AM3" s="108"/>
      <c r="AN3" s="132">
        <f>IFERROR(_xlfn.XLOOKUP($A3,Input_Raw!$A:$A,Input_Raw!$DL:$DL),"")</f>
        <v>0</v>
      </c>
      <c r="AO3" s="142">
        <f>IFERROR((_xlfn.XLOOKUP($A3,'WTG Reactive Power'!$A:$A,'WTG Reactive Power'!$AW:$AW))/X3,"")</f>
        <v>0</v>
      </c>
      <c r="AP3" s="142">
        <f>IFERROR(_xlfn.XLOOKUP($D3,'Modelling New'!$D:$D,'Modelling New'!$AK:$AK),"")</f>
        <v>0.05</v>
      </c>
      <c r="AQ3" s="142">
        <f>IFERROR(_xlfn.XLOOKUP($D3,'Modelling New'!$D:$D,'Modelling New'!$AL:$AL),"")</f>
        <v>0.05</v>
      </c>
      <c r="AR3" s="198">
        <f>IFERROR(_xlfn.XLOOKUP($D3,'Modelling New'!$D:$D,'Modelling New'!$N:$N),"")</f>
        <v>70.400000000000006</v>
      </c>
      <c r="AS3" s="198"/>
    </row>
    <row r="4" spans="1:45">
      <c r="A4" s="137">
        <f t="shared" si="4"/>
        <v>45747</v>
      </c>
      <c r="B4" s="138">
        <f>YEAR(Daily_KPI[[#This Row],[Date]])+IF(MONTH(Daily_KPI[[#This Row],[Date]])&gt;=4,1,0)</f>
        <v>2025</v>
      </c>
      <c r="C4" s="108">
        <f>YEAR(Daily_KPI[[#This Row],[Date]])</f>
        <v>2025</v>
      </c>
      <c r="D4" s="139">
        <f>Daily_KPI[[#This Row],[Date]]-DAY(Daily_KPI[[#This Row],[Date]])+1</f>
        <v>45717</v>
      </c>
      <c r="E4" s="108">
        <f t="shared" si="0"/>
        <v>31</v>
      </c>
      <c r="F4" s="109"/>
      <c r="G4" s="143"/>
      <c r="H4" s="143"/>
      <c r="I4" s="143"/>
      <c r="J4" s="143"/>
      <c r="K4" s="111"/>
      <c r="L4" s="110"/>
      <c r="M4" s="110">
        <f>IFERROR(_xlfn.XLOOKUP($A4,Input_Raw!$A:$A,Input_Raw!$CQ:$CQ),"")</f>
        <v>3.7163636363636368</v>
      </c>
      <c r="N4" s="110">
        <f>IFERROR(_xlfn.XLOOKUP($A4,Input_Raw!$A:$A,Input_Raw!$CR:$CR),"")</f>
        <v>4.75</v>
      </c>
      <c r="O4" s="141">
        <f t="shared" si="1"/>
        <v>0.95403199405568484</v>
      </c>
      <c r="P4" s="141">
        <f>IFERROR(1-SUMIF(WTG_BD!$F:$F,$A4,WTG_BD!$AA:$AA)/($AA4+SUMIF(WTG_BD!$F:$F,$A4,WTG_BD!$AA:$AA)),"")</f>
        <v>0.99594967154899539</v>
      </c>
      <c r="Q4" s="141">
        <f>IFERROR(1-SUMIF(IGA_BD!$F:$F,$A4,IGA_BD!$W:$W)/($AA4+SUMIF(IGA_BD!$F:$F,$A4,IGA_BD!$W:$W)),"")</f>
        <v>0.95791185168210735</v>
      </c>
      <c r="R4" s="141">
        <f>IFERROR(1-SUMIF(Grid_BD!$F:$F,$A4,Grid_BD!$Y:$Y)/($AA4+SUMIF(Grid_BD!$F:$F,$A4,Grid_BD!$Y:$Y)),"")</f>
        <v>1</v>
      </c>
      <c r="S4" s="108"/>
      <c r="T4" s="140"/>
      <c r="U4" s="141"/>
      <c r="V4" s="108"/>
      <c r="W4" s="142">
        <f t="shared" si="2"/>
        <v>5.1955492424242418E-2</v>
      </c>
      <c r="X4" s="108">
        <f>IFERROR(_xlfn.XLOOKUP($A4,Input_Raw!$A:$A,Input_Raw!$CP:$CP)*1000,"")</f>
        <v>87784</v>
      </c>
      <c r="Y4" s="108">
        <f>IFERROR(_xlfn.XLOOKUP($A4,Input_Raw!$A:$A,Input_Raw!DJ:DJ)*1000,"")</f>
        <v>87783.999999999985</v>
      </c>
      <c r="Z4" s="108">
        <f>IFERROR(_xlfn.XLOOKUP($A4,Input_Raw!$A:$A,Input_Raw!DK:DK)*1000,"")</f>
        <v>0</v>
      </c>
      <c r="AA4" s="138">
        <f t="shared" si="3"/>
        <v>87783.999999999985</v>
      </c>
      <c r="AB4" s="108">
        <f>IFERROR(_xlfn.XLOOKUP($A4,Input_Raw!$A:$A,Input_Raw!$DR:$DR),"")</f>
        <v>70.400000000000006</v>
      </c>
      <c r="AC4" s="143">
        <f>IFERROR(_xlfn.XLOOKUP($D4,'Modelling New'!$D:$D,'Modelling New'!$J:$J),"")</f>
        <v>4.5649999999999995</v>
      </c>
      <c r="AD4" s="138">
        <f>IFERROR(_xlfn.XLOOKUP($D4,'Modelling New'!$D:$D,'Modelling New'!$T:$T)*1000,"")</f>
        <v>177354.83870967739</v>
      </c>
      <c r="AE4" s="142"/>
      <c r="AF4" s="142">
        <f>IFERROR(_xlfn.XLOOKUP($D4,'Modelling New'!$D:$D,'Modelling New'!$W:$W),"")</f>
        <v>0.10496853616813293</v>
      </c>
      <c r="AG4" s="142">
        <f>IFERROR(_xlfn.XLOOKUP($D4,'Modelling New'!$D:$D,'Modelling New'!$AE:$AE),"")</f>
        <v>0.96029999999999993</v>
      </c>
      <c r="AH4" s="142">
        <f>IFERROR(_xlfn.XLOOKUP($D4,'Modelling New'!$D:$D,'Modelling New'!$AF:$AF),"")</f>
        <v>0.995</v>
      </c>
      <c r="AI4" s="109">
        <f>IFERROR(_xlfn.XLOOKUP($A4,Input_Raw!$A:$A,Input_Raw!$DP:$DP),"")</f>
        <v>66.47</v>
      </c>
      <c r="AJ4" s="108"/>
      <c r="AK4" s="108"/>
      <c r="AL4" s="108"/>
      <c r="AM4" s="108"/>
      <c r="AN4" s="132">
        <f>IFERROR(_xlfn.XLOOKUP($A4,Input_Raw!$A:$A,Input_Raw!$DL:$DL),"")</f>
        <v>-1.1102230246251565E-16</v>
      </c>
      <c r="AO4" s="142">
        <f>IFERROR((_xlfn.XLOOKUP($A4,'WTG Reactive Power'!$A:$A,'WTG Reactive Power'!$AW:$AW))/X4,"")</f>
        <v>0</v>
      </c>
      <c r="AP4" s="142">
        <f>IFERROR(_xlfn.XLOOKUP($D4,'Modelling New'!$D:$D,'Modelling New'!$AK:$AK),"")</f>
        <v>0.05</v>
      </c>
      <c r="AQ4" s="142">
        <f>IFERROR(_xlfn.XLOOKUP($D4,'Modelling New'!$D:$D,'Modelling New'!$AL:$AL),"")</f>
        <v>0.05</v>
      </c>
      <c r="AR4" s="198">
        <f>IFERROR(_xlfn.XLOOKUP($D4,'Modelling New'!$D:$D,'Modelling New'!$N:$N),"")</f>
        <v>70.400000000000006</v>
      </c>
      <c r="AS4" s="198"/>
    </row>
    <row r="5" spans="1:45">
      <c r="A5" s="137">
        <f t="shared" si="4"/>
        <v>45748</v>
      </c>
      <c r="B5" s="138">
        <f>YEAR(Daily_KPI[[#This Row],[Date]])+IF(MONTH(Daily_KPI[[#This Row],[Date]])&gt;=4,1,0)</f>
        <v>2026</v>
      </c>
      <c r="C5" s="108">
        <f>YEAR(Daily_KPI[[#This Row],[Date]])</f>
        <v>2025</v>
      </c>
      <c r="D5" s="139">
        <f>Daily_KPI[[#This Row],[Date]]-DAY(Daily_KPI[[#This Row],[Date]])+1</f>
        <v>45748</v>
      </c>
      <c r="E5" s="108">
        <f t="shared" si="0"/>
        <v>30</v>
      </c>
      <c r="F5" s="109"/>
      <c r="G5" s="110"/>
      <c r="H5" s="110"/>
      <c r="I5" s="110"/>
      <c r="J5" s="110"/>
      <c r="K5" s="111"/>
      <c r="L5" s="110"/>
      <c r="M5" s="110">
        <f>IFERROR(_xlfn.XLOOKUP($A5,Input_Raw!$A:$A,Input_Raw!$CQ:$CQ),"")</f>
        <v>5.0677272727272733</v>
      </c>
      <c r="N5" s="110">
        <f>IFERROR(_xlfn.XLOOKUP($A5,Input_Raw!$A:$A,Input_Raw!$CR:$CR),"")</f>
        <v>6.47</v>
      </c>
      <c r="O5" s="141">
        <f t="shared" si="1"/>
        <v>0.85430305868208722</v>
      </c>
      <c r="P5" s="141">
        <f>IFERROR(1-SUMIF(WTG_BD!$F:$F,$A5,WTG_BD!$AA:$AA)/($AA5+SUMIF(WTG_BD!$F:$F,$A5,WTG_BD!$AA:$AA)),"")</f>
        <v>0.98556093470978767</v>
      </c>
      <c r="Q5" s="141">
        <f>IFERROR(1-SUMIF(IGA_BD!$F:$F,$A5,IGA_BD!$W:$W)/($AA5+SUMIF(IGA_BD!$F:$F,$A5,IGA_BD!$W:$W)),"")</f>
        <v>0.8668191165000354</v>
      </c>
      <c r="R5" s="141">
        <f>IFERROR(1-SUMIF(Grid_BD!$F:$F,$A5,Grid_BD!$Y:$Y)/($AA5+SUMIF(Grid_BD!$F:$F,$A5,Grid_BD!$Y:$Y)),"")</f>
        <v>1</v>
      </c>
      <c r="S5" s="108"/>
      <c r="T5" s="140"/>
      <c r="U5" s="141"/>
      <c r="V5" s="108"/>
      <c r="W5" s="142">
        <f t="shared" si="2"/>
        <v>0.14470584753787877</v>
      </c>
      <c r="X5" s="108">
        <f>IFERROR(_xlfn.XLOOKUP($A5,Input_Raw!$A:$A,Input_Raw!$CP:$CP)*1000,"")</f>
        <v>244495</v>
      </c>
      <c r="Y5" s="108">
        <f>IFERROR(_xlfn.XLOOKUP($A5,Input_Raw!$A:$A,Input_Raw!DJ:DJ)*1000,"")</f>
        <v>244494.99999999997</v>
      </c>
      <c r="Z5" s="108">
        <f>IFERROR(_xlfn.XLOOKUP($A5,Input_Raw!$A:$A,Input_Raw!DK:DK)*1000,"")</f>
        <v>0</v>
      </c>
      <c r="AA5" s="138">
        <f t="shared" si="3"/>
        <v>244494.99999999997</v>
      </c>
      <c r="AB5" s="108">
        <f>IFERROR(_xlfn.XLOOKUP($A5,Input_Raw!$A:$A,Input_Raw!$DR:$DR),"")</f>
        <v>70.400000000000006</v>
      </c>
      <c r="AC5" s="143">
        <f>IFERROR(_xlfn.XLOOKUP($D5,'Modelling New'!$D:$D,'Modelling New'!$J:$J),"")</f>
        <v>5.22</v>
      </c>
      <c r="AD5" s="138">
        <f>IFERROR(_xlfn.XLOOKUP($D5,'Modelling New'!$D:$D,'Modelling New'!$T:$T)*1000,"")</f>
        <v>228113.28141262796</v>
      </c>
      <c r="AE5" s="142"/>
      <c r="AF5" s="142">
        <f>IFERROR(_xlfn.XLOOKUP($D5,'Modelling New'!$D:$D,'Modelling New'!$W:$W),"")</f>
        <v>0.13501022810879967</v>
      </c>
      <c r="AG5" s="142">
        <f>IFERROR(_xlfn.XLOOKUP($D5,'Modelling New'!$D:$D,'Modelling New'!$AE:$AE),"")</f>
        <v>0.96029999999999993</v>
      </c>
      <c r="AH5" s="142">
        <f>IFERROR(_xlfn.XLOOKUP($D5,'Modelling New'!$D:$D,'Modelling New'!$AF:$AF),"")</f>
        <v>0.995</v>
      </c>
      <c r="AI5" s="109">
        <f>IFERROR(_xlfn.XLOOKUP($A5,Input_Raw!$A:$A,Input_Raw!$DP:$DP),"")</f>
        <v>261.94</v>
      </c>
      <c r="AJ5" s="108"/>
      <c r="AK5" s="108"/>
      <c r="AL5" s="108"/>
      <c r="AM5" s="108"/>
      <c r="AN5" s="132">
        <f>IFERROR(_xlfn.XLOOKUP($A5,Input_Raw!$A:$A,Input_Raw!$DL:$DL),"")</f>
        <v>-1.1102230246251565E-16</v>
      </c>
      <c r="AO5" s="142">
        <f>IFERROR((_xlfn.XLOOKUP($A5,'WTG Reactive Power'!$A:$A,'WTG Reactive Power'!$AW:$AW))/X5,"")</f>
        <v>1.5263607503902596E-4</v>
      </c>
      <c r="AP5" s="142">
        <f>IFERROR(_xlfn.XLOOKUP($D5,'Modelling New'!$D:$D,'Modelling New'!$AK:$AK),"")</f>
        <v>0.05</v>
      </c>
      <c r="AQ5" s="142">
        <f>IFERROR(_xlfn.XLOOKUP($D5,'Modelling New'!$D:$D,'Modelling New'!$AL:$AL),"")</f>
        <v>0.05</v>
      </c>
      <c r="AR5" s="198">
        <f>IFERROR(_xlfn.XLOOKUP($D5,'Modelling New'!$D:$D,'Modelling New'!$N:$N),"")</f>
        <v>70.400000000000006</v>
      </c>
      <c r="AS5" s="198"/>
    </row>
    <row r="6" spans="1:45">
      <c r="A6" s="137">
        <f t="shared" si="4"/>
        <v>45749</v>
      </c>
      <c r="B6" s="138">
        <f>YEAR(Daily_KPI[[#This Row],[Date]])+IF(MONTH(Daily_KPI[[#This Row],[Date]])&gt;=4,1,0)</f>
        <v>2026</v>
      </c>
      <c r="C6" s="108">
        <f>YEAR(Daily_KPI[[#This Row],[Date]])</f>
        <v>2025</v>
      </c>
      <c r="D6" s="139">
        <f>Daily_KPI[[#This Row],[Date]]-DAY(Daily_KPI[[#This Row],[Date]])+1</f>
        <v>45748</v>
      </c>
      <c r="E6" s="108">
        <f t="shared" si="0"/>
        <v>30</v>
      </c>
      <c r="F6" s="109"/>
      <c r="G6" s="143"/>
      <c r="H6" s="143"/>
      <c r="I6" s="143"/>
      <c r="J6" s="143"/>
      <c r="K6" s="111"/>
      <c r="L6" s="110"/>
      <c r="M6" s="110">
        <f>IFERROR(_xlfn.XLOOKUP($A6,Input_Raw!$A:$A,Input_Raw!$CQ:$CQ),"")</f>
        <v>5.4718181818181808</v>
      </c>
      <c r="N6" s="110">
        <f>IFERROR(_xlfn.XLOOKUP($A6,Input_Raw!$A:$A,Input_Raw!$CR:$CR),"")</f>
        <v>6.87</v>
      </c>
      <c r="O6" s="141">
        <f t="shared" si="1"/>
        <v>0.96843539957284519</v>
      </c>
      <c r="P6" s="141">
        <f>IFERROR(1-SUMIF(WTG_BD!$F:$F,$A6,WTG_BD!$AA:$AA)/($AA6+SUMIF(WTG_BD!$F:$F,$A6,WTG_BD!$AA:$AA)),"")</f>
        <v>0.99116238913743038</v>
      </c>
      <c r="Q6" s="141">
        <f>IFERROR(1-SUMIF(IGA_BD!$F:$F,$A6,IGA_BD!$W:$W)/($AA6+SUMIF(IGA_BD!$F:$F,$A6,IGA_BD!$W:$W)),"")</f>
        <v>0.97707036726407304</v>
      </c>
      <c r="R6" s="141">
        <f>IFERROR(1-SUMIF(Grid_BD!$F:$F,$A6,Grid_BD!$Y:$Y)/($AA6+SUMIF(Grid_BD!$F:$F,$A6,Grid_BD!$Y:$Y)),"")</f>
        <v>1</v>
      </c>
      <c r="S6" s="108"/>
      <c r="T6" s="140"/>
      <c r="U6" s="141"/>
      <c r="V6" s="108"/>
      <c r="W6" s="142">
        <f t="shared" si="2"/>
        <v>0.18685487689393937</v>
      </c>
      <c r="X6" s="108">
        <f>IFERROR(_xlfn.XLOOKUP($A6,Input_Raw!$A:$A,Input_Raw!$CP:$CP)*1000,"")</f>
        <v>315710</v>
      </c>
      <c r="Y6" s="108">
        <f>IFERROR(_xlfn.XLOOKUP($A6,Input_Raw!$A:$A,Input_Raw!DJ:DJ)*1000,"")</f>
        <v>315710.00000000006</v>
      </c>
      <c r="Z6" s="108">
        <f>IFERROR(_xlfn.XLOOKUP($A6,Input_Raw!$A:$A,Input_Raw!DK:DK)*1000,"")</f>
        <v>0</v>
      </c>
      <c r="AA6" s="138">
        <f t="shared" si="3"/>
        <v>315710.00000000006</v>
      </c>
      <c r="AB6" s="108">
        <f>IFERROR(_xlfn.XLOOKUP($A6,Input_Raw!$A:$A,Input_Raw!$DR:$DR),"")</f>
        <v>70.400000000000006</v>
      </c>
      <c r="AC6" s="143">
        <f>IFERROR(_xlfn.XLOOKUP($D6,'Modelling New'!$D:$D,'Modelling New'!$J:$J),"")</f>
        <v>5.22</v>
      </c>
      <c r="AD6" s="138">
        <f>IFERROR(_xlfn.XLOOKUP($D6,'Modelling New'!$D:$D,'Modelling New'!$T:$T)*1000,"")</f>
        <v>228113.28141262796</v>
      </c>
      <c r="AE6" s="142"/>
      <c r="AF6" s="142">
        <f>IFERROR(_xlfn.XLOOKUP($D6,'Modelling New'!$D:$D,'Modelling New'!$W:$W),"")</f>
        <v>0.13501022810879967</v>
      </c>
      <c r="AG6" s="142">
        <f>IFERROR(_xlfn.XLOOKUP($D6,'Modelling New'!$D:$D,'Modelling New'!$AE:$AE),"")</f>
        <v>0.96029999999999993</v>
      </c>
      <c r="AH6" s="142">
        <f>IFERROR(_xlfn.XLOOKUP($D6,'Modelling New'!$D:$D,'Modelling New'!$AF:$AF),"")</f>
        <v>0.995</v>
      </c>
      <c r="AI6" s="109">
        <f>IFERROR(_xlfn.XLOOKUP($A6,Input_Raw!$A:$A,Input_Raw!$DP:$DP),"")</f>
        <v>310.38</v>
      </c>
      <c r="AJ6" s="108"/>
      <c r="AK6" s="108"/>
      <c r="AL6" s="108"/>
      <c r="AM6" s="108"/>
      <c r="AN6" s="132">
        <f>IFERROR(_xlfn.XLOOKUP($A6,Input_Raw!$A:$A,Input_Raw!$DL:$DL),"")</f>
        <v>2.2204460492503131E-16</v>
      </c>
      <c r="AO6" s="142">
        <f>IFERROR((_xlfn.XLOOKUP($A6,'WTG Reactive Power'!$A:$A,'WTG Reactive Power'!$AW:$AW))/X6,"")</f>
        <v>2.0143081097631792E-4</v>
      </c>
      <c r="AP6" s="142">
        <f>IFERROR(_xlfn.XLOOKUP($D6,'Modelling New'!$D:$D,'Modelling New'!$AK:$AK),"")</f>
        <v>0.05</v>
      </c>
      <c r="AQ6" s="142">
        <f>IFERROR(_xlfn.XLOOKUP($D6,'Modelling New'!$D:$D,'Modelling New'!$AL:$AL),"")</f>
        <v>0.05</v>
      </c>
      <c r="AR6" s="198">
        <f>IFERROR(_xlfn.XLOOKUP($D6,'Modelling New'!$D:$D,'Modelling New'!$N:$N),"")</f>
        <v>70.400000000000006</v>
      </c>
      <c r="AS6" s="198"/>
    </row>
    <row r="7" spans="1:45">
      <c r="A7" s="137">
        <f t="shared" si="4"/>
        <v>45750</v>
      </c>
      <c r="B7" s="138">
        <f>YEAR(Daily_KPI[[#This Row],[Date]])+IF(MONTH(Daily_KPI[[#This Row],[Date]])&gt;=4,1,0)</f>
        <v>2026</v>
      </c>
      <c r="C7" s="108">
        <f>YEAR(Daily_KPI[[#This Row],[Date]])</f>
        <v>2025</v>
      </c>
      <c r="D7" s="139">
        <f>Daily_KPI[[#This Row],[Date]]-DAY(Daily_KPI[[#This Row],[Date]])+1</f>
        <v>45748</v>
      </c>
      <c r="E7" s="108">
        <f t="shared" si="0"/>
        <v>30</v>
      </c>
      <c r="F7" s="109"/>
      <c r="G7" s="110"/>
      <c r="H7" s="110"/>
      <c r="I7" s="110"/>
      <c r="J7" s="110"/>
      <c r="K7" s="111"/>
      <c r="L7" s="110"/>
      <c r="M7" s="110">
        <f>IFERROR(_xlfn.XLOOKUP($A7,Input_Raw!$A:$A,Input_Raw!$CQ:$CQ),"")</f>
        <v>3.5081818181818183</v>
      </c>
      <c r="N7" s="110">
        <f>IFERROR(_xlfn.XLOOKUP($A7,Input_Raw!$A:$A,Input_Raw!$CR:$CR),"")</f>
        <v>4.18</v>
      </c>
      <c r="O7" s="141">
        <f t="shared" si="1"/>
        <v>0.94448318856277558</v>
      </c>
      <c r="P7" s="141">
        <f>IFERROR(1-SUMIF(WTG_BD!$F:$F,$A7,WTG_BD!$AA:$AA)/($AA7+SUMIF(WTG_BD!$F:$F,$A7,WTG_BD!$AA:$AA)),"")</f>
        <v>0.98408338975256437</v>
      </c>
      <c r="Q7" s="141">
        <f>IFERROR(1-SUMIF(IGA_BD!$F:$F,$A7,IGA_BD!$W:$W)/($AA7+SUMIF(IGA_BD!$F:$F,$A7,IGA_BD!$W:$W)),"")</f>
        <v>0.95975930332515236</v>
      </c>
      <c r="R7" s="141">
        <f>IFERROR(1-SUMIF(Grid_BD!$F:$F,$A7,Grid_BD!$Y:$Y)/($AA7+SUMIF(Grid_BD!$F:$F,$A7,Grid_BD!$Y:$Y)),"")</f>
        <v>1</v>
      </c>
      <c r="S7" s="108"/>
      <c r="T7" s="140"/>
      <c r="U7" s="141"/>
      <c r="V7" s="108"/>
      <c r="W7" s="142">
        <f t="shared" si="2"/>
        <v>4.5594815340909083E-2</v>
      </c>
      <c r="X7" s="108">
        <f>IFERROR(_xlfn.XLOOKUP($A7,Input_Raw!$A:$A,Input_Raw!$CP:$CP)*1000,"")</f>
        <v>77037</v>
      </c>
      <c r="Y7" s="108">
        <f>IFERROR(_xlfn.XLOOKUP($A7,Input_Raw!$A:$A,Input_Raw!DJ:DJ)*1000,"")</f>
        <v>77037</v>
      </c>
      <c r="Z7" s="108">
        <f>IFERROR(_xlfn.XLOOKUP($A7,Input_Raw!$A:$A,Input_Raw!DK:DK)*1000,"")</f>
        <v>0</v>
      </c>
      <c r="AA7" s="138">
        <f t="shared" si="3"/>
        <v>77037</v>
      </c>
      <c r="AB7" s="108">
        <f>IFERROR(_xlfn.XLOOKUP($A7,Input_Raw!$A:$A,Input_Raw!$DR:$DR),"")</f>
        <v>70.400000000000006</v>
      </c>
      <c r="AC7" s="143">
        <f>IFERROR(_xlfn.XLOOKUP($D7,'Modelling New'!$D:$D,'Modelling New'!$J:$J),"")</f>
        <v>5.22</v>
      </c>
      <c r="AD7" s="138">
        <f>IFERROR(_xlfn.XLOOKUP($D7,'Modelling New'!$D:$D,'Modelling New'!$T:$T)*1000,"")</f>
        <v>228113.28141262796</v>
      </c>
      <c r="AE7" s="142"/>
      <c r="AF7" s="142">
        <f>IFERROR(_xlfn.XLOOKUP($D7,'Modelling New'!$D:$D,'Modelling New'!$W:$W),"")</f>
        <v>0.13501022810879967</v>
      </c>
      <c r="AG7" s="142">
        <f>IFERROR(_xlfn.XLOOKUP($D7,'Modelling New'!$D:$D,'Modelling New'!$AE:$AE),"")</f>
        <v>0.96029999999999993</v>
      </c>
      <c r="AH7" s="142">
        <f>IFERROR(_xlfn.XLOOKUP($D7,'Modelling New'!$D:$D,'Modelling New'!$AF:$AF),"")</f>
        <v>0.995</v>
      </c>
      <c r="AI7" s="109">
        <f>IFERROR(_xlfn.XLOOKUP($A7,Input_Raw!$A:$A,Input_Raw!$DP:$DP),"")</f>
        <v>72.739999999999995</v>
      </c>
      <c r="AJ7" s="108"/>
      <c r="AK7" s="108"/>
      <c r="AL7" s="108"/>
      <c r="AM7" s="108"/>
      <c r="AN7" s="132">
        <f>IFERROR(_xlfn.XLOOKUP($A7,Input_Raw!$A:$A,Input_Raw!$DL:$DL),"")</f>
        <v>0</v>
      </c>
      <c r="AO7" s="142">
        <f>IFERROR((_xlfn.XLOOKUP($A7,'WTG Reactive Power'!$A:$A,'WTG Reactive Power'!$AW:$AW))/X7,"")</f>
        <v>1.9425753209496732E-4</v>
      </c>
      <c r="AP7" s="142">
        <f>IFERROR(_xlfn.XLOOKUP($D7,'Modelling New'!$D:$D,'Modelling New'!$AK:$AK),"")</f>
        <v>0.05</v>
      </c>
      <c r="AQ7" s="142">
        <f>IFERROR(_xlfn.XLOOKUP($D7,'Modelling New'!$D:$D,'Modelling New'!$AL:$AL),"")</f>
        <v>0.05</v>
      </c>
      <c r="AR7" s="198">
        <f>IFERROR(_xlfn.XLOOKUP($D7,'Modelling New'!$D:$D,'Modelling New'!$N:$N),"")</f>
        <v>70.400000000000006</v>
      </c>
      <c r="AS7" s="198"/>
    </row>
    <row r="8" spans="1:45">
      <c r="A8" s="137">
        <f t="shared" si="4"/>
        <v>45751</v>
      </c>
      <c r="B8" s="138">
        <f>YEAR(Daily_KPI[[#This Row],[Date]])+IF(MONTH(Daily_KPI[[#This Row],[Date]])&gt;=4,1,0)</f>
        <v>2026</v>
      </c>
      <c r="C8" s="108">
        <f>YEAR(Daily_KPI[[#This Row],[Date]])</f>
        <v>2025</v>
      </c>
      <c r="D8" s="139">
        <f>Daily_KPI[[#This Row],[Date]]-DAY(Daily_KPI[[#This Row],[Date]])+1</f>
        <v>45748</v>
      </c>
      <c r="E8" s="108">
        <f t="shared" si="0"/>
        <v>30</v>
      </c>
      <c r="F8" s="109"/>
      <c r="G8" s="143"/>
      <c r="H8" s="143"/>
      <c r="I8" s="143"/>
      <c r="J8" s="143"/>
      <c r="K8" s="111"/>
      <c r="L8" s="110"/>
      <c r="M8" s="110">
        <f>IFERROR(_xlfn.XLOOKUP($A8,Input_Raw!$A:$A,Input_Raw!$CQ:$CQ),"")</f>
        <v>4.1436363636363627</v>
      </c>
      <c r="N8" s="110">
        <f>IFERROR(_xlfn.XLOOKUP($A8,Input_Raw!$A:$A,Input_Raw!$CR:$CR),"")</f>
        <v>5.01</v>
      </c>
      <c r="O8" s="141">
        <f t="shared" si="1"/>
        <v>0.93438565394741213</v>
      </c>
      <c r="P8" s="141">
        <f>IFERROR(1-SUMIF(WTG_BD!$F:$F,$A8,WTG_BD!$AA:$AA)/($AA8+SUMIF(WTG_BD!$F:$F,$A8,WTG_BD!$AA:$AA)),"")</f>
        <v>0.99976115940051014</v>
      </c>
      <c r="Q8" s="141">
        <f>IFERROR(1-SUMIF(IGA_BD!$F:$F,$A8,IGA_BD!$W:$W)/($AA8+SUMIF(IGA_BD!$F:$F,$A8,IGA_BD!$W:$W)),"")</f>
        <v>0.93460887649176194</v>
      </c>
      <c r="R8" s="141">
        <f>IFERROR(1-SUMIF(Grid_BD!$F:$F,$A8,Grid_BD!$Y:$Y)/($AA8+SUMIF(Grid_BD!$F:$F,$A8,Grid_BD!$Y:$Y)),"")</f>
        <v>1</v>
      </c>
      <c r="S8" s="108"/>
      <c r="T8" s="140"/>
      <c r="U8" s="141"/>
      <c r="V8" s="108"/>
      <c r="W8" s="142">
        <f t="shared" si="2"/>
        <v>6.9368489583333318E-2</v>
      </c>
      <c r="X8" s="108">
        <f>IFERROR(_xlfn.XLOOKUP($A8,Input_Raw!$A:$A,Input_Raw!$CP:$CP)*1000,"")</f>
        <v>117205</v>
      </c>
      <c r="Y8" s="108">
        <f>IFERROR(_xlfn.XLOOKUP($A8,Input_Raw!$A:$A,Input_Raw!DJ:DJ)*1000,"")</f>
        <v>117205</v>
      </c>
      <c r="Z8" s="108">
        <f>IFERROR(_xlfn.XLOOKUP($A8,Input_Raw!$A:$A,Input_Raw!DK:DK)*1000,"")</f>
        <v>0</v>
      </c>
      <c r="AA8" s="138">
        <f t="shared" si="3"/>
        <v>117205</v>
      </c>
      <c r="AB8" s="108">
        <f>IFERROR(_xlfn.XLOOKUP($A8,Input_Raw!$A:$A,Input_Raw!$DR:$DR),"")</f>
        <v>70.400000000000006</v>
      </c>
      <c r="AC8" s="143">
        <f>IFERROR(_xlfn.XLOOKUP($D8,'Modelling New'!$D:$D,'Modelling New'!$J:$J),"")</f>
        <v>5.22</v>
      </c>
      <c r="AD8" s="138">
        <f>IFERROR(_xlfn.XLOOKUP($D8,'Modelling New'!$D:$D,'Modelling New'!$T:$T)*1000,"")</f>
        <v>228113.28141262796</v>
      </c>
      <c r="AE8" s="142"/>
      <c r="AF8" s="142">
        <f>IFERROR(_xlfn.XLOOKUP($D8,'Modelling New'!$D:$D,'Modelling New'!$W:$W),"")</f>
        <v>0.13501022810879967</v>
      </c>
      <c r="AG8" s="142">
        <f>IFERROR(_xlfn.XLOOKUP($D8,'Modelling New'!$D:$D,'Modelling New'!$AE:$AE),"")</f>
        <v>0.96029999999999993</v>
      </c>
      <c r="AH8" s="142">
        <f>IFERROR(_xlfn.XLOOKUP($D8,'Modelling New'!$D:$D,'Modelling New'!$AF:$AF),"")</f>
        <v>0.995</v>
      </c>
      <c r="AI8" s="109">
        <f>IFERROR(_xlfn.XLOOKUP($A8,Input_Raw!$A:$A,Input_Raw!$DP:$DP),"")</f>
        <v>115.35</v>
      </c>
      <c r="AJ8" s="108"/>
      <c r="AK8" s="108"/>
      <c r="AL8" s="108"/>
      <c r="AM8" s="108"/>
      <c r="AN8" s="132">
        <f>IFERROR(_xlfn.XLOOKUP($A8,Input_Raw!$A:$A,Input_Raw!$DL:$DL),"")</f>
        <v>0</v>
      </c>
      <c r="AO8" s="142">
        <f>IFERROR((_xlfn.XLOOKUP($A8,'WTG Reactive Power'!$A:$A,'WTG Reactive Power'!$AW:$AW))/X8,"")</f>
        <v>1.7643350824054723E-4</v>
      </c>
      <c r="AP8" s="142">
        <f>IFERROR(_xlfn.XLOOKUP($D8,'Modelling New'!$D:$D,'Modelling New'!$AK:$AK),"")</f>
        <v>0.05</v>
      </c>
      <c r="AQ8" s="142">
        <f>IFERROR(_xlfn.XLOOKUP($D8,'Modelling New'!$D:$D,'Modelling New'!$AL:$AL),"")</f>
        <v>0.05</v>
      </c>
      <c r="AR8" s="198">
        <f>IFERROR(_xlfn.XLOOKUP($D8,'Modelling New'!$D:$D,'Modelling New'!$N:$N),"")</f>
        <v>70.400000000000006</v>
      </c>
      <c r="AS8" s="198"/>
    </row>
    <row r="9" spans="1:45">
      <c r="A9" s="137">
        <f t="shared" si="4"/>
        <v>45752</v>
      </c>
      <c r="B9" s="138">
        <f>YEAR(Daily_KPI[[#This Row],[Date]])+IF(MONTH(Daily_KPI[[#This Row],[Date]])&gt;=4,1,0)</f>
        <v>2026</v>
      </c>
      <c r="C9" s="108">
        <f>YEAR(Daily_KPI[[#This Row],[Date]])</f>
        <v>2025</v>
      </c>
      <c r="D9" s="139">
        <f>Daily_KPI[[#This Row],[Date]]-DAY(Daily_KPI[[#This Row],[Date]])+1</f>
        <v>45748</v>
      </c>
      <c r="E9" s="108">
        <f t="shared" si="0"/>
        <v>30</v>
      </c>
      <c r="F9" s="109"/>
      <c r="G9" s="110"/>
      <c r="H9" s="110"/>
      <c r="I9" s="110"/>
      <c r="J9" s="110"/>
      <c r="K9" s="111"/>
      <c r="L9" s="110"/>
      <c r="M9" s="110">
        <f>IFERROR(_xlfn.XLOOKUP($A9,Input_Raw!$A:$A,Input_Raw!$CQ:$CQ),"")</f>
        <v>4.4490909090909092</v>
      </c>
      <c r="N9" s="110">
        <f>IFERROR(_xlfn.XLOOKUP($A9,Input_Raw!$A:$A,Input_Raw!$CR:$CR),"")</f>
        <v>5.5</v>
      </c>
      <c r="O9" s="141">
        <f t="shared" si="1"/>
        <v>0.93031776034129809</v>
      </c>
      <c r="P9" s="141">
        <f>IFERROR(1-SUMIF(WTG_BD!$F:$F,$A9,WTG_BD!$AA:$AA)/($AA9+SUMIF(WTG_BD!$F:$F,$A9,WTG_BD!$AA:$AA)),"")</f>
        <v>0.94991092791496778</v>
      </c>
      <c r="Q9" s="141">
        <f>IFERROR(1-SUMIF(IGA_BD!$F:$F,$A9,IGA_BD!$W:$W)/($AA9+SUMIF(IGA_BD!$F:$F,$A9,IGA_BD!$W:$W)),"")</f>
        <v>0.979373679154659</v>
      </c>
      <c r="R9" s="141">
        <f>IFERROR(1-SUMIF(Grid_BD!$F:$F,$A9,Grid_BD!$Y:$Y)/($AA9+SUMIF(Grid_BD!$F:$F,$A9,Grid_BD!$Y:$Y)),"")</f>
        <v>1</v>
      </c>
      <c r="S9" s="108"/>
      <c r="T9" s="140"/>
      <c r="U9" s="141"/>
      <c r="V9" s="108"/>
      <c r="W9" s="142">
        <f t="shared" si="2"/>
        <v>7.5426728219696954E-2</v>
      </c>
      <c r="X9" s="108">
        <f>IFERROR(_xlfn.XLOOKUP($A9,Input_Raw!$A:$A,Input_Raw!$CP:$CP)*1000,"")</f>
        <v>127441</v>
      </c>
      <c r="Y9" s="108">
        <f>IFERROR(_xlfn.XLOOKUP($A9,Input_Raw!$A:$A,Input_Raw!DJ:DJ)*1000,"")</f>
        <v>127441</v>
      </c>
      <c r="Z9" s="108">
        <f>IFERROR(_xlfn.XLOOKUP($A9,Input_Raw!$A:$A,Input_Raw!DK:DK)*1000,"")</f>
        <v>0</v>
      </c>
      <c r="AA9" s="138">
        <f t="shared" si="3"/>
        <v>127441</v>
      </c>
      <c r="AB9" s="108">
        <f>IFERROR(_xlfn.XLOOKUP($A9,Input_Raw!$A:$A,Input_Raw!$DR:$DR),"")</f>
        <v>70.400000000000006</v>
      </c>
      <c r="AC9" s="143">
        <f>IFERROR(_xlfn.XLOOKUP($D9,'Modelling New'!$D:$D,'Modelling New'!$J:$J),"")</f>
        <v>5.22</v>
      </c>
      <c r="AD9" s="138">
        <f>IFERROR(_xlfn.XLOOKUP($D9,'Modelling New'!$D:$D,'Modelling New'!$T:$T)*1000,"")</f>
        <v>228113.28141262796</v>
      </c>
      <c r="AE9" s="142"/>
      <c r="AF9" s="142">
        <f>IFERROR(_xlfn.XLOOKUP($D9,'Modelling New'!$D:$D,'Modelling New'!$W:$W),"")</f>
        <v>0.13501022810879967</v>
      </c>
      <c r="AG9" s="142">
        <f>IFERROR(_xlfn.XLOOKUP($D9,'Modelling New'!$D:$D,'Modelling New'!$AE:$AE),"")</f>
        <v>0.96029999999999993</v>
      </c>
      <c r="AH9" s="142">
        <f>IFERROR(_xlfn.XLOOKUP($D9,'Modelling New'!$D:$D,'Modelling New'!$AF:$AF),"")</f>
        <v>0.995</v>
      </c>
      <c r="AI9" s="109">
        <f>IFERROR(_xlfn.XLOOKUP($A9,Input_Raw!$A:$A,Input_Raw!$DP:$DP),"")</f>
        <v>127.87</v>
      </c>
      <c r="AJ9" s="108"/>
      <c r="AK9" s="108"/>
      <c r="AL9" s="108"/>
      <c r="AM9" s="108"/>
      <c r="AN9" s="132">
        <f>IFERROR(_xlfn.XLOOKUP($A9,Input_Raw!$A:$A,Input_Raw!$DL:$DL),"")</f>
        <v>0</v>
      </c>
      <c r="AO9" s="142">
        <f>IFERROR((_xlfn.XLOOKUP($A9,'WTG Reactive Power'!$A:$A,'WTG Reactive Power'!$AW:$AW))/X9,"")</f>
        <v>2.7043742245867157E-5</v>
      </c>
      <c r="AP9" s="142">
        <f>IFERROR(_xlfn.XLOOKUP($D9,'Modelling New'!$D:$D,'Modelling New'!$AK:$AK),"")</f>
        <v>0.05</v>
      </c>
      <c r="AQ9" s="142">
        <f>IFERROR(_xlfn.XLOOKUP($D9,'Modelling New'!$D:$D,'Modelling New'!$AL:$AL),"")</f>
        <v>0.05</v>
      </c>
      <c r="AR9" s="198">
        <f>IFERROR(_xlfn.XLOOKUP($D9,'Modelling New'!$D:$D,'Modelling New'!$N:$N),"")</f>
        <v>70.400000000000006</v>
      </c>
      <c r="AS9" s="198"/>
    </row>
    <row r="10" spans="1:45">
      <c r="A10" s="137">
        <f t="shared" si="4"/>
        <v>45753</v>
      </c>
      <c r="B10" s="138">
        <f>YEAR(Daily_KPI[[#This Row],[Date]])+IF(MONTH(Daily_KPI[[#This Row],[Date]])&gt;=4,1,0)</f>
        <v>2026</v>
      </c>
      <c r="C10" s="108">
        <f>YEAR(Daily_KPI[[#This Row],[Date]])</f>
        <v>2025</v>
      </c>
      <c r="D10" s="139">
        <f>Daily_KPI[[#This Row],[Date]]-DAY(Daily_KPI[[#This Row],[Date]])+1</f>
        <v>45748</v>
      </c>
      <c r="E10" s="108">
        <f t="shared" si="0"/>
        <v>30</v>
      </c>
      <c r="F10" s="109"/>
      <c r="G10" s="143"/>
      <c r="H10" s="143"/>
      <c r="I10" s="143"/>
      <c r="J10" s="143"/>
      <c r="K10" s="111"/>
      <c r="L10" s="110"/>
      <c r="M10" s="110">
        <f>IFERROR(_xlfn.XLOOKUP($A10,Input_Raw!$A:$A,Input_Raw!$CQ:$CQ),"")</f>
        <v>3.815227272727272</v>
      </c>
      <c r="N10" s="110">
        <f>IFERROR(_xlfn.XLOOKUP($A10,Input_Raw!$A:$A,Input_Raw!$CR:$CR),"")</f>
        <v>4.7</v>
      </c>
      <c r="O10" s="141">
        <f t="shared" si="1"/>
        <v>0.96942977404384256</v>
      </c>
      <c r="P10" s="141">
        <f>IFERROR(1-SUMIF(WTG_BD!$F:$F,$A10,WTG_BD!$AA:$AA)/($AA10+SUMIF(WTG_BD!$F:$F,$A10,WTG_BD!$AA:$AA)),"")</f>
        <v>0.99866337651655357</v>
      </c>
      <c r="Q10" s="141">
        <f>IFERROR(1-SUMIF(IGA_BD!$F:$F,$A10,IGA_BD!$W:$W)/($AA10+SUMIF(IGA_BD!$F:$F,$A10,IGA_BD!$W:$W)),"")</f>
        <v>0.97072727091016298</v>
      </c>
      <c r="R10" s="141">
        <f>IFERROR(1-SUMIF(Grid_BD!$F:$F,$A10,Grid_BD!$Y:$Y)/($AA10+SUMIF(Grid_BD!$F:$F,$A10,Grid_BD!$Y:$Y)),"")</f>
        <v>1</v>
      </c>
      <c r="S10" s="108"/>
      <c r="T10" s="140"/>
      <c r="U10" s="141"/>
      <c r="V10" s="108"/>
      <c r="W10" s="142">
        <f t="shared" si="2"/>
        <v>5.748697916666666E-2</v>
      </c>
      <c r="X10" s="108">
        <f>IFERROR(_xlfn.XLOOKUP($A10,Input_Raw!$A:$A,Input_Raw!$CP:$CP)*1000,"")</f>
        <v>97130</v>
      </c>
      <c r="Y10" s="108">
        <f>IFERROR(_xlfn.XLOOKUP($A10,Input_Raw!$A:$A,Input_Raw!DJ:DJ)*1000,"")</f>
        <v>97130</v>
      </c>
      <c r="Z10" s="108">
        <f>IFERROR(_xlfn.XLOOKUP($A10,Input_Raw!$A:$A,Input_Raw!DK:DK)*1000,"")</f>
        <v>0</v>
      </c>
      <c r="AA10" s="138">
        <f t="shared" si="3"/>
        <v>97130</v>
      </c>
      <c r="AB10" s="108">
        <f>IFERROR(_xlfn.XLOOKUP($A10,Input_Raw!$A:$A,Input_Raw!$DR:$DR),"")</f>
        <v>70.400000000000006</v>
      </c>
      <c r="AC10" s="143">
        <f>IFERROR(_xlfn.XLOOKUP($D10,'Modelling New'!$D:$D,'Modelling New'!$J:$J),"")</f>
        <v>5.22</v>
      </c>
      <c r="AD10" s="138">
        <f>IFERROR(_xlfn.XLOOKUP($D10,'Modelling New'!$D:$D,'Modelling New'!$T:$T)*1000,"")</f>
        <v>228113.28141262796</v>
      </c>
      <c r="AE10" s="142"/>
      <c r="AF10" s="142">
        <f>IFERROR(_xlfn.XLOOKUP($D10,'Modelling New'!$D:$D,'Modelling New'!$W:$W),"")</f>
        <v>0.13501022810879967</v>
      </c>
      <c r="AG10" s="142">
        <f>IFERROR(_xlfn.XLOOKUP($D10,'Modelling New'!$D:$D,'Modelling New'!$AE:$AE),"")</f>
        <v>0.96029999999999993</v>
      </c>
      <c r="AH10" s="142">
        <f>IFERROR(_xlfn.XLOOKUP($D10,'Modelling New'!$D:$D,'Modelling New'!$AF:$AF),"")</f>
        <v>0.995</v>
      </c>
      <c r="AI10" s="109">
        <f>IFERROR(_xlfn.XLOOKUP($A10,Input_Raw!$A:$A,Input_Raw!$DP:$DP),"")</f>
        <v>89.31</v>
      </c>
      <c r="AJ10" s="108"/>
      <c r="AK10" s="108"/>
      <c r="AL10" s="108"/>
      <c r="AM10" s="108"/>
      <c r="AN10" s="132">
        <f>IFERROR(_xlfn.XLOOKUP($A10,Input_Raw!$A:$A,Input_Raw!$DL:$DL),"")</f>
        <v>0</v>
      </c>
      <c r="AO10" s="142">
        <f>IFERROR((_xlfn.XLOOKUP($A10,'WTG Reactive Power'!$A:$A,'WTG Reactive Power'!$AW:$AW))/X10,"")</f>
        <v>5.9138638174878247E-6</v>
      </c>
      <c r="AP10" s="142">
        <f>IFERROR(_xlfn.XLOOKUP($D10,'Modelling New'!$D:$D,'Modelling New'!$AK:$AK),"")</f>
        <v>0.05</v>
      </c>
      <c r="AQ10" s="142">
        <f>IFERROR(_xlfn.XLOOKUP($D10,'Modelling New'!$D:$D,'Modelling New'!$AL:$AL),"")</f>
        <v>0.05</v>
      </c>
      <c r="AR10" s="198">
        <f>IFERROR(_xlfn.XLOOKUP($D10,'Modelling New'!$D:$D,'Modelling New'!$N:$N),"")</f>
        <v>70.400000000000006</v>
      </c>
      <c r="AS10" s="198"/>
    </row>
    <row r="11" spans="1:45">
      <c r="A11" s="137">
        <f t="shared" si="4"/>
        <v>45754</v>
      </c>
      <c r="B11" s="138">
        <f>YEAR(Daily_KPI[[#This Row],[Date]])+IF(MONTH(Daily_KPI[[#This Row],[Date]])&gt;=4,1,0)</f>
        <v>2026</v>
      </c>
      <c r="C11" s="108">
        <f>YEAR(Daily_KPI[[#This Row],[Date]])</f>
        <v>2025</v>
      </c>
      <c r="D11" s="139">
        <f>Daily_KPI[[#This Row],[Date]]-DAY(Daily_KPI[[#This Row],[Date]])+1</f>
        <v>45748</v>
      </c>
      <c r="E11" s="108">
        <f t="shared" si="0"/>
        <v>30</v>
      </c>
      <c r="F11" s="109"/>
      <c r="G11" s="110"/>
      <c r="H11" s="110"/>
      <c r="I11" s="110"/>
      <c r="J11" s="110"/>
      <c r="K11" s="111"/>
      <c r="L11" s="110"/>
      <c r="M11" s="110">
        <f>IFERROR(_xlfn.XLOOKUP($A11,Input_Raw!$A:$A,Input_Raw!$CQ:$CQ),"")</f>
        <v>4.3709090909090911</v>
      </c>
      <c r="N11" s="110">
        <f>IFERROR(_xlfn.XLOOKUP($A11,Input_Raw!$A:$A,Input_Raw!$CR:$CR),"")</f>
        <v>5.5</v>
      </c>
      <c r="O11" s="141">
        <f t="shared" si="1"/>
        <v>0.97313982593342108</v>
      </c>
      <c r="P11" s="141">
        <f>IFERROR(1-SUMIF(WTG_BD!$F:$F,$A11,WTG_BD!$AA:$AA)/($AA11+SUMIF(WTG_BD!$F:$F,$A11,WTG_BD!$AA:$AA)),"")</f>
        <v>0.98978639568643711</v>
      </c>
      <c r="Q11" s="141">
        <f>IFERROR(1-SUMIF(IGA_BD!$F:$F,$A11,IGA_BD!$W:$W)/($AA11+SUMIF(IGA_BD!$F:$F,$A11,IGA_BD!$W:$W)),"")</f>
        <v>0.98318165431898941</v>
      </c>
      <c r="R11" s="141">
        <f>IFERROR(1-SUMIF(Grid_BD!$F:$F,$A11,Grid_BD!$Y:$Y)/($AA11+SUMIF(Grid_BD!$F:$F,$A11,Grid_BD!$Y:$Y)),"")</f>
        <v>1</v>
      </c>
      <c r="S11" s="108"/>
      <c r="T11" s="140"/>
      <c r="U11" s="141"/>
      <c r="V11" s="108"/>
      <c r="W11" s="142">
        <f t="shared" si="2"/>
        <v>7.9093868371212114E-2</v>
      </c>
      <c r="X11" s="108">
        <f>IFERROR(_xlfn.XLOOKUP($A11,Input_Raw!$A:$A,Input_Raw!$CP:$CP)*1000,"")</f>
        <v>133637</v>
      </c>
      <c r="Y11" s="108">
        <f>IFERROR(_xlfn.XLOOKUP($A11,Input_Raw!$A:$A,Input_Raw!DJ:DJ)*1000,"")</f>
        <v>133637</v>
      </c>
      <c r="Z11" s="108">
        <f>IFERROR(_xlfn.XLOOKUP($A11,Input_Raw!$A:$A,Input_Raw!DK:DK)*1000,"")</f>
        <v>0</v>
      </c>
      <c r="AA11" s="138">
        <f t="shared" si="3"/>
        <v>133637</v>
      </c>
      <c r="AB11" s="108">
        <f>IFERROR(_xlfn.XLOOKUP($A11,Input_Raw!$A:$A,Input_Raw!$DR:$DR),"")</f>
        <v>70.400000000000006</v>
      </c>
      <c r="AC11" s="143">
        <f>IFERROR(_xlfn.XLOOKUP($D11,'Modelling New'!$D:$D,'Modelling New'!$J:$J),"")</f>
        <v>5.22</v>
      </c>
      <c r="AD11" s="138">
        <f>IFERROR(_xlfn.XLOOKUP($D11,'Modelling New'!$D:$D,'Modelling New'!$T:$T)*1000,"")</f>
        <v>228113.28141262796</v>
      </c>
      <c r="AE11" s="142"/>
      <c r="AF11" s="142">
        <f>IFERROR(_xlfn.XLOOKUP($D11,'Modelling New'!$D:$D,'Modelling New'!$W:$W),"")</f>
        <v>0.13501022810879967</v>
      </c>
      <c r="AG11" s="142">
        <f>IFERROR(_xlfn.XLOOKUP($D11,'Modelling New'!$D:$D,'Modelling New'!$AE:$AE),"")</f>
        <v>0.96029999999999993</v>
      </c>
      <c r="AH11" s="142">
        <f>IFERROR(_xlfn.XLOOKUP($D11,'Modelling New'!$D:$D,'Modelling New'!$AF:$AF),"")</f>
        <v>0.995</v>
      </c>
      <c r="AI11" s="109">
        <f>IFERROR(_xlfn.XLOOKUP($A11,Input_Raw!$A:$A,Input_Raw!$DP:$DP),"")</f>
        <v>120.74</v>
      </c>
      <c r="AJ11" s="108"/>
      <c r="AK11" s="108"/>
      <c r="AL11" s="108"/>
      <c r="AM11" s="108"/>
      <c r="AN11" s="132">
        <f>IFERROR(_xlfn.XLOOKUP($A11,Input_Raw!$A:$A,Input_Raw!$DL:$DL),"")</f>
        <v>0</v>
      </c>
      <c r="AO11" s="142">
        <f>IFERROR((_xlfn.XLOOKUP($A11,'WTG Reactive Power'!$A:$A,'WTG Reactive Power'!$AW:$AW))/X11,"")</f>
        <v>1.4224650608239732E-4</v>
      </c>
      <c r="AP11" s="142">
        <f>IFERROR(_xlfn.XLOOKUP($D11,'Modelling New'!$D:$D,'Modelling New'!$AK:$AK),"")</f>
        <v>0.05</v>
      </c>
      <c r="AQ11" s="142">
        <f>IFERROR(_xlfn.XLOOKUP($D11,'Modelling New'!$D:$D,'Modelling New'!$AL:$AL),"")</f>
        <v>0.05</v>
      </c>
      <c r="AR11" s="198">
        <f>IFERROR(_xlfn.XLOOKUP($D11,'Modelling New'!$D:$D,'Modelling New'!$N:$N),"")</f>
        <v>70.400000000000006</v>
      </c>
      <c r="AS11" s="198"/>
    </row>
    <row r="12" spans="1:45">
      <c r="A12" s="137">
        <f t="shared" si="4"/>
        <v>45755</v>
      </c>
      <c r="B12" s="138">
        <f>YEAR(Daily_KPI[[#This Row],[Date]])+IF(MONTH(Daily_KPI[[#This Row],[Date]])&gt;=4,1,0)</f>
        <v>2026</v>
      </c>
      <c r="C12" s="108">
        <f>YEAR(Daily_KPI[[#This Row],[Date]])</f>
        <v>2025</v>
      </c>
      <c r="D12" s="139">
        <f>Daily_KPI[[#This Row],[Date]]-DAY(Daily_KPI[[#This Row],[Date]])+1</f>
        <v>45748</v>
      </c>
      <c r="E12" s="108">
        <f t="shared" si="0"/>
        <v>30</v>
      </c>
      <c r="F12" s="109"/>
      <c r="G12" s="143"/>
      <c r="H12" s="143"/>
      <c r="I12" s="143"/>
      <c r="J12" s="143"/>
      <c r="K12" s="111"/>
      <c r="L12" s="110"/>
      <c r="M12" s="110">
        <f>IFERROR(_xlfn.XLOOKUP($A12,Input_Raw!$A:$A,Input_Raw!$CQ:$CQ),"")</f>
        <v>4.1109090909090931</v>
      </c>
      <c r="N12" s="110">
        <f>IFERROR(_xlfn.XLOOKUP($A12,Input_Raw!$A:$A,Input_Raw!$CR:$CR),"")</f>
        <v>4.8600000000000003</v>
      </c>
      <c r="O12" s="141">
        <f>IFERROR(P12*Q12,"")</f>
        <v>0.96653005963234606</v>
      </c>
      <c r="P12" s="141">
        <f>IFERROR(1-SUMIF(WTG_BD!$F:$F,$A12,WTG_BD!$AA:$AA)/($AA12+SUMIF(WTG_BD!$F:$F,$A12,WTG_BD!$AA:$AA)),"")</f>
        <v>0.97862666286883782</v>
      </c>
      <c r="Q12" s="141">
        <f>IFERROR(1-SUMIF(IGA_BD!$F:$F,$A12,IGA_BD!$W:$W)/($AA12+SUMIF(IGA_BD!$F:$F,$A12,IGA_BD!$W:$W)),"")</f>
        <v>0.98763920533185701</v>
      </c>
      <c r="R12" s="141">
        <f>IFERROR(1-SUMIF(Grid_BD!$F:$F,$A12,Grid_BD!$Y:$Y)/($AA12+SUMIF(Grid_BD!$F:$F,$A12,Grid_BD!$Y:$Y)),"")</f>
        <v>0.83439020660748175</v>
      </c>
      <c r="S12" s="108"/>
      <c r="T12" s="140"/>
      <c r="U12" s="141"/>
      <c r="V12" s="108"/>
      <c r="W12" s="142">
        <f t="shared" si="2"/>
        <v>5.4903527462121203E-2</v>
      </c>
      <c r="X12" s="108">
        <f>IFERROR(_xlfn.XLOOKUP($A12,Input_Raw!$A:$A,Input_Raw!$CP:$CP)*1000,"")</f>
        <v>92765</v>
      </c>
      <c r="Y12" s="108">
        <f>IFERROR(_xlfn.XLOOKUP($A12,Input_Raw!$A:$A,Input_Raw!DJ:DJ)*1000,"")</f>
        <v>92765.000000000015</v>
      </c>
      <c r="Z12" s="108">
        <f>IFERROR(_xlfn.XLOOKUP($A12,Input_Raw!$A:$A,Input_Raw!DK:DK)*1000,"")</f>
        <v>0</v>
      </c>
      <c r="AA12" s="138">
        <f t="shared" si="3"/>
        <v>92765.000000000015</v>
      </c>
      <c r="AB12" s="108">
        <f>IFERROR(_xlfn.XLOOKUP($A12,Input_Raw!$A:$A,Input_Raw!$DR:$DR),"")</f>
        <v>70.400000000000006</v>
      </c>
      <c r="AC12" s="143">
        <f>IFERROR(_xlfn.XLOOKUP($D12,'Modelling New'!$D:$D,'Modelling New'!$J:$J),"")</f>
        <v>5.22</v>
      </c>
      <c r="AD12" s="138">
        <f>IFERROR(_xlfn.XLOOKUP($D12,'Modelling New'!$D:$D,'Modelling New'!$T:$T)*1000,"")</f>
        <v>228113.28141262796</v>
      </c>
      <c r="AE12" s="142"/>
      <c r="AF12" s="142">
        <f>IFERROR(_xlfn.XLOOKUP($D12,'Modelling New'!$D:$D,'Modelling New'!$W:$W),"")</f>
        <v>0.13501022810879967</v>
      </c>
      <c r="AG12" s="142">
        <f>IFERROR(_xlfn.XLOOKUP($D12,'Modelling New'!$D:$D,'Modelling New'!$AE:$AE),"")</f>
        <v>0.96029999999999993</v>
      </c>
      <c r="AH12" s="142">
        <f>IFERROR(_xlfn.XLOOKUP($D12,'Modelling New'!$D:$D,'Modelling New'!$AF:$AF),"")</f>
        <v>0.995</v>
      </c>
      <c r="AI12" s="109">
        <f>IFERROR(_xlfn.XLOOKUP($A12,Input_Raw!$A:$A,Input_Raw!$DP:$DP),"")</f>
        <v>98.25</v>
      </c>
      <c r="AJ12" s="108"/>
      <c r="AK12" s="108"/>
      <c r="AL12" s="108"/>
      <c r="AM12" s="108"/>
      <c r="AN12" s="132">
        <f>IFERROR(_xlfn.XLOOKUP($A12,Input_Raw!$A:$A,Input_Raw!$DL:$DL),"")</f>
        <v>2.2204460492503131E-16</v>
      </c>
      <c r="AO12" s="142">
        <f>IFERROR((_xlfn.XLOOKUP($A12,'WTG Reactive Power'!$A:$A,'WTG Reactive Power'!$AW:$AW))/X12,"")</f>
        <v>8.6019806320630996E-5</v>
      </c>
      <c r="AP12" s="142">
        <f>IFERROR(_xlfn.XLOOKUP($D12,'Modelling New'!$D:$D,'Modelling New'!$AK:$AK),"")</f>
        <v>0.05</v>
      </c>
      <c r="AQ12" s="142">
        <f>IFERROR(_xlfn.XLOOKUP($D12,'Modelling New'!$D:$D,'Modelling New'!$AL:$AL),"")</f>
        <v>0.05</v>
      </c>
      <c r="AR12" s="198">
        <f>IFERROR(_xlfn.XLOOKUP($D12,'Modelling New'!$D:$D,'Modelling New'!$N:$N),"")</f>
        <v>70.400000000000006</v>
      </c>
      <c r="AS12" s="198"/>
    </row>
    <row r="13" spans="1:45">
      <c r="A13" s="137">
        <f t="shared" si="4"/>
        <v>45756</v>
      </c>
      <c r="B13" s="138">
        <f>YEAR(Daily_KPI[[#This Row],[Date]])+IF(MONTH(Daily_KPI[[#This Row],[Date]])&gt;=4,1,0)</f>
        <v>2026</v>
      </c>
      <c r="C13" s="108">
        <f>YEAR(Daily_KPI[[#This Row],[Date]])</f>
        <v>2025</v>
      </c>
      <c r="D13" s="139">
        <f>Daily_KPI[[#This Row],[Date]]-DAY(Daily_KPI[[#This Row],[Date]])+1</f>
        <v>45748</v>
      </c>
      <c r="E13" s="108">
        <f t="shared" si="0"/>
        <v>30</v>
      </c>
      <c r="F13" s="109"/>
      <c r="G13" s="110"/>
      <c r="H13" s="110"/>
      <c r="I13" s="110"/>
      <c r="J13" s="110"/>
      <c r="K13" s="111"/>
      <c r="L13" s="110"/>
      <c r="M13" s="110">
        <f>IFERROR(_xlfn.XLOOKUP($A13,Input_Raw!$A:$A,Input_Raw!$CQ:$CQ),"")</f>
        <v>4.2959090909090909</v>
      </c>
      <c r="N13" s="110">
        <f>IFERROR(_xlfn.XLOOKUP($A13,Input_Raw!$A:$A,Input_Raw!$CR:$CR),"")</f>
        <v>5.39</v>
      </c>
      <c r="O13" s="141">
        <f t="shared" si="1"/>
        <v>0.96556540889593867</v>
      </c>
      <c r="P13" s="141">
        <f>IFERROR(1-SUMIF(WTG_BD!$F:$F,$A13,WTG_BD!$AA:$AA)/($AA13+SUMIF(WTG_BD!$F:$F,$A13,WTG_BD!$AA:$AA)),"")</f>
        <v>0.98814078311847198</v>
      </c>
      <c r="Q13" s="141">
        <f>IFERROR(1-SUMIF(IGA_BD!$F:$F,$A13,IGA_BD!$W:$W)/($AA13+SUMIF(IGA_BD!$F:$F,$A13,IGA_BD!$W:$W)),"")</f>
        <v>0.97715368638941535</v>
      </c>
      <c r="R13" s="141">
        <f>IFERROR(1-SUMIF(Grid_BD!$F:$F,$A13,Grid_BD!$Y:$Y)/($AA13+SUMIF(Grid_BD!$F:$F,$A13,Grid_BD!$Y:$Y)),"")</f>
        <v>1</v>
      </c>
      <c r="S13" s="108"/>
      <c r="T13" s="140"/>
      <c r="U13" s="141"/>
      <c r="V13" s="108"/>
      <c r="W13" s="142">
        <f t="shared" si="2"/>
        <v>8.2701231060606048E-2</v>
      </c>
      <c r="X13" s="108">
        <f>IFERROR(_xlfn.XLOOKUP($A13,Input_Raw!$A:$A,Input_Raw!$CP:$CP)*1000,"")</f>
        <v>139732</v>
      </c>
      <c r="Y13" s="108">
        <f>IFERROR(_xlfn.XLOOKUP($A13,Input_Raw!$A:$A,Input_Raw!DJ:DJ)*1000,"")</f>
        <v>139732</v>
      </c>
      <c r="Z13" s="108">
        <f>IFERROR(_xlfn.XLOOKUP($A13,Input_Raw!$A:$A,Input_Raw!DK:DK)*1000,"")</f>
        <v>0</v>
      </c>
      <c r="AA13" s="138">
        <f t="shared" si="3"/>
        <v>139732</v>
      </c>
      <c r="AB13" s="108">
        <f>IFERROR(_xlfn.XLOOKUP($A13,Input_Raw!$A:$A,Input_Raw!$DR:$DR),"")</f>
        <v>70.400000000000006</v>
      </c>
      <c r="AC13" s="143">
        <f>IFERROR(_xlfn.XLOOKUP($D13,'Modelling New'!$D:$D,'Modelling New'!$J:$J),"")</f>
        <v>5.22</v>
      </c>
      <c r="AD13" s="138">
        <f>IFERROR(_xlfn.XLOOKUP($D13,'Modelling New'!$D:$D,'Modelling New'!$T:$T)*1000,"")</f>
        <v>228113.28141262796</v>
      </c>
      <c r="AE13" s="142"/>
      <c r="AF13" s="142">
        <f>IFERROR(_xlfn.XLOOKUP($D13,'Modelling New'!$D:$D,'Modelling New'!$W:$W),"")</f>
        <v>0.13501022810879967</v>
      </c>
      <c r="AG13" s="142">
        <f>IFERROR(_xlfn.XLOOKUP($D13,'Modelling New'!$D:$D,'Modelling New'!$AE:$AE),"")</f>
        <v>0.96029999999999993</v>
      </c>
      <c r="AH13" s="142">
        <f>IFERROR(_xlfn.XLOOKUP($D13,'Modelling New'!$D:$D,'Modelling New'!$AF:$AF),"")</f>
        <v>0.995</v>
      </c>
      <c r="AI13" s="109">
        <f>IFERROR(_xlfn.XLOOKUP($A13,Input_Raw!$A:$A,Input_Raw!$DP:$DP),"")</f>
        <v>137.01</v>
      </c>
      <c r="AJ13" s="108"/>
      <c r="AK13" s="108"/>
      <c r="AL13" s="108"/>
      <c r="AM13" s="108"/>
      <c r="AN13" s="132">
        <f>IFERROR(_xlfn.XLOOKUP($A13,Input_Raw!$A:$A,Input_Raw!$DL:$DL),"")</f>
        <v>0</v>
      </c>
      <c r="AO13" s="142">
        <f>IFERROR((_xlfn.XLOOKUP($A13,'WTG Reactive Power'!$A:$A,'WTG Reactive Power'!$AW:$AW))/X13,"")</f>
        <v>1.468272490672621E-4</v>
      </c>
      <c r="AP13" s="142">
        <f>IFERROR(_xlfn.XLOOKUP($D13,'Modelling New'!$D:$D,'Modelling New'!$AK:$AK),"")</f>
        <v>0.05</v>
      </c>
      <c r="AQ13" s="142">
        <f>IFERROR(_xlfn.XLOOKUP($D13,'Modelling New'!$D:$D,'Modelling New'!$AL:$AL),"")</f>
        <v>0.05</v>
      </c>
      <c r="AR13" s="198">
        <f>IFERROR(_xlfn.XLOOKUP($D13,'Modelling New'!$D:$D,'Modelling New'!$N:$N),"")</f>
        <v>70.400000000000006</v>
      </c>
      <c r="AS13" s="198"/>
    </row>
    <row r="14" spans="1:45">
      <c r="A14" s="137">
        <f t="shared" si="4"/>
        <v>45757</v>
      </c>
      <c r="B14" s="138">
        <f>YEAR(Daily_KPI[[#This Row],[Date]])+IF(MONTH(Daily_KPI[[#This Row],[Date]])&gt;=4,1,0)</f>
        <v>2026</v>
      </c>
      <c r="C14" s="108">
        <f>YEAR(Daily_KPI[[#This Row],[Date]])</f>
        <v>2025</v>
      </c>
      <c r="D14" s="139">
        <f>Daily_KPI[[#This Row],[Date]]-DAY(Daily_KPI[[#This Row],[Date]])+1</f>
        <v>45748</v>
      </c>
      <c r="E14" s="108">
        <f t="shared" si="0"/>
        <v>30</v>
      </c>
      <c r="F14" s="109"/>
      <c r="G14" s="143"/>
      <c r="H14" s="143"/>
      <c r="I14" s="143"/>
      <c r="J14" s="143"/>
      <c r="K14" s="111"/>
      <c r="L14" s="110"/>
      <c r="M14" s="110">
        <f>IFERROR(_xlfn.XLOOKUP($A14,Input_Raw!$A:$A,Input_Raw!$CQ:$CQ),"")</f>
        <v>5.3872727272727268</v>
      </c>
      <c r="N14" s="110">
        <f>IFERROR(_xlfn.XLOOKUP($A14,Input_Raw!$A:$A,Input_Raw!$CR:$CR),"")</f>
        <v>6.9</v>
      </c>
      <c r="O14" s="141">
        <f t="shared" si="1"/>
        <v>0.9649837034130534</v>
      </c>
      <c r="P14" s="141">
        <f>IFERROR(1-SUMIF(WTG_BD!$F:$F,$A14,WTG_BD!$AA:$AA)/($AA14+SUMIF(WTG_BD!$F:$F,$A14,WTG_BD!$AA:$AA)),"")</f>
        <v>0.99494849520735151</v>
      </c>
      <c r="Q14" s="141">
        <f>IFERROR(1-SUMIF(IGA_BD!$F:$F,$A14,IGA_BD!$W:$W)/($AA14+SUMIF(IGA_BD!$F:$F,$A14,IGA_BD!$W:$W)),"")</f>
        <v>0.96988307240159866</v>
      </c>
      <c r="R14" s="141">
        <f>IFERROR(1-SUMIF(Grid_BD!$F:$F,$A14,Grid_BD!$Y:$Y)/($AA14+SUMIF(Grid_BD!$F:$F,$A14,Grid_BD!$Y:$Y)),"")</f>
        <v>1</v>
      </c>
      <c r="S14" s="108"/>
      <c r="T14" s="140"/>
      <c r="U14" s="141"/>
      <c r="V14" s="108"/>
      <c r="W14" s="142">
        <f t="shared" si="2"/>
        <v>0.15469164299242424</v>
      </c>
      <c r="X14" s="108">
        <f>IFERROR(_xlfn.XLOOKUP($A14,Input_Raw!$A:$A,Input_Raw!$CP:$CP)*1000,"")</f>
        <v>261367.00000000003</v>
      </c>
      <c r="Y14" s="108">
        <f>IFERROR(_xlfn.XLOOKUP($A14,Input_Raw!$A:$A,Input_Raw!DJ:DJ)*1000,"")</f>
        <v>261366.99999999997</v>
      </c>
      <c r="Z14" s="108">
        <f>IFERROR(_xlfn.XLOOKUP($A14,Input_Raw!$A:$A,Input_Raw!DK:DK)*1000,"")</f>
        <v>0</v>
      </c>
      <c r="AA14" s="138">
        <f t="shared" si="3"/>
        <v>261366.99999999997</v>
      </c>
      <c r="AB14" s="108">
        <f>IFERROR(_xlfn.XLOOKUP($A14,Input_Raw!$A:$A,Input_Raw!$DR:$DR),"")</f>
        <v>70.400000000000006</v>
      </c>
      <c r="AC14" s="143">
        <f>IFERROR(_xlfn.XLOOKUP($D14,'Modelling New'!$D:$D,'Modelling New'!$J:$J),"")</f>
        <v>5.22</v>
      </c>
      <c r="AD14" s="138">
        <f>IFERROR(_xlfn.XLOOKUP($D14,'Modelling New'!$D:$D,'Modelling New'!$T:$T)*1000,"")</f>
        <v>228113.28141262796</v>
      </c>
      <c r="AE14" s="142"/>
      <c r="AF14" s="142">
        <f>IFERROR(_xlfn.XLOOKUP($D14,'Modelling New'!$D:$D,'Modelling New'!$W:$W),"")</f>
        <v>0.13501022810879967</v>
      </c>
      <c r="AG14" s="142">
        <f>IFERROR(_xlfn.XLOOKUP($D14,'Modelling New'!$D:$D,'Modelling New'!$AE:$AE),"")</f>
        <v>0.96029999999999993</v>
      </c>
      <c r="AH14" s="142">
        <f>IFERROR(_xlfn.XLOOKUP($D14,'Modelling New'!$D:$D,'Modelling New'!$AF:$AF),"")</f>
        <v>0.995</v>
      </c>
      <c r="AI14" s="109">
        <f>IFERROR(_xlfn.XLOOKUP($A14,Input_Raw!$A:$A,Input_Raw!$DP:$DP),"")</f>
        <v>246.08</v>
      </c>
      <c r="AJ14" s="108"/>
      <c r="AK14" s="108"/>
      <c r="AL14" s="108"/>
      <c r="AM14" s="108"/>
      <c r="AN14" s="132">
        <f>IFERROR(_xlfn.XLOOKUP($A14,Input_Raw!$A:$A,Input_Raw!$DL:$DL),"")</f>
        <v>-2.2204460492503131E-16</v>
      </c>
      <c r="AO14" s="142">
        <f>IFERROR((_xlfn.XLOOKUP($A14,'WTG Reactive Power'!$A:$A,'WTG Reactive Power'!$AW:$AW))/X14,"")</f>
        <v>1.972764420654992E-4</v>
      </c>
      <c r="AP14" s="142">
        <f>IFERROR(_xlfn.XLOOKUP($D14,'Modelling New'!$D:$D,'Modelling New'!$AK:$AK),"")</f>
        <v>0.05</v>
      </c>
      <c r="AQ14" s="142">
        <f>IFERROR(_xlfn.XLOOKUP($D14,'Modelling New'!$D:$D,'Modelling New'!$AL:$AL),"")</f>
        <v>0.05</v>
      </c>
      <c r="AR14" s="198">
        <f>IFERROR(_xlfn.XLOOKUP($D14,'Modelling New'!$D:$D,'Modelling New'!$N:$N),"")</f>
        <v>70.400000000000006</v>
      </c>
      <c r="AS14" s="198"/>
    </row>
    <row r="15" spans="1:45">
      <c r="A15" s="137">
        <f t="shared" si="4"/>
        <v>45758</v>
      </c>
      <c r="B15" s="138">
        <f>YEAR(Daily_KPI[[#This Row],[Date]])+IF(MONTH(Daily_KPI[[#This Row],[Date]])&gt;=4,1,0)</f>
        <v>2026</v>
      </c>
      <c r="C15" s="108">
        <f>YEAR(Daily_KPI[[#This Row],[Date]])</f>
        <v>2025</v>
      </c>
      <c r="D15" s="139">
        <f>Daily_KPI[[#This Row],[Date]]-DAY(Daily_KPI[[#This Row],[Date]])+1</f>
        <v>45748</v>
      </c>
      <c r="E15" s="108">
        <f t="shared" si="0"/>
        <v>30</v>
      </c>
      <c r="F15" s="109"/>
      <c r="G15" s="110"/>
      <c r="H15" s="110"/>
      <c r="I15" s="110"/>
      <c r="J15" s="110"/>
      <c r="K15" s="111"/>
      <c r="L15" s="110"/>
      <c r="M15" s="110">
        <f>IFERROR(_xlfn.XLOOKUP($A15,Input_Raw!$A:$A,Input_Raw!$CQ:$CQ),"")</f>
        <v>5.1159090909090912</v>
      </c>
      <c r="N15" s="110">
        <f>IFERROR(_xlfn.XLOOKUP($A15,Input_Raw!$A:$A,Input_Raw!$CR:$CR),"")</f>
        <v>6.04</v>
      </c>
      <c r="O15" s="141">
        <f t="shared" si="1"/>
        <v>0.96046536815834216</v>
      </c>
      <c r="P15" s="141">
        <f>IFERROR(1-SUMIF(WTG_BD!$F:$F,$A15,WTG_BD!$AA:$AA)/($AA15+SUMIF(WTG_BD!$F:$F,$A15,WTG_BD!$AA:$AA)),"")</f>
        <v>0.98753518125466799</v>
      </c>
      <c r="Q15" s="141">
        <f>IFERROR(1-SUMIF(IGA_BD!$F:$F,$A15,IGA_BD!$W:$W)/($AA15+SUMIF(IGA_BD!$F:$F,$A15,IGA_BD!$W:$W)),"")</f>
        <v>0.97258850761961357</v>
      </c>
      <c r="R15" s="141">
        <f>IFERROR(1-SUMIF(Grid_BD!$F:$F,$A15,Grid_BD!$Y:$Y)/($AA15+SUMIF(Grid_BD!$F:$F,$A15,Grid_BD!$Y:$Y)),"")</f>
        <v>1</v>
      </c>
      <c r="S15" s="108"/>
      <c r="T15" s="140"/>
      <c r="U15" s="141"/>
      <c r="V15" s="108"/>
      <c r="W15" s="142">
        <f t="shared" si="2"/>
        <v>0.13851384943181816</v>
      </c>
      <c r="X15" s="108">
        <f>IFERROR(_xlfn.XLOOKUP($A15,Input_Raw!$A:$A,Input_Raw!$CP:$CP)*1000,"")</f>
        <v>234033</v>
      </c>
      <c r="Y15" s="108">
        <f>IFERROR(_xlfn.XLOOKUP($A15,Input_Raw!$A:$A,Input_Raw!DJ:DJ)*1000,"")</f>
        <v>234033</v>
      </c>
      <c r="Z15" s="108">
        <f>IFERROR(_xlfn.XLOOKUP($A15,Input_Raw!$A:$A,Input_Raw!DK:DK)*1000,"")</f>
        <v>0</v>
      </c>
      <c r="AA15" s="138">
        <f t="shared" si="3"/>
        <v>234033</v>
      </c>
      <c r="AB15" s="108">
        <f>IFERROR(_xlfn.XLOOKUP($A15,Input_Raw!$A:$A,Input_Raw!$DR:$DR),"")</f>
        <v>70.400000000000006</v>
      </c>
      <c r="AC15" s="143">
        <f>IFERROR(_xlfn.XLOOKUP($D15,'Modelling New'!$D:$D,'Modelling New'!$J:$J),"")</f>
        <v>5.22</v>
      </c>
      <c r="AD15" s="138">
        <f>IFERROR(_xlfn.XLOOKUP($D15,'Modelling New'!$D:$D,'Modelling New'!$T:$T)*1000,"")</f>
        <v>228113.28141262796</v>
      </c>
      <c r="AE15" s="142"/>
      <c r="AF15" s="142">
        <f>IFERROR(_xlfn.XLOOKUP($D15,'Modelling New'!$D:$D,'Modelling New'!$W:$W),"")</f>
        <v>0.13501022810879967</v>
      </c>
      <c r="AG15" s="142">
        <f>IFERROR(_xlfn.XLOOKUP($D15,'Modelling New'!$D:$D,'Modelling New'!$AE:$AE),"")</f>
        <v>0.96029999999999993</v>
      </c>
      <c r="AH15" s="142">
        <f>IFERROR(_xlfn.XLOOKUP($D15,'Modelling New'!$D:$D,'Modelling New'!$AF:$AF),"")</f>
        <v>0.995</v>
      </c>
      <c r="AI15" s="109">
        <f>IFERROR(_xlfn.XLOOKUP($A15,Input_Raw!$A:$A,Input_Raw!$DP:$DP),"")</f>
        <v>228.85</v>
      </c>
      <c r="AJ15" s="108"/>
      <c r="AK15" s="108"/>
      <c r="AL15" s="108"/>
      <c r="AM15" s="108"/>
      <c r="AN15" s="132">
        <f>IFERROR(_xlfn.XLOOKUP($A15,Input_Raw!$A:$A,Input_Raw!$DL:$DL),"")</f>
        <v>0</v>
      </c>
      <c r="AO15" s="142">
        <f>IFERROR((_xlfn.XLOOKUP($A15,'WTG Reactive Power'!$A:$A,'WTG Reactive Power'!$AW:$AW))/X15,"")</f>
        <v>2.0084855412128488E-4</v>
      </c>
      <c r="AP15" s="142">
        <f>IFERROR(_xlfn.XLOOKUP($D15,'Modelling New'!$D:$D,'Modelling New'!$AK:$AK),"")</f>
        <v>0.05</v>
      </c>
      <c r="AQ15" s="142">
        <f>IFERROR(_xlfn.XLOOKUP($D15,'Modelling New'!$D:$D,'Modelling New'!$AL:$AL),"")</f>
        <v>0.05</v>
      </c>
      <c r="AR15" s="198">
        <f>IFERROR(_xlfn.XLOOKUP($D15,'Modelling New'!$D:$D,'Modelling New'!$N:$N),"")</f>
        <v>70.400000000000006</v>
      </c>
      <c r="AS15" s="198"/>
    </row>
    <row r="16" spans="1:45">
      <c r="A16" s="137">
        <f t="shared" si="4"/>
        <v>45759</v>
      </c>
      <c r="B16" s="138">
        <f>YEAR(Daily_KPI[[#This Row],[Date]])+IF(MONTH(Daily_KPI[[#This Row],[Date]])&gt;=4,1,0)</f>
        <v>2026</v>
      </c>
      <c r="C16" s="108">
        <f>YEAR(Daily_KPI[[#This Row],[Date]])</f>
        <v>2025</v>
      </c>
      <c r="D16" s="139">
        <f>Daily_KPI[[#This Row],[Date]]-DAY(Daily_KPI[[#This Row],[Date]])+1</f>
        <v>45748</v>
      </c>
      <c r="E16" s="108">
        <f t="shared" si="0"/>
        <v>30</v>
      </c>
      <c r="F16" s="109"/>
      <c r="G16" s="143"/>
      <c r="H16" s="143"/>
      <c r="I16" s="143"/>
      <c r="J16" s="143"/>
      <c r="K16" s="111"/>
      <c r="L16" s="110"/>
      <c r="M16" s="110">
        <f>IFERROR(_xlfn.XLOOKUP($A16,Input_Raw!$A:$A,Input_Raw!$CQ:$CQ),"")</f>
        <v>5.4290909090909096</v>
      </c>
      <c r="N16" s="110">
        <f>IFERROR(_xlfn.XLOOKUP($A16,Input_Raw!$A:$A,Input_Raw!$CR:$CR),"")</f>
        <v>6.85</v>
      </c>
      <c r="O16" s="141">
        <f t="shared" si="1"/>
        <v>0.98981970561869348</v>
      </c>
      <c r="P16" s="141">
        <f>IFERROR(1-SUMIF(WTG_BD!$F:$F,$A16,WTG_BD!$AA:$AA)/($AA16+SUMIF(WTG_BD!$F:$F,$A16,WTG_BD!$AA:$AA)),"")</f>
        <v>0.99131671394764309</v>
      </c>
      <c r="Q16" s="141">
        <f>IFERROR(1-SUMIF(IGA_BD!$F:$F,$A16,IGA_BD!$W:$W)/($AA16+SUMIF(IGA_BD!$F:$F,$A16,IGA_BD!$W:$W)),"")</f>
        <v>0.99848987885719365</v>
      </c>
      <c r="R16" s="141">
        <f>IFERROR(1-SUMIF(Grid_BD!$F:$F,$A16,Grid_BD!$Y:$Y)/($AA16+SUMIF(Grid_BD!$F:$F,$A16,Grid_BD!$Y:$Y)),"")</f>
        <v>1</v>
      </c>
      <c r="S16" s="108"/>
      <c r="T16" s="140"/>
      <c r="U16" s="141"/>
      <c r="V16" s="108"/>
      <c r="W16" s="142">
        <f t="shared" si="2"/>
        <v>0.15966441761363634</v>
      </c>
      <c r="X16" s="108">
        <f>IFERROR(_xlfn.XLOOKUP($A16,Input_Raw!$A:$A,Input_Raw!$CP:$CP)*1000,"")</f>
        <v>269769</v>
      </c>
      <c r="Y16" s="108">
        <f>IFERROR(_xlfn.XLOOKUP($A16,Input_Raw!$A:$A,Input_Raw!DJ:DJ)*1000,"")</f>
        <v>269769</v>
      </c>
      <c r="Z16" s="108">
        <f>IFERROR(_xlfn.XLOOKUP($A16,Input_Raw!$A:$A,Input_Raw!DK:DK)*1000,"")</f>
        <v>0</v>
      </c>
      <c r="AA16" s="138">
        <f t="shared" si="3"/>
        <v>269769</v>
      </c>
      <c r="AB16" s="108">
        <f>IFERROR(_xlfn.XLOOKUP($A16,Input_Raw!$A:$A,Input_Raw!$DR:$DR),"")</f>
        <v>70.400000000000006</v>
      </c>
      <c r="AC16" s="143">
        <f>IFERROR(_xlfn.XLOOKUP($D16,'Modelling New'!$D:$D,'Modelling New'!$J:$J),"")</f>
        <v>5.22</v>
      </c>
      <c r="AD16" s="138">
        <f>IFERROR(_xlfn.XLOOKUP($D16,'Modelling New'!$D:$D,'Modelling New'!$T:$T)*1000,"")</f>
        <v>228113.28141262796</v>
      </c>
      <c r="AE16" s="142"/>
      <c r="AF16" s="142">
        <f>IFERROR(_xlfn.XLOOKUP($D16,'Modelling New'!$D:$D,'Modelling New'!$W:$W),"")</f>
        <v>0.13501022810879967</v>
      </c>
      <c r="AG16" s="142">
        <f>IFERROR(_xlfn.XLOOKUP($D16,'Modelling New'!$D:$D,'Modelling New'!$AE:$AE),"")</f>
        <v>0.96029999999999993</v>
      </c>
      <c r="AH16" s="142">
        <f>IFERROR(_xlfn.XLOOKUP($D16,'Modelling New'!$D:$D,'Modelling New'!$AF:$AF),"")</f>
        <v>0.995</v>
      </c>
      <c r="AI16" s="109">
        <f>IFERROR(_xlfn.XLOOKUP($A16,Input_Raw!$A:$A,Input_Raw!$DP:$DP),"")</f>
        <v>262.35000000000002</v>
      </c>
      <c r="AJ16" s="108"/>
      <c r="AK16" s="108"/>
      <c r="AL16" s="108"/>
      <c r="AM16" s="108"/>
      <c r="AN16" s="132">
        <f>IFERROR(_xlfn.XLOOKUP($A16,Input_Raw!$A:$A,Input_Raw!$DL:$DL),"")</f>
        <v>0</v>
      </c>
      <c r="AO16" s="142">
        <f>IFERROR((_xlfn.XLOOKUP($A16,'WTG Reactive Power'!$A:$A,'WTG Reactive Power'!$AW:$AW))/X16,"")</f>
        <v>2.0207430493002034E-4</v>
      </c>
      <c r="AP16" s="142">
        <f>IFERROR(_xlfn.XLOOKUP($D16,'Modelling New'!$D:$D,'Modelling New'!$AK:$AK),"")</f>
        <v>0.05</v>
      </c>
      <c r="AQ16" s="142">
        <f>IFERROR(_xlfn.XLOOKUP($D16,'Modelling New'!$D:$D,'Modelling New'!$AL:$AL),"")</f>
        <v>0.05</v>
      </c>
      <c r="AR16" s="198">
        <f>IFERROR(_xlfn.XLOOKUP($D16,'Modelling New'!$D:$D,'Modelling New'!$N:$N),"")</f>
        <v>70.400000000000006</v>
      </c>
      <c r="AS16" s="198"/>
    </row>
    <row r="17" spans="1:45">
      <c r="A17" s="137">
        <f t="shared" si="4"/>
        <v>45760</v>
      </c>
      <c r="B17" s="138">
        <f>YEAR(Daily_KPI[[#This Row],[Date]])+IF(MONTH(Daily_KPI[[#This Row],[Date]])&gt;=4,1,0)</f>
        <v>2026</v>
      </c>
      <c r="C17" s="108">
        <f>YEAR(Daily_KPI[[#This Row],[Date]])</f>
        <v>2025</v>
      </c>
      <c r="D17" s="139">
        <f>Daily_KPI[[#This Row],[Date]]-DAY(Daily_KPI[[#This Row],[Date]])+1</f>
        <v>45748</v>
      </c>
      <c r="E17" s="108">
        <f t="shared" si="0"/>
        <v>30</v>
      </c>
      <c r="F17" s="109"/>
      <c r="G17" s="110"/>
      <c r="H17" s="110"/>
      <c r="I17" s="110"/>
      <c r="J17" s="110"/>
      <c r="K17" s="111"/>
      <c r="L17" s="110"/>
      <c r="M17" s="110">
        <f>IFERROR(_xlfn.XLOOKUP($A17,Input_Raw!$A:$A,Input_Raw!$CQ:$CQ),"")</f>
        <v>4.9427272727272724</v>
      </c>
      <c r="N17" s="110">
        <f>IFERROR(_xlfn.XLOOKUP($A17,Input_Raw!$A:$A,Input_Raw!$CR:$CR),"")</f>
        <v>6.62</v>
      </c>
      <c r="O17" s="141">
        <f t="shared" si="1"/>
        <v>1</v>
      </c>
      <c r="P17" s="141">
        <f>IFERROR(1-SUMIF(WTG_BD!$F:$F,$A17,WTG_BD!$AA:$AA)/($AA17+SUMIF(WTG_BD!$F:$F,$A17,WTG_BD!$AA:$AA)),"")</f>
        <v>1</v>
      </c>
      <c r="Q17" s="141">
        <f>IFERROR(1-SUMIF(IGA_BD!$F:$F,$A17,IGA_BD!$W:$W)/($AA17+SUMIF(IGA_BD!$F:$F,$A17,IGA_BD!$W:$W)),"")</f>
        <v>1</v>
      </c>
      <c r="R17" s="141">
        <f>IFERROR(1-SUMIF(Grid_BD!$F:$F,$A17,Grid_BD!$Y:$Y)/($AA17+SUMIF(Grid_BD!$F:$F,$A17,Grid_BD!$Y:$Y)),"")</f>
        <v>1</v>
      </c>
      <c r="S17" s="108"/>
      <c r="T17" s="140"/>
      <c r="U17" s="141"/>
      <c r="V17" s="108"/>
      <c r="W17" s="142">
        <f t="shared" si="2"/>
        <v>0.13469460227272725</v>
      </c>
      <c r="X17" s="108">
        <f>IFERROR(_xlfn.XLOOKUP($A17,Input_Raw!$A:$A,Input_Raw!$CP:$CP)*1000,"")</f>
        <v>227580</v>
      </c>
      <c r="Y17" s="108">
        <f>IFERROR(_xlfn.XLOOKUP($A17,Input_Raw!$A:$A,Input_Raw!DJ:DJ)*1000,"")</f>
        <v>227579.99999999997</v>
      </c>
      <c r="Z17" s="108">
        <f>IFERROR(_xlfn.XLOOKUP($A17,Input_Raw!$A:$A,Input_Raw!DK:DK)*1000,"")</f>
        <v>0</v>
      </c>
      <c r="AA17" s="138">
        <f t="shared" si="3"/>
        <v>227579.99999999997</v>
      </c>
      <c r="AB17" s="108">
        <f>IFERROR(_xlfn.XLOOKUP($A17,Input_Raw!$A:$A,Input_Raw!$DR:$DR),"")</f>
        <v>70.400000000000006</v>
      </c>
      <c r="AC17" s="143">
        <f>IFERROR(_xlfn.XLOOKUP($D17,'Modelling New'!$D:$D,'Modelling New'!$J:$J),"")</f>
        <v>5.22</v>
      </c>
      <c r="AD17" s="138">
        <f>IFERROR(_xlfn.XLOOKUP($D17,'Modelling New'!$D:$D,'Modelling New'!$T:$T)*1000,"")</f>
        <v>228113.28141262796</v>
      </c>
      <c r="AE17" s="142"/>
      <c r="AF17" s="142">
        <f>IFERROR(_xlfn.XLOOKUP($D17,'Modelling New'!$D:$D,'Modelling New'!$W:$W),"")</f>
        <v>0.13501022810879967</v>
      </c>
      <c r="AG17" s="142">
        <f>IFERROR(_xlfn.XLOOKUP($D17,'Modelling New'!$D:$D,'Modelling New'!$AE:$AE),"")</f>
        <v>0.96029999999999993</v>
      </c>
      <c r="AH17" s="142">
        <f>IFERROR(_xlfn.XLOOKUP($D17,'Modelling New'!$D:$D,'Modelling New'!$AF:$AF),"")</f>
        <v>0.995</v>
      </c>
      <c r="AI17" s="109">
        <f>IFERROR(_xlfn.XLOOKUP($A17,Input_Raw!$A:$A,Input_Raw!$DP:$DP),"")</f>
        <v>219.75</v>
      </c>
      <c r="AJ17" s="108"/>
      <c r="AK17" s="108"/>
      <c r="AL17" s="108"/>
      <c r="AM17" s="108"/>
      <c r="AN17" s="132">
        <f>IFERROR(_xlfn.XLOOKUP($A17,Input_Raw!$A:$A,Input_Raw!$DL:$DL),"")</f>
        <v>-1.1102230246251565E-16</v>
      </c>
      <c r="AO17" s="142">
        <f>IFERROR((_xlfn.XLOOKUP($A17,'WTG Reactive Power'!$A:$A,'WTG Reactive Power'!$AW:$AW))/X17,"")</f>
        <v>2.0160297477810001E-4</v>
      </c>
      <c r="AP17" s="142">
        <f>IFERROR(_xlfn.XLOOKUP($D17,'Modelling New'!$D:$D,'Modelling New'!$AK:$AK),"")</f>
        <v>0.05</v>
      </c>
      <c r="AQ17" s="142">
        <f>IFERROR(_xlfn.XLOOKUP($D17,'Modelling New'!$D:$D,'Modelling New'!$AL:$AL),"")</f>
        <v>0.05</v>
      </c>
      <c r="AR17" s="198">
        <f>IFERROR(_xlfn.XLOOKUP($D17,'Modelling New'!$D:$D,'Modelling New'!$N:$N),"")</f>
        <v>70.400000000000006</v>
      </c>
      <c r="AS17" s="198"/>
    </row>
    <row r="18" spans="1:45">
      <c r="A18" s="137">
        <f t="shared" si="4"/>
        <v>45761</v>
      </c>
      <c r="B18" s="138">
        <f>YEAR(Daily_KPI[[#This Row],[Date]])+IF(MONTH(Daily_KPI[[#This Row],[Date]])&gt;=4,1,0)</f>
        <v>2026</v>
      </c>
      <c r="C18" s="108">
        <f>YEAR(Daily_KPI[[#This Row],[Date]])</f>
        <v>2025</v>
      </c>
      <c r="D18" s="139">
        <f>Daily_KPI[[#This Row],[Date]]-DAY(Daily_KPI[[#This Row],[Date]])+1</f>
        <v>45748</v>
      </c>
      <c r="E18" s="108">
        <f t="shared" si="0"/>
        <v>30</v>
      </c>
      <c r="F18" s="109"/>
      <c r="G18" s="143"/>
      <c r="H18" s="143"/>
      <c r="I18" s="143"/>
      <c r="J18" s="143"/>
      <c r="K18" s="111"/>
      <c r="L18" s="110"/>
      <c r="M18" s="110">
        <f>IFERROR(_xlfn.XLOOKUP($A18,Input_Raw!$A:$A,Input_Raw!$CQ:$CQ),"")</f>
        <v>4.9261363636363651</v>
      </c>
      <c r="N18" s="110">
        <f>IFERROR(_xlfn.XLOOKUP($A18,Input_Raw!$A:$A,Input_Raw!$CR:$CR),"")</f>
        <v>6.46</v>
      </c>
      <c r="O18" s="141">
        <f t="shared" si="1"/>
        <v>0.99893730074388953</v>
      </c>
      <c r="P18" s="141">
        <f>IFERROR(1-SUMIF(WTG_BD!$F:$F,$A18,WTG_BD!$AA:$AA)/($AA18+SUMIF(WTG_BD!$F:$F,$A18,WTG_BD!$AA:$AA)),"")</f>
        <v>0.99893730074388953</v>
      </c>
      <c r="Q18" s="141">
        <f>IFERROR(1-SUMIF(IGA_BD!$F:$F,$A18,IGA_BD!$W:$W)/($AA18+SUMIF(IGA_BD!$F:$F,$A18,IGA_BD!$W:$W)),"")</f>
        <v>1</v>
      </c>
      <c r="R18" s="141">
        <f>IFERROR(1-SUMIF(Grid_BD!$F:$F,$A18,Grid_BD!$Y:$Y)/($AA18+SUMIF(Grid_BD!$F:$F,$A18,Grid_BD!$Y:$Y)),"")</f>
        <v>1</v>
      </c>
      <c r="S18" s="108"/>
      <c r="T18" s="140"/>
      <c r="U18" s="141"/>
      <c r="V18" s="108"/>
      <c r="W18" s="142">
        <f t="shared" si="2"/>
        <v>0.13686079545454544</v>
      </c>
      <c r="X18" s="108">
        <f>IFERROR(_xlfn.XLOOKUP($A18,Input_Raw!$A:$A,Input_Raw!$CP:$CP)*1000,"")</f>
        <v>231240</v>
      </c>
      <c r="Y18" s="108">
        <f>IFERROR(_xlfn.XLOOKUP($A18,Input_Raw!$A:$A,Input_Raw!DJ:DJ)*1000,"")</f>
        <v>231240</v>
      </c>
      <c r="Z18" s="108">
        <f>IFERROR(_xlfn.XLOOKUP($A18,Input_Raw!$A:$A,Input_Raw!DK:DK)*1000,"")</f>
        <v>0</v>
      </c>
      <c r="AA18" s="138">
        <f t="shared" si="3"/>
        <v>231240</v>
      </c>
      <c r="AB18" s="108">
        <f>IFERROR(_xlfn.XLOOKUP($A18,Input_Raw!$A:$A,Input_Raw!$DR:$DR),"")</f>
        <v>70.400000000000006</v>
      </c>
      <c r="AC18" s="143">
        <f>IFERROR(_xlfn.XLOOKUP($D18,'Modelling New'!$D:$D,'Modelling New'!$J:$J),"")</f>
        <v>5.22</v>
      </c>
      <c r="AD18" s="138">
        <f>IFERROR(_xlfn.XLOOKUP($D18,'Modelling New'!$D:$D,'Modelling New'!$T:$T)*1000,"")</f>
        <v>228113.28141262796</v>
      </c>
      <c r="AE18" s="142"/>
      <c r="AF18" s="142">
        <f>IFERROR(_xlfn.XLOOKUP($D18,'Modelling New'!$D:$D,'Modelling New'!$W:$W),"")</f>
        <v>0.13501022810879967</v>
      </c>
      <c r="AG18" s="142">
        <f>IFERROR(_xlfn.XLOOKUP($D18,'Modelling New'!$D:$D,'Modelling New'!$AE:$AE),"")</f>
        <v>0.96029999999999993</v>
      </c>
      <c r="AH18" s="142">
        <f>IFERROR(_xlfn.XLOOKUP($D18,'Modelling New'!$D:$D,'Modelling New'!$AF:$AF),"")</f>
        <v>0.995</v>
      </c>
      <c r="AI18" s="109">
        <f>IFERROR(_xlfn.XLOOKUP($A18,Input_Raw!$A:$A,Input_Raw!$DP:$DP),"")</f>
        <v>223.32</v>
      </c>
      <c r="AJ18" s="108"/>
      <c r="AK18" s="108"/>
      <c r="AL18" s="108"/>
      <c r="AM18" s="108"/>
      <c r="AN18" s="132">
        <f>IFERROR(_xlfn.XLOOKUP($A18,Input_Raw!$A:$A,Input_Raw!$DL:$DL),"")</f>
        <v>0</v>
      </c>
      <c r="AO18" s="142">
        <f>IFERROR((_xlfn.XLOOKUP($A18,'WTG Reactive Power'!$A:$A,'WTG Reactive Power'!$AW:$AW))/X18,"")</f>
        <v>2.0074877832554927E-4</v>
      </c>
      <c r="AP18" s="142">
        <f>IFERROR(_xlfn.XLOOKUP($D18,'Modelling New'!$D:$D,'Modelling New'!$AK:$AK),"")</f>
        <v>0.05</v>
      </c>
      <c r="AQ18" s="142">
        <f>IFERROR(_xlfn.XLOOKUP($D18,'Modelling New'!$D:$D,'Modelling New'!$AL:$AL),"")</f>
        <v>0.05</v>
      </c>
      <c r="AR18" s="198">
        <f>IFERROR(_xlfn.XLOOKUP($D18,'Modelling New'!$D:$D,'Modelling New'!$N:$N),"")</f>
        <v>70.400000000000006</v>
      </c>
      <c r="AS18" s="198"/>
    </row>
    <row r="19" spans="1:45">
      <c r="A19" s="137">
        <f t="shared" si="4"/>
        <v>45762</v>
      </c>
      <c r="B19" s="138">
        <f>YEAR(Daily_KPI[[#This Row],[Date]])+IF(MONTH(Daily_KPI[[#This Row],[Date]])&gt;=4,1,0)</f>
        <v>2026</v>
      </c>
      <c r="C19" s="108">
        <f>YEAR(Daily_KPI[[#This Row],[Date]])</f>
        <v>2025</v>
      </c>
      <c r="D19" s="139">
        <f>Daily_KPI[[#This Row],[Date]]-DAY(Daily_KPI[[#This Row],[Date]])+1</f>
        <v>45748</v>
      </c>
      <c r="E19" s="108">
        <f t="shared" si="0"/>
        <v>30</v>
      </c>
      <c r="F19" s="109"/>
      <c r="G19" s="110"/>
      <c r="H19" s="110"/>
      <c r="I19" s="110"/>
      <c r="J19" s="110"/>
      <c r="K19" s="111"/>
      <c r="L19" s="110"/>
      <c r="M19" s="110">
        <f>IFERROR(_xlfn.XLOOKUP($A19,Input_Raw!$A:$A,Input_Raw!$CQ:$CQ),"")</f>
        <v>5.0938636363636354</v>
      </c>
      <c r="N19" s="110">
        <f>IFERROR(_xlfn.XLOOKUP($A19,Input_Raw!$A:$A,Input_Raw!$CR:$CR),"")</f>
        <v>6.81</v>
      </c>
      <c r="O19" s="141">
        <f t="shared" si="1"/>
        <v>0.99146097138744627</v>
      </c>
      <c r="P19" s="141">
        <f>IFERROR(1-SUMIF(WTG_BD!$F:$F,$A19,WTG_BD!$AA:$AA)/($AA19+SUMIF(WTG_BD!$F:$F,$A19,WTG_BD!$AA:$AA)),"")</f>
        <v>0.99146097138744627</v>
      </c>
      <c r="Q19" s="141">
        <f>IFERROR(1-SUMIF(IGA_BD!$F:$F,$A19,IGA_BD!$W:$W)/($AA19+SUMIF(IGA_BD!$F:$F,$A19,IGA_BD!$W:$W)),"")</f>
        <v>1</v>
      </c>
      <c r="R19" s="141">
        <f>IFERROR(1-SUMIF(Grid_BD!$F:$F,$A19,Grid_BD!$Y:$Y)/($AA19+SUMIF(Grid_BD!$F:$F,$A19,Grid_BD!$Y:$Y)),"")</f>
        <v>0.83043336591723693</v>
      </c>
      <c r="S19" s="108"/>
      <c r="T19" s="140"/>
      <c r="U19" s="141"/>
      <c r="V19" s="108"/>
      <c r="W19" s="142">
        <f t="shared" si="2"/>
        <v>0.15084043560606059</v>
      </c>
      <c r="X19" s="108">
        <f>IFERROR(_xlfn.XLOOKUP($A19,Input_Raw!$A:$A,Input_Raw!$CP:$CP)*1000,"")</f>
        <v>254860</v>
      </c>
      <c r="Y19" s="108">
        <f>IFERROR(_xlfn.XLOOKUP($A19,Input_Raw!$A:$A,Input_Raw!DJ:DJ)*1000,"")</f>
        <v>254859.99999999997</v>
      </c>
      <c r="Z19" s="108">
        <f>IFERROR(_xlfn.XLOOKUP($A19,Input_Raw!$A:$A,Input_Raw!DK:DK)*1000,"")</f>
        <v>0</v>
      </c>
      <c r="AA19" s="138">
        <f t="shared" si="3"/>
        <v>254859.99999999997</v>
      </c>
      <c r="AB19" s="108">
        <f>IFERROR(_xlfn.XLOOKUP($A19,Input_Raw!$A:$A,Input_Raw!$DR:$DR),"")</f>
        <v>70.400000000000006</v>
      </c>
      <c r="AC19" s="143">
        <f>IFERROR(_xlfn.XLOOKUP($D19,'Modelling New'!$D:$D,'Modelling New'!$J:$J),"")</f>
        <v>5.22</v>
      </c>
      <c r="AD19" s="138">
        <f>IFERROR(_xlfn.XLOOKUP($D19,'Modelling New'!$D:$D,'Modelling New'!$T:$T)*1000,"")</f>
        <v>228113.28141262796</v>
      </c>
      <c r="AE19" s="142"/>
      <c r="AF19" s="142">
        <f>IFERROR(_xlfn.XLOOKUP($D19,'Modelling New'!$D:$D,'Modelling New'!$W:$W),"")</f>
        <v>0.13501022810879967</v>
      </c>
      <c r="AG19" s="142">
        <f>IFERROR(_xlfn.XLOOKUP($D19,'Modelling New'!$D:$D,'Modelling New'!$AE:$AE),"")</f>
        <v>0.96029999999999993</v>
      </c>
      <c r="AH19" s="142">
        <f>IFERROR(_xlfn.XLOOKUP($D19,'Modelling New'!$D:$D,'Modelling New'!$AF:$AF),"")</f>
        <v>0.995</v>
      </c>
      <c r="AI19" s="109">
        <f>IFERROR(_xlfn.XLOOKUP($A19,Input_Raw!$A:$A,Input_Raw!$DP:$DP),"")</f>
        <v>249.16</v>
      </c>
      <c r="AJ19" s="108"/>
      <c r="AK19" s="108"/>
      <c r="AL19" s="108"/>
      <c r="AM19" s="108"/>
      <c r="AN19" s="132">
        <f>IFERROR(_xlfn.XLOOKUP($A19,Input_Raw!$A:$A,Input_Raw!$DL:$DL),"")</f>
        <v>-1.1102230246251565E-16</v>
      </c>
      <c r="AO19" s="142">
        <f>IFERROR((_xlfn.XLOOKUP($A19,'WTG Reactive Power'!$A:$A,'WTG Reactive Power'!$AW:$AW))/X19,"")</f>
        <v>8.9586697925658529E-5</v>
      </c>
      <c r="AP19" s="142">
        <f>IFERROR(_xlfn.XLOOKUP($D19,'Modelling New'!$D:$D,'Modelling New'!$AK:$AK),"")</f>
        <v>0.05</v>
      </c>
      <c r="AQ19" s="142">
        <f>IFERROR(_xlfn.XLOOKUP($D19,'Modelling New'!$D:$D,'Modelling New'!$AL:$AL),"")</f>
        <v>0.05</v>
      </c>
      <c r="AR19" s="198">
        <f>IFERROR(_xlfn.XLOOKUP($D19,'Modelling New'!$D:$D,'Modelling New'!$N:$N),"")</f>
        <v>70.400000000000006</v>
      </c>
      <c r="AS19" s="198"/>
    </row>
    <row r="20" spans="1:45">
      <c r="A20" s="137">
        <f t="shared" si="4"/>
        <v>45763</v>
      </c>
      <c r="B20" s="138">
        <f>YEAR(Daily_KPI[[#This Row],[Date]])+IF(MONTH(Daily_KPI[[#This Row],[Date]])&gt;=4,1,0)</f>
        <v>2026</v>
      </c>
      <c r="C20" s="108">
        <f>YEAR(Daily_KPI[[#This Row],[Date]])</f>
        <v>2025</v>
      </c>
      <c r="D20" s="139">
        <f>Daily_KPI[[#This Row],[Date]]-DAY(Daily_KPI[[#This Row],[Date]])+1</f>
        <v>45748</v>
      </c>
      <c r="E20" s="108">
        <f t="shared" si="0"/>
        <v>30</v>
      </c>
      <c r="F20" s="109"/>
      <c r="G20" s="143"/>
      <c r="H20" s="143"/>
      <c r="I20" s="143"/>
      <c r="J20" s="143"/>
      <c r="K20" s="111"/>
      <c r="L20" s="110"/>
      <c r="M20" s="110">
        <f>IFERROR(_xlfn.XLOOKUP($A20,Input_Raw!$A:$A,Input_Raw!$CQ:$CQ),"")</f>
        <v>5.2597727272727273</v>
      </c>
      <c r="N20" s="110">
        <f>IFERROR(_xlfn.XLOOKUP($A20,Input_Raw!$A:$A,Input_Raw!$CR:$CR),"")</f>
        <v>6.18</v>
      </c>
      <c r="O20" s="141">
        <f t="shared" si="1"/>
        <v>0.99172409711444875</v>
      </c>
      <c r="P20" s="141">
        <f>IFERROR(1-SUMIF(WTG_BD!$F:$F,$A20,WTG_BD!$AA:$AA)/($AA20+SUMIF(WTG_BD!$F:$F,$A20,WTG_BD!$AA:$AA)),"")</f>
        <v>0.99172409711444875</v>
      </c>
      <c r="Q20" s="141">
        <f>IFERROR(1-SUMIF(IGA_BD!$F:$F,$A20,IGA_BD!$W:$W)/($AA20+SUMIF(IGA_BD!$F:$F,$A20,IGA_BD!$W:$W)),"")</f>
        <v>1</v>
      </c>
      <c r="R20" s="141">
        <f>IFERROR(1-SUMIF(Grid_BD!$F:$F,$A20,Grid_BD!$Y:$Y)/($AA20+SUMIF(Grid_BD!$F:$F,$A20,Grid_BD!$Y:$Y)),"")</f>
        <v>1</v>
      </c>
      <c r="S20" s="108"/>
      <c r="T20" s="140"/>
      <c r="U20" s="141"/>
      <c r="V20" s="108"/>
      <c r="W20" s="142">
        <f t="shared" si="2"/>
        <v>0.17851503314393938</v>
      </c>
      <c r="X20" s="108">
        <f>IFERROR(_xlfn.XLOOKUP($A20,Input_Raw!$A:$A,Input_Raw!$CP:$CP)*1000,"")</f>
        <v>301619</v>
      </c>
      <c r="Y20" s="108">
        <f>IFERROR(_xlfn.XLOOKUP($A20,Input_Raw!$A:$A,Input_Raw!DJ:DJ)*1000,"")</f>
        <v>301619</v>
      </c>
      <c r="Z20" s="108">
        <f>IFERROR(_xlfn.XLOOKUP($A20,Input_Raw!$A:$A,Input_Raw!DK:DK)*1000,"")</f>
        <v>0</v>
      </c>
      <c r="AA20" s="138">
        <f t="shared" si="3"/>
        <v>301619</v>
      </c>
      <c r="AB20" s="108">
        <f>IFERROR(_xlfn.XLOOKUP($A20,Input_Raw!$A:$A,Input_Raw!$DR:$DR),"")</f>
        <v>70.400000000000006</v>
      </c>
      <c r="AC20" s="143">
        <f>IFERROR(_xlfn.XLOOKUP($D20,'Modelling New'!$D:$D,'Modelling New'!$J:$J),"")</f>
        <v>5.22</v>
      </c>
      <c r="AD20" s="138">
        <f>IFERROR(_xlfn.XLOOKUP($D20,'Modelling New'!$D:$D,'Modelling New'!$T:$T)*1000,"")</f>
        <v>228113.28141262796</v>
      </c>
      <c r="AE20" s="142"/>
      <c r="AF20" s="142">
        <f>IFERROR(_xlfn.XLOOKUP($D20,'Modelling New'!$D:$D,'Modelling New'!$W:$W),"")</f>
        <v>0.13501022810879967</v>
      </c>
      <c r="AG20" s="142">
        <f>IFERROR(_xlfn.XLOOKUP($D20,'Modelling New'!$D:$D,'Modelling New'!$AE:$AE),"")</f>
        <v>0.96029999999999993</v>
      </c>
      <c r="AH20" s="142">
        <f>IFERROR(_xlfn.XLOOKUP($D20,'Modelling New'!$D:$D,'Modelling New'!$AF:$AF),"")</f>
        <v>0.995</v>
      </c>
      <c r="AI20" s="109">
        <f>IFERROR(_xlfn.XLOOKUP($A20,Input_Raw!$A:$A,Input_Raw!$DP:$DP),"")</f>
        <v>288.87</v>
      </c>
      <c r="AJ20" s="108"/>
      <c r="AK20" s="108"/>
      <c r="AL20" s="108"/>
      <c r="AM20" s="108"/>
      <c r="AN20" s="132">
        <f>IFERROR(_xlfn.XLOOKUP($A20,Input_Raw!$A:$A,Input_Raw!$DL:$DL),"")</f>
        <v>0</v>
      </c>
      <c r="AO20" s="142">
        <f>IFERROR((_xlfn.XLOOKUP($A20,'WTG Reactive Power'!$A:$A,'WTG Reactive Power'!$AW:$AW))/X20,"")</f>
        <v>4.1539583602712912E-5</v>
      </c>
      <c r="AP20" s="142">
        <f>IFERROR(_xlfn.XLOOKUP($D20,'Modelling New'!$D:$D,'Modelling New'!$AK:$AK),"")</f>
        <v>0.05</v>
      </c>
      <c r="AQ20" s="142">
        <f>IFERROR(_xlfn.XLOOKUP($D20,'Modelling New'!$D:$D,'Modelling New'!$AL:$AL),"")</f>
        <v>0.05</v>
      </c>
      <c r="AR20" s="198">
        <f>IFERROR(_xlfn.XLOOKUP($D20,'Modelling New'!$D:$D,'Modelling New'!$N:$N),"")</f>
        <v>70.400000000000006</v>
      </c>
      <c r="AS20" s="198"/>
    </row>
    <row r="21" spans="1:45">
      <c r="A21" s="137">
        <f t="shared" si="4"/>
        <v>45764</v>
      </c>
      <c r="B21" s="138">
        <f>YEAR(Daily_KPI[[#This Row],[Date]])+IF(MONTH(Daily_KPI[[#This Row],[Date]])&gt;=4,1,0)</f>
        <v>2026</v>
      </c>
      <c r="C21" s="108">
        <f>YEAR(Daily_KPI[[#This Row],[Date]])</f>
        <v>2025</v>
      </c>
      <c r="D21" s="139">
        <f>Daily_KPI[[#This Row],[Date]]-DAY(Daily_KPI[[#This Row],[Date]])+1</f>
        <v>45748</v>
      </c>
      <c r="E21" s="108">
        <f t="shared" si="0"/>
        <v>30</v>
      </c>
      <c r="F21" s="109"/>
      <c r="G21" s="110"/>
      <c r="H21" s="110"/>
      <c r="I21" s="110"/>
      <c r="J21" s="110"/>
      <c r="K21" s="111"/>
      <c r="L21" s="110"/>
      <c r="M21" s="110">
        <f>IFERROR(_xlfn.XLOOKUP($A21,Input_Raw!$A:$A,Input_Raw!$CQ:$CQ),"")</f>
        <v>6.2409090909090903</v>
      </c>
      <c r="N21" s="110">
        <f>IFERROR(_xlfn.XLOOKUP($A21,Input_Raw!$A:$A,Input_Raw!$CR:$CR),"")</f>
        <v>8.07</v>
      </c>
      <c r="O21" s="141">
        <f t="shared" si="1"/>
        <v>0.98684221195953592</v>
      </c>
      <c r="P21" s="141">
        <f>IFERROR(1-SUMIF(WTG_BD!$F:$F,$A21,WTG_BD!$AA:$AA)/($AA21+SUMIF(WTG_BD!$F:$F,$A21,WTG_BD!$AA:$AA)),"")</f>
        <v>0.99082508443846595</v>
      </c>
      <c r="Q21" s="141">
        <f>IFERROR(1-SUMIF(IGA_BD!$F:$F,$A21,IGA_BD!$W:$W)/($AA21+SUMIF(IGA_BD!$F:$F,$A21,IGA_BD!$W:$W)),"")</f>
        <v>0.99598024662326023</v>
      </c>
      <c r="R21" s="141">
        <f>IFERROR(1-SUMIF(Grid_BD!$F:$F,$A21,Grid_BD!$Y:$Y)/($AA21+SUMIF(Grid_BD!$F:$F,$A21,Grid_BD!$Y:$Y)),"")</f>
        <v>1</v>
      </c>
      <c r="S21" s="108"/>
      <c r="T21" s="140"/>
      <c r="U21" s="141"/>
      <c r="V21" s="108"/>
      <c r="W21" s="142">
        <f t="shared" si="2"/>
        <v>0.24064453124999996</v>
      </c>
      <c r="X21" s="108">
        <f>IFERROR(_xlfn.XLOOKUP($A21,Input_Raw!$A:$A,Input_Raw!$CP:$CP)*1000,"")</f>
        <v>406593</v>
      </c>
      <c r="Y21" s="108">
        <f>IFERROR(_xlfn.XLOOKUP($A21,Input_Raw!$A:$A,Input_Raw!DJ:DJ)*1000,"")</f>
        <v>406592.99999999994</v>
      </c>
      <c r="Z21" s="108">
        <f>IFERROR(_xlfn.XLOOKUP($A21,Input_Raw!$A:$A,Input_Raw!DK:DK)*1000,"")</f>
        <v>0</v>
      </c>
      <c r="AA21" s="138">
        <f t="shared" si="3"/>
        <v>406592.99999999994</v>
      </c>
      <c r="AB21" s="108">
        <f>IFERROR(_xlfn.XLOOKUP($A21,Input_Raw!$A:$A,Input_Raw!$DR:$DR),"")</f>
        <v>70.400000000000006</v>
      </c>
      <c r="AC21" s="143">
        <f>IFERROR(_xlfn.XLOOKUP($D21,'Modelling New'!$D:$D,'Modelling New'!$J:$J),"")</f>
        <v>5.22</v>
      </c>
      <c r="AD21" s="138">
        <f>IFERROR(_xlfn.XLOOKUP($D21,'Modelling New'!$D:$D,'Modelling New'!$T:$T)*1000,"")</f>
        <v>228113.28141262796</v>
      </c>
      <c r="AE21" s="142"/>
      <c r="AF21" s="142">
        <f>IFERROR(_xlfn.XLOOKUP($D21,'Modelling New'!$D:$D,'Modelling New'!$W:$W),"")</f>
        <v>0.13501022810879967</v>
      </c>
      <c r="AG21" s="142">
        <f>IFERROR(_xlfn.XLOOKUP($D21,'Modelling New'!$D:$D,'Modelling New'!$AE:$AE),"")</f>
        <v>0.96029999999999993</v>
      </c>
      <c r="AH21" s="142">
        <f>IFERROR(_xlfn.XLOOKUP($D21,'Modelling New'!$D:$D,'Modelling New'!$AF:$AF),"")</f>
        <v>0.995</v>
      </c>
      <c r="AI21" s="109">
        <f>IFERROR(_xlfn.XLOOKUP($A21,Input_Raw!$A:$A,Input_Raw!$DP:$DP),"")</f>
        <v>398.35</v>
      </c>
      <c r="AJ21" s="108"/>
      <c r="AK21" s="108"/>
      <c r="AL21" s="108"/>
      <c r="AM21" s="108"/>
      <c r="AN21" s="132">
        <f>IFERROR(_xlfn.XLOOKUP($A21,Input_Raw!$A:$A,Input_Raw!$DL:$DL),"")</f>
        <v>-1.1102230246251565E-16</v>
      </c>
      <c r="AO21" s="142">
        <f>IFERROR((_xlfn.XLOOKUP($A21,'WTG Reactive Power'!$A:$A,'WTG Reactive Power'!$AW:$AW))/X21,"")</f>
        <v>1.3052633181912456E-4</v>
      </c>
      <c r="AP21" s="142">
        <f>IFERROR(_xlfn.XLOOKUP($D21,'Modelling New'!$D:$D,'Modelling New'!$AK:$AK),"")</f>
        <v>0.05</v>
      </c>
      <c r="AQ21" s="142">
        <f>IFERROR(_xlfn.XLOOKUP($D21,'Modelling New'!$D:$D,'Modelling New'!$AL:$AL),"")</f>
        <v>0.05</v>
      </c>
      <c r="AR21" s="198">
        <f>IFERROR(_xlfn.XLOOKUP($D21,'Modelling New'!$D:$D,'Modelling New'!$N:$N),"")</f>
        <v>70.400000000000006</v>
      </c>
      <c r="AS21" s="198"/>
    </row>
    <row r="22" spans="1:45">
      <c r="A22" s="137">
        <f t="shared" si="4"/>
        <v>45765</v>
      </c>
      <c r="B22" s="138">
        <f>YEAR(Daily_KPI[[#This Row],[Date]])+IF(MONTH(Daily_KPI[[#This Row],[Date]])&gt;=4,1,0)</f>
        <v>2026</v>
      </c>
      <c r="C22" s="108">
        <f>YEAR(Daily_KPI[[#This Row],[Date]])</f>
        <v>2025</v>
      </c>
      <c r="D22" s="139">
        <f>Daily_KPI[[#This Row],[Date]]-DAY(Daily_KPI[[#This Row],[Date]])+1</f>
        <v>45748</v>
      </c>
      <c r="E22" s="108">
        <f t="shared" si="0"/>
        <v>30</v>
      </c>
      <c r="F22" s="109"/>
      <c r="G22" s="143"/>
      <c r="H22" s="143"/>
      <c r="I22" s="143"/>
      <c r="J22" s="143"/>
      <c r="K22" s="111"/>
      <c r="L22" s="110"/>
      <c r="M22" s="110">
        <f>IFERROR(_xlfn.XLOOKUP($A22,Input_Raw!$A:$A,Input_Raw!$CQ:$CQ),"")</f>
        <v>5.7127272727272747</v>
      </c>
      <c r="N22" s="110">
        <f>IFERROR(_xlfn.XLOOKUP($A22,Input_Raw!$A:$A,Input_Raw!$CR:$CR),"")</f>
        <v>7.18</v>
      </c>
      <c r="O22" s="141">
        <f t="shared" si="1"/>
        <v>0.99063381739348322</v>
      </c>
      <c r="P22" s="141">
        <f>IFERROR(1-SUMIF(WTG_BD!$F:$F,$A22,WTG_BD!$AA:$AA)/($AA22+SUMIF(WTG_BD!$F:$F,$A22,WTG_BD!$AA:$AA)),"")</f>
        <v>0.99063381739348322</v>
      </c>
      <c r="Q22" s="141">
        <f>IFERROR(1-SUMIF(IGA_BD!$F:$F,$A22,IGA_BD!$W:$W)/($AA22+SUMIF(IGA_BD!$F:$F,$A22,IGA_BD!$W:$W)),"")</f>
        <v>1</v>
      </c>
      <c r="R22" s="141">
        <f>IFERROR(1-SUMIF(Grid_BD!$F:$F,$A22,Grid_BD!$Y:$Y)/($AA22+SUMIF(Grid_BD!$F:$F,$A22,Grid_BD!$Y:$Y)),"")</f>
        <v>1</v>
      </c>
      <c r="S22" s="108"/>
      <c r="T22" s="140"/>
      <c r="U22" s="141"/>
      <c r="V22" s="108"/>
      <c r="W22" s="142">
        <f t="shared" si="2"/>
        <v>0.21527758049242421</v>
      </c>
      <c r="X22" s="108">
        <f>IFERROR(_xlfn.XLOOKUP($A22,Input_Raw!$A:$A,Input_Raw!$CP:$CP)*1000,"")</f>
        <v>363733</v>
      </c>
      <c r="Y22" s="108">
        <f>IFERROR(_xlfn.XLOOKUP($A22,Input_Raw!$A:$A,Input_Raw!DJ:DJ)*1000,"")</f>
        <v>363733</v>
      </c>
      <c r="Z22" s="108">
        <f>IFERROR(_xlfn.XLOOKUP($A22,Input_Raw!$A:$A,Input_Raw!DK:DK)*1000,"")</f>
        <v>0</v>
      </c>
      <c r="AA22" s="138">
        <f t="shared" si="3"/>
        <v>363733</v>
      </c>
      <c r="AB22" s="108">
        <f>IFERROR(_xlfn.XLOOKUP($A22,Input_Raw!$A:$A,Input_Raw!$DR:$DR),"")</f>
        <v>70.400000000000006</v>
      </c>
      <c r="AC22" s="143">
        <f>IFERROR(_xlfn.XLOOKUP($D22,'Modelling New'!$D:$D,'Modelling New'!$J:$J),"")</f>
        <v>5.22</v>
      </c>
      <c r="AD22" s="138">
        <f>IFERROR(_xlfn.XLOOKUP($D22,'Modelling New'!$D:$D,'Modelling New'!$T:$T)*1000,"")</f>
        <v>228113.28141262796</v>
      </c>
      <c r="AE22" s="142"/>
      <c r="AF22" s="142">
        <f>IFERROR(_xlfn.XLOOKUP($D22,'Modelling New'!$D:$D,'Modelling New'!$W:$W),"")</f>
        <v>0.13501022810879967</v>
      </c>
      <c r="AG22" s="142">
        <f>IFERROR(_xlfn.XLOOKUP($D22,'Modelling New'!$D:$D,'Modelling New'!$AE:$AE),"")</f>
        <v>0.96029999999999993</v>
      </c>
      <c r="AH22" s="142">
        <f>IFERROR(_xlfn.XLOOKUP($D22,'Modelling New'!$D:$D,'Modelling New'!$AF:$AF),"")</f>
        <v>0.995</v>
      </c>
      <c r="AI22" s="109">
        <f>IFERROR(_xlfn.XLOOKUP($A22,Input_Raw!$A:$A,Input_Raw!$DP:$DP),"")</f>
        <v>353.43</v>
      </c>
      <c r="AJ22" s="108"/>
      <c r="AK22" s="108"/>
      <c r="AL22" s="108"/>
      <c r="AM22" s="108"/>
      <c r="AN22" s="132">
        <f>IFERROR(_xlfn.XLOOKUP($A22,Input_Raw!$A:$A,Input_Raw!$DL:$DL),"")</f>
        <v>0</v>
      </c>
      <c r="AO22" s="142">
        <f>IFERROR((_xlfn.XLOOKUP($A22,'WTG Reactive Power'!$A:$A,'WTG Reactive Power'!$AW:$AW))/X22,"")</f>
        <v>1.3843645247108916E-4</v>
      </c>
      <c r="AP22" s="142">
        <f>IFERROR(_xlfn.XLOOKUP($D22,'Modelling New'!$D:$D,'Modelling New'!$AK:$AK),"")</f>
        <v>0.05</v>
      </c>
      <c r="AQ22" s="142">
        <f>IFERROR(_xlfn.XLOOKUP($D22,'Modelling New'!$D:$D,'Modelling New'!$AL:$AL),"")</f>
        <v>0.05</v>
      </c>
      <c r="AR22" s="198">
        <f>IFERROR(_xlfn.XLOOKUP($D22,'Modelling New'!$D:$D,'Modelling New'!$N:$N),"")</f>
        <v>70.400000000000006</v>
      </c>
      <c r="AS22" s="198"/>
    </row>
    <row r="23" spans="1:45">
      <c r="A23" s="137">
        <f t="shared" si="4"/>
        <v>45766</v>
      </c>
      <c r="B23" s="138">
        <f>YEAR(Daily_KPI[[#This Row],[Date]])+IF(MONTH(Daily_KPI[[#This Row],[Date]])&gt;=4,1,0)</f>
        <v>2026</v>
      </c>
      <c r="C23" s="108">
        <f>YEAR(Daily_KPI[[#This Row],[Date]])</f>
        <v>2025</v>
      </c>
      <c r="D23" s="139">
        <f>Daily_KPI[[#This Row],[Date]]-DAY(Daily_KPI[[#This Row],[Date]])+1</f>
        <v>45748</v>
      </c>
      <c r="E23" s="108">
        <f t="shared" si="0"/>
        <v>30</v>
      </c>
      <c r="F23" s="109"/>
      <c r="G23" s="110"/>
      <c r="H23" s="110"/>
      <c r="I23" s="110"/>
      <c r="J23" s="110"/>
      <c r="K23" s="111"/>
      <c r="L23" s="110"/>
      <c r="M23" s="110">
        <f>IFERROR(_xlfn.XLOOKUP($A23,Input_Raw!$A:$A,Input_Raw!$CQ:$CQ),"")</f>
        <v>5.7152272727272724</v>
      </c>
      <c r="N23" s="110">
        <f>IFERROR(_xlfn.XLOOKUP($A23,Input_Raw!$A:$A,Input_Raw!$CR:$CR),"")</f>
        <v>7.01</v>
      </c>
      <c r="O23" s="141">
        <f t="shared" si="1"/>
        <v>0.99078840252990164</v>
      </c>
      <c r="P23" s="141">
        <f>IFERROR(1-SUMIF(WTG_BD!$F:$F,$A23,WTG_BD!$AA:$AA)/($AA23+SUMIF(WTG_BD!$F:$F,$A23,WTG_BD!$AA:$AA)),"")</f>
        <v>0.99078840252990164</v>
      </c>
      <c r="Q23" s="141">
        <f>IFERROR(1-SUMIF(IGA_BD!$F:$F,$A23,IGA_BD!$W:$W)/($AA23+SUMIF(IGA_BD!$F:$F,$A23,IGA_BD!$W:$W)),"")</f>
        <v>1</v>
      </c>
      <c r="R23" s="141">
        <f>IFERROR(1-SUMIF(Grid_BD!$F:$F,$A23,Grid_BD!$Y:$Y)/($AA23+SUMIF(Grid_BD!$F:$F,$A23,Grid_BD!$Y:$Y)),"")</f>
        <v>1</v>
      </c>
      <c r="S23" s="108"/>
      <c r="T23" s="140"/>
      <c r="U23" s="141"/>
      <c r="V23" s="108"/>
      <c r="W23" s="142">
        <f t="shared" si="2"/>
        <v>0.18728574810606058</v>
      </c>
      <c r="X23" s="108">
        <f>IFERROR(_xlfn.XLOOKUP($A23,Input_Raw!$A:$A,Input_Raw!$CP:$CP)*1000,"")</f>
        <v>316438</v>
      </c>
      <c r="Y23" s="108">
        <f>IFERROR(_xlfn.XLOOKUP($A23,Input_Raw!$A:$A,Input_Raw!DJ:DJ)*1000,"")</f>
        <v>316438</v>
      </c>
      <c r="Z23" s="108">
        <f>IFERROR(_xlfn.XLOOKUP($A23,Input_Raw!$A:$A,Input_Raw!DK:DK)*1000,"")</f>
        <v>0</v>
      </c>
      <c r="AA23" s="138">
        <f t="shared" si="3"/>
        <v>316438</v>
      </c>
      <c r="AB23" s="108">
        <f>IFERROR(_xlfn.XLOOKUP($A23,Input_Raw!$A:$A,Input_Raw!$DR:$DR),"")</f>
        <v>70.400000000000006</v>
      </c>
      <c r="AC23" s="143">
        <f>IFERROR(_xlfn.XLOOKUP($D23,'Modelling New'!$D:$D,'Modelling New'!$J:$J),"")</f>
        <v>5.22</v>
      </c>
      <c r="AD23" s="138">
        <f>IFERROR(_xlfn.XLOOKUP($D23,'Modelling New'!$D:$D,'Modelling New'!$T:$T)*1000,"")</f>
        <v>228113.28141262796</v>
      </c>
      <c r="AE23" s="142"/>
      <c r="AF23" s="142">
        <f>IFERROR(_xlfn.XLOOKUP($D23,'Modelling New'!$D:$D,'Modelling New'!$W:$W),"")</f>
        <v>0.13501022810879967</v>
      </c>
      <c r="AG23" s="142">
        <f>IFERROR(_xlfn.XLOOKUP($D23,'Modelling New'!$D:$D,'Modelling New'!$AE:$AE),"")</f>
        <v>0.96029999999999993</v>
      </c>
      <c r="AH23" s="142">
        <f>IFERROR(_xlfn.XLOOKUP($D23,'Modelling New'!$D:$D,'Modelling New'!$AF:$AF),"")</f>
        <v>0.995</v>
      </c>
      <c r="AI23" s="109">
        <f>IFERROR(_xlfn.XLOOKUP($A23,Input_Raw!$A:$A,Input_Raw!$DP:$DP),"")</f>
        <v>305.33</v>
      </c>
      <c r="AJ23" s="108"/>
      <c r="AK23" s="108"/>
      <c r="AL23" s="108"/>
      <c r="AM23" s="108"/>
      <c r="AN23" s="132">
        <f>IFERROR(_xlfn.XLOOKUP($A23,Input_Raw!$A:$A,Input_Raw!$DL:$DL),"")</f>
        <v>0</v>
      </c>
      <c r="AO23" s="142">
        <f>IFERROR((_xlfn.XLOOKUP($A23,'WTG Reactive Power'!$A:$A,'WTG Reactive Power'!$AW:$AW))/X23,"")</f>
        <v>1.9998683891736565E-4</v>
      </c>
      <c r="AP23" s="142">
        <f>IFERROR(_xlfn.XLOOKUP($D23,'Modelling New'!$D:$D,'Modelling New'!$AK:$AK),"")</f>
        <v>0.05</v>
      </c>
      <c r="AQ23" s="142">
        <f>IFERROR(_xlfn.XLOOKUP($D23,'Modelling New'!$D:$D,'Modelling New'!$AL:$AL),"")</f>
        <v>0.05</v>
      </c>
      <c r="AR23" s="198">
        <f>IFERROR(_xlfn.XLOOKUP($D23,'Modelling New'!$D:$D,'Modelling New'!$N:$N),"")</f>
        <v>70.400000000000006</v>
      </c>
      <c r="AS23" s="198"/>
    </row>
    <row r="24" spans="1:45">
      <c r="A24" s="137">
        <f t="shared" si="4"/>
        <v>45767</v>
      </c>
      <c r="B24" s="138">
        <f>YEAR(Daily_KPI[[#This Row],[Date]])+IF(MONTH(Daily_KPI[[#This Row],[Date]])&gt;=4,1,0)</f>
        <v>2026</v>
      </c>
      <c r="C24" s="108">
        <f>YEAR(Daily_KPI[[#This Row],[Date]])</f>
        <v>2025</v>
      </c>
      <c r="D24" s="139">
        <f>Daily_KPI[[#This Row],[Date]]-DAY(Daily_KPI[[#This Row],[Date]])+1</f>
        <v>45748</v>
      </c>
      <c r="E24" s="108">
        <f t="shared" ref="E24" si="5">DAY(EOMONTH(A24,0))</f>
        <v>30</v>
      </c>
      <c r="F24" s="109"/>
      <c r="G24" s="110"/>
      <c r="H24" s="110"/>
      <c r="I24" s="110"/>
      <c r="J24" s="110"/>
      <c r="K24" s="111"/>
      <c r="L24" s="110"/>
      <c r="M24" s="110">
        <f>IFERROR(_xlfn.XLOOKUP($A24,Input_Raw!$A:$A,Input_Raw!$CQ:$CQ),"")</f>
        <v>5.1234090909090906</v>
      </c>
      <c r="N24" s="110">
        <f>IFERROR(_xlfn.XLOOKUP($A24,Input_Raw!$A:$A,Input_Raw!$CR:$CR),"")</f>
        <v>6.58</v>
      </c>
      <c r="O24" s="141">
        <f t="shared" ref="O24" si="6">IFERROR(P24*Q24,"")</f>
        <v>1</v>
      </c>
      <c r="P24" s="141">
        <f>IFERROR(1-SUMIF(WTG_BD!$F:$F,$A24,WTG_BD!$AA:$AA)/($AA24+SUMIF(WTG_BD!$F:$F,$A24,WTG_BD!$AA:$AA)),"")</f>
        <v>1</v>
      </c>
      <c r="Q24" s="141">
        <f>IFERROR(1-SUMIF(IGA_BD!$F:$F,$A24,IGA_BD!$W:$W)/($AA24+SUMIF(IGA_BD!$F:$F,$A24,IGA_BD!$W:$W)),"")</f>
        <v>1</v>
      </c>
      <c r="R24" s="141">
        <f>IFERROR(1-SUMIF(Grid_BD!$F:$F,$A24,Grid_BD!$Y:$Y)/($AA24+SUMIF(Grid_BD!$F:$F,$A24,Grid_BD!$Y:$Y)),"")</f>
        <v>1</v>
      </c>
      <c r="S24" s="108"/>
      <c r="T24" s="140"/>
      <c r="U24" s="141"/>
      <c r="V24" s="108"/>
      <c r="W24" s="142">
        <f t="shared" ref="W24" si="7">IFERROR(X24/(24*AB24*1000),"")</f>
        <v>0.18021129261363633</v>
      </c>
      <c r="X24" s="108">
        <f>IFERROR(_xlfn.XLOOKUP($A24,Input_Raw!$A:$A,Input_Raw!$CP:$CP)*1000,"")</f>
        <v>304485</v>
      </c>
      <c r="Y24" s="108">
        <f>IFERROR(_xlfn.XLOOKUP($A24,Input_Raw!$A:$A,Input_Raw!DJ:DJ)*1000,"")</f>
        <v>304485</v>
      </c>
      <c r="Z24" s="108">
        <f>IFERROR(_xlfn.XLOOKUP($A24,Input_Raw!$A:$A,Input_Raw!DK:DK)*1000,"")</f>
        <v>0</v>
      </c>
      <c r="AA24" s="138">
        <f t="shared" ref="AA24" si="8">IFERROR(Y24-Z24,"")</f>
        <v>304485</v>
      </c>
      <c r="AB24" s="108">
        <f>IFERROR(_xlfn.XLOOKUP($A24,Input_Raw!$A:$A,Input_Raw!$DR:$DR),"")</f>
        <v>70.400000000000006</v>
      </c>
      <c r="AC24" s="143">
        <f>IFERROR(_xlfn.XLOOKUP($D24,'Modelling New'!$D:$D,'Modelling New'!$J:$J),"")</f>
        <v>5.22</v>
      </c>
      <c r="AD24" s="138">
        <f>IFERROR(_xlfn.XLOOKUP($D24,'Modelling New'!$D:$D,'Modelling New'!$T:$T)*1000,"")</f>
        <v>228113.28141262796</v>
      </c>
      <c r="AE24" s="142"/>
      <c r="AF24" s="142">
        <f>IFERROR(_xlfn.XLOOKUP($D24,'Modelling New'!$D:$D,'Modelling New'!$W:$W),"")</f>
        <v>0.13501022810879967</v>
      </c>
      <c r="AG24" s="142">
        <f>IFERROR(_xlfn.XLOOKUP($D24,'Modelling New'!$D:$D,'Modelling New'!$AE:$AE),"")</f>
        <v>0.96029999999999993</v>
      </c>
      <c r="AH24" s="142">
        <f>IFERROR(_xlfn.XLOOKUP($D24,'Modelling New'!$D:$D,'Modelling New'!$AF:$AF),"")</f>
        <v>0.995</v>
      </c>
      <c r="AI24" s="109">
        <f>IFERROR(_xlfn.XLOOKUP($A24,Input_Raw!$A:$A,Input_Raw!$DP:$DP),"")</f>
        <v>290.89999999999998</v>
      </c>
      <c r="AJ24" s="108"/>
      <c r="AK24" s="108"/>
      <c r="AL24" s="108"/>
      <c r="AM24" s="108"/>
      <c r="AN24" s="132">
        <f>IFERROR(_xlfn.XLOOKUP($A24,Input_Raw!$A:$A,Input_Raw!$DL:$DL),"")</f>
        <v>0</v>
      </c>
      <c r="AO24" s="142">
        <f>IFERROR((_xlfn.XLOOKUP($A24,'WTG Reactive Power'!$A:$A,'WTG Reactive Power'!$AW:$AW))/X24,"")</f>
        <v>1.9918635181809724E-4</v>
      </c>
      <c r="AP24" s="142">
        <f>IFERROR(_xlfn.XLOOKUP($D24,'Modelling New'!$D:$D,'Modelling New'!$AK:$AK),"")</f>
        <v>0.05</v>
      </c>
      <c r="AQ24" s="142">
        <f>IFERROR(_xlfn.XLOOKUP($D24,'Modelling New'!$D:$D,'Modelling New'!$AL:$AL),"")</f>
        <v>0.05</v>
      </c>
      <c r="AR24" s="198">
        <f>IFERROR(_xlfn.XLOOKUP($D24,'Modelling New'!$D:$D,'Modelling New'!$N:$N),"")</f>
        <v>70.400000000000006</v>
      </c>
      <c r="AS24" s="198"/>
    </row>
    <row r="25" spans="1:45">
      <c r="A25" s="137">
        <f t="shared" si="4"/>
        <v>45768</v>
      </c>
      <c r="B25" s="138">
        <f>YEAR(Daily_KPI[[#This Row],[Date]])+IF(MONTH(Daily_KPI[[#This Row],[Date]])&gt;=4,1,0)</f>
        <v>2026</v>
      </c>
      <c r="C25" s="108">
        <f>YEAR(Daily_KPI[[#This Row],[Date]])</f>
        <v>2025</v>
      </c>
      <c r="D25" s="139">
        <f>Daily_KPI[[#This Row],[Date]]-DAY(Daily_KPI[[#This Row],[Date]])+1</f>
        <v>45748</v>
      </c>
      <c r="E25" s="108">
        <f t="shared" si="0"/>
        <v>30</v>
      </c>
      <c r="F25" s="109"/>
      <c r="G25" s="110"/>
      <c r="H25" s="110"/>
      <c r="I25" s="110"/>
      <c r="J25" s="110"/>
      <c r="K25" s="111"/>
      <c r="L25" s="110"/>
      <c r="M25" s="110">
        <f>IFERROR(_xlfn.XLOOKUP($A25,Input_Raw!$A:$A,Input_Raw!$CQ:$CQ),"")</f>
        <v>4.497727272727273</v>
      </c>
      <c r="N25" s="110">
        <f>IFERROR(_xlfn.XLOOKUP($A25,Input_Raw!$A:$A,Input_Raw!$CR:$CR),"")</f>
        <v>5.55</v>
      </c>
      <c r="O25" s="141">
        <f t="shared" si="1"/>
        <v>0.9820672619711871</v>
      </c>
      <c r="P25" s="141">
        <f>IFERROR(1-SUMIF(WTG_BD!$F:$F,$A25,WTG_BD!$AA:$AA)/($AA25+SUMIF(WTG_BD!$F:$F,$A25,WTG_BD!$AA:$AA)),"")</f>
        <v>0.99996329351553737</v>
      </c>
      <c r="Q25" s="141">
        <f>IFERROR(1-SUMIF(IGA_BD!$F:$F,$A25,IGA_BD!$W:$W)/($AA25+SUMIF(IGA_BD!$F:$F,$A25,IGA_BD!$W:$W)),"")</f>
        <v>0.98210331153113251</v>
      </c>
      <c r="R25" s="141">
        <f>IFERROR(1-SUMIF(Grid_BD!$F:$F,$A25,Grid_BD!$Y:$Y)/($AA25+SUMIF(Grid_BD!$F:$F,$A25,Grid_BD!$Y:$Y)),"")</f>
        <v>1</v>
      </c>
      <c r="S25" s="108"/>
      <c r="T25" s="140"/>
      <c r="U25" s="141"/>
      <c r="V25" s="108"/>
      <c r="W25" s="142">
        <f t="shared" si="2"/>
        <v>0.11286399147727272</v>
      </c>
      <c r="X25" s="108">
        <f>IFERROR(_xlfn.XLOOKUP($A25,Input_Raw!$A:$A,Input_Raw!$CP:$CP)*1000,"")</f>
        <v>190695</v>
      </c>
      <c r="Y25" s="108">
        <f>IFERROR(_xlfn.XLOOKUP($A25,Input_Raw!$A:$A,Input_Raw!DJ:DJ)*1000,"")</f>
        <v>190695</v>
      </c>
      <c r="Z25" s="108">
        <f>IFERROR(_xlfn.XLOOKUP($A25,Input_Raw!$A:$A,Input_Raw!DK:DK)*1000,"")</f>
        <v>0</v>
      </c>
      <c r="AA25" s="138">
        <f t="shared" si="3"/>
        <v>190695</v>
      </c>
      <c r="AB25" s="108">
        <f>IFERROR(_xlfn.XLOOKUP($A25,Input_Raw!$A:$A,Input_Raw!$DR:$DR),"")</f>
        <v>70.400000000000006</v>
      </c>
      <c r="AC25" s="143">
        <f>IFERROR(_xlfn.XLOOKUP($D25,'Modelling New'!$D:$D,'Modelling New'!$J:$J),"")</f>
        <v>5.22</v>
      </c>
      <c r="AD25" s="138">
        <f>IFERROR(_xlfn.XLOOKUP($D25,'Modelling New'!$D:$D,'Modelling New'!$T:$T)*1000,"")</f>
        <v>228113.28141262796</v>
      </c>
      <c r="AE25" s="142"/>
      <c r="AF25" s="142">
        <f>IFERROR(_xlfn.XLOOKUP($D25,'Modelling New'!$D:$D,'Modelling New'!$W:$W),"")</f>
        <v>0.13501022810879967</v>
      </c>
      <c r="AG25" s="142">
        <f>IFERROR(_xlfn.XLOOKUP($D25,'Modelling New'!$D:$D,'Modelling New'!$AE:$AE),"")</f>
        <v>0.96029999999999993</v>
      </c>
      <c r="AH25" s="142">
        <f>IFERROR(_xlfn.XLOOKUP($D25,'Modelling New'!$D:$D,'Modelling New'!$AF:$AF),"")</f>
        <v>0.995</v>
      </c>
      <c r="AI25" s="109">
        <f>IFERROR(_xlfn.XLOOKUP($A25,Input_Raw!$A:$A,Input_Raw!$DP:$DP),"")</f>
        <v>186.07</v>
      </c>
      <c r="AJ25" s="108"/>
      <c r="AK25" s="108"/>
      <c r="AL25" s="108"/>
      <c r="AM25" s="108"/>
      <c r="AN25" s="132">
        <f>IFERROR(_xlfn.XLOOKUP($A25,Input_Raw!$A:$A,Input_Raw!$DL:$DL),"")</f>
        <v>0</v>
      </c>
      <c r="AO25" s="142">
        <f>IFERROR((_xlfn.XLOOKUP($A25,'WTG Reactive Power'!$A:$A,'WTG Reactive Power'!$AW:$AW))/X25,"")</f>
        <v>2.0274299273709319E-4</v>
      </c>
      <c r="AP25" s="142">
        <f>IFERROR(_xlfn.XLOOKUP($D25,'Modelling New'!$D:$D,'Modelling New'!$AK:$AK),"")</f>
        <v>0.05</v>
      </c>
      <c r="AQ25" s="142">
        <f>IFERROR(_xlfn.XLOOKUP($D25,'Modelling New'!$D:$D,'Modelling New'!$AL:$AL),"")</f>
        <v>0.05</v>
      </c>
      <c r="AR25" s="198">
        <f>IFERROR(_xlfn.XLOOKUP($D25,'Modelling New'!$D:$D,'Modelling New'!$N:$N),"")</f>
        <v>70.400000000000006</v>
      </c>
      <c r="AS25" s="198"/>
    </row>
    <row r="26" spans="1:45">
      <c r="A26" s="137">
        <f t="shared" si="4"/>
        <v>45769</v>
      </c>
      <c r="B26" s="138">
        <f>YEAR(Daily_KPI[[#This Row],[Date]])+IF(MONTH(Daily_KPI[[#This Row],[Date]])&gt;=4,1,0)</f>
        <v>2026</v>
      </c>
      <c r="C26" s="108">
        <f>YEAR(Daily_KPI[[#This Row],[Date]])</f>
        <v>2025</v>
      </c>
      <c r="D26" s="139">
        <f>Daily_KPI[[#This Row],[Date]]-DAY(Daily_KPI[[#This Row],[Date]])+1</f>
        <v>45748</v>
      </c>
      <c r="E26" s="108">
        <f t="shared" si="0"/>
        <v>30</v>
      </c>
      <c r="F26" s="109"/>
      <c r="G26" s="143"/>
      <c r="H26" s="143"/>
      <c r="I26" s="143"/>
      <c r="J26" s="143"/>
      <c r="K26" s="111"/>
      <c r="L26" s="110"/>
      <c r="M26" s="110">
        <f>IFERROR(_xlfn.XLOOKUP($A26,Input_Raw!$A:$A,Input_Raw!$CQ:$CQ),"")</f>
        <v>4.2565909090909084</v>
      </c>
      <c r="N26" s="110">
        <f>IFERROR(_xlfn.XLOOKUP($A26,Input_Raw!$A:$A,Input_Raw!$CR:$CR),"")</f>
        <v>5.27</v>
      </c>
      <c r="O26" s="141">
        <f t="shared" si="1"/>
        <v>0.9795493214941482</v>
      </c>
      <c r="P26" s="141">
        <f>IFERROR(1-SUMIF(WTG_BD!$F:$F,$A26,WTG_BD!$AA:$AA)/($AA26+SUMIF(WTG_BD!$F:$F,$A26,WTG_BD!$AA:$AA)),"")</f>
        <v>0.99559825241604305</v>
      </c>
      <c r="Q26" s="141">
        <f>IFERROR(1-SUMIF(IGA_BD!$F:$F,$A26,IGA_BD!$W:$W)/($AA26+SUMIF(IGA_BD!$F:$F,$A26,IGA_BD!$W:$W)),"")</f>
        <v>0.98388011340623738</v>
      </c>
      <c r="R26" s="141">
        <f>IFERROR(1-SUMIF(Grid_BD!$F:$F,$A26,Grid_BD!$Y:$Y)/($AA26+SUMIF(Grid_BD!$F:$F,$A26,Grid_BD!$Y:$Y)),"")</f>
        <v>0.85187263290784121</v>
      </c>
      <c r="S26" s="108"/>
      <c r="T26" s="140"/>
      <c r="U26" s="141"/>
      <c r="V26" s="108"/>
      <c r="W26" s="142">
        <f t="shared" si="2"/>
        <v>7.1886837121212105E-2</v>
      </c>
      <c r="X26" s="108">
        <f>IFERROR(_xlfn.XLOOKUP($A26,Input_Raw!$A:$A,Input_Raw!$CP:$CP)*1000,"")</f>
        <v>121460</v>
      </c>
      <c r="Y26" s="108">
        <f>IFERROR(_xlfn.XLOOKUP($A26,Input_Raw!$A:$A,Input_Raw!DJ:DJ)*1000,"")</f>
        <v>121460.00000000001</v>
      </c>
      <c r="Z26" s="108">
        <f>IFERROR(_xlfn.XLOOKUP($A26,Input_Raw!$A:$A,Input_Raw!DK:DK)*1000,"")</f>
        <v>0</v>
      </c>
      <c r="AA26" s="138">
        <f t="shared" si="3"/>
        <v>121460.00000000001</v>
      </c>
      <c r="AB26" s="108">
        <f>IFERROR(_xlfn.XLOOKUP($A26,Input_Raw!$A:$A,Input_Raw!$DR:$DR),"")</f>
        <v>70.400000000000006</v>
      </c>
      <c r="AC26" s="143">
        <f>IFERROR(_xlfn.XLOOKUP($D26,'Modelling New'!$D:$D,'Modelling New'!$J:$J),"")</f>
        <v>5.22</v>
      </c>
      <c r="AD26" s="138">
        <f>IFERROR(_xlfn.XLOOKUP($D26,'Modelling New'!$D:$D,'Modelling New'!$T:$T)*1000,"")</f>
        <v>228113.28141262796</v>
      </c>
      <c r="AE26" s="142"/>
      <c r="AF26" s="142">
        <f>IFERROR(_xlfn.XLOOKUP($D26,'Modelling New'!$D:$D,'Modelling New'!$W:$W),"")</f>
        <v>0.13501022810879967</v>
      </c>
      <c r="AG26" s="142">
        <f>IFERROR(_xlfn.XLOOKUP($D26,'Modelling New'!$D:$D,'Modelling New'!$AE:$AE),"")</f>
        <v>0.96029999999999993</v>
      </c>
      <c r="AH26" s="142">
        <f>IFERROR(_xlfn.XLOOKUP($D26,'Modelling New'!$D:$D,'Modelling New'!$AF:$AF),"")</f>
        <v>0.995</v>
      </c>
      <c r="AI26" s="109">
        <f>IFERROR(_xlfn.XLOOKUP($A26,Input_Raw!$A:$A,Input_Raw!$DP:$DP),"")</f>
        <v>123.66</v>
      </c>
      <c r="AJ26" s="108"/>
      <c r="AK26" s="108"/>
      <c r="AL26" s="108"/>
      <c r="AM26" s="108"/>
      <c r="AN26" s="132">
        <f>IFERROR(_xlfn.XLOOKUP($A26,Input_Raw!$A:$A,Input_Raw!$DL:$DL),"")</f>
        <v>2.2204460492503131E-16</v>
      </c>
      <c r="AO26" s="142">
        <f>IFERROR((_xlfn.XLOOKUP($A26,'WTG Reactive Power'!$A:$A,'WTG Reactive Power'!$AW:$AW))/X26,"")</f>
        <v>1.9907701438059169E-4</v>
      </c>
      <c r="AP26" s="142">
        <f>IFERROR(_xlfn.XLOOKUP($D26,'Modelling New'!$D:$D,'Modelling New'!$AK:$AK),"")</f>
        <v>0.05</v>
      </c>
      <c r="AQ26" s="142">
        <f>IFERROR(_xlfn.XLOOKUP($D26,'Modelling New'!$D:$D,'Modelling New'!$AL:$AL),"")</f>
        <v>0.05</v>
      </c>
      <c r="AR26" s="198">
        <f>IFERROR(_xlfn.XLOOKUP($D26,'Modelling New'!$D:$D,'Modelling New'!$N:$N),"")</f>
        <v>70.400000000000006</v>
      </c>
      <c r="AS26" s="198"/>
    </row>
    <row r="27" spans="1:45">
      <c r="A27" s="137">
        <f t="shared" si="4"/>
        <v>45770</v>
      </c>
      <c r="B27" s="138">
        <f>YEAR(Daily_KPI[[#This Row],[Date]])+IF(MONTH(Daily_KPI[[#This Row],[Date]])&gt;=4,1,0)</f>
        <v>2026</v>
      </c>
      <c r="C27" s="108">
        <f>YEAR(Daily_KPI[[#This Row],[Date]])</f>
        <v>2025</v>
      </c>
      <c r="D27" s="139">
        <f>Daily_KPI[[#This Row],[Date]]-DAY(Daily_KPI[[#This Row],[Date]])+1</f>
        <v>45748</v>
      </c>
      <c r="E27" s="108">
        <f t="shared" si="0"/>
        <v>30</v>
      </c>
      <c r="F27" s="109"/>
      <c r="G27" s="110"/>
      <c r="H27" s="110"/>
      <c r="I27" s="110"/>
      <c r="J27" s="110"/>
      <c r="K27" s="111"/>
      <c r="L27" s="110"/>
      <c r="M27" s="110">
        <f>IFERROR(_xlfn.XLOOKUP($A27,Input_Raw!$A:$A,Input_Raw!$CQ:$CQ),"")</f>
        <v>4.6352272727272723</v>
      </c>
      <c r="N27" s="110">
        <f>IFERROR(_xlfn.XLOOKUP($A27,Input_Raw!$A:$A,Input_Raw!$CR:$CR),"")</f>
        <v>5.79</v>
      </c>
      <c r="O27" s="141">
        <f t="shared" si="1"/>
        <v>0.93984720427751012</v>
      </c>
      <c r="P27" s="141">
        <f>IFERROR(1-SUMIF(WTG_BD!$F:$F,$A27,WTG_BD!$AA:$AA)/($AA27+SUMIF(WTG_BD!$F:$F,$A27,WTG_BD!$AA:$AA)),"")</f>
        <v>0.98417001320933883</v>
      </c>
      <c r="Q27" s="141">
        <f>IFERROR(1-SUMIF(IGA_BD!$F:$F,$A27,IGA_BD!$W:$W)/($AA27+SUMIF(IGA_BD!$F:$F,$A27,IGA_BD!$W:$W)),"")</f>
        <v>0.95496427615459056</v>
      </c>
      <c r="R27" s="141">
        <f>IFERROR(1-SUMIF(Grid_BD!$F:$F,$A27,Grid_BD!$Y:$Y)/($AA27+SUMIF(Grid_BD!$F:$F,$A27,Grid_BD!$Y:$Y)),"")</f>
        <v>1</v>
      </c>
      <c r="S27" s="108"/>
      <c r="T27" s="140"/>
      <c r="U27" s="141"/>
      <c r="V27" s="108"/>
      <c r="W27" s="142">
        <f t="shared" si="2"/>
        <v>0.10980054450757575</v>
      </c>
      <c r="X27" s="108">
        <f>IFERROR(_xlfn.XLOOKUP($A27,Input_Raw!$A:$A,Input_Raw!$CP:$CP)*1000,"")</f>
        <v>185519</v>
      </c>
      <c r="Y27" s="108">
        <f>IFERROR(_xlfn.XLOOKUP($A27,Input_Raw!$A:$A,Input_Raw!DJ:DJ)*1000,"")</f>
        <v>185519</v>
      </c>
      <c r="Z27" s="108">
        <f>IFERROR(_xlfn.XLOOKUP($A27,Input_Raw!$A:$A,Input_Raw!DK:DK)*1000,"")</f>
        <v>0</v>
      </c>
      <c r="AA27" s="138">
        <f t="shared" si="3"/>
        <v>185519</v>
      </c>
      <c r="AB27" s="108">
        <f>IFERROR(_xlfn.XLOOKUP($A27,Input_Raw!$A:$A,Input_Raw!$DR:$DR),"")</f>
        <v>70.400000000000006</v>
      </c>
      <c r="AC27" s="143">
        <f>IFERROR(_xlfn.XLOOKUP($D27,'Modelling New'!$D:$D,'Modelling New'!$J:$J),"")</f>
        <v>5.22</v>
      </c>
      <c r="AD27" s="138">
        <f>IFERROR(_xlfn.XLOOKUP($D27,'Modelling New'!$D:$D,'Modelling New'!$T:$T)*1000,"")</f>
        <v>228113.28141262796</v>
      </c>
      <c r="AE27" s="142"/>
      <c r="AF27" s="142">
        <f>IFERROR(_xlfn.XLOOKUP($D27,'Modelling New'!$D:$D,'Modelling New'!$W:$W),"")</f>
        <v>0.13501022810879967</v>
      </c>
      <c r="AG27" s="142">
        <f>IFERROR(_xlfn.XLOOKUP($D27,'Modelling New'!$D:$D,'Modelling New'!$AE:$AE),"")</f>
        <v>0.96029999999999993</v>
      </c>
      <c r="AH27" s="142">
        <f>IFERROR(_xlfn.XLOOKUP($D27,'Modelling New'!$D:$D,'Modelling New'!$AF:$AF),"")</f>
        <v>0.995</v>
      </c>
      <c r="AI27" s="109">
        <f>IFERROR(_xlfn.XLOOKUP($A27,Input_Raw!$A:$A,Input_Raw!$DP:$DP),"")</f>
        <v>185.49</v>
      </c>
      <c r="AJ27" s="108"/>
      <c r="AK27" s="108"/>
      <c r="AL27" s="108"/>
      <c r="AM27" s="108"/>
      <c r="AN27" s="132">
        <f>IFERROR(_xlfn.XLOOKUP($A27,Input_Raw!$A:$A,Input_Raw!$DL:$DL),"")</f>
        <v>0</v>
      </c>
      <c r="AO27" s="142">
        <f>IFERROR((_xlfn.XLOOKUP($A27,'WTG Reactive Power'!$A:$A,'WTG Reactive Power'!$AW:$AW))/X27,"")</f>
        <v>1.8483451739893667E-4</v>
      </c>
      <c r="AP27" s="142">
        <f>IFERROR(_xlfn.XLOOKUP($D27,'Modelling New'!$D:$D,'Modelling New'!$AK:$AK),"")</f>
        <v>0.05</v>
      </c>
      <c r="AQ27" s="142">
        <f>IFERROR(_xlfn.XLOOKUP($D27,'Modelling New'!$D:$D,'Modelling New'!$AL:$AL),"")</f>
        <v>0.05</v>
      </c>
      <c r="AR27" s="198">
        <f>IFERROR(_xlfn.XLOOKUP($D27,'Modelling New'!$D:$D,'Modelling New'!$N:$N),"")</f>
        <v>70.400000000000006</v>
      </c>
      <c r="AS27" s="198"/>
    </row>
    <row r="28" spans="1:45">
      <c r="A28" s="137">
        <f t="shared" si="4"/>
        <v>45771</v>
      </c>
      <c r="B28" s="138">
        <f>YEAR(Daily_KPI[[#This Row],[Date]])+IF(MONTH(Daily_KPI[[#This Row],[Date]])&gt;=4,1,0)</f>
        <v>2026</v>
      </c>
      <c r="C28" s="108">
        <f>YEAR(Daily_KPI[[#This Row],[Date]])</f>
        <v>2025</v>
      </c>
      <c r="D28" s="139">
        <f>Daily_KPI[[#This Row],[Date]]-DAY(Daily_KPI[[#This Row],[Date]])+1</f>
        <v>45748</v>
      </c>
      <c r="E28" s="108">
        <f t="shared" si="0"/>
        <v>30</v>
      </c>
      <c r="F28" s="109"/>
      <c r="G28" s="143"/>
      <c r="H28" s="143"/>
      <c r="I28" s="143"/>
      <c r="J28" s="143"/>
      <c r="K28" s="111"/>
      <c r="L28" s="110"/>
      <c r="M28" s="110">
        <f>IFERROR(_xlfn.XLOOKUP($A28,Input_Raw!$A:$A,Input_Raw!$CQ:$CQ),"")</f>
        <v>4.6136363636363633</v>
      </c>
      <c r="N28" s="110">
        <f>IFERROR(_xlfn.XLOOKUP($A28,Input_Raw!$A:$A,Input_Raw!$CR:$CR),"")</f>
        <v>5.65</v>
      </c>
      <c r="O28" s="141">
        <f t="shared" si="1"/>
        <v>0.94428950008137524</v>
      </c>
      <c r="P28" s="141">
        <f>IFERROR(1-SUMIF(WTG_BD!$F:$F,$A28,WTG_BD!$AA:$AA)/($AA28+SUMIF(WTG_BD!$F:$F,$A28,WTG_BD!$AA:$AA)),"")</f>
        <v>0.99177260560462466</v>
      </c>
      <c r="Q28" s="141">
        <f>IFERROR(1-SUMIF(IGA_BD!$F:$F,$A28,IGA_BD!$W:$W)/($AA28+SUMIF(IGA_BD!$F:$F,$A28,IGA_BD!$W:$W)),"")</f>
        <v>0.95212299144489698</v>
      </c>
      <c r="R28" s="141">
        <f>IFERROR(1-SUMIF(Grid_BD!$F:$F,$A28,Grid_BD!$Y:$Y)/($AA28+SUMIF(Grid_BD!$F:$F,$A28,Grid_BD!$Y:$Y)),"")</f>
        <v>1</v>
      </c>
      <c r="S28" s="108"/>
      <c r="T28" s="140"/>
      <c r="U28" s="141"/>
      <c r="V28" s="108"/>
      <c r="W28" s="142">
        <f t="shared" si="2"/>
        <v>8.9253077651515134E-2</v>
      </c>
      <c r="X28" s="108">
        <f>IFERROR(_xlfn.XLOOKUP($A28,Input_Raw!$A:$A,Input_Raw!$CP:$CP)*1000,"")</f>
        <v>150802</v>
      </c>
      <c r="Y28" s="108">
        <f>IFERROR(_xlfn.XLOOKUP($A28,Input_Raw!$A:$A,Input_Raw!DJ:DJ)*1000,"")</f>
        <v>150802.00000000003</v>
      </c>
      <c r="Z28" s="108">
        <f>IFERROR(_xlfn.XLOOKUP($A28,Input_Raw!$A:$A,Input_Raw!DK:DK)*1000,"")</f>
        <v>0</v>
      </c>
      <c r="AA28" s="138">
        <f t="shared" si="3"/>
        <v>150802.00000000003</v>
      </c>
      <c r="AB28" s="108">
        <f>IFERROR(_xlfn.XLOOKUP($A28,Input_Raw!$A:$A,Input_Raw!$DR:$DR),"")</f>
        <v>70.400000000000006</v>
      </c>
      <c r="AC28" s="143">
        <f>IFERROR(_xlfn.XLOOKUP($D28,'Modelling New'!$D:$D,'Modelling New'!$J:$J),"")</f>
        <v>5.22</v>
      </c>
      <c r="AD28" s="138">
        <f>IFERROR(_xlfn.XLOOKUP($D28,'Modelling New'!$D:$D,'Modelling New'!$T:$T)*1000,"")</f>
        <v>228113.28141262796</v>
      </c>
      <c r="AE28" s="142"/>
      <c r="AF28" s="142">
        <f>IFERROR(_xlfn.XLOOKUP($D28,'Modelling New'!$D:$D,'Modelling New'!$W:$W),"")</f>
        <v>0.13501022810879967</v>
      </c>
      <c r="AG28" s="142">
        <f>IFERROR(_xlfn.XLOOKUP($D28,'Modelling New'!$D:$D,'Modelling New'!$AE:$AE),"")</f>
        <v>0.96029999999999993</v>
      </c>
      <c r="AH28" s="142">
        <f>IFERROR(_xlfn.XLOOKUP($D28,'Modelling New'!$D:$D,'Modelling New'!$AF:$AF),"")</f>
        <v>0.995</v>
      </c>
      <c r="AI28" s="109">
        <f>IFERROR(_xlfn.XLOOKUP($A28,Input_Raw!$A:$A,Input_Raw!$DP:$DP),"")</f>
        <v>152.06</v>
      </c>
      <c r="AJ28" s="108"/>
      <c r="AK28" s="108"/>
      <c r="AL28" s="108"/>
      <c r="AM28" s="108"/>
      <c r="AN28" s="132">
        <f>IFERROR(_xlfn.XLOOKUP($A28,Input_Raw!$A:$A,Input_Raw!$DL:$DL),"")</f>
        <v>2.2204460492503131E-16</v>
      </c>
      <c r="AO28" s="142">
        <f>IFERROR((_xlfn.XLOOKUP($A28,'WTG Reactive Power'!$A:$A,'WTG Reactive Power'!$AW:$AW))/X28,"")</f>
        <v>2.2738633992475785E-4</v>
      </c>
      <c r="AP28" s="142">
        <f>IFERROR(_xlfn.XLOOKUP($D28,'Modelling New'!$D:$D,'Modelling New'!$AK:$AK),"")</f>
        <v>0.05</v>
      </c>
      <c r="AQ28" s="142">
        <f>IFERROR(_xlfn.XLOOKUP($D28,'Modelling New'!$D:$D,'Modelling New'!$AL:$AL),"")</f>
        <v>0.05</v>
      </c>
      <c r="AR28" s="198">
        <f>IFERROR(_xlfn.XLOOKUP($D28,'Modelling New'!$D:$D,'Modelling New'!$N:$N),"")</f>
        <v>70.400000000000006</v>
      </c>
      <c r="AS28" s="198"/>
    </row>
    <row r="29" spans="1:45">
      <c r="A29" s="137">
        <f t="shared" si="4"/>
        <v>45772</v>
      </c>
      <c r="B29" s="138">
        <f>YEAR(Daily_KPI[[#This Row],[Date]])+IF(MONTH(Daily_KPI[[#This Row],[Date]])&gt;=4,1,0)</f>
        <v>2026</v>
      </c>
      <c r="C29" s="108">
        <f>YEAR(Daily_KPI[[#This Row],[Date]])</f>
        <v>2025</v>
      </c>
      <c r="D29" s="139">
        <f>Daily_KPI[[#This Row],[Date]]-DAY(Daily_KPI[[#This Row],[Date]])+1</f>
        <v>45748</v>
      </c>
      <c r="E29" s="108">
        <f t="shared" si="0"/>
        <v>30</v>
      </c>
      <c r="F29" s="109"/>
      <c r="G29" s="110"/>
      <c r="H29" s="110"/>
      <c r="I29" s="110"/>
      <c r="J29" s="110"/>
      <c r="K29" s="111"/>
      <c r="L29" s="110"/>
      <c r="M29" s="110">
        <f>IFERROR(_xlfn.XLOOKUP($A29,Input_Raw!$A:$A,Input_Raw!$CQ:$CQ),"")</f>
        <v>4.5420454545454554</v>
      </c>
      <c r="N29" s="110">
        <f>IFERROR(_xlfn.XLOOKUP($A29,Input_Raw!$A:$A,Input_Raw!$CR:$CR),"")</f>
        <v>5.76</v>
      </c>
      <c r="O29" s="141">
        <f t="shared" si="1"/>
        <v>0.97236999594266282</v>
      </c>
      <c r="P29" s="141">
        <f>IFERROR(1-SUMIF(WTG_BD!$F:$F,$A29,WTG_BD!$AA:$AA)/($AA29+SUMIF(WTG_BD!$F:$F,$A29,WTG_BD!$AA:$AA)),"")</f>
        <v>0.98557413884963752</v>
      </c>
      <c r="Q29" s="141">
        <f>IFERROR(1-SUMIF(IGA_BD!$F:$F,$A29,IGA_BD!$W:$W)/($AA29+SUMIF(IGA_BD!$F:$F,$A29,IGA_BD!$W:$W)),"")</f>
        <v>0.98660258788609589</v>
      </c>
      <c r="R29" s="141">
        <f>IFERROR(1-SUMIF(Grid_BD!$F:$F,$A29,Grid_BD!$Y:$Y)/($AA29+SUMIF(Grid_BD!$F:$F,$A29,Grid_BD!$Y:$Y)),"")</f>
        <v>1</v>
      </c>
      <c r="S29" s="108"/>
      <c r="T29" s="140"/>
      <c r="U29" s="141"/>
      <c r="V29" s="108"/>
      <c r="W29" s="142">
        <f t="shared" si="2"/>
        <v>0.10072502367424241</v>
      </c>
      <c r="X29" s="108">
        <f>IFERROR(_xlfn.XLOOKUP($A29,Input_Raw!$A:$A,Input_Raw!$CP:$CP)*1000,"")</f>
        <v>170185</v>
      </c>
      <c r="Y29" s="108">
        <f>IFERROR(_xlfn.XLOOKUP($A29,Input_Raw!$A:$A,Input_Raw!DJ:DJ)*1000,"")</f>
        <v>170185</v>
      </c>
      <c r="Z29" s="108">
        <f>IFERROR(_xlfn.XLOOKUP($A29,Input_Raw!$A:$A,Input_Raw!DK:DK)*1000,"")</f>
        <v>0</v>
      </c>
      <c r="AA29" s="138">
        <f t="shared" si="3"/>
        <v>170185</v>
      </c>
      <c r="AB29" s="108">
        <f>IFERROR(_xlfn.XLOOKUP($A29,Input_Raw!$A:$A,Input_Raw!$DR:$DR),"")</f>
        <v>70.400000000000006</v>
      </c>
      <c r="AC29" s="143">
        <f>IFERROR(_xlfn.XLOOKUP($D29,'Modelling New'!$D:$D,'Modelling New'!$J:$J),"")</f>
        <v>5.22</v>
      </c>
      <c r="AD29" s="138">
        <f>IFERROR(_xlfn.XLOOKUP($D29,'Modelling New'!$D:$D,'Modelling New'!$T:$T)*1000,"")</f>
        <v>228113.28141262796</v>
      </c>
      <c r="AE29" s="142"/>
      <c r="AF29" s="142">
        <f>IFERROR(_xlfn.XLOOKUP($D29,'Modelling New'!$D:$D,'Modelling New'!$W:$W),"")</f>
        <v>0.13501022810879967</v>
      </c>
      <c r="AG29" s="142">
        <f>IFERROR(_xlfn.XLOOKUP($D29,'Modelling New'!$D:$D,'Modelling New'!$AE:$AE),"")</f>
        <v>0.96029999999999993</v>
      </c>
      <c r="AH29" s="142">
        <f>IFERROR(_xlfn.XLOOKUP($D29,'Modelling New'!$D:$D,'Modelling New'!$AF:$AF),"")</f>
        <v>0.995</v>
      </c>
      <c r="AI29" s="109">
        <f>IFERROR(_xlfn.XLOOKUP($A29,Input_Raw!$A:$A,Input_Raw!$DP:$DP),"")</f>
        <v>173.65</v>
      </c>
      <c r="AJ29" s="108"/>
      <c r="AK29" s="108"/>
      <c r="AL29" s="108"/>
      <c r="AM29" s="108"/>
      <c r="AN29" s="132">
        <f>IFERROR(_xlfn.XLOOKUP($A29,Input_Raw!$A:$A,Input_Raw!$DL:$DL),"")</f>
        <v>0</v>
      </c>
      <c r="AO29" s="142">
        <f>IFERROR((_xlfn.XLOOKUP($A29,'WTG Reactive Power'!$A:$A,'WTG Reactive Power'!$AW:$AW))/X29,"")</f>
        <v>2.0267898953100068E-4</v>
      </c>
      <c r="AP29" s="142">
        <f>IFERROR(_xlfn.XLOOKUP($D29,'Modelling New'!$D:$D,'Modelling New'!$AK:$AK),"")</f>
        <v>0.05</v>
      </c>
      <c r="AQ29" s="142">
        <f>IFERROR(_xlfn.XLOOKUP($D29,'Modelling New'!$D:$D,'Modelling New'!$AL:$AL),"")</f>
        <v>0.05</v>
      </c>
      <c r="AR29" s="198">
        <f>IFERROR(_xlfn.XLOOKUP($D29,'Modelling New'!$D:$D,'Modelling New'!$N:$N),"")</f>
        <v>70.400000000000006</v>
      </c>
      <c r="AS29" s="198"/>
    </row>
    <row r="30" spans="1:45">
      <c r="A30" s="137">
        <f t="shared" si="4"/>
        <v>45773</v>
      </c>
      <c r="B30" s="138">
        <f>YEAR(Daily_KPI[[#This Row],[Date]])+IF(MONTH(Daily_KPI[[#This Row],[Date]])&gt;=4,1,0)</f>
        <v>2026</v>
      </c>
      <c r="C30" s="108">
        <f>YEAR(Daily_KPI[[#This Row],[Date]])</f>
        <v>2025</v>
      </c>
      <c r="D30" s="139">
        <f>Daily_KPI[[#This Row],[Date]]-DAY(Daily_KPI[[#This Row],[Date]])+1</f>
        <v>45748</v>
      </c>
      <c r="E30" s="108">
        <f t="shared" si="0"/>
        <v>30</v>
      </c>
      <c r="F30" s="109"/>
      <c r="G30" s="143"/>
      <c r="H30" s="143"/>
      <c r="I30" s="143"/>
      <c r="J30" s="143"/>
      <c r="K30" s="111"/>
      <c r="L30" s="110"/>
      <c r="M30" s="110">
        <f>IFERROR(_xlfn.XLOOKUP($A30,Input_Raw!$A:$A,Input_Raw!$CQ:$CQ),"")</f>
        <v>4.3224999999999998</v>
      </c>
      <c r="N30" s="110">
        <f>IFERROR(_xlfn.XLOOKUP($A30,Input_Raw!$A:$A,Input_Raw!$CR:$CR),"")</f>
        <v>5.12</v>
      </c>
      <c r="O30" s="141">
        <f t="shared" si="1"/>
        <v>0.90954621949039627</v>
      </c>
      <c r="P30" s="141">
        <f>IFERROR(1-SUMIF(WTG_BD!$F:$F,$A30,WTG_BD!$AA:$AA)/($AA30+SUMIF(WTG_BD!$F:$F,$A30,WTG_BD!$AA:$AA)),"")</f>
        <v>0.97984736546288087</v>
      </c>
      <c r="Q30" s="141">
        <f>IFERROR(1-SUMIF(IGA_BD!$F:$F,$A30,IGA_BD!$W:$W)/($AA30+SUMIF(IGA_BD!$F:$F,$A30,IGA_BD!$W:$W)),"")</f>
        <v>0.92825296219552089</v>
      </c>
      <c r="R30" s="141">
        <f>IFERROR(1-SUMIF(Grid_BD!$F:$F,$A30,Grid_BD!$Y:$Y)/($AA30+SUMIF(Grid_BD!$F:$F,$A30,Grid_BD!$Y:$Y)),"")</f>
        <v>1</v>
      </c>
      <c r="S30" s="108"/>
      <c r="T30" s="140"/>
      <c r="U30" s="141"/>
      <c r="V30" s="108"/>
      <c r="W30" s="142">
        <f t="shared" si="2"/>
        <v>8.5639796401515145E-2</v>
      </c>
      <c r="X30" s="108">
        <f>IFERROR(_xlfn.XLOOKUP($A30,Input_Raw!$A:$A,Input_Raw!$CP:$CP)*1000,"")</f>
        <v>144697</v>
      </c>
      <c r="Y30" s="108">
        <f>IFERROR(_xlfn.XLOOKUP($A30,Input_Raw!$A:$A,Input_Raw!DJ:DJ)*1000,"")</f>
        <v>144697</v>
      </c>
      <c r="Z30" s="108">
        <f>IFERROR(_xlfn.XLOOKUP($A30,Input_Raw!$A:$A,Input_Raw!DK:DK)*1000,"")</f>
        <v>0</v>
      </c>
      <c r="AA30" s="138">
        <f t="shared" si="3"/>
        <v>144697</v>
      </c>
      <c r="AB30" s="108">
        <f>IFERROR(_xlfn.XLOOKUP($A30,Input_Raw!$A:$A,Input_Raw!$DR:$DR),"")</f>
        <v>70.400000000000006</v>
      </c>
      <c r="AC30" s="143">
        <f>IFERROR(_xlfn.XLOOKUP($D30,'Modelling New'!$D:$D,'Modelling New'!$J:$J),"")</f>
        <v>5.22</v>
      </c>
      <c r="AD30" s="138">
        <f>IFERROR(_xlfn.XLOOKUP($D30,'Modelling New'!$D:$D,'Modelling New'!$T:$T)*1000,"")</f>
        <v>228113.28141262796</v>
      </c>
      <c r="AE30" s="142"/>
      <c r="AF30" s="142">
        <f>IFERROR(_xlfn.XLOOKUP($D30,'Modelling New'!$D:$D,'Modelling New'!$W:$W),"")</f>
        <v>0.13501022810879967</v>
      </c>
      <c r="AG30" s="142">
        <f>IFERROR(_xlfn.XLOOKUP($D30,'Modelling New'!$D:$D,'Modelling New'!$AE:$AE),"")</f>
        <v>0.96029999999999993</v>
      </c>
      <c r="AH30" s="142">
        <f>IFERROR(_xlfn.XLOOKUP($D30,'Modelling New'!$D:$D,'Modelling New'!$AF:$AF),"")</f>
        <v>0.995</v>
      </c>
      <c r="AI30" s="109">
        <f>IFERROR(_xlfn.XLOOKUP($A30,Input_Raw!$A:$A,Input_Raw!$DP:$DP),"")</f>
        <v>143.44999999999999</v>
      </c>
      <c r="AJ30" s="108"/>
      <c r="AK30" s="108"/>
      <c r="AL30" s="108"/>
      <c r="AM30" s="108"/>
      <c r="AN30" s="132">
        <f>IFERROR(_xlfn.XLOOKUP($A30,Input_Raw!$A:$A,Input_Raw!$DL:$DL),"")</f>
        <v>0</v>
      </c>
      <c r="AO30" s="142">
        <f>IFERROR((_xlfn.XLOOKUP($A30,'WTG Reactive Power'!$A:$A,'WTG Reactive Power'!$AW:$AW))/X30,"")</f>
        <v>2.0084328170821326E-4</v>
      </c>
      <c r="AP30" s="142">
        <f>IFERROR(_xlfn.XLOOKUP($D30,'Modelling New'!$D:$D,'Modelling New'!$AK:$AK),"")</f>
        <v>0.05</v>
      </c>
      <c r="AQ30" s="142">
        <f>IFERROR(_xlfn.XLOOKUP($D30,'Modelling New'!$D:$D,'Modelling New'!$AL:$AL),"")</f>
        <v>0.05</v>
      </c>
      <c r="AR30" s="198">
        <f>IFERROR(_xlfn.XLOOKUP($D30,'Modelling New'!$D:$D,'Modelling New'!$N:$N),"")</f>
        <v>70.400000000000006</v>
      </c>
      <c r="AS30" s="198"/>
    </row>
    <row r="31" spans="1:45">
      <c r="A31" s="137">
        <f t="shared" si="4"/>
        <v>45774</v>
      </c>
      <c r="B31" s="138">
        <f>YEAR(Daily_KPI[[#This Row],[Date]])+IF(MONTH(Daily_KPI[[#This Row],[Date]])&gt;=4,1,0)</f>
        <v>2026</v>
      </c>
      <c r="C31" s="108">
        <f>YEAR(Daily_KPI[[#This Row],[Date]])</f>
        <v>2025</v>
      </c>
      <c r="D31" s="139">
        <f>Daily_KPI[[#This Row],[Date]]-DAY(Daily_KPI[[#This Row],[Date]])+1</f>
        <v>45748</v>
      </c>
      <c r="E31" s="108">
        <f t="shared" si="0"/>
        <v>30</v>
      </c>
      <c r="F31" s="109"/>
      <c r="G31" s="110"/>
      <c r="H31" s="110"/>
      <c r="I31" s="110"/>
      <c r="J31" s="110"/>
      <c r="K31" s="111"/>
      <c r="L31" s="110"/>
      <c r="M31" s="110">
        <f>IFERROR(_xlfn.XLOOKUP($A31,Input_Raw!$A:$A,Input_Raw!$CQ:$CQ),"")</f>
        <v>3.9584090909090914</v>
      </c>
      <c r="N31" s="110">
        <f>IFERROR(_xlfn.XLOOKUP($A31,Input_Raw!$A:$A,Input_Raw!$CR:$CR),"")</f>
        <v>4.59</v>
      </c>
      <c r="O31" s="141">
        <f t="shared" si="1"/>
        <v>0.98980605363584084</v>
      </c>
      <c r="P31" s="141">
        <f>IFERROR(1-SUMIF(WTG_BD!$F:$F,$A31,WTG_BD!$AA:$AA)/($AA31+SUMIF(WTG_BD!$F:$F,$A31,WTG_BD!$AA:$AA)),"")</f>
        <v>0.98980605363584084</v>
      </c>
      <c r="Q31" s="141">
        <f>IFERROR(1-SUMIF(IGA_BD!$F:$F,$A31,IGA_BD!$W:$W)/($AA31+SUMIF(IGA_BD!$F:$F,$A31,IGA_BD!$W:$W)),"")</f>
        <v>1</v>
      </c>
      <c r="R31" s="141">
        <f>IFERROR(1-SUMIF(Grid_BD!$F:$F,$A31,Grid_BD!$Y:$Y)/($AA31+SUMIF(Grid_BD!$F:$F,$A31,Grid_BD!$Y:$Y)),"")</f>
        <v>1</v>
      </c>
      <c r="S31" s="108"/>
      <c r="T31" s="140"/>
      <c r="U31" s="141"/>
      <c r="V31" s="108"/>
      <c r="W31" s="142">
        <f t="shared" si="2"/>
        <v>6.7237215909090903E-2</v>
      </c>
      <c r="X31" s="108">
        <f>IFERROR(_xlfn.XLOOKUP($A31,Input_Raw!$A:$A,Input_Raw!$CP:$CP)*1000,"")</f>
        <v>113604</v>
      </c>
      <c r="Y31" s="108">
        <f>IFERROR(_xlfn.XLOOKUP($A31,Input_Raw!$A:$A,Input_Raw!DJ:DJ)*1000,"")</f>
        <v>113603.99999999999</v>
      </c>
      <c r="Z31" s="108">
        <f>IFERROR(_xlfn.XLOOKUP($A31,Input_Raw!$A:$A,Input_Raw!DK:DK)*1000,"")</f>
        <v>0</v>
      </c>
      <c r="AA31" s="138">
        <f t="shared" si="3"/>
        <v>113603.99999999999</v>
      </c>
      <c r="AB31" s="108">
        <f>IFERROR(_xlfn.XLOOKUP($A31,Input_Raw!$A:$A,Input_Raw!$DR:$DR),"")</f>
        <v>70.400000000000006</v>
      </c>
      <c r="AC31" s="143">
        <f>IFERROR(_xlfn.XLOOKUP($D31,'Modelling New'!$D:$D,'Modelling New'!$J:$J),"")</f>
        <v>5.22</v>
      </c>
      <c r="AD31" s="138">
        <f>IFERROR(_xlfn.XLOOKUP($D31,'Modelling New'!$D:$D,'Modelling New'!$T:$T)*1000,"")</f>
        <v>228113.28141262796</v>
      </c>
      <c r="AE31" s="142"/>
      <c r="AF31" s="142">
        <f>IFERROR(_xlfn.XLOOKUP($D31,'Modelling New'!$D:$D,'Modelling New'!$W:$W),"")</f>
        <v>0.13501022810879967</v>
      </c>
      <c r="AG31" s="142">
        <f>IFERROR(_xlfn.XLOOKUP($D31,'Modelling New'!$D:$D,'Modelling New'!$AE:$AE),"")</f>
        <v>0.96029999999999993</v>
      </c>
      <c r="AH31" s="142">
        <f>IFERROR(_xlfn.XLOOKUP($D31,'Modelling New'!$D:$D,'Modelling New'!$AF:$AF),"")</f>
        <v>0.995</v>
      </c>
      <c r="AI31" s="109">
        <f>IFERROR(_xlfn.XLOOKUP($A31,Input_Raw!$A:$A,Input_Raw!$DP:$DP),"")</f>
        <v>110.6</v>
      </c>
      <c r="AJ31" s="108"/>
      <c r="AK31" s="108"/>
      <c r="AL31" s="108"/>
      <c r="AM31" s="108"/>
      <c r="AN31" s="132">
        <f>IFERROR(_xlfn.XLOOKUP($A31,Input_Raw!$A:$A,Input_Raw!$DL:$DL),"")</f>
        <v>-1.1102230246251565E-16</v>
      </c>
      <c r="AO31" s="142">
        <f>IFERROR((_xlfn.XLOOKUP($A31,'WTG Reactive Power'!$A:$A,'WTG Reactive Power'!$AW:$AW))/X31,"")</f>
        <v>2.0169959977935043E-4</v>
      </c>
      <c r="AP31" s="142">
        <f>IFERROR(_xlfn.XLOOKUP($D31,'Modelling New'!$D:$D,'Modelling New'!$AK:$AK),"")</f>
        <v>0.05</v>
      </c>
      <c r="AQ31" s="142">
        <f>IFERROR(_xlfn.XLOOKUP($D31,'Modelling New'!$D:$D,'Modelling New'!$AL:$AL),"")</f>
        <v>0.05</v>
      </c>
      <c r="AR31" s="198">
        <f>IFERROR(_xlfn.XLOOKUP($D31,'Modelling New'!$D:$D,'Modelling New'!$N:$N),"")</f>
        <v>70.400000000000006</v>
      </c>
      <c r="AS31" s="198"/>
    </row>
    <row r="32" spans="1:45">
      <c r="A32" s="137">
        <f t="shared" si="4"/>
        <v>45775</v>
      </c>
      <c r="B32" s="138">
        <f>YEAR(Daily_KPI[[#This Row],[Date]])+IF(MONTH(Daily_KPI[[#This Row],[Date]])&gt;=4,1,0)</f>
        <v>2026</v>
      </c>
      <c r="C32" s="108">
        <f>YEAR(Daily_KPI[[#This Row],[Date]])</f>
        <v>2025</v>
      </c>
      <c r="D32" s="139">
        <f>Daily_KPI[[#This Row],[Date]]-DAY(Daily_KPI[[#This Row],[Date]])+1</f>
        <v>45748</v>
      </c>
      <c r="E32" s="108">
        <f t="shared" si="0"/>
        <v>30</v>
      </c>
      <c r="F32" s="109"/>
      <c r="G32" s="143"/>
      <c r="H32" s="143"/>
      <c r="I32" s="143"/>
      <c r="J32" s="143"/>
      <c r="K32" s="111"/>
      <c r="L32" s="110"/>
      <c r="M32" s="110">
        <f>IFERROR(_xlfn.XLOOKUP($A32,Input_Raw!$A:$A,Input_Raw!$CQ:$CQ),"")</f>
        <v>4.1515909090909089</v>
      </c>
      <c r="N32" s="110">
        <f>IFERROR(_xlfn.XLOOKUP($A32,Input_Raw!$A:$A,Input_Raw!$CR:$CR),"")</f>
        <v>5.13</v>
      </c>
      <c r="O32" s="141">
        <f t="shared" si="1"/>
        <v>0.98359333577280095</v>
      </c>
      <c r="P32" s="141">
        <f>IFERROR(1-SUMIF(WTG_BD!$F:$F,$A32,WTG_BD!$AA:$AA)/($AA32+SUMIF(WTG_BD!$F:$F,$A32,WTG_BD!$AA:$AA)),"")</f>
        <v>0.98359333577280095</v>
      </c>
      <c r="Q32" s="141">
        <f>IFERROR(1-SUMIF(IGA_BD!$F:$F,$A32,IGA_BD!$W:$W)/($AA32+SUMIF(IGA_BD!$F:$F,$A32,IGA_BD!$W:$W)),"")</f>
        <v>1</v>
      </c>
      <c r="R32" s="141">
        <f>IFERROR(1-SUMIF(Grid_BD!$F:$F,$A32,Grid_BD!$Y:$Y)/($AA32+SUMIF(Grid_BD!$F:$F,$A32,Grid_BD!$Y:$Y)),"")</f>
        <v>1</v>
      </c>
      <c r="S32" s="108"/>
      <c r="T32" s="140"/>
      <c r="U32" s="141"/>
      <c r="V32" s="108"/>
      <c r="W32" s="142">
        <f t="shared" si="2"/>
        <v>7.7954545454545443E-2</v>
      </c>
      <c r="X32" s="108">
        <f>IFERROR(_xlfn.XLOOKUP($A32,Input_Raw!$A:$A,Input_Raw!$CP:$CP)*1000,"")</f>
        <v>131712</v>
      </c>
      <c r="Y32" s="108">
        <f>IFERROR(_xlfn.XLOOKUP($A32,Input_Raw!$A:$A,Input_Raw!DJ:DJ)*1000,"")</f>
        <v>131712</v>
      </c>
      <c r="Z32" s="108">
        <f>IFERROR(_xlfn.XLOOKUP($A32,Input_Raw!$A:$A,Input_Raw!DK:DK)*1000,"")</f>
        <v>0</v>
      </c>
      <c r="AA32" s="138">
        <f t="shared" si="3"/>
        <v>131712</v>
      </c>
      <c r="AB32" s="108">
        <f>IFERROR(_xlfn.XLOOKUP($A32,Input_Raw!$A:$A,Input_Raw!$DR:$DR),"")</f>
        <v>70.400000000000006</v>
      </c>
      <c r="AC32" s="143">
        <f>IFERROR(_xlfn.XLOOKUP($D32,'Modelling New'!$D:$D,'Modelling New'!$J:$J),"")</f>
        <v>5.22</v>
      </c>
      <c r="AD32" s="138">
        <f>IFERROR(_xlfn.XLOOKUP($D32,'Modelling New'!$D:$D,'Modelling New'!$T:$T)*1000,"")</f>
        <v>228113.28141262796</v>
      </c>
      <c r="AE32" s="142"/>
      <c r="AF32" s="142">
        <f>IFERROR(_xlfn.XLOOKUP($D32,'Modelling New'!$D:$D,'Modelling New'!$W:$W),"")</f>
        <v>0.13501022810879967</v>
      </c>
      <c r="AG32" s="142">
        <f>IFERROR(_xlfn.XLOOKUP($D32,'Modelling New'!$D:$D,'Modelling New'!$AE:$AE),"")</f>
        <v>0.96029999999999993</v>
      </c>
      <c r="AH32" s="142">
        <f>IFERROR(_xlfn.XLOOKUP($D32,'Modelling New'!$D:$D,'Modelling New'!$AF:$AF),"")</f>
        <v>0.995</v>
      </c>
      <c r="AI32" s="109">
        <f>IFERROR(_xlfn.XLOOKUP($A32,Input_Raw!$A:$A,Input_Raw!$DP:$DP),"")</f>
        <v>131.18</v>
      </c>
      <c r="AJ32" s="108"/>
      <c r="AK32" s="108"/>
      <c r="AL32" s="108"/>
      <c r="AM32" s="108"/>
      <c r="AN32" s="132">
        <f>IFERROR(_xlfn.XLOOKUP($A32,Input_Raw!$A:$A,Input_Raw!$DL:$DL),"")</f>
        <v>0</v>
      </c>
      <c r="AO32" s="142">
        <f>IFERROR((_xlfn.XLOOKUP($A32,'WTG Reactive Power'!$A:$A,'WTG Reactive Power'!$AW:$AW))/X32,"")</f>
        <v>1.7396958009394228E-4</v>
      </c>
      <c r="AP32" s="142">
        <f>IFERROR(_xlfn.XLOOKUP($D32,'Modelling New'!$D:$D,'Modelling New'!$AK:$AK),"")</f>
        <v>0.05</v>
      </c>
      <c r="AQ32" s="142">
        <f>IFERROR(_xlfn.XLOOKUP($D32,'Modelling New'!$D:$D,'Modelling New'!$AL:$AL),"")</f>
        <v>0.05</v>
      </c>
      <c r="AR32" s="198">
        <f>IFERROR(_xlfn.XLOOKUP($D32,'Modelling New'!$D:$D,'Modelling New'!$N:$N),"")</f>
        <v>70.400000000000006</v>
      </c>
      <c r="AS32" s="198"/>
    </row>
    <row r="33" spans="1:45">
      <c r="A33" s="137">
        <f t="shared" si="4"/>
        <v>45776</v>
      </c>
      <c r="B33" s="138">
        <f>YEAR(Daily_KPI[[#This Row],[Date]])+IF(MONTH(Daily_KPI[[#This Row],[Date]])&gt;=4,1,0)</f>
        <v>2026</v>
      </c>
      <c r="C33" s="108">
        <f>YEAR(Daily_KPI[[#This Row],[Date]])</f>
        <v>2025</v>
      </c>
      <c r="D33" s="139">
        <f>Daily_KPI[[#This Row],[Date]]-DAY(Daily_KPI[[#This Row],[Date]])+1</f>
        <v>45748</v>
      </c>
      <c r="E33" s="108">
        <f t="shared" si="0"/>
        <v>30</v>
      </c>
      <c r="F33" s="109"/>
      <c r="G33" s="110"/>
      <c r="H33" s="110"/>
      <c r="I33" s="110"/>
      <c r="J33" s="110"/>
      <c r="K33" s="111"/>
      <c r="L33" s="110"/>
      <c r="M33" s="110">
        <f>IFERROR(_xlfn.XLOOKUP($A33,Input_Raw!$A:$A,Input_Raw!$CQ:$CQ),"")</f>
        <v>4.8640909090909084</v>
      </c>
      <c r="N33" s="110">
        <f>IFERROR(_xlfn.XLOOKUP($A33,Input_Raw!$A:$A,Input_Raw!$CR:$CR),"")</f>
        <v>5.78</v>
      </c>
      <c r="O33" s="141">
        <f t="shared" si="1"/>
        <v>0.99196870748957966</v>
      </c>
      <c r="P33" s="141">
        <f>IFERROR(1-SUMIF(WTG_BD!$F:$F,$A33,WTG_BD!$AA:$AA)/($AA33+SUMIF(WTG_BD!$F:$F,$A33,WTG_BD!$AA:$AA)),"")</f>
        <v>0.99196870748957966</v>
      </c>
      <c r="Q33" s="141">
        <f>IFERROR(1-SUMIF(IGA_BD!$F:$F,$A33,IGA_BD!$W:$W)/($AA33+SUMIF(IGA_BD!$F:$F,$A33,IGA_BD!$W:$W)),"")</f>
        <v>1</v>
      </c>
      <c r="R33" s="141">
        <f>IFERROR(1-SUMIF(Grid_BD!$F:$F,$A33,Grid_BD!$Y:$Y)/($AA33+SUMIF(Grid_BD!$F:$F,$A33,Grid_BD!$Y:$Y)),"")</f>
        <v>1</v>
      </c>
      <c r="S33" s="108"/>
      <c r="T33" s="140"/>
      <c r="U33" s="141"/>
      <c r="V33" s="108"/>
      <c r="W33" s="142">
        <f t="shared" si="2"/>
        <v>0.12127604166666665</v>
      </c>
      <c r="X33" s="108">
        <f>IFERROR(_xlfn.XLOOKUP($A33,Input_Raw!$A:$A,Input_Raw!$CP:$CP)*1000,"")</f>
        <v>204908</v>
      </c>
      <c r="Y33" s="108">
        <f>IFERROR(_xlfn.XLOOKUP($A33,Input_Raw!$A:$A,Input_Raw!DJ:DJ)*1000,"")</f>
        <v>204908</v>
      </c>
      <c r="Z33" s="108">
        <f>IFERROR(_xlfn.XLOOKUP($A33,Input_Raw!$A:$A,Input_Raw!DK:DK)*1000,"")</f>
        <v>0</v>
      </c>
      <c r="AA33" s="138">
        <f t="shared" si="3"/>
        <v>204908</v>
      </c>
      <c r="AB33" s="108">
        <f>IFERROR(_xlfn.XLOOKUP($A33,Input_Raw!$A:$A,Input_Raw!$DR:$DR),"")</f>
        <v>70.400000000000006</v>
      </c>
      <c r="AC33" s="143">
        <f>IFERROR(_xlfn.XLOOKUP($D33,'Modelling New'!$D:$D,'Modelling New'!$J:$J),"")</f>
        <v>5.22</v>
      </c>
      <c r="AD33" s="138">
        <f>IFERROR(_xlfn.XLOOKUP($D33,'Modelling New'!$D:$D,'Modelling New'!$T:$T)*1000,"")</f>
        <v>228113.28141262796</v>
      </c>
      <c r="AE33" s="142"/>
      <c r="AF33" s="142">
        <f>IFERROR(_xlfn.XLOOKUP($D33,'Modelling New'!$D:$D,'Modelling New'!$W:$W),"")</f>
        <v>0.13501022810879967</v>
      </c>
      <c r="AG33" s="142">
        <f>IFERROR(_xlfn.XLOOKUP($D33,'Modelling New'!$D:$D,'Modelling New'!$AE:$AE),"")</f>
        <v>0.96029999999999993</v>
      </c>
      <c r="AH33" s="142">
        <f>IFERROR(_xlfn.XLOOKUP($D33,'Modelling New'!$D:$D,'Modelling New'!$AF:$AF),"")</f>
        <v>0.995</v>
      </c>
      <c r="AI33" s="109">
        <f>IFERROR(_xlfn.XLOOKUP($A33,Input_Raw!$A:$A,Input_Raw!$DP:$DP),"")</f>
        <v>201.28</v>
      </c>
      <c r="AJ33" s="108"/>
      <c r="AK33" s="108"/>
      <c r="AL33" s="108"/>
      <c r="AM33" s="108"/>
      <c r="AN33" s="132">
        <f>IFERROR(_xlfn.XLOOKUP($A33,Input_Raw!$A:$A,Input_Raw!$DL:$DL),"")</f>
        <v>0</v>
      </c>
      <c r="AO33" s="142">
        <f>IFERROR((_xlfn.XLOOKUP($A33,'WTG Reactive Power'!$A:$A,'WTG Reactive Power'!$AW:$AW))/X33,"")</f>
        <v>2.0215607004118926E-4</v>
      </c>
      <c r="AP33" s="142">
        <f>IFERROR(_xlfn.XLOOKUP($D33,'Modelling New'!$D:$D,'Modelling New'!$AK:$AK),"")</f>
        <v>0.05</v>
      </c>
      <c r="AQ33" s="142">
        <f>IFERROR(_xlfn.XLOOKUP($D33,'Modelling New'!$D:$D,'Modelling New'!$AL:$AL),"")</f>
        <v>0.05</v>
      </c>
      <c r="AR33" s="198">
        <f>IFERROR(_xlfn.XLOOKUP($D33,'Modelling New'!$D:$D,'Modelling New'!$N:$N),"")</f>
        <v>70.400000000000006</v>
      </c>
      <c r="AS33" s="198"/>
    </row>
    <row r="34" spans="1:45">
      <c r="A34" s="137">
        <f t="shared" si="4"/>
        <v>45777</v>
      </c>
      <c r="B34" s="138">
        <f>YEAR(Daily_KPI[[#This Row],[Date]])+IF(MONTH(Daily_KPI[[#This Row],[Date]])&gt;=4,1,0)</f>
        <v>2026</v>
      </c>
      <c r="C34" s="108">
        <f>YEAR(Daily_KPI[[#This Row],[Date]])</f>
        <v>2025</v>
      </c>
      <c r="D34" s="139">
        <f>Daily_KPI[[#This Row],[Date]]-DAY(Daily_KPI[[#This Row],[Date]])+1</f>
        <v>45748</v>
      </c>
      <c r="E34" s="108">
        <f t="shared" si="0"/>
        <v>30</v>
      </c>
      <c r="F34" s="109"/>
      <c r="G34" s="143"/>
      <c r="H34" s="143"/>
      <c r="I34" s="143"/>
      <c r="J34" s="143"/>
      <c r="K34" s="111"/>
      <c r="L34" s="110"/>
      <c r="M34" s="110">
        <f>IFERROR(_xlfn.XLOOKUP($A34,Input_Raw!$A:$A,Input_Raw!$CQ:$CQ),"")</f>
        <v>5.6724999999999994</v>
      </c>
      <c r="N34" s="110">
        <f>IFERROR(_xlfn.XLOOKUP($A34,Input_Raw!$A:$A,Input_Raw!$CR:$CR),"")</f>
        <v>7.02</v>
      </c>
      <c r="O34" s="141">
        <f t="shared" si="1"/>
        <v>0.99324405996713505</v>
      </c>
      <c r="P34" s="141">
        <f>IFERROR(1-SUMIF(WTG_BD!$F:$F,$A34,WTG_BD!$AA:$AA)/($AA34+SUMIF(WTG_BD!$F:$F,$A34,WTG_BD!$AA:$AA)),"")</f>
        <v>0.99324405996713505</v>
      </c>
      <c r="Q34" s="141">
        <f>IFERROR(1-SUMIF(IGA_BD!$F:$F,$A34,IGA_BD!$W:$W)/($AA34+SUMIF(IGA_BD!$F:$F,$A34,IGA_BD!$W:$W)),"")</f>
        <v>1</v>
      </c>
      <c r="R34" s="141">
        <f>IFERROR(1-SUMIF(Grid_BD!$F:$F,$A34,Grid_BD!$Y:$Y)/($AA34+SUMIF(Grid_BD!$F:$F,$A34,Grid_BD!$Y:$Y)),"")</f>
        <v>1</v>
      </c>
      <c r="S34" s="108"/>
      <c r="T34" s="140"/>
      <c r="U34" s="141"/>
      <c r="V34" s="108"/>
      <c r="W34" s="142">
        <f t="shared" si="2"/>
        <v>0.17994377367424241</v>
      </c>
      <c r="X34" s="108">
        <f>IFERROR(_xlfn.XLOOKUP($A34,Input_Raw!$A:$A,Input_Raw!$CP:$CP)*1000,"")</f>
        <v>304033</v>
      </c>
      <c r="Y34" s="108">
        <f>IFERROR(_xlfn.XLOOKUP($A34,Input_Raw!$A:$A,Input_Raw!DJ:DJ)*1000,"")</f>
        <v>304033</v>
      </c>
      <c r="Z34" s="108">
        <f>IFERROR(_xlfn.XLOOKUP($A34,Input_Raw!$A:$A,Input_Raw!DK:DK)*1000,"")</f>
        <v>0</v>
      </c>
      <c r="AA34" s="138">
        <f t="shared" si="3"/>
        <v>304033</v>
      </c>
      <c r="AB34" s="108">
        <f>IFERROR(_xlfn.XLOOKUP($A34,Input_Raw!$A:$A,Input_Raw!$DR:$DR),"")</f>
        <v>70.400000000000006</v>
      </c>
      <c r="AC34" s="143">
        <f>IFERROR(_xlfn.XLOOKUP($D34,'Modelling New'!$D:$D,'Modelling New'!$J:$J),"")</f>
        <v>5.22</v>
      </c>
      <c r="AD34" s="138">
        <f>IFERROR(_xlfn.XLOOKUP($D34,'Modelling New'!$D:$D,'Modelling New'!$T:$T)*1000,"")</f>
        <v>228113.28141262796</v>
      </c>
      <c r="AE34" s="142"/>
      <c r="AF34" s="142">
        <f>IFERROR(_xlfn.XLOOKUP($D34,'Modelling New'!$D:$D,'Modelling New'!$W:$W),"")</f>
        <v>0.13501022810879967</v>
      </c>
      <c r="AG34" s="142">
        <f>IFERROR(_xlfn.XLOOKUP($D34,'Modelling New'!$D:$D,'Modelling New'!$AE:$AE),"")</f>
        <v>0.96029999999999993</v>
      </c>
      <c r="AH34" s="142">
        <f>IFERROR(_xlfn.XLOOKUP($D34,'Modelling New'!$D:$D,'Modelling New'!$AF:$AF),"")</f>
        <v>0.995</v>
      </c>
      <c r="AI34" s="109">
        <f>IFERROR(_xlfn.XLOOKUP($A34,Input_Raw!$A:$A,Input_Raw!$DP:$DP),"")</f>
        <v>294.64</v>
      </c>
      <c r="AJ34" s="108"/>
      <c r="AK34" s="108"/>
      <c r="AL34" s="108"/>
      <c r="AM34" s="108"/>
      <c r="AN34" s="132">
        <f>IFERROR(_xlfn.XLOOKUP($A34,Input_Raw!$A:$A,Input_Raw!$DL:$DL),"")</f>
        <v>0</v>
      </c>
      <c r="AO34" s="142">
        <f>IFERROR((_xlfn.XLOOKUP($A34,'WTG Reactive Power'!$A:$A,'WTG Reactive Power'!$AW:$AW))/X34,"")</f>
        <v>2.0231427070964891E-4</v>
      </c>
      <c r="AP34" s="142">
        <f>IFERROR(_xlfn.XLOOKUP($D34,'Modelling New'!$D:$D,'Modelling New'!$AK:$AK),"")</f>
        <v>0.05</v>
      </c>
      <c r="AQ34" s="142">
        <f>IFERROR(_xlfn.XLOOKUP($D34,'Modelling New'!$D:$D,'Modelling New'!$AL:$AL),"")</f>
        <v>0.05</v>
      </c>
      <c r="AR34" s="198">
        <f>IFERROR(_xlfn.XLOOKUP($D34,'Modelling New'!$D:$D,'Modelling New'!$N:$N),"")</f>
        <v>70.400000000000006</v>
      </c>
      <c r="AS34" s="198"/>
    </row>
    <row r="35" spans="1:45">
      <c r="A35" s="137">
        <f t="shared" si="4"/>
        <v>45778</v>
      </c>
      <c r="B35" s="138">
        <f>YEAR(Daily_KPI[[#This Row],[Date]])+IF(MONTH(Daily_KPI[[#This Row],[Date]])&gt;=4,1,0)</f>
        <v>2026</v>
      </c>
      <c r="C35" s="108">
        <f>YEAR(Daily_KPI[[#This Row],[Date]])</f>
        <v>2025</v>
      </c>
      <c r="D35" s="139">
        <f>Daily_KPI[[#This Row],[Date]]-DAY(Daily_KPI[[#This Row],[Date]])+1</f>
        <v>45778</v>
      </c>
      <c r="E35" s="108">
        <f t="shared" si="0"/>
        <v>31</v>
      </c>
      <c r="F35" s="109"/>
      <c r="G35" s="110"/>
      <c r="H35" s="110"/>
      <c r="I35" s="110"/>
      <c r="J35" s="110"/>
      <c r="K35" s="111"/>
      <c r="L35" s="110"/>
      <c r="M35" s="110">
        <f>IFERROR(_xlfn.XLOOKUP($A35,Input_Raw!$A:$A,Input_Raw!$CQ:$CQ),"")</f>
        <v>5.5465909090909093</v>
      </c>
      <c r="N35" s="110">
        <f>IFERROR(_xlfn.XLOOKUP($A35,Input_Raw!$A:$A,Input_Raw!$CR:$CR),"")</f>
        <v>7.19</v>
      </c>
      <c r="O35" s="141">
        <f t="shared" si="1"/>
        <v>0.99869841853404573</v>
      </c>
      <c r="P35" s="141">
        <f>IFERROR(1-SUMIF(WTG_BD!$F:$F,$A35,WTG_BD!$AA:$AA)/($AA35+SUMIF(WTG_BD!$F:$F,$A35,WTG_BD!$AA:$AA)),"")</f>
        <v>0.99869841853404573</v>
      </c>
      <c r="Q35" s="141">
        <f>IFERROR(1-SUMIF(IGA_BD!$F:$F,$A35,IGA_BD!$W:$W)/($AA35+SUMIF(IGA_BD!$F:$F,$A35,IGA_BD!$W:$W)),"")</f>
        <v>1</v>
      </c>
      <c r="R35" s="141">
        <f>IFERROR(1-SUMIF(Grid_BD!$F:$F,$A35,Grid_BD!$Y:$Y)/($AA35+SUMIF(Grid_BD!$F:$F,$A35,Grid_BD!$Y:$Y)),"")</f>
        <v>1</v>
      </c>
      <c r="S35" s="108"/>
      <c r="T35" s="140"/>
      <c r="U35" s="141"/>
      <c r="V35" s="108"/>
      <c r="W35" s="142">
        <f t="shared" si="2"/>
        <v>0.19936257102272725</v>
      </c>
      <c r="X35" s="108">
        <f>IFERROR(_xlfn.XLOOKUP($A35,Input_Raw!$A:$A,Input_Raw!$CP:$CP)*1000,"")</f>
        <v>336843</v>
      </c>
      <c r="Y35" s="108">
        <f>IFERROR(_xlfn.XLOOKUP($A35,Input_Raw!$A:$A,Input_Raw!DJ:DJ)*1000,"")</f>
        <v>336842.99999999994</v>
      </c>
      <c r="Z35" s="108">
        <f>IFERROR(_xlfn.XLOOKUP($A35,Input_Raw!$A:$A,Input_Raw!DK:DK)*1000,"")</f>
        <v>0</v>
      </c>
      <c r="AA35" s="138">
        <f t="shared" si="3"/>
        <v>336842.99999999994</v>
      </c>
      <c r="AB35" s="108">
        <f>IFERROR(_xlfn.XLOOKUP($A35,Input_Raw!$A:$A,Input_Raw!$DR:$DR),"")</f>
        <v>70.400000000000006</v>
      </c>
      <c r="AC35" s="143">
        <f>IFERROR(_xlfn.XLOOKUP($D35,'Modelling New'!$D:$D,'Modelling New'!$J:$J),"")</f>
        <v>5.7233333333333336</v>
      </c>
      <c r="AD35" s="138">
        <f>IFERROR(_xlfn.XLOOKUP($D35,'Modelling New'!$D:$D,'Modelling New'!$T:$T)*1000,"")</f>
        <v>349950.51476253523</v>
      </c>
      <c r="AE35" s="142"/>
      <c r="AF35" s="142">
        <f>IFERROR(_xlfn.XLOOKUP($D35,'Modelling New'!$D:$D,'Modelling New'!$W:$W),"")</f>
        <v>0.20712033307441716</v>
      </c>
      <c r="AG35" s="142">
        <f>IFERROR(_xlfn.XLOOKUP($D35,'Modelling New'!$D:$D,'Modelling New'!$AE:$AE),"")</f>
        <v>0.96029999999999993</v>
      </c>
      <c r="AH35" s="142">
        <f>IFERROR(_xlfn.XLOOKUP($D35,'Modelling New'!$D:$D,'Modelling New'!$AF:$AF),"")</f>
        <v>0.995</v>
      </c>
      <c r="AI35" s="109">
        <f>IFERROR(_xlfn.XLOOKUP($A35,Input_Raw!$A:$A,Input_Raw!$DP:$DP),"")</f>
        <v>324.42</v>
      </c>
      <c r="AJ35" s="108"/>
      <c r="AK35" s="108"/>
      <c r="AL35" s="108"/>
      <c r="AM35" s="108"/>
      <c r="AN35" s="132">
        <f>IFERROR(_xlfn.XLOOKUP($A35,Input_Raw!$A:$A,Input_Raw!$DL:$DL),"")</f>
        <v>-2.2204460492503131E-16</v>
      </c>
      <c r="AO35" s="142">
        <f>IFERROR((_xlfn.XLOOKUP($A35,'WTG Reactive Power'!$A:$A,'WTG Reactive Power'!$AW:$AW))/X35,"")</f>
        <v>1.9888348973656373E-4</v>
      </c>
      <c r="AP35" s="142">
        <f>IFERROR(_xlfn.XLOOKUP($D35,'Modelling New'!$D:$D,'Modelling New'!$AK:$AK),"")</f>
        <v>0.05</v>
      </c>
      <c r="AQ35" s="142">
        <f>IFERROR(_xlfn.XLOOKUP($D35,'Modelling New'!$D:$D,'Modelling New'!$AL:$AL),"")</f>
        <v>0.05</v>
      </c>
      <c r="AR35" s="198">
        <f>IFERROR(_xlfn.XLOOKUP($D35,'Modelling New'!$D:$D,'Modelling New'!$N:$N),"")</f>
        <v>70.400000000000006</v>
      </c>
      <c r="AS35" s="198"/>
    </row>
    <row r="36" spans="1:45">
      <c r="A36" s="137">
        <f t="shared" si="4"/>
        <v>45779</v>
      </c>
      <c r="B36" s="138">
        <f>YEAR(Daily_KPI[[#This Row],[Date]])+IF(MONTH(Daily_KPI[[#This Row],[Date]])&gt;=4,1,0)</f>
        <v>2026</v>
      </c>
      <c r="C36" s="108">
        <f>YEAR(Daily_KPI[[#This Row],[Date]])</f>
        <v>2025</v>
      </c>
      <c r="D36" s="139">
        <f>Daily_KPI[[#This Row],[Date]]-DAY(Daily_KPI[[#This Row],[Date]])+1</f>
        <v>45778</v>
      </c>
      <c r="E36" s="108">
        <f t="shared" si="0"/>
        <v>31</v>
      </c>
      <c r="F36" s="109"/>
      <c r="G36" s="143"/>
      <c r="H36" s="143"/>
      <c r="I36" s="143"/>
      <c r="J36" s="143"/>
      <c r="K36" s="111"/>
      <c r="L36" s="110"/>
      <c r="M36" s="110">
        <f>IFERROR(_xlfn.XLOOKUP($A36,Input_Raw!$A:$A,Input_Raw!$CQ:$CQ),"")</f>
        <v>6.2659090909090907</v>
      </c>
      <c r="N36" s="110">
        <f>IFERROR(_xlfn.XLOOKUP($A36,Input_Raw!$A:$A,Input_Raw!$CR:$CR),"")</f>
        <v>8.36</v>
      </c>
      <c r="O36" s="141">
        <f t="shared" si="1"/>
        <v>0.99206432287053292</v>
      </c>
      <c r="P36" s="141">
        <f>IFERROR(1-SUMIF(WTG_BD!$F:$F,$A36,WTG_BD!$AA:$AA)/($AA36+SUMIF(WTG_BD!$F:$F,$A36,WTG_BD!$AA:$AA)),"")</f>
        <v>0.99206432287053292</v>
      </c>
      <c r="Q36" s="141">
        <f>IFERROR(1-SUMIF(IGA_BD!$F:$F,$A36,IGA_BD!$W:$W)/($AA36+SUMIF(IGA_BD!$F:$F,$A36,IGA_BD!$W:$W)),"")</f>
        <v>1</v>
      </c>
      <c r="R36" s="141">
        <f>IFERROR(1-SUMIF(Grid_BD!$F:$F,$A36,Grid_BD!$Y:$Y)/($AA36+SUMIF(Grid_BD!$F:$F,$A36,Grid_BD!$Y:$Y)),"")</f>
        <v>1</v>
      </c>
      <c r="S36" s="108"/>
      <c r="T36" s="140"/>
      <c r="U36" s="141"/>
      <c r="V36" s="108"/>
      <c r="W36" s="142">
        <f t="shared" si="2"/>
        <v>0.29166785037878784</v>
      </c>
      <c r="X36" s="108">
        <f>IFERROR(_xlfn.XLOOKUP($A36,Input_Raw!$A:$A,Input_Raw!$CP:$CP)*1000,"")</f>
        <v>492802</v>
      </c>
      <c r="Y36" s="108">
        <f>IFERROR(_xlfn.XLOOKUP($A36,Input_Raw!$A:$A,Input_Raw!DJ:DJ)*1000,"")</f>
        <v>492802</v>
      </c>
      <c r="Z36" s="108">
        <f>IFERROR(_xlfn.XLOOKUP($A36,Input_Raw!$A:$A,Input_Raw!DK:DK)*1000,"")</f>
        <v>0</v>
      </c>
      <c r="AA36" s="138">
        <f t="shared" si="3"/>
        <v>492802</v>
      </c>
      <c r="AB36" s="108">
        <f>IFERROR(_xlfn.XLOOKUP($A36,Input_Raw!$A:$A,Input_Raw!$DR:$DR),"")</f>
        <v>70.400000000000006</v>
      </c>
      <c r="AC36" s="143">
        <f>IFERROR(_xlfn.XLOOKUP($D36,'Modelling New'!$D:$D,'Modelling New'!$J:$J),"")</f>
        <v>5.7233333333333336</v>
      </c>
      <c r="AD36" s="138">
        <f>IFERROR(_xlfn.XLOOKUP($D36,'Modelling New'!$D:$D,'Modelling New'!$T:$T)*1000,"")</f>
        <v>349950.51476253523</v>
      </c>
      <c r="AE36" s="142"/>
      <c r="AF36" s="142">
        <f>IFERROR(_xlfn.XLOOKUP($D36,'Modelling New'!$D:$D,'Modelling New'!$W:$W),"")</f>
        <v>0.20712033307441716</v>
      </c>
      <c r="AG36" s="142">
        <f>IFERROR(_xlfn.XLOOKUP($D36,'Modelling New'!$D:$D,'Modelling New'!$AE:$AE),"")</f>
        <v>0.96029999999999993</v>
      </c>
      <c r="AH36" s="142">
        <f>IFERROR(_xlfn.XLOOKUP($D36,'Modelling New'!$D:$D,'Modelling New'!$AF:$AF),"")</f>
        <v>0.995</v>
      </c>
      <c r="AI36" s="109">
        <f>IFERROR(_xlfn.XLOOKUP($A36,Input_Raw!$A:$A,Input_Raw!$DP:$DP),"")</f>
        <v>481.71</v>
      </c>
      <c r="AJ36" s="108"/>
      <c r="AK36" s="108"/>
      <c r="AL36" s="108"/>
      <c r="AM36" s="108"/>
      <c r="AN36" s="132">
        <f>IFERROR(_xlfn.XLOOKUP($A36,Input_Raw!$A:$A,Input_Raw!$DL:$DL),"")</f>
        <v>0</v>
      </c>
      <c r="AO36" s="142">
        <f>IFERROR((_xlfn.XLOOKUP($A36,'WTG Reactive Power'!$A:$A,'WTG Reactive Power'!$AW:$AW))/X36,"")</f>
        <v>2.0244112510365899E-4</v>
      </c>
      <c r="AP36" s="142">
        <f>IFERROR(_xlfn.XLOOKUP($D36,'Modelling New'!$D:$D,'Modelling New'!$AK:$AK),"")</f>
        <v>0.05</v>
      </c>
      <c r="AQ36" s="142">
        <f>IFERROR(_xlfn.XLOOKUP($D36,'Modelling New'!$D:$D,'Modelling New'!$AL:$AL),"")</f>
        <v>0.05</v>
      </c>
      <c r="AR36" s="198">
        <f>IFERROR(_xlfn.XLOOKUP($D36,'Modelling New'!$D:$D,'Modelling New'!$N:$N),"")</f>
        <v>70.400000000000006</v>
      </c>
      <c r="AS36" s="198"/>
    </row>
    <row r="37" spans="1:45">
      <c r="A37" s="137">
        <f t="shared" si="4"/>
        <v>45780</v>
      </c>
      <c r="B37" s="138">
        <f>YEAR(Daily_KPI[[#This Row],[Date]])+IF(MONTH(Daily_KPI[[#This Row],[Date]])&gt;=4,1,0)</f>
        <v>2026</v>
      </c>
      <c r="C37" s="108">
        <f>YEAR(Daily_KPI[[#This Row],[Date]])</f>
        <v>2025</v>
      </c>
      <c r="D37" s="139">
        <f>Daily_KPI[[#This Row],[Date]]-DAY(Daily_KPI[[#This Row],[Date]])+1</f>
        <v>45778</v>
      </c>
      <c r="E37" s="108">
        <f t="shared" si="0"/>
        <v>31</v>
      </c>
      <c r="F37" s="109"/>
      <c r="G37" s="110"/>
      <c r="H37" s="110"/>
      <c r="I37" s="110"/>
      <c r="J37" s="110"/>
      <c r="K37" s="111"/>
      <c r="L37" s="110"/>
      <c r="M37" s="110">
        <f>IFERROR(_xlfn.XLOOKUP($A37,Input_Raw!$A:$A,Input_Raw!$CQ:$CQ),"")</f>
        <v>6.4045454545454552</v>
      </c>
      <c r="N37" s="110">
        <f>IFERROR(_xlfn.XLOOKUP($A37,Input_Raw!$A:$A,Input_Raw!$CR:$CR),"")</f>
        <v>8.31</v>
      </c>
      <c r="O37" s="141">
        <f t="shared" si="1"/>
        <v>0.95878106521865192</v>
      </c>
      <c r="P37" s="141">
        <f>IFERROR(1-SUMIF(WTG_BD!$F:$F,$A37,WTG_BD!$AA:$AA)/($AA37+SUMIF(WTG_BD!$F:$F,$A37,WTG_BD!$AA:$AA)),"")</f>
        <v>0.99855005753739934</v>
      </c>
      <c r="Q37" s="141">
        <f>IFERROR(1-SUMIF(IGA_BD!$F:$F,$A37,IGA_BD!$W:$W)/($AA37+SUMIF(IGA_BD!$F:$F,$A37,IGA_BD!$W:$W)),"")</f>
        <v>0.9601732612015218</v>
      </c>
      <c r="R37" s="141">
        <f>IFERROR(1-SUMIF(Grid_BD!$F:$F,$A37,Grid_BD!$Y:$Y)/($AA37+SUMIF(Grid_BD!$F:$F,$A37,Grid_BD!$Y:$Y)),"")</f>
        <v>1</v>
      </c>
      <c r="S37" s="108"/>
      <c r="T37" s="140"/>
      <c r="U37" s="141"/>
      <c r="V37" s="108"/>
      <c r="W37" s="142">
        <f t="shared" si="2"/>
        <v>0.28246744791666661</v>
      </c>
      <c r="X37" s="108">
        <f>IFERROR(_xlfn.XLOOKUP($A37,Input_Raw!$A:$A,Input_Raw!$CP:$CP)*1000,"")</f>
        <v>477257</v>
      </c>
      <c r="Y37" s="108">
        <f>IFERROR(_xlfn.XLOOKUP($A37,Input_Raw!$A:$A,Input_Raw!DJ:DJ)*1000,"")</f>
        <v>477257.00000000006</v>
      </c>
      <c r="Z37" s="108">
        <f>IFERROR(_xlfn.XLOOKUP($A37,Input_Raw!$A:$A,Input_Raw!DK:DK)*1000,"")</f>
        <v>0</v>
      </c>
      <c r="AA37" s="138">
        <f t="shared" si="3"/>
        <v>477257.00000000006</v>
      </c>
      <c r="AB37" s="108">
        <f>IFERROR(_xlfn.XLOOKUP($A37,Input_Raw!$A:$A,Input_Raw!$DR:$DR),"")</f>
        <v>70.400000000000006</v>
      </c>
      <c r="AC37" s="143">
        <f>IFERROR(_xlfn.XLOOKUP($D37,'Modelling New'!$D:$D,'Modelling New'!$J:$J),"")</f>
        <v>5.7233333333333336</v>
      </c>
      <c r="AD37" s="138">
        <f>IFERROR(_xlfn.XLOOKUP($D37,'Modelling New'!$D:$D,'Modelling New'!$T:$T)*1000,"")</f>
        <v>349950.51476253523</v>
      </c>
      <c r="AE37" s="142"/>
      <c r="AF37" s="142">
        <f>IFERROR(_xlfn.XLOOKUP($D37,'Modelling New'!$D:$D,'Modelling New'!$W:$W),"")</f>
        <v>0.20712033307441716</v>
      </c>
      <c r="AG37" s="142">
        <f>IFERROR(_xlfn.XLOOKUP($D37,'Modelling New'!$D:$D,'Modelling New'!$AE:$AE),"")</f>
        <v>0.96029999999999993</v>
      </c>
      <c r="AH37" s="142">
        <f>IFERROR(_xlfn.XLOOKUP($D37,'Modelling New'!$D:$D,'Modelling New'!$AF:$AF),"")</f>
        <v>0.995</v>
      </c>
      <c r="AI37" s="109">
        <f>IFERROR(_xlfn.XLOOKUP($A37,Input_Raw!$A:$A,Input_Raw!$DP:$DP),"")</f>
        <v>477.26</v>
      </c>
      <c r="AJ37" s="108"/>
      <c r="AK37" s="108"/>
      <c r="AL37" s="108"/>
      <c r="AM37" s="108"/>
      <c r="AN37" s="132">
        <f>IFERROR(_xlfn.XLOOKUP($A37,Input_Raw!$A:$A,Input_Raw!$DL:$DL),"")</f>
        <v>2.2204460492503131E-16</v>
      </c>
      <c r="AO37" s="142">
        <f>IFERROR((_xlfn.XLOOKUP($A37,'WTG Reactive Power'!$A:$A,'WTG Reactive Power'!$AW:$AW))/X37,"")</f>
        <v>2.0282768333762871E-4</v>
      </c>
      <c r="AP37" s="142">
        <f>IFERROR(_xlfn.XLOOKUP($D37,'Modelling New'!$D:$D,'Modelling New'!$AK:$AK),"")</f>
        <v>0.05</v>
      </c>
      <c r="AQ37" s="142">
        <f>IFERROR(_xlfn.XLOOKUP($D37,'Modelling New'!$D:$D,'Modelling New'!$AL:$AL),"")</f>
        <v>0.05</v>
      </c>
      <c r="AR37" s="198">
        <f>IFERROR(_xlfn.XLOOKUP($D37,'Modelling New'!$D:$D,'Modelling New'!$N:$N),"")</f>
        <v>70.400000000000006</v>
      </c>
      <c r="AS37" s="198"/>
    </row>
    <row r="38" spans="1:45">
      <c r="A38" s="137">
        <f t="shared" si="4"/>
        <v>45781</v>
      </c>
      <c r="B38" s="138">
        <f>YEAR(Daily_KPI[[#This Row],[Date]])+IF(MONTH(Daily_KPI[[#This Row],[Date]])&gt;=4,1,0)</f>
        <v>2026</v>
      </c>
      <c r="C38" s="108">
        <f>YEAR(Daily_KPI[[#This Row],[Date]])</f>
        <v>2025</v>
      </c>
      <c r="D38" s="139">
        <f>Daily_KPI[[#This Row],[Date]]-DAY(Daily_KPI[[#This Row],[Date]])+1</f>
        <v>45778</v>
      </c>
      <c r="E38" s="108">
        <f t="shared" si="0"/>
        <v>31</v>
      </c>
      <c r="F38" s="109"/>
      <c r="G38" s="143"/>
      <c r="H38" s="143"/>
      <c r="I38" s="143"/>
      <c r="J38" s="143"/>
      <c r="K38" s="111"/>
      <c r="L38" s="110"/>
      <c r="M38" s="110">
        <f>IFERROR(_xlfn.XLOOKUP($A38,Input_Raw!$A:$A,Input_Raw!$CQ:$CQ),"")</f>
        <v>6.760909090909089</v>
      </c>
      <c r="N38" s="110">
        <f>IFERROR(_xlfn.XLOOKUP($A38,Input_Raw!$A:$A,Input_Raw!$CR:$CR),"")</f>
        <v>9.1300000000000008</v>
      </c>
      <c r="O38" s="141">
        <f t="shared" si="1"/>
        <v>1</v>
      </c>
      <c r="P38" s="141">
        <f>IFERROR(1-SUMIF(WTG_BD!$F:$F,$A38,WTG_BD!$AA:$AA)/($AA38+SUMIF(WTG_BD!$F:$F,$A38,WTG_BD!$AA:$AA)),"")</f>
        <v>1</v>
      </c>
      <c r="Q38" s="141">
        <f>IFERROR(1-SUMIF(IGA_BD!$F:$F,$A38,IGA_BD!$W:$W)/($AA38+SUMIF(IGA_BD!$F:$F,$A38,IGA_BD!$W:$W)),"")</f>
        <v>1</v>
      </c>
      <c r="R38" s="141">
        <f>IFERROR(1-SUMIF(Grid_BD!$F:$F,$A38,Grid_BD!$Y:$Y)/($AA38+SUMIF(Grid_BD!$F:$F,$A38,Grid_BD!$Y:$Y)),"")</f>
        <v>1</v>
      </c>
      <c r="S38" s="108"/>
      <c r="T38" s="140"/>
      <c r="U38" s="141"/>
      <c r="V38" s="108"/>
      <c r="W38" s="142">
        <f t="shared" si="2"/>
        <v>0.29444543087121205</v>
      </c>
      <c r="X38" s="108">
        <f>IFERROR(_xlfn.XLOOKUP($A38,Input_Raw!$A:$A,Input_Raw!$CP:$CP)*1000,"")</f>
        <v>497495</v>
      </c>
      <c r="Y38" s="108">
        <f>IFERROR(_xlfn.XLOOKUP($A38,Input_Raw!$A:$A,Input_Raw!DJ:DJ)*1000,"")</f>
        <v>497495</v>
      </c>
      <c r="Z38" s="108">
        <f>IFERROR(_xlfn.XLOOKUP($A38,Input_Raw!$A:$A,Input_Raw!DK:DK)*1000,"")</f>
        <v>0</v>
      </c>
      <c r="AA38" s="138">
        <f t="shared" si="3"/>
        <v>497495</v>
      </c>
      <c r="AB38" s="108">
        <f>IFERROR(_xlfn.XLOOKUP($A38,Input_Raw!$A:$A,Input_Raw!$DR:$DR),"")</f>
        <v>70.400000000000006</v>
      </c>
      <c r="AC38" s="143">
        <f>IFERROR(_xlfn.XLOOKUP($D38,'Modelling New'!$D:$D,'Modelling New'!$J:$J),"")</f>
        <v>5.7233333333333336</v>
      </c>
      <c r="AD38" s="138">
        <f>IFERROR(_xlfn.XLOOKUP($D38,'Modelling New'!$D:$D,'Modelling New'!$T:$T)*1000,"")</f>
        <v>349950.51476253523</v>
      </c>
      <c r="AE38" s="142"/>
      <c r="AF38" s="142">
        <f>IFERROR(_xlfn.XLOOKUP($D38,'Modelling New'!$D:$D,'Modelling New'!$W:$W),"")</f>
        <v>0.20712033307441716</v>
      </c>
      <c r="AG38" s="142">
        <f>IFERROR(_xlfn.XLOOKUP($D38,'Modelling New'!$D:$D,'Modelling New'!$AE:$AE),"")</f>
        <v>0.96029999999999993</v>
      </c>
      <c r="AH38" s="142">
        <f>IFERROR(_xlfn.XLOOKUP($D38,'Modelling New'!$D:$D,'Modelling New'!$AF:$AF),"")</f>
        <v>0.995</v>
      </c>
      <c r="AI38" s="109">
        <f>IFERROR(_xlfn.XLOOKUP($A38,Input_Raw!$A:$A,Input_Raw!$DP:$DP),"")</f>
        <v>490.15</v>
      </c>
      <c r="AJ38" s="108"/>
      <c r="AK38" s="108"/>
      <c r="AL38" s="108"/>
      <c r="AM38" s="108"/>
      <c r="AN38" s="132">
        <f>IFERROR(_xlfn.XLOOKUP($A38,Input_Raw!$A:$A,Input_Raw!$DL:$DL),"")</f>
        <v>0</v>
      </c>
      <c r="AO38" s="142">
        <f>IFERROR((_xlfn.XLOOKUP($A38,'WTG Reactive Power'!$A:$A,'WTG Reactive Power'!$AW:$AW))/X38,"")</f>
        <v>2.0272485686623312E-4</v>
      </c>
      <c r="AP38" s="142">
        <f>IFERROR(_xlfn.XLOOKUP($D38,'Modelling New'!$D:$D,'Modelling New'!$AK:$AK),"")</f>
        <v>0.05</v>
      </c>
      <c r="AQ38" s="142">
        <f>IFERROR(_xlfn.XLOOKUP($D38,'Modelling New'!$D:$D,'Modelling New'!$AL:$AL),"")</f>
        <v>0.05</v>
      </c>
      <c r="AR38" s="198">
        <f>IFERROR(_xlfn.XLOOKUP($D38,'Modelling New'!$D:$D,'Modelling New'!$N:$N),"")</f>
        <v>70.400000000000006</v>
      </c>
      <c r="AS38" s="198"/>
    </row>
    <row r="39" spans="1:45">
      <c r="A39" s="137">
        <f t="shared" si="4"/>
        <v>45782</v>
      </c>
      <c r="B39" s="138">
        <f>YEAR(Daily_KPI[[#This Row],[Date]])+IF(MONTH(Daily_KPI[[#This Row],[Date]])&gt;=4,1,0)</f>
        <v>2026</v>
      </c>
      <c r="C39" s="108">
        <f>YEAR(Daily_KPI[[#This Row],[Date]])</f>
        <v>2025</v>
      </c>
      <c r="D39" s="139">
        <f>Daily_KPI[[#This Row],[Date]]-DAY(Daily_KPI[[#This Row],[Date]])+1</f>
        <v>45778</v>
      </c>
      <c r="E39" s="108">
        <f t="shared" si="0"/>
        <v>31</v>
      </c>
      <c r="F39" s="109"/>
      <c r="G39" s="110"/>
      <c r="H39" s="110"/>
      <c r="I39" s="110"/>
      <c r="J39" s="110"/>
      <c r="K39" s="111"/>
      <c r="L39" s="110"/>
      <c r="M39" s="110">
        <f>IFERROR(_xlfn.XLOOKUP($A39,Input_Raw!$A:$A,Input_Raw!$CQ:$CQ),"")</f>
        <v>6.3179545454545458</v>
      </c>
      <c r="N39" s="110">
        <f>IFERROR(_xlfn.XLOOKUP($A39,Input_Raw!$A:$A,Input_Raw!$CR:$CR),"")</f>
        <v>7.96</v>
      </c>
      <c r="O39" s="141">
        <f t="shared" si="1"/>
        <v>0.99469932212692669</v>
      </c>
      <c r="P39" s="141">
        <f>IFERROR(1-SUMIF(WTG_BD!$F:$F,$A39,WTG_BD!$AA:$AA)/($AA39+SUMIF(WTG_BD!$F:$F,$A39,WTG_BD!$AA:$AA)),"")</f>
        <v>0.99469932212692669</v>
      </c>
      <c r="Q39" s="141">
        <f>IFERROR(1-SUMIF(IGA_BD!$F:$F,$A39,IGA_BD!$W:$W)/($AA39+SUMIF(IGA_BD!$F:$F,$A39,IGA_BD!$W:$W)),"")</f>
        <v>1</v>
      </c>
      <c r="R39" s="141">
        <f>IFERROR(1-SUMIF(Grid_BD!$F:$F,$A39,Grid_BD!$Y:$Y)/($AA39+SUMIF(Grid_BD!$F:$F,$A39,Grid_BD!$Y:$Y)),"")</f>
        <v>1</v>
      </c>
      <c r="S39" s="108"/>
      <c r="T39" s="140"/>
      <c r="U39" s="141"/>
      <c r="V39" s="108"/>
      <c r="W39" s="142">
        <f t="shared" si="2"/>
        <v>0.27244199810606057</v>
      </c>
      <c r="X39" s="108">
        <f>IFERROR(_xlfn.XLOOKUP($A39,Input_Raw!$A:$A,Input_Raw!$CP:$CP)*1000,"")</f>
        <v>460318</v>
      </c>
      <c r="Y39" s="108">
        <f>IFERROR(_xlfn.XLOOKUP($A39,Input_Raw!$A:$A,Input_Raw!DJ:DJ)*1000,"")</f>
        <v>460318</v>
      </c>
      <c r="Z39" s="108">
        <f>IFERROR(_xlfn.XLOOKUP($A39,Input_Raw!$A:$A,Input_Raw!DK:DK)*1000,"")</f>
        <v>0</v>
      </c>
      <c r="AA39" s="138">
        <f t="shared" si="3"/>
        <v>460318</v>
      </c>
      <c r="AB39" s="108">
        <f>IFERROR(_xlfn.XLOOKUP($A39,Input_Raw!$A:$A,Input_Raw!$DR:$DR),"")</f>
        <v>70.400000000000006</v>
      </c>
      <c r="AC39" s="143">
        <f>IFERROR(_xlfn.XLOOKUP($D39,'Modelling New'!$D:$D,'Modelling New'!$J:$J),"")</f>
        <v>5.7233333333333336</v>
      </c>
      <c r="AD39" s="138">
        <f>IFERROR(_xlfn.XLOOKUP($D39,'Modelling New'!$D:$D,'Modelling New'!$T:$T)*1000,"")</f>
        <v>349950.51476253523</v>
      </c>
      <c r="AE39" s="142"/>
      <c r="AF39" s="142">
        <f>IFERROR(_xlfn.XLOOKUP($D39,'Modelling New'!$D:$D,'Modelling New'!$W:$W),"")</f>
        <v>0.20712033307441716</v>
      </c>
      <c r="AG39" s="142">
        <f>IFERROR(_xlfn.XLOOKUP($D39,'Modelling New'!$D:$D,'Modelling New'!$AE:$AE),"")</f>
        <v>0.96029999999999993</v>
      </c>
      <c r="AH39" s="142">
        <f>IFERROR(_xlfn.XLOOKUP($D39,'Modelling New'!$D:$D,'Modelling New'!$AF:$AF),"")</f>
        <v>0.995</v>
      </c>
      <c r="AI39" s="109">
        <f>IFERROR(_xlfn.XLOOKUP($A39,Input_Raw!$A:$A,Input_Raw!$DP:$DP),"")</f>
        <v>461.99</v>
      </c>
      <c r="AJ39" s="108"/>
      <c r="AK39" s="108"/>
      <c r="AL39" s="108"/>
      <c r="AM39" s="108"/>
      <c r="AN39" s="132">
        <f>IFERROR(_xlfn.XLOOKUP($A39,Input_Raw!$A:$A,Input_Raw!$DL:$DL),"")</f>
        <v>0</v>
      </c>
      <c r="AO39" s="142">
        <f>IFERROR((_xlfn.XLOOKUP($A39,'WTG Reactive Power'!$A:$A,'WTG Reactive Power'!$AW:$AW))/X39,"")</f>
        <v>2.0253471078689083E-4</v>
      </c>
      <c r="AP39" s="142">
        <f>IFERROR(_xlfn.XLOOKUP($D39,'Modelling New'!$D:$D,'Modelling New'!$AK:$AK),"")</f>
        <v>0.05</v>
      </c>
      <c r="AQ39" s="142">
        <f>IFERROR(_xlfn.XLOOKUP($D39,'Modelling New'!$D:$D,'Modelling New'!$AL:$AL),"")</f>
        <v>0.05</v>
      </c>
      <c r="AR39" s="198">
        <f>IFERROR(_xlfn.XLOOKUP($D39,'Modelling New'!$D:$D,'Modelling New'!$N:$N),"")</f>
        <v>70.400000000000006</v>
      </c>
      <c r="AS39" s="198"/>
    </row>
    <row r="40" spans="1:45">
      <c r="A40" s="137">
        <f t="shared" si="4"/>
        <v>45783</v>
      </c>
      <c r="B40" s="138">
        <f>YEAR(Daily_KPI[[#This Row],[Date]])+IF(MONTH(Daily_KPI[[#This Row],[Date]])&gt;=4,1,0)</f>
        <v>2026</v>
      </c>
      <c r="C40" s="108">
        <f>YEAR(Daily_KPI[[#This Row],[Date]])</f>
        <v>2025</v>
      </c>
      <c r="D40" s="139">
        <f>Daily_KPI[[#This Row],[Date]]-DAY(Daily_KPI[[#This Row],[Date]])+1</f>
        <v>45778</v>
      </c>
      <c r="E40" s="108">
        <f t="shared" si="0"/>
        <v>31</v>
      </c>
      <c r="F40" s="109"/>
      <c r="G40" s="143"/>
      <c r="H40" s="143"/>
      <c r="I40" s="143"/>
      <c r="J40" s="143"/>
      <c r="K40" s="111"/>
      <c r="L40" s="110"/>
      <c r="M40" s="110">
        <f>IFERROR(_xlfn.XLOOKUP($A40,Input_Raw!$A:$A,Input_Raw!$CQ:$CQ),"")</f>
        <v>5.9804545454545464</v>
      </c>
      <c r="N40" s="110">
        <f>IFERROR(_xlfn.XLOOKUP($A40,Input_Raw!$A:$A,Input_Raw!$CR:$CR),"")</f>
        <v>7.49</v>
      </c>
      <c r="O40" s="141">
        <f t="shared" si="1"/>
        <v>0.99999214085680377</v>
      </c>
      <c r="P40" s="141">
        <f>IFERROR(1-SUMIF(WTG_BD!$F:$F,$A40,WTG_BD!$AA:$AA)/($AA40+SUMIF(WTG_BD!$F:$F,$A40,WTG_BD!$AA:$AA)),"")</f>
        <v>0.99999214085680377</v>
      </c>
      <c r="Q40" s="141">
        <f>IFERROR(1-SUMIF(IGA_BD!$F:$F,$A40,IGA_BD!$W:$W)/($AA40+SUMIF(IGA_BD!$F:$F,$A40,IGA_BD!$W:$W)),"")</f>
        <v>1</v>
      </c>
      <c r="R40" s="141">
        <f>IFERROR(1-SUMIF(Grid_BD!$F:$F,$A40,Grid_BD!$Y:$Y)/($AA40+SUMIF(Grid_BD!$F:$F,$A40,Grid_BD!$Y:$Y)),"")</f>
        <v>1</v>
      </c>
      <c r="S40" s="108"/>
      <c r="T40" s="140"/>
      <c r="U40" s="141"/>
      <c r="V40" s="108"/>
      <c r="W40" s="142">
        <f t="shared" si="2"/>
        <v>0.22592211174242421</v>
      </c>
      <c r="X40" s="108">
        <f>IFERROR(_xlfn.XLOOKUP($A40,Input_Raw!$A:$A,Input_Raw!$CP:$CP)*1000,"")</f>
        <v>381718</v>
      </c>
      <c r="Y40" s="108">
        <f>IFERROR(_xlfn.XLOOKUP($A40,Input_Raw!$A:$A,Input_Raw!DJ:DJ)*1000,"")</f>
        <v>381718</v>
      </c>
      <c r="Z40" s="108">
        <f>IFERROR(_xlfn.XLOOKUP($A40,Input_Raw!$A:$A,Input_Raw!DK:DK)*1000,"")</f>
        <v>0</v>
      </c>
      <c r="AA40" s="138">
        <f t="shared" si="3"/>
        <v>381718</v>
      </c>
      <c r="AB40" s="108">
        <f>IFERROR(_xlfn.XLOOKUP($A40,Input_Raw!$A:$A,Input_Raw!$DR:$DR),"")</f>
        <v>70.400000000000006</v>
      </c>
      <c r="AC40" s="143">
        <f>IFERROR(_xlfn.XLOOKUP($D40,'Modelling New'!$D:$D,'Modelling New'!$J:$J),"")</f>
        <v>5.7233333333333336</v>
      </c>
      <c r="AD40" s="138">
        <f>IFERROR(_xlfn.XLOOKUP($D40,'Modelling New'!$D:$D,'Modelling New'!$T:$T)*1000,"")</f>
        <v>349950.51476253523</v>
      </c>
      <c r="AE40" s="142"/>
      <c r="AF40" s="142">
        <f>IFERROR(_xlfn.XLOOKUP($D40,'Modelling New'!$D:$D,'Modelling New'!$W:$W),"")</f>
        <v>0.20712033307441716</v>
      </c>
      <c r="AG40" s="142">
        <f>IFERROR(_xlfn.XLOOKUP($D40,'Modelling New'!$D:$D,'Modelling New'!$AE:$AE),"")</f>
        <v>0.96029999999999993</v>
      </c>
      <c r="AH40" s="142">
        <f>IFERROR(_xlfn.XLOOKUP($D40,'Modelling New'!$D:$D,'Modelling New'!$AF:$AF),"")</f>
        <v>0.995</v>
      </c>
      <c r="AI40" s="109">
        <f>IFERROR(_xlfn.XLOOKUP($A40,Input_Raw!$A:$A,Input_Raw!$DP:$DP),"")</f>
        <v>378.83</v>
      </c>
      <c r="AJ40" s="108"/>
      <c r="AK40" s="108"/>
      <c r="AL40" s="108"/>
      <c r="AM40" s="108"/>
      <c r="AN40" s="132">
        <f>IFERROR(_xlfn.XLOOKUP($A40,Input_Raw!$A:$A,Input_Raw!$DL:$DL),"")</f>
        <v>0</v>
      </c>
      <c r="AO40" s="142">
        <f>IFERROR((_xlfn.XLOOKUP($A40,'WTG Reactive Power'!$A:$A,'WTG Reactive Power'!$AW:$AW))/X40,"")</f>
        <v>2.0203142415779884E-4</v>
      </c>
      <c r="AP40" s="142">
        <f>IFERROR(_xlfn.XLOOKUP($D40,'Modelling New'!$D:$D,'Modelling New'!$AK:$AK),"")</f>
        <v>0.05</v>
      </c>
      <c r="AQ40" s="142">
        <f>IFERROR(_xlfn.XLOOKUP($D40,'Modelling New'!$D:$D,'Modelling New'!$AL:$AL),"")</f>
        <v>0.05</v>
      </c>
      <c r="AR40" s="198">
        <f>IFERROR(_xlfn.XLOOKUP($D40,'Modelling New'!$D:$D,'Modelling New'!$N:$N),"")</f>
        <v>70.400000000000006</v>
      </c>
      <c r="AS40" s="198"/>
    </row>
    <row r="41" spans="1:45">
      <c r="A41" s="137">
        <f t="shared" si="4"/>
        <v>45784</v>
      </c>
      <c r="B41" s="138">
        <f>YEAR(Daily_KPI[[#This Row],[Date]])+IF(MONTH(Daily_KPI[[#This Row],[Date]])&gt;=4,1,0)</f>
        <v>2026</v>
      </c>
      <c r="C41" s="108">
        <f>YEAR(Daily_KPI[[#This Row],[Date]])</f>
        <v>2025</v>
      </c>
      <c r="D41" s="139">
        <f>Daily_KPI[[#This Row],[Date]]-DAY(Daily_KPI[[#This Row],[Date]])+1</f>
        <v>45778</v>
      </c>
      <c r="E41" s="108">
        <f t="shared" si="0"/>
        <v>31</v>
      </c>
      <c r="F41" s="109"/>
      <c r="G41" s="110"/>
      <c r="H41" s="110"/>
      <c r="I41" s="110"/>
      <c r="J41" s="110"/>
      <c r="K41" s="111"/>
      <c r="L41" s="110"/>
      <c r="M41" s="110">
        <f>IFERROR(_xlfn.XLOOKUP($A41,Input_Raw!$A:$A,Input_Raw!$CQ:$CQ),"")</f>
        <v>6.8956818181818171</v>
      </c>
      <c r="N41" s="110">
        <f>IFERROR(_xlfn.XLOOKUP($A41,Input_Raw!$A:$A,Input_Raw!$CR:$CR),"")</f>
        <v>8.7100000000000009</v>
      </c>
      <c r="O41" s="141">
        <f t="shared" si="1"/>
        <v>1</v>
      </c>
      <c r="P41" s="141">
        <f>IFERROR(1-SUMIF(WTG_BD!$F:$F,$A41,WTG_BD!$AA:$AA)/($AA41+SUMIF(WTG_BD!$F:$F,$A41,WTG_BD!$AA:$AA)),"")</f>
        <v>1</v>
      </c>
      <c r="Q41" s="141">
        <f>IFERROR(1-SUMIF(IGA_BD!$F:$F,$A41,IGA_BD!$W:$W)/($AA41+SUMIF(IGA_BD!$F:$F,$A41,IGA_BD!$W:$W)),"")</f>
        <v>1</v>
      </c>
      <c r="R41" s="141">
        <f>IFERROR(1-SUMIF(Grid_BD!$F:$F,$A41,Grid_BD!$Y:$Y)/($AA41+SUMIF(Grid_BD!$F:$F,$A41,Grid_BD!$Y:$Y)),"")</f>
        <v>1</v>
      </c>
      <c r="S41" s="108"/>
      <c r="T41" s="140"/>
      <c r="U41" s="141"/>
      <c r="V41" s="108"/>
      <c r="W41" s="142">
        <f t="shared" si="2"/>
        <v>0.31087239583333331</v>
      </c>
      <c r="X41" s="108">
        <f>IFERROR(_xlfn.XLOOKUP($A41,Input_Raw!$A:$A,Input_Raw!$CP:$CP)*1000,"")</f>
        <v>525250</v>
      </c>
      <c r="Y41" s="108">
        <f>IFERROR(_xlfn.XLOOKUP($A41,Input_Raw!$A:$A,Input_Raw!DJ:DJ)*1000,"")</f>
        <v>525250</v>
      </c>
      <c r="Z41" s="108">
        <f>IFERROR(_xlfn.XLOOKUP($A41,Input_Raw!$A:$A,Input_Raw!DK:DK)*1000,"")</f>
        <v>0</v>
      </c>
      <c r="AA41" s="138">
        <f t="shared" si="3"/>
        <v>525250</v>
      </c>
      <c r="AB41" s="108">
        <f>IFERROR(_xlfn.XLOOKUP($A41,Input_Raw!$A:$A,Input_Raw!$DR:$DR),"")</f>
        <v>70.400000000000006</v>
      </c>
      <c r="AC41" s="143">
        <f>IFERROR(_xlfn.XLOOKUP($D41,'Modelling New'!$D:$D,'Modelling New'!$J:$J),"")</f>
        <v>5.7233333333333336</v>
      </c>
      <c r="AD41" s="138">
        <f>IFERROR(_xlfn.XLOOKUP($D41,'Modelling New'!$D:$D,'Modelling New'!$T:$T)*1000,"")</f>
        <v>349950.51476253523</v>
      </c>
      <c r="AE41" s="142"/>
      <c r="AF41" s="142">
        <f>IFERROR(_xlfn.XLOOKUP($D41,'Modelling New'!$D:$D,'Modelling New'!$W:$W),"")</f>
        <v>0.20712033307441716</v>
      </c>
      <c r="AG41" s="142">
        <f>IFERROR(_xlfn.XLOOKUP($D41,'Modelling New'!$D:$D,'Modelling New'!$AE:$AE),"")</f>
        <v>0.96029999999999993</v>
      </c>
      <c r="AH41" s="142">
        <f>IFERROR(_xlfn.XLOOKUP($D41,'Modelling New'!$D:$D,'Modelling New'!$AF:$AF),"")</f>
        <v>0.995</v>
      </c>
      <c r="AI41" s="109">
        <f>IFERROR(_xlfn.XLOOKUP($A41,Input_Raw!$A:$A,Input_Raw!$DP:$DP),"")</f>
        <v>517.71</v>
      </c>
      <c r="AJ41" s="108"/>
      <c r="AK41" s="108"/>
      <c r="AL41" s="108"/>
      <c r="AM41" s="108"/>
      <c r="AN41" s="132">
        <f>IFERROR(_xlfn.XLOOKUP($A41,Input_Raw!$A:$A,Input_Raw!$DL:$DL),"")</f>
        <v>0</v>
      </c>
      <c r="AO41" s="142">
        <f>IFERROR((_xlfn.XLOOKUP($A41,'WTG Reactive Power'!$A:$A,'WTG Reactive Power'!$AW:$AW))/X41,"")</f>
        <v>2.0277871838806917E-4</v>
      </c>
      <c r="AP41" s="142">
        <f>IFERROR(_xlfn.XLOOKUP($D41,'Modelling New'!$D:$D,'Modelling New'!$AK:$AK),"")</f>
        <v>0.05</v>
      </c>
      <c r="AQ41" s="142">
        <f>IFERROR(_xlfn.XLOOKUP($D41,'Modelling New'!$D:$D,'Modelling New'!$AL:$AL),"")</f>
        <v>0.05</v>
      </c>
      <c r="AR41" s="198">
        <f>IFERROR(_xlfn.XLOOKUP($D41,'Modelling New'!$D:$D,'Modelling New'!$N:$N),"")</f>
        <v>70.400000000000006</v>
      </c>
      <c r="AS41" s="198"/>
    </row>
    <row r="42" spans="1:45">
      <c r="A42" s="137">
        <f t="shared" si="4"/>
        <v>45785</v>
      </c>
      <c r="B42" s="138">
        <f>YEAR(Daily_KPI[[#This Row],[Date]])+IF(MONTH(Daily_KPI[[#This Row],[Date]])&gt;=4,1,0)</f>
        <v>2026</v>
      </c>
      <c r="C42" s="108">
        <f>YEAR(Daily_KPI[[#This Row],[Date]])</f>
        <v>2025</v>
      </c>
      <c r="D42" s="139">
        <f>Daily_KPI[[#This Row],[Date]]-DAY(Daily_KPI[[#This Row],[Date]])+1</f>
        <v>45778</v>
      </c>
      <c r="E42" s="108">
        <f t="shared" si="0"/>
        <v>31</v>
      </c>
      <c r="F42" s="109"/>
      <c r="G42" s="143"/>
      <c r="H42" s="143"/>
      <c r="I42" s="143"/>
      <c r="J42" s="143"/>
      <c r="K42" s="111"/>
      <c r="L42" s="110"/>
      <c r="M42" s="110">
        <f>IFERROR(_xlfn.XLOOKUP($A42,Input_Raw!$A:$A,Input_Raw!$CQ:$CQ),"")</f>
        <v>7.2265909090909108</v>
      </c>
      <c r="N42" s="110">
        <f>IFERROR(_xlfn.XLOOKUP($A42,Input_Raw!$A:$A,Input_Raw!$CR:$CR),"")</f>
        <v>9.5500000000000007</v>
      </c>
      <c r="O42" s="141">
        <f t="shared" si="1"/>
        <v>0.9850828208533795</v>
      </c>
      <c r="P42" s="141">
        <f>IFERROR(1-SUMIF(WTG_BD!$F:$F,$A42,WTG_BD!$AA:$AA)/($AA42+SUMIF(WTG_BD!$F:$F,$A42,WTG_BD!$AA:$AA)),"")</f>
        <v>0.98696850588944829</v>
      </c>
      <c r="Q42" s="141">
        <f>IFERROR(1-SUMIF(IGA_BD!$F:$F,$A42,IGA_BD!$W:$W)/($AA42+SUMIF(IGA_BD!$F:$F,$A42,IGA_BD!$W:$W)),"")</f>
        <v>0.99808941721562894</v>
      </c>
      <c r="R42" s="141">
        <f>IFERROR(1-SUMIF(Grid_BD!$F:$F,$A42,Grid_BD!$Y:$Y)/($AA42+SUMIF(Grid_BD!$F:$F,$A42,Grid_BD!$Y:$Y)),"")</f>
        <v>1</v>
      </c>
      <c r="S42" s="108"/>
      <c r="T42" s="140"/>
      <c r="U42" s="141"/>
      <c r="V42" s="108"/>
      <c r="W42" s="142">
        <f t="shared" si="2"/>
        <v>0.36514855587121209</v>
      </c>
      <c r="X42" s="108">
        <f>IFERROR(_xlfn.XLOOKUP($A42,Input_Raw!$A:$A,Input_Raw!$CP:$CP)*1000,"")</f>
        <v>616955</v>
      </c>
      <c r="Y42" s="108">
        <f>IFERROR(_xlfn.XLOOKUP($A42,Input_Raw!$A:$A,Input_Raw!DJ:DJ)*1000,"")</f>
        <v>616955</v>
      </c>
      <c r="Z42" s="108">
        <f>IFERROR(_xlfn.XLOOKUP($A42,Input_Raw!$A:$A,Input_Raw!DK:DK)*1000,"")</f>
        <v>0</v>
      </c>
      <c r="AA42" s="138">
        <f t="shared" si="3"/>
        <v>616955</v>
      </c>
      <c r="AB42" s="108">
        <f>IFERROR(_xlfn.XLOOKUP($A42,Input_Raw!$A:$A,Input_Raw!$DR:$DR),"")</f>
        <v>70.400000000000006</v>
      </c>
      <c r="AC42" s="143">
        <f>IFERROR(_xlfn.XLOOKUP($D42,'Modelling New'!$D:$D,'Modelling New'!$J:$J),"")</f>
        <v>5.7233333333333336</v>
      </c>
      <c r="AD42" s="138">
        <f>IFERROR(_xlfn.XLOOKUP($D42,'Modelling New'!$D:$D,'Modelling New'!$T:$T)*1000,"")</f>
        <v>349950.51476253523</v>
      </c>
      <c r="AE42" s="142"/>
      <c r="AF42" s="142">
        <f>IFERROR(_xlfn.XLOOKUP($D42,'Modelling New'!$D:$D,'Modelling New'!$W:$W),"")</f>
        <v>0.20712033307441716</v>
      </c>
      <c r="AG42" s="142">
        <f>IFERROR(_xlfn.XLOOKUP($D42,'Modelling New'!$D:$D,'Modelling New'!$AE:$AE),"")</f>
        <v>0.96029999999999993</v>
      </c>
      <c r="AH42" s="142">
        <f>IFERROR(_xlfn.XLOOKUP($D42,'Modelling New'!$D:$D,'Modelling New'!$AF:$AF),"")</f>
        <v>0.995</v>
      </c>
      <c r="AI42" s="109">
        <f>IFERROR(_xlfn.XLOOKUP($A42,Input_Raw!$A:$A,Input_Raw!$DP:$DP),"")</f>
        <v>589.61</v>
      </c>
      <c r="AJ42" s="108"/>
      <c r="AK42" s="108"/>
      <c r="AL42" s="108"/>
      <c r="AM42" s="108"/>
      <c r="AN42" s="132">
        <f>IFERROR(_xlfn.XLOOKUP($A42,Input_Raw!$A:$A,Input_Raw!$DL:$DL),"")</f>
        <v>0</v>
      </c>
      <c r="AO42" s="142">
        <f>IFERROR((_xlfn.XLOOKUP($A42,'WTG Reactive Power'!$A:$A,'WTG Reactive Power'!$AW:$AW))/X42,"")</f>
        <v>2.0302704600281486E-4</v>
      </c>
      <c r="AP42" s="142">
        <f>IFERROR(_xlfn.XLOOKUP($D42,'Modelling New'!$D:$D,'Modelling New'!$AK:$AK),"")</f>
        <v>0.05</v>
      </c>
      <c r="AQ42" s="142">
        <f>IFERROR(_xlfn.XLOOKUP($D42,'Modelling New'!$D:$D,'Modelling New'!$AL:$AL),"")</f>
        <v>0.05</v>
      </c>
      <c r="AR42" s="198">
        <f>IFERROR(_xlfn.XLOOKUP($D42,'Modelling New'!$D:$D,'Modelling New'!$N:$N),"")</f>
        <v>70.400000000000006</v>
      </c>
      <c r="AS42" s="198"/>
    </row>
    <row r="43" spans="1:45">
      <c r="A43" s="137">
        <f t="shared" si="4"/>
        <v>45786</v>
      </c>
      <c r="B43" s="138">
        <f>YEAR(Daily_KPI[[#This Row],[Date]])+IF(MONTH(Daily_KPI[[#This Row],[Date]])&gt;=4,1,0)</f>
        <v>2026</v>
      </c>
      <c r="C43" s="108">
        <f>YEAR(Daily_KPI[[#This Row],[Date]])</f>
        <v>2025</v>
      </c>
      <c r="D43" s="139">
        <f>Daily_KPI[[#This Row],[Date]]-DAY(Daily_KPI[[#This Row],[Date]])+1</f>
        <v>45778</v>
      </c>
      <c r="E43" s="108">
        <f t="shared" si="0"/>
        <v>31</v>
      </c>
      <c r="F43" s="109"/>
      <c r="G43" s="110"/>
      <c r="H43" s="110"/>
      <c r="I43" s="110"/>
      <c r="J43" s="110"/>
      <c r="K43" s="111"/>
      <c r="L43" s="110"/>
      <c r="M43" s="110">
        <f>IFERROR(_xlfn.XLOOKUP($A43,Input_Raw!$A:$A,Input_Raw!$CQ:$CQ),"")</f>
        <v>5.0365909090909078</v>
      </c>
      <c r="N43" s="110">
        <f>IFERROR(_xlfn.XLOOKUP($A43,Input_Raw!$A:$A,Input_Raw!$CR:$CR),"")</f>
        <v>6.73</v>
      </c>
      <c r="O43" s="141">
        <f t="shared" si="1"/>
        <v>0.93001648861650532</v>
      </c>
      <c r="P43" s="141">
        <f>IFERROR(1-SUMIF(WTG_BD!$F:$F,$A43,WTG_BD!$AA:$AA)/($AA43+SUMIF(WTG_BD!$F:$F,$A43,WTG_BD!$AA:$AA)),"")</f>
        <v>0.95480393048858159</v>
      </c>
      <c r="Q43" s="141">
        <f>IFERROR(1-SUMIF(IGA_BD!$F:$F,$A43,IGA_BD!$W:$W)/($AA43+SUMIF(IGA_BD!$F:$F,$A43,IGA_BD!$W:$W)),"")</f>
        <v>0.97403923352159605</v>
      </c>
      <c r="R43" s="141">
        <f>IFERROR(1-SUMIF(Grid_BD!$F:$F,$A43,Grid_BD!$Y:$Y)/($AA43+SUMIF(Grid_BD!$F:$F,$A43,Grid_BD!$Y:$Y)),"")</f>
        <v>1</v>
      </c>
      <c r="S43" s="108"/>
      <c r="T43" s="140"/>
      <c r="U43" s="141"/>
      <c r="V43" s="108"/>
      <c r="W43" s="142">
        <f t="shared" si="2"/>
        <v>0.12422170928030302</v>
      </c>
      <c r="X43" s="108">
        <f>IFERROR(_xlfn.XLOOKUP($A43,Input_Raw!$A:$A,Input_Raw!$CP:$CP)*1000,"")</f>
        <v>209885</v>
      </c>
      <c r="Y43" s="108">
        <f>IFERROR(_xlfn.XLOOKUP($A43,Input_Raw!$A:$A,Input_Raw!DJ:DJ)*1000,"")</f>
        <v>209885</v>
      </c>
      <c r="Z43" s="108">
        <f>IFERROR(_xlfn.XLOOKUP($A43,Input_Raw!$A:$A,Input_Raw!DK:DK)*1000,"")</f>
        <v>0</v>
      </c>
      <c r="AA43" s="138">
        <f t="shared" si="3"/>
        <v>209885</v>
      </c>
      <c r="AB43" s="108">
        <f>IFERROR(_xlfn.XLOOKUP($A43,Input_Raw!$A:$A,Input_Raw!$DR:$DR),"")</f>
        <v>70.400000000000006</v>
      </c>
      <c r="AC43" s="143">
        <f>IFERROR(_xlfn.XLOOKUP($D43,'Modelling New'!$D:$D,'Modelling New'!$J:$J),"")</f>
        <v>5.7233333333333336</v>
      </c>
      <c r="AD43" s="138">
        <f>IFERROR(_xlfn.XLOOKUP($D43,'Modelling New'!$D:$D,'Modelling New'!$T:$T)*1000,"")</f>
        <v>349950.51476253523</v>
      </c>
      <c r="AE43" s="142"/>
      <c r="AF43" s="142">
        <f>IFERROR(_xlfn.XLOOKUP($D43,'Modelling New'!$D:$D,'Modelling New'!$W:$W),"")</f>
        <v>0.20712033307441716</v>
      </c>
      <c r="AG43" s="142">
        <f>IFERROR(_xlfn.XLOOKUP($D43,'Modelling New'!$D:$D,'Modelling New'!$AE:$AE),"")</f>
        <v>0.96029999999999993</v>
      </c>
      <c r="AH43" s="142">
        <f>IFERROR(_xlfn.XLOOKUP($D43,'Modelling New'!$D:$D,'Modelling New'!$AF:$AF),"")</f>
        <v>0.995</v>
      </c>
      <c r="AI43" s="109">
        <f>IFERROR(_xlfn.XLOOKUP($A43,Input_Raw!$A:$A,Input_Raw!$DP:$DP),"")</f>
        <v>197.15</v>
      </c>
      <c r="AJ43" s="108"/>
      <c r="AK43" s="108"/>
      <c r="AL43" s="108"/>
      <c r="AM43" s="108"/>
      <c r="AN43" s="132">
        <f>IFERROR(_xlfn.XLOOKUP($A43,Input_Raw!$A:$A,Input_Raw!$DL:$DL),"")</f>
        <v>0</v>
      </c>
      <c r="AO43" s="142">
        <f>IFERROR((_xlfn.XLOOKUP($A43,'WTG Reactive Power'!$A:$A,'WTG Reactive Power'!$AW:$AW))/X43,"")</f>
        <v>2.0175149724849324E-4</v>
      </c>
      <c r="AP43" s="142">
        <f>IFERROR(_xlfn.XLOOKUP($D43,'Modelling New'!$D:$D,'Modelling New'!$AK:$AK),"")</f>
        <v>0.05</v>
      </c>
      <c r="AQ43" s="142">
        <f>IFERROR(_xlfn.XLOOKUP($D43,'Modelling New'!$D:$D,'Modelling New'!$AL:$AL),"")</f>
        <v>0.05</v>
      </c>
      <c r="AR43" s="198">
        <f>IFERROR(_xlfn.XLOOKUP($D43,'Modelling New'!$D:$D,'Modelling New'!$N:$N),"")</f>
        <v>70.400000000000006</v>
      </c>
      <c r="AS43" s="198"/>
    </row>
    <row r="44" spans="1:45">
      <c r="A44" s="137">
        <f t="shared" si="4"/>
        <v>45787</v>
      </c>
      <c r="B44" s="138">
        <f>YEAR(Daily_KPI[[#This Row],[Date]])+IF(MONTH(Daily_KPI[[#This Row],[Date]])&gt;=4,1,0)</f>
        <v>2026</v>
      </c>
      <c r="C44" s="108">
        <f>YEAR(Daily_KPI[[#This Row],[Date]])</f>
        <v>2025</v>
      </c>
      <c r="D44" s="139">
        <f>Daily_KPI[[#This Row],[Date]]-DAY(Daily_KPI[[#This Row],[Date]])+1</f>
        <v>45778</v>
      </c>
      <c r="E44" s="108">
        <f t="shared" si="0"/>
        <v>31</v>
      </c>
      <c r="F44" s="109"/>
      <c r="G44" s="143"/>
      <c r="H44" s="143"/>
      <c r="I44" s="143"/>
      <c r="J44" s="143"/>
      <c r="K44" s="111"/>
      <c r="L44" s="110"/>
      <c r="M44" s="110">
        <f>IFERROR(_xlfn.XLOOKUP($A44,Input_Raw!$A:$A,Input_Raw!$CQ:$CQ),"")</f>
        <v>4.4363636363636365</v>
      </c>
      <c r="N44" s="110">
        <f>IFERROR(_xlfn.XLOOKUP($A44,Input_Raw!$A:$A,Input_Raw!$CR:$CR),"")</f>
        <v>6.13</v>
      </c>
      <c r="O44" s="141">
        <f t="shared" si="1"/>
        <v>0.90968238691291836</v>
      </c>
      <c r="P44" s="141">
        <f>IFERROR(1-SUMIF(WTG_BD!$F:$F,$A44,WTG_BD!$AA:$AA)/($AA44+SUMIF(WTG_BD!$F:$F,$A44,WTG_BD!$AA:$AA)),"")</f>
        <v>0.94868009356298799</v>
      </c>
      <c r="Q44" s="141">
        <f>IFERROR(1-SUMIF(IGA_BD!$F:$F,$A44,IGA_BD!$W:$W)/($AA44+SUMIF(IGA_BD!$F:$F,$A44,IGA_BD!$W:$W)),"")</f>
        <v>0.95889266896746539</v>
      </c>
      <c r="R44" s="141">
        <f>IFERROR(1-SUMIF(Grid_BD!$F:$F,$A44,Grid_BD!$Y:$Y)/($AA44+SUMIF(Grid_BD!$F:$F,$A44,Grid_BD!$Y:$Y)),"")</f>
        <v>1</v>
      </c>
      <c r="S44" s="108"/>
      <c r="T44" s="140"/>
      <c r="U44" s="141"/>
      <c r="V44" s="108"/>
      <c r="W44" s="142">
        <f t="shared" si="2"/>
        <v>9.2417140151515142E-2</v>
      </c>
      <c r="X44" s="108">
        <f>IFERROR(_xlfn.XLOOKUP($A44,Input_Raw!$A:$A,Input_Raw!$CP:$CP)*1000,"")</f>
        <v>156148</v>
      </c>
      <c r="Y44" s="108">
        <f>IFERROR(_xlfn.XLOOKUP($A44,Input_Raw!$A:$A,Input_Raw!DJ:DJ)*1000,"")</f>
        <v>156148.00000000003</v>
      </c>
      <c r="Z44" s="108">
        <f>IFERROR(_xlfn.XLOOKUP($A44,Input_Raw!$A:$A,Input_Raw!DK:DK)*1000,"")</f>
        <v>0</v>
      </c>
      <c r="AA44" s="138">
        <f t="shared" si="3"/>
        <v>156148.00000000003</v>
      </c>
      <c r="AB44" s="108">
        <f>IFERROR(_xlfn.XLOOKUP($A44,Input_Raw!$A:$A,Input_Raw!$DR:$DR),"")</f>
        <v>70.400000000000006</v>
      </c>
      <c r="AC44" s="143">
        <f>IFERROR(_xlfn.XLOOKUP($D44,'Modelling New'!$D:$D,'Modelling New'!$J:$J),"")</f>
        <v>5.7233333333333336</v>
      </c>
      <c r="AD44" s="138">
        <f>IFERROR(_xlfn.XLOOKUP($D44,'Modelling New'!$D:$D,'Modelling New'!$T:$T)*1000,"")</f>
        <v>349950.51476253523</v>
      </c>
      <c r="AE44" s="142"/>
      <c r="AF44" s="142">
        <f>IFERROR(_xlfn.XLOOKUP($D44,'Modelling New'!$D:$D,'Modelling New'!$W:$W),"")</f>
        <v>0.20712033307441716</v>
      </c>
      <c r="AG44" s="142">
        <f>IFERROR(_xlfn.XLOOKUP($D44,'Modelling New'!$D:$D,'Modelling New'!$AE:$AE),"")</f>
        <v>0.96029999999999993</v>
      </c>
      <c r="AH44" s="142">
        <f>IFERROR(_xlfn.XLOOKUP($D44,'Modelling New'!$D:$D,'Modelling New'!$AF:$AF),"")</f>
        <v>0.995</v>
      </c>
      <c r="AI44" s="109">
        <f>IFERROR(_xlfn.XLOOKUP($A44,Input_Raw!$A:$A,Input_Raw!$DP:$DP),"")</f>
        <v>148.4</v>
      </c>
      <c r="AJ44" s="108"/>
      <c r="AK44" s="108"/>
      <c r="AL44" s="108"/>
      <c r="AM44" s="108"/>
      <c r="AN44" s="132">
        <f>IFERROR(_xlfn.XLOOKUP($A44,Input_Raw!$A:$A,Input_Raw!$DL:$DL),"")</f>
        <v>2.2204460492503131E-16</v>
      </c>
      <c r="AO44" s="142">
        <f>IFERROR((_xlfn.XLOOKUP($A44,'WTG Reactive Power'!$A:$A,'WTG Reactive Power'!$AW:$AW))/X44,"")</f>
        <v>1.9308928601924669E-4</v>
      </c>
      <c r="AP44" s="142">
        <f>IFERROR(_xlfn.XLOOKUP($D44,'Modelling New'!$D:$D,'Modelling New'!$AK:$AK),"")</f>
        <v>0.05</v>
      </c>
      <c r="AQ44" s="142">
        <f>IFERROR(_xlfn.XLOOKUP($D44,'Modelling New'!$D:$D,'Modelling New'!$AL:$AL),"")</f>
        <v>0.05</v>
      </c>
      <c r="AR44" s="198">
        <f>IFERROR(_xlfn.XLOOKUP($D44,'Modelling New'!$D:$D,'Modelling New'!$N:$N),"")</f>
        <v>70.400000000000006</v>
      </c>
      <c r="AS44" s="198"/>
    </row>
    <row r="45" spans="1:45">
      <c r="A45" s="137">
        <f t="shared" si="4"/>
        <v>45788</v>
      </c>
      <c r="B45" s="138">
        <f>YEAR(Daily_KPI[[#This Row],[Date]])+IF(MONTH(Daily_KPI[[#This Row],[Date]])&gt;=4,1,0)</f>
        <v>2026</v>
      </c>
      <c r="C45" s="108">
        <f>YEAR(Daily_KPI[[#This Row],[Date]])</f>
        <v>2025</v>
      </c>
      <c r="D45" s="139">
        <f>Daily_KPI[[#This Row],[Date]]-DAY(Daily_KPI[[#This Row],[Date]])+1</f>
        <v>45778</v>
      </c>
      <c r="E45" s="108">
        <f t="shared" si="0"/>
        <v>31</v>
      </c>
      <c r="F45" s="109"/>
      <c r="G45" s="110"/>
      <c r="H45" s="110"/>
      <c r="I45" s="110"/>
      <c r="J45" s="110"/>
      <c r="K45" s="111"/>
      <c r="L45" s="110"/>
      <c r="M45" s="110">
        <f>IFERROR(_xlfn.XLOOKUP($A45,Input_Raw!$A:$A,Input_Raw!$CQ:$CQ),"")</f>
        <v>3.9070454545454556</v>
      </c>
      <c r="N45" s="110">
        <f>IFERROR(_xlfn.XLOOKUP($A45,Input_Raw!$A:$A,Input_Raw!$CR:$CR),"")</f>
        <v>4.99</v>
      </c>
      <c r="O45" s="141">
        <f t="shared" si="1"/>
        <v>0.96570300355566674</v>
      </c>
      <c r="P45" s="141">
        <f>IFERROR(1-SUMIF(WTG_BD!$F:$F,$A45,WTG_BD!$AA:$AA)/($AA45+SUMIF(WTG_BD!$F:$F,$A45,WTG_BD!$AA:$AA)),"")</f>
        <v>0.96570300355566674</v>
      </c>
      <c r="Q45" s="141">
        <f>IFERROR(1-SUMIF(IGA_BD!$F:$F,$A45,IGA_BD!$W:$W)/($AA45+SUMIF(IGA_BD!$F:$F,$A45,IGA_BD!$W:$W)),"")</f>
        <v>1</v>
      </c>
      <c r="R45" s="141">
        <f>IFERROR(1-SUMIF(Grid_BD!$F:$F,$A45,Grid_BD!$Y:$Y)/($AA45+SUMIF(Grid_BD!$F:$F,$A45,Grid_BD!$Y:$Y)),"")</f>
        <v>1</v>
      </c>
      <c r="S45" s="108"/>
      <c r="T45" s="140"/>
      <c r="U45" s="141"/>
      <c r="V45" s="108"/>
      <c r="W45" s="142">
        <f t="shared" si="2"/>
        <v>6.397668087121211E-2</v>
      </c>
      <c r="X45" s="108">
        <f>IFERROR(_xlfn.XLOOKUP($A45,Input_Raw!$A:$A,Input_Raw!$CP:$CP)*1000,"")</f>
        <v>108095</v>
      </c>
      <c r="Y45" s="108">
        <f>IFERROR(_xlfn.XLOOKUP($A45,Input_Raw!$A:$A,Input_Raw!DJ:DJ)*1000,"")</f>
        <v>108095</v>
      </c>
      <c r="Z45" s="108">
        <f>IFERROR(_xlfn.XLOOKUP($A45,Input_Raw!$A:$A,Input_Raw!DK:DK)*1000,"")</f>
        <v>0</v>
      </c>
      <c r="AA45" s="138">
        <f t="shared" si="3"/>
        <v>108095</v>
      </c>
      <c r="AB45" s="108">
        <f>IFERROR(_xlfn.XLOOKUP($A45,Input_Raw!$A:$A,Input_Raw!$DR:$DR),"")</f>
        <v>70.400000000000006</v>
      </c>
      <c r="AC45" s="143">
        <f>IFERROR(_xlfn.XLOOKUP($D45,'Modelling New'!$D:$D,'Modelling New'!$J:$J),"")</f>
        <v>5.7233333333333336</v>
      </c>
      <c r="AD45" s="138">
        <f>IFERROR(_xlfn.XLOOKUP($D45,'Modelling New'!$D:$D,'Modelling New'!$T:$T)*1000,"")</f>
        <v>349950.51476253523</v>
      </c>
      <c r="AE45" s="142"/>
      <c r="AF45" s="142">
        <f>IFERROR(_xlfn.XLOOKUP($D45,'Modelling New'!$D:$D,'Modelling New'!$W:$W),"")</f>
        <v>0.20712033307441716</v>
      </c>
      <c r="AG45" s="142">
        <f>IFERROR(_xlfn.XLOOKUP($D45,'Modelling New'!$D:$D,'Modelling New'!$AE:$AE),"")</f>
        <v>0.96029999999999993</v>
      </c>
      <c r="AH45" s="142">
        <f>IFERROR(_xlfn.XLOOKUP($D45,'Modelling New'!$D:$D,'Modelling New'!$AF:$AF),"")</f>
        <v>0.995</v>
      </c>
      <c r="AI45" s="109">
        <f>IFERROR(_xlfn.XLOOKUP($A45,Input_Raw!$A:$A,Input_Raw!$DP:$DP),"")</f>
        <v>102.44</v>
      </c>
      <c r="AJ45" s="108"/>
      <c r="AK45" s="108"/>
      <c r="AL45" s="108"/>
      <c r="AM45" s="108"/>
      <c r="AN45" s="132">
        <f>IFERROR(_xlfn.XLOOKUP($A45,Input_Raw!$A:$A,Input_Raw!$DL:$DL),"")</f>
        <v>0</v>
      </c>
      <c r="AO45" s="142">
        <f>IFERROR((_xlfn.XLOOKUP($A45,'WTG Reactive Power'!$A:$A,'WTG Reactive Power'!$AW:$AW))/X45,"")</f>
        <v>2.0009992444917275E-4</v>
      </c>
      <c r="AP45" s="142">
        <f>IFERROR(_xlfn.XLOOKUP($D45,'Modelling New'!$D:$D,'Modelling New'!$AK:$AK),"")</f>
        <v>0.05</v>
      </c>
      <c r="AQ45" s="142">
        <f>IFERROR(_xlfn.XLOOKUP($D45,'Modelling New'!$D:$D,'Modelling New'!$AL:$AL),"")</f>
        <v>0.05</v>
      </c>
      <c r="AR45" s="198">
        <f>IFERROR(_xlfn.XLOOKUP($D45,'Modelling New'!$D:$D,'Modelling New'!$N:$N),"")</f>
        <v>70.400000000000006</v>
      </c>
      <c r="AS45" s="198"/>
    </row>
    <row r="46" spans="1:45">
      <c r="A46" s="137">
        <f t="shared" si="4"/>
        <v>45789</v>
      </c>
      <c r="B46" s="138">
        <f>YEAR(Daily_KPI[[#This Row],[Date]])+IF(MONTH(Daily_KPI[[#This Row],[Date]])&gt;=4,1,0)</f>
        <v>2026</v>
      </c>
      <c r="C46" s="108">
        <f>YEAR(Daily_KPI[[#This Row],[Date]])</f>
        <v>2025</v>
      </c>
      <c r="D46" s="139">
        <f>Daily_KPI[[#This Row],[Date]]-DAY(Daily_KPI[[#This Row],[Date]])+1</f>
        <v>45778</v>
      </c>
      <c r="E46" s="108">
        <f t="shared" si="0"/>
        <v>31</v>
      </c>
      <c r="F46" s="109"/>
      <c r="G46" s="143"/>
      <c r="H46" s="143"/>
      <c r="I46" s="143"/>
      <c r="J46" s="143"/>
      <c r="K46" s="111"/>
      <c r="L46" s="110"/>
      <c r="M46" s="110">
        <f>IFERROR(_xlfn.XLOOKUP($A46,Input_Raw!$A:$A,Input_Raw!$CQ:$CQ),"")</f>
        <v>3.514318181818183</v>
      </c>
      <c r="N46" s="110">
        <f>IFERROR(_xlfn.XLOOKUP($A46,Input_Raw!$A:$A,Input_Raw!$CR:$CR),"")</f>
        <v>4.8</v>
      </c>
      <c r="O46" s="141">
        <f t="shared" si="1"/>
        <v>0.8732534828294104</v>
      </c>
      <c r="P46" s="141">
        <f>IFERROR(1-SUMIF(WTG_BD!$F:$F,$A46,WTG_BD!$AA:$AA)/($AA46+SUMIF(WTG_BD!$F:$F,$A46,WTG_BD!$AA:$AA)),"")</f>
        <v>0.95839163029632257</v>
      </c>
      <c r="Q46" s="141">
        <f>IFERROR(1-SUMIF(IGA_BD!$F:$F,$A46,IGA_BD!$W:$W)/($AA46+SUMIF(IGA_BD!$F:$F,$A46,IGA_BD!$W:$W)),"")</f>
        <v>0.91116559788758955</v>
      </c>
      <c r="R46" s="141">
        <f>IFERROR(1-SUMIF(Grid_BD!$F:$F,$A46,Grid_BD!$Y:$Y)/($AA46+SUMIF(Grid_BD!$F:$F,$A46,Grid_BD!$Y:$Y)),"")</f>
        <v>1</v>
      </c>
      <c r="S46" s="108"/>
      <c r="T46" s="140"/>
      <c r="U46" s="141"/>
      <c r="V46" s="108"/>
      <c r="W46" s="142">
        <f t="shared" si="2"/>
        <v>5.4325875946969693E-2</v>
      </c>
      <c r="X46" s="108">
        <f>IFERROR(_xlfn.XLOOKUP($A46,Input_Raw!$A:$A,Input_Raw!$CP:$CP)*1000,"")</f>
        <v>91789</v>
      </c>
      <c r="Y46" s="108">
        <f>IFERROR(_xlfn.XLOOKUP($A46,Input_Raw!$A:$A,Input_Raw!DJ:DJ)*1000,"")</f>
        <v>91789</v>
      </c>
      <c r="Z46" s="108">
        <f>IFERROR(_xlfn.XLOOKUP($A46,Input_Raw!$A:$A,Input_Raw!DK:DK)*1000,"")</f>
        <v>0</v>
      </c>
      <c r="AA46" s="138">
        <f t="shared" si="3"/>
        <v>91789</v>
      </c>
      <c r="AB46" s="108">
        <f>IFERROR(_xlfn.XLOOKUP($A46,Input_Raw!$A:$A,Input_Raw!$DR:$DR),"")</f>
        <v>70.400000000000006</v>
      </c>
      <c r="AC46" s="143">
        <f>IFERROR(_xlfn.XLOOKUP($D46,'Modelling New'!$D:$D,'Modelling New'!$J:$J),"")</f>
        <v>5.7233333333333336</v>
      </c>
      <c r="AD46" s="138">
        <f>IFERROR(_xlfn.XLOOKUP($D46,'Modelling New'!$D:$D,'Modelling New'!$T:$T)*1000,"")</f>
        <v>349950.51476253523</v>
      </c>
      <c r="AE46" s="142"/>
      <c r="AF46" s="142">
        <f>IFERROR(_xlfn.XLOOKUP($D46,'Modelling New'!$D:$D,'Modelling New'!$W:$W),"")</f>
        <v>0.20712033307441716</v>
      </c>
      <c r="AG46" s="142">
        <f>IFERROR(_xlfn.XLOOKUP($D46,'Modelling New'!$D:$D,'Modelling New'!$AE:$AE),"")</f>
        <v>0.96029999999999993</v>
      </c>
      <c r="AH46" s="142">
        <f>IFERROR(_xlfn.XLOOKUP($D46,'Modelling New'!$D:$D,'Modelling New'!$AF:$AF),"")</f>
        <v>0.995</v>
      </c>
      <c r="AI46" s="109">
        <f>IFERROR(_xlfn.XLOOKUP($A46,Input_Raw!$A:$A,Input_Raw!$DP:$DP),"")</f>
        <v>97.92</v>
      </c>
      <c r="AJ46" s="108"/>
      <c r="AK46" s="108"/>
      <c r="AL46" s="108"/>
      <c r="AM46" s="108"/>
      <c r="AN46" s="132">
        <f>IFERROR(_xlfn.XLOOKUP($A46,Input_Raw!$A:$A,Input_Raw!$DL:$DL),"")</f>
        <v>0</v>
      </c>
      <c r="AO46" s="142">
        <f>IFERROR((_xlfn.XLOOKUP($A46,'WTG Reactive Power'!$A:$A,'WTG Reactive Power'!$AW:$AW))/X46,"")</f>
        <v>2.4339971202068511E-4</v>
      </c>
      <c r="AP46" s="142">
        <f>IFERROR(_xlfn.XLOOKUP($D46,'Modelling New'!$D:$D,'Modelling New'!$AK:$AK),"")</f>
        <v>0.05</v>
      </c>
      <c r="AQ46" s="142">
        <f>IFERROR(_xlfn.XLOOKUP($D46,'Modelling New'!$D:$D,'Modelling New'!$AL:$AL),"")</f>
        <v>0.05</v>
      </c>
      <c r="AR46" s="198">
        <f>IFERROR(_xlfn.XLOOKUP($D46,'Modelling New'!$D:$D,'Modelling New'!$N:$N),"")</f>
        <v>70.400000000000006</v>
      </c>
      <c r="AS46" s="198"/>
    </row>
    <row r="47" spans="1:45">
      <c r="A47" s="137">
        <f t="shared" si="4"/>
        <v>45790</v>
      </c>
      <c r="B47" s="138">
        <f>YEAR(Daily_KPI[[#This Row],[Date]])+IF(MONTH(Daily_KPI[[#This Row],[Date]])&gt;=4,1,0)</f>
        <v>2026</v>
      </c>
      <c r="C47" s="108">
        <f>YEAR(Daily_KPI[[#This Row],[Date]])</f>
        <v>2025</v>
      </c>
      <c r="D47" s="139">
        <f>Daily_KPI[[#This Row],[Date]]-DAY(Daily_KPI[[#This Row],[Date]])+1</f>
        <v>45778</v>
      </c>
      <c r="E47" s="108">
        <f t="shared" si="0"/>
        <v>31</v>
      </c>
      <c r="F47" s="109"/>
      <c r="G47" s="110"/>
      <c r="H47" s="110"/>
      <c r="I47" s="110"/>
      <c r="J47" s="110"/>
      <c r="K47" s="111"/>
      <c r="L47" s="110"/>
      <c r="M47" s="110">
        <f>IFERROR(_xlfn.XLOOKUP($A47,Input_Raw!$A:$A,Input_Raw!$CQ:$CQ),"")</f>
        <v>3.3979545454545454</v>
      </c>
      <c r="N47" s="110">
        <f>IFERROR(_xlfn.XLOOKUP($A47,Input_Raw!$A:$A,Input_Raw!$CR:$CR),"")</f>
        <v>4.01</v>
      </c>
      <c r="O47" s="141">
        <f t="shared" si="1"/>
        <v>0.96443077637228736</v>
      </c>
      <c r="P47" s="141">
        <f>IFERROR(1-SUMIF(WTG_BD!$F:$F,$A47,WTG_BD!$AA:$AA)/($AA47+SUMIF(WTG_BD!$F:$F,$A47,WTG_BD!$AA:$AA)),"")</f>
        <v>0.96443077637228736</v>
      </c>
      <c r="Q47" s="141">
        <f>IFERROR(1-SUMIF(IGA_BD!$F:$F,$A47,IGA_BD!$W:$W)/($AA47+SUMIF(IGA_BD!$F:$F,$A47,IGA_BD!$W:$W)),"")</f>
        <v>1</v>
      </c>
      <c r="R47" s="141">
        <f>IFERROR(1-SUMIF(Grid_BD!$F:$F,$A47,Grid_BD!$Y:$Y)/($AA47+SUMIF(Grid_BD!$F:$F,$A47,Grid_BD!$Y:$Y)),"")</f>
        <v>0.87880422139035175</v>
      </c>
      <c r="S47" s="108"/>
      <c r="T47" s="140"/>
      <c r="U47" s="141"/>
      <c r="V47" s="108"/>
      <c r="W47" s="142">
        <f t="shared" si="2"/>
        <v>4.918619791666666E-2</v>
      </c>
      <c r="X47" s="108">
        <f>IFERROR(_xlfn.XLOOKUP($A47,Input_Raw!$A:$A,Input_Raw!$CP:$CP)*1000,"")</f>
        <v>83105</v>
      </c>
      <c r="Y47" s="108">
        <f>IFERROR(_xlfn.XLOOKUP($A47,Input_Raw!$A:$A,Input_Raw!DJ:DJ)*1000,"")</f>
        <v>83104.999999999985</v>
      </c>
      <c r="Z47" s="108">
        <f>IFERROR(_xlfn.XLOOKUP($A47,Input_Raw!$A:$A,Input_Raw!DK:DK)*1000,"")</f>
        <v>0</v>
      </c>
      <c r="AA47" s="138">
        <f t="shared" si="3"/>
        <v>83104.999999999985</v>
      </c>
      <c r="AB47" s="108">
        <f>IFERROR(_xlfn.XLOOKUP($A47,Input_Raw!$A:$A,Input_Raw!$DR:$DR),"")</f>
        <v>70.400000000000006</v>
      </c>
      <c r="AC47" s="143">
        <f>IFERROR(_xlfn.XLOOKUP($D47,'Modelling New'!$D:$D,'Modelling New'!$J:$J),"")</f>
        <v>5.7233333333333336</v>
      </c>
      <c r="AD47" s="138">
        <f>IFERROR(_xlfn.XLOOKUP($D47,'Modelling New'!$D:$D,'Modelling New'!$T:$T)*1000,"")</f>
        <v>349950.51476253523</v>
      </c>
      <c r="AE47" s="142"/>
      <c r="AF47" s="142">
        <f>IFERROR(_xlfn.XLOOKUP($D47,'Modelling New'!$D:$D,'Modelling New'!$W:$W),"")</f>
        <v>0.20712033307441716</v>
      </c>
      <c r="AG47" s="142">
        <f>IFERROR(_xlfn.XLOOKUP($D47,'Modelling New'!$D:$D,'Modelling New'!$AE:$AE),"")</f>
        <v>0.96029999999999993</v>
      </c>
      <c r="AH47" s="142">
        <f>IFERROR(_xlfn.XLOOKUP($D47,'Modelling New'!$D:$D,'Modelling New'!$AF:$AF),"")</f>
        <v>0.995</v>
      </c>
      <c r="AI47" s="109">
        <f>IFERROR(_xlfn.XLOOKUP($A47,Input_Raw!$A:$A,Input_Raw!$DP:$DP),"")</f>
        <v>82.79</v>
      </c>
      <c r="AJ47" s="108"/>
      <c r="AK47" s="108"/>
      <c r="AL47" s="108"/>
      <c r="AM47" s="108"/>
      <c r="AN47" s="132">
        <f>IFERROR(_xlfn.XLOOKUP($A47,Input_Raw!$A:$A,Input_Raw!$DL:$DL),"")</f>
        <v>-2.2204460492503131E-16</v>
      </c>
      <c r="AO47" s="142">
        <f>IFERROR((_xlfn.XLOOKUP($A47,'WTG Reactive Power'!$A:$A,'WTG Reactive Power'!$AW:$AW))/X47,"")</f>
        <v>1.8511663357599823E-4</v>
      </c>
      <c r="AP47" s="142">
        <f>IFERROR(_xlfn.XLOOKUP($D47,'Modelling New'!$D:$D,'Modelling New'!$AK:$AK),"")</f>
        <v>0.05</v>
      </c>
      <c r="AQ47" s="142">
        <f>IFERROR(_xlfn.XLOOKUP($D47,'Modelling New'!$D:$D,'Modelling New'!$AL:$AL),"")</f>
        <v>0.05</v>
      </c>
      <c r="AR47" s="198">
        <f>IFERROR(_xlfn.XLOOKUP($D47,'Modelling New'!$D:$D,'Modelling New'!$N:$N),"")</f>
        <v>70.400000000000006</v>
      </c>
      <c r="AS47" s="198"/>
    </row>
    <row r="48" spans="1:45">
      <c r="A48" s="137">
        <f t="shared" si="4"/>
        <v>45791</v>
      </c>
      <c r="B48" s="138">
        <f>YEAR(Daily_KPI[[#This Row],[Date]])+IF(MONTH(Daily_KPI[[#This Row],[Date]])&gt;=4,1,0)</f>
        <v>2026</v>
      </c>
      <c r="C48" s="108">
        <f>YEAR(Daily_KPI[[#This Row],[Date]])</f>
        <v>2025</v>
      </c>
      <c r="D48" s="139">
        <f>Daily_KPI[[#This Row],[Date]]-DAY(Daily_KPI[[#This Row],[Date]])+1</f>
        <v>45778</v>
      </c>
      <c r="E48" s="108">
        <f t="shared" si="0"/>
        <v>31</v>
      </c>
      <c r="F48" s="109"/>
      <c r="G48" s="143"/>
      <c r="H48" s="143"/>
      <c r="I48" s="143"/>
      <c r="J48" s="143"/>
      <c r="K48" s="111"/>
      <c r="L48" s="110"/>
      <c r="M48" s="110">
        <f>IFERROR(_xlfn.XLOOKUP($A48,Input_Raw!$A:$A,Input_Raw!$CQ:$CQ),"")</f>
        <v>3.7081818181818189</v>
      </c>
      <c r="N48" s="110">
        <f>IFERROR(_xlfn.XLOOKUP($A48,Input_Raw!$A:$A,Input_Raw!$CR:$CR),"")</f>
        <v>4.6900000000000004</v>
      </c>
      <c r="O48" s="141">
        <f t="shared" si="1"/>
        <v>0.85412763511784251</v>
      </c>
      <c r="P48" s="141">
        <f>IFERROR(1-SUMIF(WTG_BD!$F:$F,$A48,WTG_BD!$AA:$AA)/($AA48+SUMIF(WTG_BD!$F:$F,$A48,WTG_BD!$AA:$AA)),"")</f>
        <v>0.95992465639194369</v>
      </c>
      <c r="Q48" s="141">
        <f>IFERROR(1-SUMIF(IGA_BD!$F:$F,$A48,IGA_BD!$W:$W)/($AA48+SUMIF(IGA_BD!$F:$F,$A48,IGA_BD!$W:$W)),"")</f>
        <v>0.88978611959842868</v>
      </c>
      <c r="R48" s="141">
        <f>IFERROR(1-SUMIF(Grid_BD!$F:$F,$A48,Grid_BD!$Y:$Y)/($AA48+SUMIF(Grid_BD!$F:$F,$A48,Grid_BD!$Y:$Y)),"")</f>
        <v>1</v>
      </c>
      <c r="S48" s="108"/>
      <c r="T48" s="140"/>
      <c r="U48" s="141"/>
      <c r="V48" s="108"/>
      <c r="W48" s="142">
        <f t="shared" si="2"/>
        <v>5.7911931818181807E-2</v>
      </c>
      <c r="X48" s="108">
        <f>IFERROR(_xlfn.XLOOKUP($A48,Input_Raw!$A:$A,Input_Raw!$CP:$CP)*1000,"")</f>
        <v>97848</v>
      </c>
      <c r="Y48" s="108">
        <f>IFERROR(_xlfn.XLOOKUP($A48,Input_Raw!$A:$A,Input_Raw!DJ:DJ)*1000,"")</f>
        <v>97848</v>
      </c>
      <c r="Z48" s="108">
        <f>IFERROR(_xlfn.XLOOKUP($A48,Input_Raw!$A:$A,Input_Raw!DK:DK)*1000,"")</f>
        <v>0</v>
      </c>
      <c r="AA48" s="138">
        <f t="shared" si="3"/>
        <v>97848</v>
      </c>
      <c r="AB48" s="108">
        <f>IFERROR(_xlfn.XLOOKUP($A48,Input_Raw!$A:$A,Input_Raw!$DR:$DR),"")</f>
        <v>70.400000000000006</v>
      </c>
      <c r="AC48" s="143">
        <f>IFERROR(_xlfn.XLOOKUP($D48,'Modelling New'!$D:$D,'Modelling New'!$J:$J),"")</f>
        <v>5.7233333333333336</v>
      </c>
      <c r="AD48" s="138">
        <f>IFERROR(_xlfn.XLOOKUP($D48,'Modelling New'!$D:$D,'Modelling New'!$T:$T)*1000,"")</f>
        <v>349950.51476253523</v>
      </c>
      <c r="AE48" s="142"/>
      <c r="AF48" s="142">
        <f>IFERROR(_xlfn.XLOOKUP($D48,'Modelling New'!$D:$D,'Modelling New'!$W:$W),"")</f>
        <v>0.20712033307441716</v>
      </c>
      <c r="AG48" s="142">
        <f>IFERROR(_xlfn.XLOOKUP($D48,'Modelling New'!$D:$D,'Modelling New'!$AE:$AE),"")</f>
        <v>0.96029999999999993</v>
      </c>
      <c r="AH48" s="142">
        <f>IFERROR(_xlfn.XLOOKUP($D48,'Modelling New'!$D:$D,'Modelling New'!$AF:$AF),"")</f>
        <v>0.995</v>
      </c>
      <c r="AI48" s="109">
        <f>IFERROR(_xlfn.XLOOKUP($A48,Input_Raw!$A:$A,Input_Raw!$DP:$DP),"")</f>
        <v>104.47</v>
      </c>
      <c r="AJ48" s="108"/>
      <c r="AK48" s="108"/>
      <c r="AL48" s="108"/>
      <c r="AM48" s="108"/>
      <c r="AN48" s="132">
        <f>IFERROR(_xlfn.XLOOKUP($A48,Input_Raw!$A:$A,Input_Raw!$DL:$DL),"")</f>
        <v>0</v>
      </c>
      <c r="AO48" s="142">
        <f>IFERROR((_xlfn.XLOOKUP($A48,'WTG Reactive Power'!$A:$A,'WTG Reactive Power'!$AW:$AW))/X48,"")</f>
        <v>1.9716171681247107E-4</v>
      </c>
      <c r="AP48" s="142">
        <f>IFERROR(_xlfn.XLOOKUP($D48,'Modelling New'!$D:$D,'Modelling New'!$AK:$AK),"")</f>
        <v>0.05</v>
      </c>
      <c r="AQ48" s="142">
        <f>IFERROR(_xlfn.XLOOKUP($D48,'Modelling New'!$D:$D,'Modelling New'!$AL:$AL),"")</f>
        <v>0.05</v>
      </c>
      <c r="AR48" s="198">
        <f>IFERROR(_xlfn.XLOOKUP($D48,'Modelling New'!$D:$D,'Modelling New'!$N:$N),"")</f>
        <v>70.400000000000006</v>
      </c>
      <c r="AS48" s="198"/>
    </row>
    <row r="49" spans="1:45">
      <c r="A49" s="137">
        <f t="shared" si="4"/>
        <v>45792</v>
      </c>
      <c r="B49" s="138">
        <f>YEAR(Daily_KPI[[#This Row],[Date]])+IF(MONTH(Daily_KPI[[#This Row],[Date]])&gt;=4,1,0)</f>
        <v>2026</v>
      </c>
      <c r="C49" s="108">
        <f>YEAR(Daily_KPI[[#This Row],[Date]])</f>
        <v>2025</v>
      </c>
      <c r="D49" s="139">
        <f>Daily_KPI[[#This Row],[Date]]-DAY(Daily_KPI[[#This Row],[Date]])+1</f>
        <v>45778</v>
      </c>
      <c r="E49" s="108">
        <f t="shared" si="0"/>
        <v>31</v>
      </c>
      <c r="F49" s="109"/>
      <c r="G49" s="110"/>
      <c r="H49" s="110"/>
      <c r="I49" s="110"/>
      <c r="J49" s="110"/>
      <c r="K49" s="111"/>
      <c r="L49" s="110"/>
      <c r="M49" s="110">
        <f>IFERROR(_xlfn.XLOOKUP($A49,Input_Raw!$A:$A,Input_Raw!$CQ:$CQ),"")</f>
        <v>4.0220454545454549</v>
      </c>
      <c r="N49" s="110">
        <f>IFERROR(_xlfn.XLOOKUP($A49,Input_Raw!$A:$A,Input_Raw!$CR:$CR),"")</f>
        <v>5.43</v>
      </c>
      <c r="O49" s="141">
        <f t="shared" si="1"/>
        <v>0.94095050583888029</v>
      </c>
      <c r="P49" s="141">
        <f>IFERROR(1-SUMIF(WTG_BD!$F:$F,$A49,WTG_BD!$AA:$AA)/($AA49+SUMIF(WTG_BD!$F:$F,$A49,WTG_BD!$AA:$AA)),"")</f>
        <v>0.97686674968866749</v>
      </c>
      <c r="Q49" s="141">
        <f>IFERROR(1-SUMIF(IGA_BD!$F:$F,$A49,IGA_BD!$W:$W)/($AA49+SUMIF(IGA_BD!$F:$F,$A49,IGA_BD!$W:$W)),"")</f>
        <v>0.96323322104961207</v>
      </c>
      <c r="R49" s="141">
        <f>IFERROR(1-SUMIF(Grid_BD!$F:$F,$A49,Grid_BD!$Y:$Y)/($AA49+SUMIF(Grid_BD!$F:$F,$A49,Grid_BD!$Y:$Y)),"")</f>
        <v>1</v>
      </c>
      <c r="S49" s="108"/>
      <c r="T49" s="140"/>
      <c r="U49" s="141"/>
      <c r="V49" s="108"/>
      <c r="W49" s="142">
        <f t="shared" si="2"/>
        <v>5.803326231060605E-2</v>
      </c>
      <c r="X49" s="108">
        <f>IFERROR(_xlfn.XLOOKUP($A49,Input_Raw!$A:$A,Input_Raw!$CP:$CP)*1000,"")</f>
        <v>98053</v>
      </c>
      <c r="Y49" s="108">
        <f>IFERROR(_xlfn.XLOOKUP($A49,Input_Raw!$A:$A,Input_Raw!DJ:DJ)*1000,"")</f>
        <v>98053</v>
      </c>
      <c r="Z49" s="108">
        <f>IFERROR(_xlfn.XLOOKUP($A49,Input_Raw!$A:$A,Input_Raw!DK:DK)*1000,"")</f>
        <v>0</v>
      </c>
      <c r="AA49" s="138">
        <f t="shared" si="3"/>
        <v>98053</v>
      </c>
      <c r="AB49" s="108">
        <f>IFERROR(_xlfn.XLOOKUP($A49,Input_Raw!$A:$A,Input_Raw!$DR:$DR),"")</f>
        <v>70.400000000000006</v>
      </c>
      <c r="AC49" s="143">
        <f>IFERROR(_xlfn.XLOOKUP($D49,'Modelling New'!$D:$D,'Modelling New'!$J:$J),"")</f>
        <v>5.7233333333333336</v>
      </c>
      <c r="AD49" s="138">
        <f>IFERROR(_xlfn.XLOOKUP($D49,'Modelling New'!$D:$D,'Modelling New'!$T:$T)*1000,"")</f>
        <v>349950.51476253523</v>
      </c>
      <c r="AE49" s="142"/>
      <c r="AF49" s="142">
        <f>IFERROR(_xlfn.XLOOKUP($D49,'Modelling New'!$D:$D,'Modelling New'!$W:$W),"")</f>
        <v>0.20712033307441716</v>
      </c>
      <c r="AG49" s="142">
        <f>IFERROR(_xlfn.XLOOKUP($D49,'Modelling New'!$D:$D,'Modelling New'!$AE:$AE),"")</f>
        <v>0.96029999999999993</v>
      </c>
      <c r="AH49" s="142">
        <f>IFERROR(_xlfn.XLOOKUP($D49,'Modelling New'!$D:$D,'Modelling New'!$AF:$AF),"")</f>
        <v>0.995</v>
      </c>
      <c r="AI49" s="109">
        <f>IFERROR(_xlfn.XLOOKUP($A49,Input_Raw!$A:$A,Input_Raw!$DP:$DP),"")</f>
        <v>98.72</v>
      </c>
      <c r="AJ49" s="108"/>
      <c r="AK49" s="108"/>
      <c r="AL49" s="108"/>
      <c r="AM49" s="108"/>
      <c r="AN49" s="132">
        <f>IFERROR(_xlfn.XLOOKUP($A49,Input_Raw!$A:$A,Input_Raw!$DL:$DL),"")</f>
        <v>0</v>
      </c>
      <c r="AO49" s="142">
        <f>IFERROR((_xlfn.XLOOKUP($A49,'WTG Reactive Power'!$A:$A,'WTG Reactive Power'!$AW:$AW))/X49,"")</f>
        <v>2.0189911068503767E-4</v>
      </c>
      <c r="AP49" s="142">
        <f>IFERROR(_xlfn.XLOOKUP($D49,'Modelling New'!$D:$D,'Modelling New'!$AK:$AK),"")</f>
        <v>0.05</v>
      </c>
      <c r="AQ49" s="142">
        <f>IFERROR(_xlfn.XLOOKUP($D49,'Modelling New'!$D:$D,'Modelling New'!$AL:$AL),"")</f>
        <v>0.05</v>
      </c>
      <c r="AR49" s="198">
        <f>IFERROR(_xlfn.XLOOKUP($D49,'Modelling New'!$D:$D,'Modelling New'!$N:$N),"")</f>
        <v>70.400000000000006</v>
      </c>
      <c r="AS49" s="198"/>
    </row>
    <row r="50" spans="1:45">
      <c r="A50" s="137">
        <f t="shared" si="4"/>
        <v>45793</v>
      </c>
      <c r="B50" s="138">
        <f>YEAR(Daily_KPI[[#This Row],[Date]])+IF(MONTH(Daily_KPI[[#This Row],[Date]])&gt;=4,1,0)</f>
        <v>2026</v>
      </c>
      <c r="C50" s="108">
        <f>YEAR(Daily_KPI[[#This Row],[Date]])</f>
        <v>2025</v>
      </c>
      <c r="D50" s="139">
        <f>Daily_KPI[[#This Row],[Date]]-DAY(Daily_KPI[[#This Row],[Date]])+1</f>
        <v>45778</v>
      </c>
      <c r="E50" s="108">
        <f t="shared" si="0"/>
        <v>31</v>
      </c>
      <c r="F50" s="109"/>
      <c r="G50" s="143"/>
      <c r="H50" s="143"/>
      <c r="I50" s="143"/>
      <c r="J50" s="143"/>
      <c r="K50" s="111"/>
      <c r="L50" s="110"/>
      <c r="M50" s="110">
        <f>IFERROR(_xlfn.XLOOKUP($A50,Input_Raw!$A:$A,Input_Raw!$CQ:$CQ),"")</f>
        <v>3.5484090909090908</v>
      </c>
      <c r="N50" s="110">
        <f>IFERROR(_xlfn.XLOOKUP($A50,Input_Raw!$A:$A,Input_Raw!$CR:$CR),"")</f>
        <v>4.28</v>
      </c>
      <c r="O50" s="141">
        <f t="shared" si="1"/>
        <v>0.99224825671761308</v>
      </c>
      <c r="P50" s="141">
        <f>IFERROR(1-SUMIF(WTG_BD!$F:$F,$A50,WTG_BD!$AA:$AA)/($AA50+SUMIF(WTG_BD!$F:$F,$A50,WTG_BD!$AA:$AA)),"")</f>
        <v>0.9995572252784114</v>
      </c>
      <c r="Q50" s="141">
        <f>IFERROR(1-SUMIF(IGA_BD!$F:$F,$A50,IGA_BD!$W:$W)/($AA50+SUMIF(IGA_BD!$F:$F,$A50,IGA_BD!$W:$W)),"")</f>
        <v>0.99268779377912808</v>
      </c>
      <c r="R50" s="141">
        <f>IFERROR(1-SUMIF(Grid_BD!$F:$F,$A50,Grid_BD!$Y:$Y)/($AA50+SUMIF(Grid_BD!$F:$F,$A50,Grid_BD!$Y:$Y)),"")</f>
        <v>1</v>
      </c>
      <c r="S50" s="108"/>
      <c r="T50" s="140"/>
      <c r="U50" s="141"/>
      <c r="V50" s="108"/>
      <c r="W50" s="142">
        <f t="shared" si="2"/>
        <v>4.4091500946969689E-2</v>
      </c>
      <c r="X50" s="108">
        <f>IFERROR(_xlfn.XLOOKUP($A50,Input_Raw!$A:$A,Input_Raw!$CP:$CP)*1000,"")</f>
        <v>74497</v>
      </c>
      <c r="Y50" s="108">
        <f>IFERROR(_xlfn.XLOOKUP($A50,Input_Raw!$A:$A,Input_Raw!DJ:DJ)*1000,"")</f>
        <v>74497</v>
      </c>
      <c r="Z50" s="108">
        <f>IFERROR(_xlfn.XLOOKUP($A50,Input_Raw!$A:$A,Input_Raw!DK:DK)*1000,"")</f>
        <v>0</v>
      </c>
      <c r="AA50" s="138">
        <f t="shared" si="3"/>
        <v>74497</v>
      </c>
      <c r="AB50" s="108">
        <f>IFERROR(_xlfn.XLOOKUP($A50,Input_Raw!$A:$A,Input_Raw!$DR:$DR),"")</f>
        <v>70.400000000000006</v>
      </c>
      <c r="AC50" s="143">
        <f>IFERROR(_xlfn.XLOOKUP($D50,'Modelling New'!$D:$D,'Modelling New'!$J:$J),"")</f>
        <v>5.7233333333333336</v>
      </c>
      <c r="AD50" s="138">
        <f>IFERROR(_xlfn.XLOOKUP($D50,'Modelling New'!$D:$D,'Modelling New'!$T:$T)*1000,"")</f>
        <v>349950.51476253523</v>
      </c>
      <c r="AE50" s="142"/>
      <c r="AF50" s="142">
        <f>IFERROR(_xlfn.XLOOKUP($D50,'Modelling New'!$D:$D,'Modelling New'!$W:$W),"")</f>
        <v>0.20712033307441716</v>
      </c>
      <c r="AG50" s="142">
        <f>IFERROR(_xlfn.XLOOKUP($D50,'Modelling New'!$D:$D,'Modelling New'!$AE:$AE),"")</f>
        <v>0.96029999999999993</v>
      </c>
      <c r="AH50" s="142">
        <f>IFERROR(_xlfn.XLOOKUP($D50,'Modelling New'!$D:$D,'Modelling New'!$AF:$AF),"")</f>
        <v>0.995</v>
      </c>
      <c r="AI50" s="109">
        <f>IFERROR(_xlfn.XLOOKUP($A50,Input_Raw!$A:$A,Input_Raw!$DP:$DP),"")</f>
        <v>74.53</v>
      </c>
      <c r="AJ50" s="108"/>
      <c r="AK50" s="108"/>
      <c r="AL50" s="108"/>
      <c r="AM50" s="108"/>
      <c r="AN50" s="132">
        <f>IFERROR(_xlfn.XLOOKUP($A50,Input_Raw!$A:$A,Input_Raw!$DL:$DL),"")</f>
        <v>0</v>
      </c>
      <c r="AO50" s="142">
        <f>IFERROR((_xlfn.XLOOKUP($A50,'WTG Reactive Power'!$A:$A,'WTG Reactive Power'!$AW:$AW))/X50,"")</f>
        <v>9.5011745439413622E-6</v>
      </c>
      <c r="AP50" s="142">
        <f>IFERROR(_xlfn.XLOOKUP($D50,'Modelling New'!$D:$D,'Modelling New'!$AK:$AK),"")</f>
        <v>0.05</v>
      </c>
      <c r="AQ50" s="142">
        <f>IFERROR(_xlfn.XLOOKUP($D50,'Modelling New'!$D:$D,'Modelling New'!$AL:$AL),"")</f>
        <v>0.05</v>
      </c>
      <c r="AR50" s="198">
        <f>IFERROR(_xlfn.XLOOKUP($D50,'Modelling New'!$D:$D,'Modelling New'!$N:$N),"")</f>
        <v>70.400000000000006</v>
      </c>
      <c r="AS50" s="198"/>
    </row>
    <row r="51" spans="1:45">
      <c r="A51" s="137">
        <f t="shared" si="4"/>
        <v>45794</v>
      </c>
      <c r="B51" s="138">
        <f>YEAR(Daily_KPI[[#This Row],[Date]])+IF(MONTH(Daily_KPI[[#This Row],[Date]])&gt;=4,1,0)</f>
        <v>2026</v>
      </c>
      <c r="C51" s="108">
        <f>YEAR(Daily_KPI[[#This Row],[Date]])</f>
        <v>2025</v>
      </c>
      <c r="D51" s="139">
        <f>Daily_KPI[[#This Row],[Date]]-DAY(Daily_KPI[[#This Row],[Date]])+1</f>
        <v>45778</v>
      </c>
      <c r="E51" s="108">
        <f t="shared" si="0"/>
        <v>31</v>
      </c>
      <c r="F51" s="109"/>
      <c r="G51" s="110"/>
      <c r="H51" s="110"/>
      <c r="I51" s="110"/>
      <c r="J51" s="110"/>
      <c r="K51" s="111"/>
      <c r="L51" s="110"/>
      <c r="M51" s="110">
        <f>IFERROR(_xlfn.XLOOKUP($A51,Input_Raw!$A:$A,Input_Raw!$CQ:$CQ),"")</f>
        <v>4.8418181818181827</v>
      </c>
      <c r="N51" s="110">
        <f>IFERROR(_xlfn.XLOOKUP($A51,Input_Raw!$A:$A,Input_Raw!$CR:$CR),"")</f>
        <v>6.14</v>
      </c>
      <c r="O51" s="141">
        <f t="shared" si="1"/>
        <v>0.99252810500229738</v>
      </c>
      <c r="P51" s="141">
        <f>IFERROR(1-SUMIF(WTG_BD!$F:$F,$A51,WTG_BD!$AA:$AA)/($AA51+SUMIF(WTG_BD!$F:$F,$A51,WTG_BD!$AA:$AA)),"")</f>
        <v>0.9946249348648587</v>
      </c>
      <c r="Q51" s="141">
        <f>IFERROR(1-SUMIF(IGA_BD!$F:$F,$A51,IGA_BD!$W:$W)/($AA51+SUMIF(IGA_BD!$F:$F,$A51,IGA_BD!$W:$W)),"")</f>
        <v>0.99789183863277442</v>
      </c>
      <c r="R51" s="141">
        <f>IFERROR(1-SUMIF(Grid_BD!$F:$F,$A51,Grid_BD!$Y:$Y)/($AA51+SUMIF(Grid_BD!$F:$F,$A51,Grid_BD!$Y:$Y)),"")</f>
        <v>1</v>
      </c>
      <c r="S51" s="108"/>
      <c r="T51" s="140"/>
      <c r="U51" s="141"/>
      <c r="V51" s="108"/>
      <c r="W51" s="142">
        <f t="shared" si="2"/>
        <v>0.10393406723484847</v>
      </c>
      <c r="X51" s="108">
        <f>IFERROR(_xlfn.XLOOKUP($A51,Input_Raw!$A:$A,Input_Raw!$CP:$CP)*1000,"")</f>
        <v>175607</v>
      </c>
      <c r="Y51" s="108">
        <f>IFERROR(_xlfn.XLOOKUP($A51,Input_Raw!$A:$A,Input_Raw!DJ:DJ)*1000,"")</f>
        <v>175607</v>
      </c>
      <c r="Z51" s="108">
        <f>IFERROR(_xlfn.XLOOKUP($A51,Input_Raw!$A:$A,Input_Raw!DK:DK)*1000,"")</f>
        <v>0</v>
      </c>
      <c r="AA51" s="138">
        <f t="shared" si="3"/>
        <v>175607</v>
      </c>
      <c r="AB51" s="108">
        <f>IFERROR(_xlfn.XLOOKUP($A51,Input_Raw!$A:$A,Input_Raw!$DR:$DR),"")</f>
        <v>70.400000000000006</v>
      </c>
      <c r="AC51" s="143">
        <f>IFERROR(_xlfn.XLOOKUP($D51,'Modelling New'!$D:$D,'Modelling New'!$J:$J),"")</f>
        <v>5.7233333333333336</v>
      </c>
      <c r="AD51" s="138">
        <f>IFERROR(_xlfn.XLOOKUP($D51,'Modelling New'!$D:$D,'Modelling New'!$T:$T)*1000,"")</f>
        <v>349950.51476253523</v>
      </c>
      <c r="AE51" s="142"/>
      <c r="AF51" s="142">
        <f>IFERROR(_xlfn.XLOOKUP($D51,'Modelling New'!$D:$D,'Modelling New'!$W:$W),"")</f>
        <v>0.20712033307441716</v>
      </c>
      <c r="AG51" s="142">
        <f>IFERROR(_xlfn.XLOOKUP($D51,'Modelling New'!$D:$D,'Modelling New'!$AE:$AE),"")</f>
        <v>0.96029999999999993</v>
      </c>
      <c r="AH51" s="142">
        <f>IFERROR(_xlfn.XLOOKUP($D51,'Modelling New'!$D:$D,'Modelling New'!$AF:$AF),"")</f>
        <v>0.995</v>
      </c>
      <c r="AI51" s="109">
        <f>IFERROR(_xlfn.XLOOKUP($A51,Input_Raw!$A:$A,Input_Raw!$DP:$DP),"")</f>
        <v>167.61</v>
      </c>
      <c r="AJ51" s="108"/>
      <c r="AK51" s="108"/>
      <c r="AL51" s="108"/>
      <c r="AM51" s="108"/>
      <c r="AN51" s="132">
        <f>IFERROR(_xlfn.XLOOKUP($A51,Input_Raw!$A:$A,Input_Raw!$DL:$DL),"")</f>
        <v>0</v>
      </c>
      <c r="AO51" s="142">
        <f>IFERROR((_xlfn.XLOOKUP($A51,'WTG Reactive Power'!$A:$A,'WTG Reactive Power'!$AW:$AW))/X51,"")</f>
        <v>8.7605379246461315E-5</v>
      </c>
      <c r="AP51" s="142">
        <f>IFERROR(_xlfn.XLOOKUP($D51,'Modelling New'!$D:$D,'Modelling New'!$AK:$AK),"")</f>
        <v>0.05</v>
      </c>
      <c r="AQ51" s="142">
        <f>IFERROR(_xlfn.XLOOKUP($D51,'Modelling New'!$D:$D,'Modelling New'!$AL:$AL),"")</f>
        <v>0.05</v>
      </c>
      <c r="AR51" s="198">
        <f>IFERROR(_xlfn.XLOOKUP($D51,'Modelling New'!$D:$D,'Modelling New'!$N:$N),"")</f>
        <v>70.400000000000006</v>
      </c>
      <c r="AS51" s="198"/>
    </row>
    <row r="52" spans="1:45">
      <c r="A52" s="137">
        <f t="shared" si="4"/>
        <v>45795</v>
      </c>
      <c r="B52" s="138">
        <f>YEAR(Daily_KPI[[#This Row],[Date]])+IF(MONTH(Daily_KPI[[#This Row],[Date]])&gt;=4,1,0)</f>
        <v>2026</v>
      </c>
      <c r="C52" s="108">
        <f>YEAR(Daily_KPI[[#This Row],[Date]])</f>
        <v>2025</v>
      </c>
      <c r="D52" s="139">
        <f>Daily_KPI[[#This Row],[Date]]-DAY(Daily_KPI[[#This Row],[Date]])+1</f>
        <v>45778</v>
      </c>
      <c r="E52" s="108">
        <f t="shared" si="0"/>
        <v>31</v>
      </c>
      <c r="F52" s="109"/>
      <c r="G52" s="143"/>
      <c r="H52" s="143"/>
      <c r="I52" s="143"/>
      <c r="J52" s="143"/>
      <c r="K52" s="111"/>
      <c r="L52" s="110"/>
      <c r="M52" s="110">
        <f>IFERROR(_xlfn.XLOOKUP($A52,Input_Raw!$A:$A,Input_Raw!$CQ:$CQ),"")</f>
        <v>5.518409090909091</v>
      </c>
      <c r="N52" s="110">
        <f>IFERROR(_xlfn.XLOOKUP($A52,Input_Raw!$A:$A,Input_Raw!$CR:$CR),"")</f>
        <v>6.98</v>
      </c>
      <c r="O52" s="141">
        <f t="shared" si="1"/>
        <v>0.96908085890440088</v>
      </c>
      <c r="P52" s="141">
        <f>IFERROR(1-SUMIF(WTG_BD!$F:$F,$A52,WTG_BD!$AA:$AA)/($AA52+SUMIF(WTG_BD!$F:$F,$A52,WTG_BD!$AA:$AA)),"")</f>
        <v>1</v>
      </c>
      <c r="Q52" s="141">
        <f>IFERROR(1-SUMIF(IGA_BD!$F:$F,$A52,IGA_BD!$W:$W)/($AA52+SUMIF(IGA_BD!$F:$F,$A52,IGA_BD!$W:$W)),"")</f>
        <v>0.96908085890440088</v>
      </c>
      <c r="R52" s="141">
        <f>IFERROR(1-SUMIF(Grid_BD!$F:$F,$A52,Grid_BD!$Y:$Y)/($AA52+SUMIF(Grid_BD!$F:$F,$A52,Grid_BD!$Y:$Y)),"")</f>
        <v>1</v>
      </c>
      <c r="S52" s="108"/>
      <c r="T52" s="140"/>
      <c r="U52" s="141"/>
      <c r="V52" s="108"/>
      <c r="W52" s="142">
        <f t="shared" si="2"/>
        <v>8.0934540719696954E-2</v>
      </c>
      <c r="X52" s="108">
        <f>IFERROR(_xlfn.XLOOKUP($A52,Input_Raw!$A:$A,Input_Raw!$CP:$CP)*1000,"")</f>
        <v>136747</v>
      </c>
      <c r="Y52" s="108">
        <f>IFERROR(_xlfn.XLOOKUP($A52,Input_Raw!$A:$A,Input_Raw!DJ:DJ)*1000,"")</f>
        <v>136747</v>
      </c>
      <c r="Z52" s="108">
        <f>IFERROR(_xlfn.XLOOKUP($A52,Input_Raw!$A:$A,Input_Raw!DK:DK)*1000,"")</f>
        <v>0</v>
      </c>
      <c r="AA52" s="138">
        <f t="shared" si="3"/>
        <v>136747</v>
      </c>
      <c r="AB52" s="108">
        <f>IFERROR(_xlfn.XLOOKUP($A52,Input_Raw!$A:$A,Input_Raw!$DR:$DR),"")</f>
        <v>70.400000000000006</v>
      </c>
      <c r="AC52" s="143">
        <f>IFERROR(_xlfn.XLOOKUP($D52,'Modelling New'!$D:$D,'Modelling New'!$J:$J),"")</f>
        <v>5.7233333333333336</v>
      </c>
      <c r="AD52" s="138">
        <f>IFERROR(_xlfn.XLOOKUP($D52,'Modelling New'!$D:$D,'Modelling New'!$T:$T)*1000,"")</f>
        <v>349950.51476253523</v>
      </c>
      <c r="AE52" s="142"/>
      <c r="AF52" s="142">
        <f>IFERROR(_xlfn.XLOOKUP($D52,'Modelling New'!$D:$D,'Modelling New'!$W:$W),"")</f>
        <v>0.20712033307441716</v>
      </c>
      <c r="AG52" s="142">
        <f>IFERROR(_xlfn.XLOOKUP($D52,'Modelling New'!$D:$D,'Modelling New'!$AE:$AE),"")</f>
        <v>0.96029999999999993</v>
      </c>
      <c r="AH52" s="142">
        <f>IFERROR(_xlfn.XLOOKUP($D52,'Modelling New'!$D:$D,'Modelling New'!$AF:$AF),"")</f>
        <v>0.995</v>
      </c>
      <c r="AI52" s="109">
        <f>IFERROR(_xlfn.XLOOKUP($A52,Input_Raw!$A:$A,Input_Raw!$DP:$DP),"")</f>
        <v>82.84</v>
      </c>
      <c r="AJ52" s="108"/>
      <c r="AK52" s="108"/>
      <c r="AL52" s="108"/>
      <c r="AM52" s="108"/>
      <c r="AN52" s="132">
        <f>IFERROR(_xlfn.XLOOKUP($A52,Input_Raw!$A:$A,Input_Raw!$DL:$DL),"")</f>
        <v>0</v>
      </c>
      <c r="AO52" s="142">
        <f>IFERROR((_xlfn.XLOOKUP($A52,'WTG Reactive Power'!$A:$A,'WTG Reactive Power'!$AW:$AW))/X52,"")</f>
        <v>1.8750097909927746E-5</v>
      </c>
      <c r="AP52" s="142">
        <f>IFERROR(_xlfn.XLOOKUP($D52,'Modelling New'!$D:$D,'Modelling New'!$AK:$AK),"")</f>
        <v>0.05</v>
      </c>
      <c r="AQ52" s="142">
        <f>IFERROR(_xlfn.XLOOKUP($D52,'Modelling New'!$D:$D,'Modelling New'!$AL:$AL),"")</f>
        <v>0.05</v>
      </c>
      <c r="AR52" s="198">
        <f>IFERROR(_xlfn.XLOOKUP($D52,'Modelling New'!$D:$D,'Modelling New'!$N:$N),"")</f>
        <v>70.400000000000006</v>
      </c>
      <c r="AS52" s="198"/>
    </row>
    <row r="53" spans="1:45">
      <c r="A53" s="137">
        <f t="shared" si="4"/>
        <v>45796</v>
      </c>
      <c r="B53" s="138">
        <f>YEAR(Daily_KPI[[#This Row],[Date]])+IF(MONTH(Daily_KPI[[#This Row],[Date]])&gt;=4,1,0)</f>
        <v>2026</v>
      </c>
      <c r="C53" s="108">
        <f>YEAR(Daily_KPI[[#This Row],[Date]])</f>
        <v>2025</v>
      </c>
      <c r="D53" s="139">
        <f>Daily_KPI[[#This Row],[Date]]-DAY(Daily_KPI[[#This Row],[Date]])+1</f>
        <v>45778</v>
      </c>
      <c r="E53" s="108">
        <f t="shared" si="0"/>
        <v>31</v>
      </c>
      <c r="F53" s="109"/>
      <c r="G53" s="110"/>
      <c r="H53" s="110"/>
      <c r="I53" s="110"/>
      <c r="J53" s="110"/>
      <c r="K53" s="111"/>
      <c r="L53" s="110"/>
      <c r="M53" s="110">
        <f>IFERROR(_xlfn.XLOOKUP($A53,Input_Raw!$A:$A,Input_Raw!$CQ:$CQ),"")</f>
        <v>4.940681818181818</v>
      </c>
      <c r="N53" s="110">
        <f>IFERROR(_xlfn.XLOOKUP($A53,Input_Raw!$A:$A,Input_Raw!$CR:$CR),"")</f>
        <v>5.89</v>
      </c>
      <c r="O53" s="141">
        <f t="shared" si="1"/>
        <v>0.98127618742571521</v>
      </c>
      <c r="P53" s="141">
        <f>IFERROR(1-SUMIF(WTG_BD!$F:$F,$A53,WTG_BD!$AA:$AA)/($AA53+SUMIF(WTG_BD!$F:$F,$A53,WTG_BD!$AA:$AA)),"")</f>
        <v>0.99779292123789731</v>
      </c>
      <c r="Q53" s="141">
        <f>IFERROR(1-SUMIF(IGA_BD!$F:$F,$A53,IGA_BD!$W:$W)/($AA53+SUMIF(IGA_BD!$F:$F,$A53,IGA_BD!$W:$W)),"")</f>
        <v>0.98344673182117703</v>
      </c>
      <c r="R53" s="141">
        <f>IFERROR(1-SUMIF(Grid_BD!$F:$F,$A53,Grid_BD!$Y:$Y)/($AA53+SUMIF(Grid_BD!$F:$F,$A53,Grid_BD!$Y:$Y)),"")</f>
        <v>1</v>
      </c>
      <c r="S53" s="108"/>
      <c r="T53" s="140"/>
      <c r="U53" s="141"/>
      <c r="V53" s="108"/>
      <c r="W53" s="142">
        <f t="shared" si="2"/>
        <v>7.3314393939393929E-2</v>
      </c>
      <c r="X53" s="108">
        <f>IFERROR(_xlfn.XLOOKUP($A53,Input_Raw!$A:$A,Input_Raw!$CP:$CP)*1000,"")</f>
        <v>123872</v>
      </c>
      <c r="Y53" s="108">
        <f>IFERROR(_xlfn.XLOOKUP($A53,Input_Raw!$A:$A,Input_Raw!DJ:DJ)*1000,"")</f>
        <v>123871.99999999999</v>
      </c>
      <c r="Z53" s="108">
        <f>IFERROR(_xlfn.XLOOKUP($A53,Input_Raw!$A:$A,Input_Raw!DK:DK)*1000,"")</f>
        <v>0</v>
      </c>
      <c r="AA53" s="138">
        <f t="shared" si="3"/>
        <v>123871.99999999999</v>
      </c>
      <c r="AB53" s="108">
        <f>IFERROR(_xlfn.XLOOKUP($A53,Input_Raw!$A:$A,Input_Raw!$DR:$DR),"")</f>
        <v>70.400000000000006</v>
      </c>
      <c r="AC53" s="143">
        <f>IFERROR(_xlfn.XLOOKUP($D53,'Modelling New'!$D:$D,'Modelling New'!$J:$J),"")</f>
        <v>5.7233333333333336</v>
      </c>
      <c r="AD53" s="138">
        <f>IFERROR(_xlfn.XLOOKUP($D53,'Modelling New'!$D:$D,'Modelling New'!$T:$T)*1000,"")</f>
        <v>349950.51476253523</v>
      </c>
      <c r="AE53" s="142"/>
      <c r="AF53" s="142">
        <f>IFERROR(_xlfn.XLOOKUP($D53,'Modelling New'!$D:$D,'Modelling New'!$W:$W),"")</f>
        <v>0.20712033307441716</v>
      </c>
      <c r="AG53" s="142">
        <f>IFERROR(_xlfn.XLOOKUP($D53,'Modelling New'!$D:$D,'Modelling New'!$AE:$AE),"")</f>
        <v>0.96029999999999993</v>
      </c>
      <c r="AH53" s="142">
        <f>IFERROR(_xlfn.XLOOKUP($D53,'Modelling New'!$D:$D,'Modelling New'!$AF:$AF),"")</f>
        <v>0.995</v>
      </c>
      <c r="AI53" s="109">
        <f>IFERROR(_xlfn.XLOOKUP($A53,Input_Raw!$A:$A,Input_Raw!$DP:$DP),"")</f>
        <v>13.38</v>
      </c>
      <c r="AJ53" s="108"/>
      <c r="AK53" s="108"/>
      <c r="AL53" s="108"/>
      <c r="AM53" s="108"/>
      <c r="AN53" s="132">
        <f>IFERROR(_xlfn.XLOOKUP($A53,Input_Raw!$A:$A,Input_Raw!$DL:$DL),"")</f>
        <v>-1.1102230246251565E-16</v>
      </c>
      <c r="AO53" s="142">
        <f>IFERROR((_xlfn.XLOOKUP($A53,'WTG Reactive Power'!$A:$A,'WTG Reactive Power'!$AW:$AW))/X53,"")</f>
        <v>1.3070284245027123E-5</v>
      </c>
      <c r="AP53" s="142">
        <f>IFERROR(_xlfn.XLOOKUP($D53,'Modelling New'!$D:$D,'Modelling New'!$AK:$AK),"")</f>
        <v>0.05</v>
      </c>
      <c r="AQ53" s="142">
        <f>IFERROR(_xlfn.XLOOKUP($D53,'Modelling New'!$D:$D,'Modelling New'!$AL:$AL),"")</f>
        <v>0.05</v>
      </c>
      <c r="AR53" s="198">
        <f>IFERROR(_xlfn.XLOOKUP($D53,'Modelling New'!$D:$D,'Modelling New'!$N:$N),"")</f>
        <v>70.400000000000006</v>
      </c>
      <c r="AS53" s="198"/>
    </row>
    <row r="54" spans="1:45">
      <c r="A54" s="137">
        <f t="shared" si="4"/>
        <v>45797</v>
      </c>
      <c r="B54" s="138">
        <f>YEAR(Daily_KPI[[#This Row],[Date]])+IF(MONTH(Daily_KPI[[#This Row],[Date]])&gt;=4,1,0)</f>
        <v>2026</v>
      </c>
      <c r="C54" s="108">
        <f>YEAR(Daily_KPI[[#This Row],[Date]])</f>
        <v>2025</v>
      </c>
      <c r="D54" s="139">
        <f>Daily_KPI[[#This Row],[Date]]-DAY(Daily_KPI[[#This Row],[Date]])+1</f>
        <v>45778</v>
      </c>
      <c r="E54" s="108">
        <f t="shared" si="0"/>
        <v>31</v>
      </c>
      <c r="F54" s="109"/>
      <c r="G54" s="143"/>
      <c r="H54" s="143"/>
      <c r="I54" s="143"/>
      <c r="J54" s="143"/>
      <c r="K54" s="111"/>
      <c r="L54" s="110"/>
      <c r="M54" s="110">
        <f>IFERROR(_xlfn.XLOOKUP($A54,Input_Raw!$A:$A,Input_Raw!$CQ:$CQ),"")</f>
        <v>4.4509090909090903</v>
      </c>
      <c r="N54" s="110">
        <f>IFERROR(_xlfn.XLOOKUP($A54,Input_Raw!$A:$A,Input_Raw!$CR:$CR),"")</f>
        <v>5.38</v>
      </c>
      <c r="O54" s="141">
        <f t="shared" si="1"/>
        <v>0.91036861444462824</v>
      </c>
      <c r="P54" s="141">
        <f>IFERROR(1-SUMIF(WTG_BD!$F:$F,$A54,WTG_BD!$AA:$AA)/($AA54+SUMIF(WTG_BD!$F:$F,$A54,WTG_BD!$AA:$AA)),"")</f>
        <v>0.97965411129639501</v>
      </c>
      <c r="Q54" s="141">
        <f>IFERROR(1-SUMIF(IGA_BD!$F:$F,$A54,IGA_BD!$W:$W)/($AA54+SUMIF(IGA_BD!$F:$F,$A54,IGA_BD!$W:$W)),"")</f>
        <v>0.92927555138815277</v>
      </c>
      <c r="R54" s="141">
        <f>IFERROR(1-SUMIF(Grid_BD!$F:$F,$A54,Grid_BD!$Y:$Y)/($AA54+SUMIF(Grid_BD!$F:$F,$A54,Grid_BD!$Y:$Y)),"")</f>
        <v>1</v>
      </c>
      <c r="S54" s="108"/>
      <c r="T54" s="140"/>
      <c r="U54" s="141"/>
      <c r="V54" s="108"/>
      <c r="W54" s="142">
        <f t="shared" si="2"/>
        <v>6.7454427083333324E-2</v>
      </c>
      <c r="X54" s="108">
        <f>IFERROR(_xlfn.XLOOKUP($A54,Input_Raw!$A:$A,Input_Raw!$CP:$CP)*1000,"")</f>
        <v>113971</v>
      </c>
      <c r="Y54" s="108">
        <f>IFERROR(_xlfn.XLOOKUP($A54,Input_Raw!$A:$A,Input_Raw!DJ:DJ)*1000,"")</f>
        <v>113970.99999999999</v>
      </c>
      <c r="Z54" s="108">
        <f>IFERROR(_xlfn.XLOOKUP($A54,Input_Raw!$A:$A,Input_Raw!DK:DK)*1000,"")</f>
        <v>0</v>
      </c>
      <c r="AA54" s="138">
        <f t="shared" si="3"/>
        <v>113970.99999999999</v>
      </c>
      <c r="AB54" s="108">
        <f>IFERROR(_xlfn.XLOOKUP($A54,Input_Raw!$A:$A,Input_Raw!$DR:$DR),"")</f>
        <v>70.400000000000006</v>
      </c>
      <c r="AC54" s="143">
        <f>IFERROR(_xlfn.XLOOKUP($D54,'Modelling New'!$D:$D,'Modelling New'!$J:$J),"")</f>
        <v>5.7233333333333336</v>
      </c>
      <c r="AD54" s="138">
        <f>IFERROR(_xlfn.XLOOKUP($D54,'Modelling New'!$D:$D,'Modelling New'!$T:$T)*1000,"")</f>
        <v>349950.51476253523</v>
      </c>
      <c r="AE54" s="142"/>
      <c r="AF54" s="142">
        <f>IFERROR(_xlfn.XLOOKUP($D54,'Modelling New'!$D:$D,'Modelling New'!$W:$W),"")</f>
        <v>0.20712033307441716</v>
      </c>
      <c r="AG54" s="142">
        <f>IFERROR(_xlfn.XLOOKUP($D54,'Modelling New'!$D:$D,'Modelling New'!$AE:$AE),"")</f>
        <v>0.96029999999999993</v>
      </c>
      <c r="AH54" s="142">
        <f>IFERROR(_xlfn.XLOOKUP($D54,'Modelling New'!$D:$D,'Modelling New'!$AF:$AF),"")</f>
        <v>0.995</v>
      </c>
      <c r="AI54" s="109">
        <f>IFERROR(_xlfn.XLOOKUP($A54,Input_Raw!$A:$A,Input_Raw!$DP:$DP),"")</f>
        <v>114.6</v>
      </c>
      <c r="AJ54" s="108"/>
      <c r="AK54" s="108"/>
      <c r="AL54" s="108"/>
      <c r="AM54" s="108"/>
      <c r="AN54" s="132">
        <f>IFERROR(_xlfn.XLOOKUP($A54,Input_Raw!$A:$A,Input_Raw!$DL:$DL),"")</f>
        <v>-1.1102230246251565E-16</v>
      </c>
      <c r="AO54" s="142">
        <f>IFERROR((_xlfn.XLOOKUP($A54,'WTG Reactive Power'!$A:$A,'WTG Reactive Power'!$AW:$AW))/X54,"")</f>
        <v>3.1046231058778117E-6</v>
      </c>
      <c r="AP54" s="142">
        <f>IFERROR(_xlfn.XLOOKUP($D54,'Modelling New'!$D:$D,'Modelling New'!$AK:$AK),"")</f>
        <v>0.05</v>
      </c>
      <c r="AQ54" s="142">
        <f>IFERROR(_xlfn.XLOOKUP($D54,'Modelling New'!$D:$D,'Modelling New'!$AL:$AL),"")</f>
        <v>0.05</v>
      </c>
      <c r="AR54" s="198">
        <f>IFERROR(_xlfn.XLOOKUP($D54,'Modelling New'!$D:$D,'Modelling New'!$N:$N),"")</f>
        <v>70.400000000000006</v>
      </c>
      <c r="AS54" s="198"/>
    </row>
    <row r="55" spans="1:45">
      <c r="A55" s="137">
        <f t="shared" si="4"/>
        <v>45798</v>
      </c>
      <c r="B55" s="138">
        <f>YEAR(Daily_KPI[[#This Row],[Date]])+IF(MONTH(Daily_KPI[[#This Row],[Date]])&gt;=4,1,0)</f>
        <v>2026</v>
      </c>
      <c r="C55" s="108">
        <f>YEAR(Daily_KPI[[#This Row],[Date]])</f>
        <v>2025</v>
      </c>
      <c r="D55" s="139">
        <f>Daily_KPI[[#This Row],[Date]]-DAY(Daily_KPI[[#This Row],[Date]])+1</f>
        <v>45778</v>
      </c>
      <c r="E55" s="108">
        <f t="shared" si="0"/>
        <v>31</v>
      </c>
      <c r="F55" s="109"/>
      <c r="G55" s="110"/>
      <c r="H55" s="110"/>
      <c r="I55" s="110"/>
      <c r="J55" s="110"/>
      <c r="K55" s="111"/>
      <c r="L55" s="110"/>
      <c r="M55" s="110">
        <f>IFERROR(_xlfn.XLOOKUP($A55,Input_Raw!$A:$A,Input_Raw!$CQ:$CQ),"")</f>
        <v>4.4890909090909101</v>
      </c>
      <c r="N55" s="110">
        <f>IFERROR(_xlfn.XLOOKUP($A55,Input_Raw!$A:$A,Input_Raw!$CR:$CR),"")</f>
        <v>6.25</v>
      </c>
      <c r="O55" s="141">
        <f t="shared" si="1"/>
        <v>1</v>
      </c>
      <c r="P55" s="141">
        <f>IFERROR(1-SUMIF(WTG_BD!$F:$F,$A55,WTG_BD!$AA:$AA)/($AA55+SUMIF(WTG_BD!$F:$F,$A55,WTG_BD!$AA:$AA)),"")</f>
        <v>1</v>
      </c>
      <c r="Q55" s="141">
        <f>IFERROR(1-SUMIF(IGA_BD!$F:$F,$A55,IGA_BD!$W:$W)/($AA55+SUMIF(IGA_BD!$F:$F,$A55,IGA_BD!$W:$W)),"")</f>
        <v>1</v>
      </c>
      <c r="R55" s="141">
        <f>IFERROR(1-SUMIF(Grid_BD!$F:$F,$A55,Grid_BD!$Y:$Y)/($AA55+SUMIF(Grid_BD!$F:$F,$A55,Grid_BD!$Y:$Y)),"")</f>
        <v>1</v>
      </c>
      <c r="S55" s="108"/>
      <c r="T55" s="140"/>
      <c r="U55" s="141"/>
      <c r="V55" s="108"/>
      <c r="W55" s="142">
        <f t="shared" si="2"/>
        <v>9.2910156249999987E-2</v>
      </c>
      <c r="X55" s="108">
        <f>IFERROR(_xlfn.XLOOKUP($A55,Input_Raw!$A:$A,Input_Raw!$CP:$CP)*1000,"")</f>
        <v>156981</v>
      </c>
      <c r="Y55" s="108">
        <f>IFERROR(_xlfn.XLOOKUP($A55,Input_Raw!$A:$A,Input_Raw!DJ:DJ)*1000,"")</f>
        <v>156981</v>
      </c>
      <c r="Z55" s="108">
        <f>IFERROR(_xlfn.XLOOKUP($A55,Input_Raw!$A:$A,Input_Raw!DK:DK)*1000,"")</f>
        <v>0</v>
      </c>
      <c r="AA55" s="138">
        <f t="shared" si="3"/>
        <v>156981</v>
      </c>
      <c r="AB55" s="108">
        <f>IFERROR(_xlfn.XLOOKUP($A55,Input_Raw!$A:$A,Input_Raw!$DR:$DR),"")</f>
        <v>70.400000000000006</v>
      </c>
      <c r="AC55" s="143">
        <f>IFERROR(_xlfn.XLOOKUP($D55,'Modelling New'!$D:$D,'Modelling New'!$J:$J),"")</f>
        <v>5.7233333333333336</v>
      </c>
      <c r="AD55" s="138">
        <f>IFERROR(_xlfn.XLOOKUP($D55,'Modelling New'!$D:$D,'Modelling New'!$T:$T)*1000,"")</f>
        <v>349950.51476253523</v>
      </c>
      <c r="AE55" s="142"/>
      <c r="AF55" s="142">
        <f>IFERROR(_xlfn.XLOOKUP($D55,'Modelling New'!$D:$D,'Modelling New'!$W:$W),"")</f>
        <v>0.20712033307441716</v>
      </c>
      <c r="AG55" s="142">
        <f>IFERROR(_xlfn.XLOOKUP($D55,'Modelling New'!$D:$D,'Modelling New'!$AE:$AE),"")</f>
        <v>0.96029999999999993</v>
      </c>
      <c r="AH55" s="142">
        <f>IFERROR(_xlfn.XLOOKUP($D55,'Modelling New'!$D:$D,'Modelling New'!$AF:$AF),"")</f>
        <v>0.995</v>
      </c>
      <c r="AI55" s="109">
        <f>IFERROR(_xlfn.XLOOKUP($A55,Input_Raw!$A:$A,Input_Raw!$DP:$DP),"")</f>
        <v>143.72999999999999</v>
      </c>
      <c r="AJ55" s="108"/>
      <c r="AK55" s="108"/>
      <c r="AL55" s="108"/>
      <c r="AM55" s="108"/>
      <c r="AN55" s="132">
        <f>IFERROR(_xlfn.XLOOKUP($A55,Input_Raw!$A:$A,Input_Raw!$DL:$DL),"")</f>
        <v>0</v>
      </c>
      <c r="AO55" s="142">
        <f>IFERROR((_xlfn.XLOOKUP($A55,'WTG Reactive Power'!$A:$A,'WTG Reactive Power'!$AW:$AW))/X55,"")</f>
        <v>0</v>
      </c>
      <c r="AP55" s="142">
        <f>IFERROR(_xlfn.XLOOKUP($D55,'Modelling New'!$D:$D,'Modelling New'!$AK:$AK),"")</f>
        <v>0.05</v>
      </c>
      <c r="AQ55" s="142">
        <f>IFERROR(_xlfn.XLOOKUP($D55,'Modelling New'!$D:$D,'Modelling New'!$AL:$AL),"")</f>
        <v>0.05</v>
      </c>
      <c r="AR55" s="198">
        <f>IFERROR(_xlfn.XLOOKUP($D55,'Modelling New'!$D:$D,'Modelling New'!$N:$N),"")</f>
        <v>70.400000000000006</v>
      </c>
      <c r="AS55" s="198"/>
    </row>
    <row r="56" spans="1:45">
      <c r="A56" s="137">
        <f t="shared" si="4"/>
        <v>45799</v>
      </c>
      <c r="B56" s="138">
        <f>YEAR(Daily_KPI[[#This Row],[Date]])+IF(MONTH(Daily_KPI[[#This Row],[Date]])&gt;=4,1,0)</f>
        <v>2026</v>
      </c>
      <c r="C56" s="108">
        <f>YEAR(Daily_KPI[[#This Row],[Date]])</f>
        <v>2025</v>
      </c>
      <c r="D56" s="139">
        <f>Daily_KPI[[#This Row],[Date]]-DAY(Daily_KPI[[#This Row],[Date]])+1</f>
        <v>45778</v>
      </c>
      <c r="E56" s="108">
        <f t="shared" si="0"/>
        <v>31</v>
      </c>
      <c r="F56" s="109"/>
      <c r="G56" s="143"/>
      <c r="H56" s="143"/>
      <c r="I56" s="143"/>
      <c r="J56" s="143"/>
      <c r="K56" s="111"/>
      <c r="L56" s="110"/>
      <c r="M56" s="110">
        <f>IFERROR(_xlfn.XLOOKUP($A56,Input_Raw!$A:$A,Input_Raw!$CQ:$CQ),"")</f>
        <v>4.5872727272727269</v>
      </c>
      <c r="N56" s="110">
        <f>IFERROR(_xlfn.XLOOKUP($A56,Input_Raw!$A:$A,Input_Raw!$CR:$CR),"")</f>
        <v>6.51</v>
      </c>
      <c r="O56" s="141">
        <f t="shared" si="1"/>
        <v>0.98389374177336364</v>
      </c>
      <c r="P56" s="141">
        <f>IFERROR(1-SUMIF(WTG_BD!$F:$F,$A56,WTG_BD!$AA:$AA)/($AA56+SUMIF(WTG_BD!$F:$F,$A56,WTG_BD!$AA:$AA)),"")</f>
        <v>1</v>
      </c>
      <c r="Q56" s="141">
        <f>IFERROR(1-SUMIF(IGA_BD!$F:$F,$A56,IGA_BD!$W:$W)/($AA56+SUMIF(IGA_BD!$F:$F,$A56,IGA_BD!$W:$W)),"")</f>
        <v>0.98389374177336364</v>
      </c>
      <c r="R56" s="141">
        <f>IFERROR(1-SUMIF(Grid_BD!$F:$F,$A56,Grid_BD!$Y:$Y)/($AA56+SUMIF(Grid_BD!$F:$F,$A56,Grid_BD!$Y:$Y)),"")</f>
        <v>1</v>
      </c>
      <c r="S56" s="108"/>
      <c r="T56" s="140"/>
      <c r="U56" s="141"/>
      <c r="V56" s="108"/>
      <c r="W56" s="142">
        <f t="shared" si="2"/>
        <v>9.7329545454545446E-2</v>
      </c>
      <c r="X56" s="108">
        <f>IFERROR(_xlfn.XLOOKUP($A56,Input_Raw!$A:$A,Input_Raw!$CP:$CP)*1000,"")</f>
        <v>164448</v>
      </c>
      <c r="Y56" s="108">
        <f>IFERROR(_xlfn.XLOOKUP($A56,Input_Raw!$A:$A,Input_Raw!DJ:DJ)*1000,"")</f>
        <v>164448</v>
      </c>
      <c r="Z56" s="108">
        <f>IFERROR(_xlfn.XLOOKUP($A56,Input_Raw!$A:$A,Input_Raw!DK:DK)*1000,"")</f>
        <v>0</v>
      </c>
      <c r="AA56" s="138">
        <f t="shared" si="3"/>
        <v>164448</v>
      </c>
      <c r="AB56" s="108">
        <f>IFERROR(_xlfn.XLOOKUP($A56,Input_Raw!$A:$A,Input_Raw!$DR:$DR),"")</f>
        <v>70.400000000000006</v>
      </c>
      <c r="AC56" s="143">
        <f>IFERROR(_xlfn.XLOOKUP($D56,'Modelling New'!$D:$D,'Modelling New'!$J:$J),"")</f>
        <v>5.7233333333333336</v>
      </c>
      <c r="AD56" s="138">
        <f>IFERROR(_xlfn.XLOOKUP($D56,'Modelling New'!$D:$D,'Modelling New'!$T:$T)*1000,"")</f>
        <v>349950.51476253523</v>
      </c>
      <c r="AE56" s="142"/>
      <c r="AF56" s="142">
        <f>IFERROR(_xlfn.XLOOKUP($D56,'Modelling New'!$D:$D,'Modelling New'!$W:$W),"")</f>
        <v>0.20712033307441716</v>
      </c>
      <c r="AG56" s="142">
        <f>IFERROR(_xlfn.XLOOKUP($D56,'Modelling New'!$D:$D,'Modelling New'!$AE:$AE),"")</f>
        <v>0.96029999999999993</v>
      </c>
      <c r="AH56" s="142">
        <f>IFERROR(_xlfn.XLOOKUP($D56,'Modelling New'!$D:$D,'Modelling New'!$AF:$AF),"")</f>
        <v>0.995</v>
      </c>
      <c r="AI56" s="109">
        <f>IFERROR(_xlfn.XLOOKUP($A56,Input_Raw!$A:$A,Input_Raw!$DP:$DP),"")</f>
        <v>146.37</v>
      </c>
      <c r="AJ56" s="108"/>
      <c r="AK56" s="108"/>
      <c r="AL56" s="108"/>
      <c r="AM56" s="108"/>
      <c r="AN56" s="132">
        <f>IFERROR(_xlfn.XLOOKUP($A56,Input_Raw!$A:$A,Input_Raw!$DL:$DL),"")</f>
        <v>0</v>
      </c>
      <c r="AO56" s="142">
        <f>IFERROR((_xlfn.XLOOKUP($A56,'WTG Reactive Power'!$A:$A,'WTG Reactive Power'!$AW:$AW))/X56,"")</f>
        <v>1.091078983427386E-4</v>
      </c>
      <c r="AP56" s="142">
        <f>IFERROR(_xlfn.XLOOKUP($D56,'Modelling New'!$D:$D,'Modelling New'!$AK:$AK),"")</f>
        <v>0.05</v>
      </c>
      <c r="AQ56" s="142">
        <f>IFERROR(_xlfn.XLOOKUP($D56,'Modelling New'!$D:$D,'Modelling New'!$AL:$AL),"")</f>
        <v>0.05</v>
      </c>
      <c r="AR56" s="198">
        <f>IFERROR(_xlfn.XLOOKUP($D56,'Modelling New'!$D:$D,'Modelling New'!$N:$N),"")</f>
        <v>70.400000000000006</v>
      </c>
      <c r="AS56" s="198"/>
    </row>
    <row r="57" spans="1:45">
      <c r="A57" s="137">
        <f t="shared" si="4"/>
        <v>45800</v>
      </c>
      <c r="B57" s="138">
        <f>YEAR(Daily_KPI[[#This Row],[Date]])+IF(MONTH(Daily_KPI[[#This Row],[Date]])&gt;=4,1,0)</f>
        <v>2026</v>
      </c>
      <c r="C57" s="108">
        <f>YEAR(Daily_KPI[[#This Row],[Date]])</f>
        <v>2025</v>
      </c>
      <c r="D57" s="139">
        <f>Daily_KPI[[#This Row],[Date]]-DAY(Daily_KPI[[#This Row],[Date]])+1</f>
        <v>45778</v>
      </c>
      <c r="E57" s="108">
        <f t="shared" si="0"/>
        <v>31</v>
      </c>
      <c r="F57" s="109"/>
      <c r="G57" s="110"/>
      <c r="H57" s="110"/>
      <c r="I57" s="110"/>
      <c r="J57" s="110"/>
      <c r="K57" s="111"/>
      <c r="L57" s="110"/>
      <c r="M57" s="110">
        <f>IFERROR(_xlfn.XLOOKUP($A57,Input_Raw!$A:$A,Input_Raw!$CQ:$CQ),"")</f>
        <v>4.4518181818181803</v>
      </c>
      <c r="N57" s="110">
        <f>IFERROR(_xlfn.XLOOKUP($A57,Input_Raw!$A:$A,Input_Raw!$CR:$CR),"")</f>
        <v>6.17</v>
      </c>
      <c r="O57" s="141">
        <f t="shared" si="1"/>
        <v>0.86219164942793114</v>
      </c>
      <c r="P57" s="141">
        <f>IFERROR(1-SUMIF(WTG_BD!$F:$F,$A57,WTG_BD!$AA:$AA)/($AA57+SUMIF(WTG_BD!$F:$F,$A57,WTG_BD!$AA:$AA)),"")</f>
        <v>0.99604681333758993</v>
      </c>
      <c r="Q57" s="141">
        <f>IFERROR(1-SUMIF(IGA_BD!$F:$F,$A57,IGA_BD!$W:$W)/($AA57+SUMIF(IGA_BD!$F:$F,$A57,IGA_BD!$W:$W)),"")</f>
        <v>0.86561358149309064</v>
      </c>
      <c r="R57" s="141">
        <f>IFERROR(1-SUMIF(Grid_BD!$F:$F,$A57,Grid_BD!$Y:$Y)/($AA57+SUMIF(Grid_BD!$F:$F,$A57,Grid_BD!$Y:$Y)),"")</f>
        <v>1</v>
      </c>
      <c r="S57" s="108"/>
      <c r="T57" s="140"/>
      <c r="U57" s="141"/>
      <c r="V57" s="108"/>
      <c r="W57" s="142">
        <f t="shared" si="2"/>
        <v>8.6790364583333321E-2</v>
      </c>
      <c r="X57" s="108">
        <f>IFERROR(_xlfn.XLOOKUP($A57,Input_Raw!$A:$A,Input_Raw!$CP:$CP)*1000,"")</f>
        <v>146641</v>
      </c>
      <c r="Y57" s="108">
        <f>IFERROR(_xlfn.XLOOKUP($A57,Input_Raw!$A:$A,Input_Raw!DJ:DJ)*1000,"")</f>
        <v>146641</v>
      </c>
      <c r="Z57" s="108">
        <f>IFERROR(_xlfn.XLOOKUP($A57,Input_Raw!$A:$A,Input_Raw!DK:DK)*1000,"")</f>
        <v>0</v>
      </c>
      <c r="AA57" s="138">
        <f t="shared" si="3"/>
        <v>146641</v>
      </c>
      <c r="AB57" s="108">
        <f>IFERROR(_xlfn.XLOOKUP($A57,Input_Raw!$A:$A,Input_Raw!$DR:$DR),"")</f>
        <v>70.400000000000006</v>
      </c>
      <c r="AC57" s="143">
        <f>IFERROR(_xlfn.XLOOKUP($D57,'Modelling New'!$D:$D,'Modelling New'!$J:$J),"")</f>
        <v>5.7233333333333336</v>
      </c>
      <c r="AD57" s="138">
        <f>IFERROR(_xlfn.XLOOKUP($D57,'Modelling New'!$D:$D,'Modelling New'!$T:$T)*1000,"")</f>
        <v>349950.51476253523</v>
      </c>
      <c r="AE57" s="142"/>
      <c r="AF57" s="142">
        <f>IFERROR(_xlfn.XLOOKUP($D57,'Modelling New'!$D:$D,'Modelling New'!$W:$W),"")</f>
        <v>0.20712033307441716</v>
      </c>
      <c r="AG57" s="142">
        <f>IFERROR(_xlfn.XLOOKUP($D57,'Modelling New'!$D:$D,'Modelling New'!$AE:$AE),"")</f>
        <v>0.96029999999999993</v>
      </c>
      <c r="AH57" s="142">
        <f>IFERROR(_xlfn.XLOOKUP($D57,'Modelling New'!$D:$D,'Modelling New'!$AF:$AF),"")</f>
        <v>0.995</v>
      </c>
      <c r="AI57" s="109">
        <f>IFERROR(_xlfn.XLOOKUP($A57,Input_Raw!$A:$A,Input_Raw!$DP:$DP),"")</f>
        <v>140.63</v>
      </c>
      <c r="AJ57" s="108"/>
      <c r="AK57" s="108"/>
      <c r="AL57" s="108"/>
      <c r="AM57" s="108"/>
      <c r="AN57" s="132">
        <f>IFERROR(_xlfn.XLOOKUP($A57,Input_Raw!$A:$A,Input_Raw!$DL:$DL),"")</f>
        <v>0</v>
      </c>
      <c r="AO57" s="142">
        <f>IFERROR((_xlfn.XLOOKUP($A57,'WTG Reactive Power'!$A:$A,'WTG Reactive Power'!$AW:$AW))/X57,"")</f>
        <v>1.5106214496627814E-4</v>
      </c>
      <c r="AP57" s="142">
        <f>IFERROR(_xlfn.XLOOKUP($D57,'Modelling New'!$D:$D,'Modelling New'!$AK:$AK),"")</f>
        <v>0.05</v>
      </c>
      <c r="AQ57" s="142">
        <f>IFERROR(_xlfn.XLOOKUP($D57,'Modelling New'!$D:$D,'Modelling New'!$AL:$AL),"")</f>
        <v>0.05</v>
      </c>
      <c r="AR57" s="198">
        <f>IFERROR(_xlfn.XLOOKUP($D57,'Modelling New'!$D:$D,'Modelling New'!$N:$N),"")</f>
        <v>70.400000000000006</v>
      </c>
      <c r="AS57" s="198"/>
    </row>
    <row r="58" spans="1:45">
      <c r="A58" s="137">
        <f t="shared" si="4"/>
        <v>45801</v>
      </c>
      <c r="B58" s="138">
        <f>YEAR(Daily_KPI[[#This Row],[Date]])+IF(MONTH(Daily_KPI[[#This Row],[Date]])&gt;=4,1,0)</f>
        <v>2026</v>
      </c>
      <c r="C58" s="108">
        <f>YEAR(Daily_KPI[[#This Row],[Date]])</f>
        <v>2025</v>
      </c>
      <c r="D58" s="139">
        <f>Daily_KPI[[#This Row],[Date]]-DAY(Daily_KPI[[#This Row],[Date]])+1</f>
        <v>45778</v>
      </c>
      <c r="E58" s="108">
        <f t="shared" si="0"/>
        <v>31</v>
      </c>
      <c r="F58" s="109"/>
      <c r="G58" s="143"/>
      <c r="H58" s="143"/>
      <c r="I58" s="143"/>
      <c r="J58" s="143"/>
      <c r="K58" s="111"/>
      <c r="L58" s="110"/>
      <c r="M58" s="110">
        <f>IFERROR(_xlfn.XLOOKUP($A58,Input_Raw!$A:$A,Input_Raw!$CQ:$CQ),"")</f>
        <v>2.8849999999999998</v>
      </c>
      <c r="N58" s="110">
        <f>IFERROR(_xlfn.XLOOKUP($A58,Input_Raw!$A:$A,Input_Raw!$CR:$CR),"")</f>
        <v>3.79</v>
      </c>
      <c r="O58" s="141">
        <f t="shared" si="1"/>
        <v>0.99638310769852501</v>
      </c>
      <c r="P58" s="141">
        <f>IFERROR(1-SUMIF(WTG_BD!$F:$F,$A58,WTG_BD!$AA:$AA)/($AA58+SUMIF(WTG_BD!$F:$F,$A58,WTG_BD!$AA:$AA)),"")</f>
        <v>0.99638310769852501</v>
      </c>
      <c r="Q58" s="141">
        <f>IFERROR(1-SUMIF(IGA_BD!$F:$F,$A58,IGA_BD!$W:$W)/($AA58+SUMIF(IGA_BD!$F:$F,$A58,IGA_BD!$W:$W)),"")</f>
        <v>1</v>
      </c>
      <c r="R58" s="141">
        <f>IFERROR(1-SUMIF(Grid_BD!$F:$F,$A58,Grid_BD!$Y:$Y)/($AA58+SUMIF(Grid_BD!$F:$F,$A58,Grid_BD!$Y:$Y)),"")</f>
        <v>1</v>
      </c>
      <c r="S58" s="108"/>
      <c r="T58" s="140"/>
      <c r="U58" s="141"/>
      <c r="V58" s="108"/>
      <c r="W58" s="142">
        <f t="shared" si="2"/>
        <v>2.9185014204545452E-2</v>
      </c>
      <c r="X58" s="108">
        <f>IFERROR(_xlfn.XLOOKUP($A58,Input_Raw!$A:$A,Input_Raw!$CP:$CP)*1000,"")</f>
        <v>49311</v>
      </c>
      <c r="Y58" s="108">
        <f>IFERROR(_xlfn.XLOOKUP($A58,Input_Raw!$A:$A,Input_Raw!DJ:DJ)*1000,"")</f>
        <v>49311</v>
      </c>
      <c r="Z58" s="108">
        <f>IFERROR(_xlfn.XLOOKUP($A58,Input_Raw!$A:$A,Input_Raw!DK:DK)*1000,"")</f>
        <v>0</v>
      </c>
      <c r="AA58" s="138">
        <f t="shared" si="3"/>
        <v>49311</v>
      </c>
      <c r="AB58" s="108">
        <f>IFERROR(_xlfn.XLOOKUP($A58,Input_Raw!$A:$A,Input_Raw!$DR:$DR),"")</f>
        <v>70.400000000000006</v>
      </c>
      <c r="AC58" s="143">
        <f>IFERROR(_xlfn.XLOOKUP($D58,'Modelling New'!$D:$D,'Modelling New'!$J:$J),"")</f>
        <v>5.7233333333333336</v>
      </c>
      <c r="AD58" s="138">
        <f>IFERROR(_xlfn.XLOOKUP($D58,'Modelling New'!$D:$D,'Modelling New'!$T:$T)*1000,"")</f>
        <v>349950.51476253523</v>
      </c>
      <c r="AE58" s="142"/>
      <c r="AF58" s="142">
        <f>IFERROR(_xlfn.XLOOKUP($D58,'Modelling New'!$D:$D,'Modelling New'!$W:$W),"")</f>
        <v>0.20712033307441716</v>
      </c>
      <c r="AG58" s="142">
        <f>IFERROR(_xlfn.XLOOKUP($D58,'Modelling New'!$D:$D,'Modelling New'!$AE:$AE),"")</f>
        <v>0.96029999999999993</v>
      </c>
      <c r="AH58" s="142">
        <f>IFERROR(_xlfn.XLOOKUP($D58,'Modelling New'!$D:$D,'Modelling New'!$AF:$AF),"")</f>
        <v>0.995</v>
      </c>
      <c r="AI58" s="109">
        <f>IFERROR(_xlfn.XLOOKUP($A58,Input_Raw!$A:$A,Input_Raw!$DP:$DP),"")</f>
        <v>45.49</v>
      </c>
      <c r="AJ58" s="108"/>
      <c r="AK58" s="108"/>
      <c r="AL58" s="108"/>
      <c r="AM58" s="108"/>
      <c r="AN58" s="132">
        <f>IFERROR(_xlfn.XLOOKUP($A58,Input_Raw!$A:$A,Input_Raw!$DL:$DL),"")</f>
        <v>0</v>
      </c>
      <c r="AO58" s="142">
        <f>IFERROR((_xlfn.XLOOKUP($A58,'WTG Reactive Power'!$A:$A,'WTG Reactive Power'!$AW:$AW))/X58,"")</f>
        <v>4.4922844801362764E-4</v>
      </c>
      <c r="AP58" s="142">
        <f>IFERROR(_xlfn.XLOOKUP($D58,'Modelling New'!$D:$D,'Modelling New'!$AK:$AK),"")</f>
        <v>0.05</v>
      </c>
      <c r="AQ58" s="142">
        <f>IFERROR(_xlfn.XLOOKUP($D58,'Modelling New'!$D:$D,'Modelling New'!$AL:$AL),"")</f>
        <v>0.05</v>
      </c>
      <c r="AR58" s="198">
        <f>IFERROR(_xlfn.XLOOKUP($D58,'Modelling New'!$D:$D,'Modelling New'!$N:$N),"")</f>
        <v>70.400000000000006</v>
      </c>
      <c r="AS58" s="198"/>
    </row>
    <row r="59" spans="1:45">
      <c r="A59" s="137">
        <f t="shared" si="4"/>
        <v>45802</v>
      </c>
      <c r="B59" s="138">
        <f>YEAR(Daily_KPI[[#This Row],[Date]])+IF(MONTH(Daily_KPI[[#This Row],[Date]])&gt;=4,1,0)</f>
        <v>2026</v>
      </c>
      <c r="C59" s="108">
        <f>YEAR(Daily_KPI[[#This Row],[Date]])</f>
        <v>2025</v>
      </c>
      <c r="D59" s="139">
        <f>Daily_KPI[[#This Row],[Date]]-DAY(Daily_KPI[[#This Row],[Date]])+1</f>
        <v>45778</v>
      </c>
      <c r="E59" s="108">
        <f t="shared" si="0"/>
        <v>31</v>
      </c>
      <c r="F59" s="109"/>
      <c r="G59" s="110"/>
      <c r="H59" s="110"/>
      <c r="I59" s="110"/>
      <c r="J59" s="110"/>
      <c r="K59" s="111"/>
      <c r="L59" s="110"/>
      <c r="M59" s="110">
        <f>IFERROR(_xlfn.XLOOKUP($A59,Input_Raw!$A:$A,Input_Raw!$CQ:$CQ),"")</f>
        <v>6.3202272727272719</v>
      </c>
      <c r="N59" s="110">
        <f>IFERROR(_xlfn.XLOOKUP($A59,Input_Raw!$A:$A,Input_Raw!$CR:$CR),"")</f>
        <v>8.5500000000000007</v>
      </c>
      <c r="O59" s="141">
        <f t="shared" si="1"/>
        <v>0.99014414857359245</v>
      </c>
      <c r="P59" s="141">
        <f>IFERROR(1-SUMIF(WTG_BD!$F:$F,$A59,WTG_BD!$AA:$AA)/($AA59+SUMIF(WTG_BD!$F:$F,$A59,WTG_BD!$AA:$AA)),"")</f>
        <v>0.99245470022619908</v>
      </c>
      <c r="Q59" s="141">
        <f>IFERROR(1-SUMIF(IGA_BD!$F:$F,$A59,IGA_BD!$W:$W)/($AA59+SUMIF(IGA_BD!$F:$F,$A59,IGA_BD!$W:$W)),"")</f>
        <v>0.99767188199916834</v>
      </c>
      <c r="R59" s="141">
        <f>IFERROR(1-SUMIF(Grid_BD!$F:$F,$A59,Grid_BD!$Y:$Y)/($AA59+SUMIF(Grid_BD!$F:$F,$A59,Grid_BD!$Y:$Y)),"")</f>
        <v>1</v>
      </c>
      <c r="S59" s="108"/>
      <c r="T59" s="140"/>
      <c r="U59" s="141"/>
      <c r="V59" s="108"/>
      <c r="W59" s="142">
        <f t="shared" si="2"/>
        <v>0.29395596590909084</v>
      </c>
      <c r="X59" s="108">
        <f>IFERROR(_xlfn.XLOOKUP($A59,Input_Raw!$A:$A,Input_Raw!$CP:$CP)*1000,"")</f>
        <v>496668</v>
      </c>
      <c r="Y59" s="108">
        <f>IFERROR(_xlfn.XLOOKUP($A59,Input_Raw!$A:$A,Input_Raw!DJ:DJ)*1000,"")</f>
        <v>496668</v>
      </c>
      <c r="Z59" s="108">
        <f>IFERROR(_xlfn.XLOOKUP($A59,Input_Raw!$A:$A,Input_Raw!DK:DK)*1000,"")</f>
        <v>0</v>
      </c>
      <c r="AA59" s="138">
        <f t="shared" si="3"/>
        <v>496668</v>
      </c>
      <c r="AB59" s="108">
        <f>IFERROR(_xlfn.XLOOKUP($A59,Input_Raw!$A:$A,Input_Raw!$DR:$DR),"")</f>
        <v>70.400000000000006</v>
      </c>
      <c r="AC59" s="143">
        <f>IFERROR(_xlfn.XLOOKUP($D59,'Modelling New'!$D:$D,'Modelling New'!$J:$J),"")</f>
        <v>5.7233333333333336</v>
      </c>
      <c r="AD59" s="138">
        <f>IFERROR(_xlfn.XLOOKUP($D59,'Modelling New'!$D:$D,'Modelling New'!$T:$T)*1000,"")</f>
        <v>349950.51476253523</v>
      </c>
      <c r="AE59" s="142"/>
      <c r="AF59" s="142">
        <f>IFERROR(_xlfn.XLOOKUP($D59,'Modelling New'!$D:$D,'Modelling New'!$W:$W),"")</f>
        <v>0.20712033307441716</v>
      </c>
      <c r="AG59" s="142">
        <f>IFERROR(_xlfn.XLOOKUP($D59,'Modelling New'!$D:$D,'Modelling New'!$AE:$AE),"")</f>
        <v>0.96029999999999993</v>
      </c>
      <c r="AH59" s="142">
        <f>IFERROR(_xlfn.XLOOKUP($D59,'Modelling New'!$D:$D,'Modelling New'!$AF:$AF),"")</f>
        <v>0.995</v>
      </c>
      <c r="AI59" s="109">
        <f>IFERROR(_xlfn.XLOOKUP($A59,Input_Raw!$A:$A,Input_Raw!$DP:$DP),"")</f>
        <v>464.94</v>
      </c>
      <c r="AJ59" s="108"/>
      <c r="AK59" s="108"/>
      <c r="AL59" s="108"/>
      <c r="AM59" s="108"/>
      <c r="AN59" s="132">
        <f>IFERROR(_xlfn.XLOOKUP($A59,Input_Raw!$A:$A,Input_Raw!$DL:$DL),"")</f>
        <v>0</v>
      </c>
      <c r="AO59" s="142">
        <f>IFERROR((_xlfn.XLOOKUP($A59,'WTG Reactive Power'!$A:$A,'WTG Reactive Power'!$AW:$AW))/X59,"")</f>
        <v>4.4601029258981836E-5</v>
      </c>
      <c r="AP59" s="142">
        <f>IFERROR(_xlfn.XLOOKUP($D59,'Modelling New'!$D:$D,'Modelling New'!$AK:$AK),"")</f>
        <v>0.05</v>
      </c>
      <c r="AQ59" s="142">
        <f>IFERROR(_xlfn.XLOOKUP($D59,'Modelling New'!$D:$D,'Modelling New'!$AL:$AL),"")</f>
        <v>0.05</v>
      </c>
      <c r="AR59" s="198">
        <f>IFERROR(_xlfn.XLOOKUP($D59,'Modelling New'!$D:$D,'Modelling New'!$N:$N),"")</f>
        <v>70.400000000000006</v>
      </c>
      <c r="AS59" s="198"/>
    </row>
    <row r="60" spans="1:45">
      <c r="A60" s="137">
        <f t="shared" si="4"/>
        <v>45803</v>
      </c>
      <c r="B60" s="138">
        <f>YEAR(Daily_KPI[[#This Row],[Date]])+IF(MONTH(Daily_KPI[[#This Row],[Date]])&gt;=4,1,0)</f>
        <v>2026</v>
      </c>
      <c r="C60" s="108">
        <f>YEAR(Daily_KPI[[#This Row],[Date]])</f>
        <v>2025</v>
      </c>
      <c r="D60" s="139">
        <f>Daily_KPI[[#This Row],[Date]]-DAY(Daily_KPI[[#This Row],[Date]])+1</f>
        <v>45778</v>
      </c>
      <c r="E60" s="108">
        <f t="shared" si="0"/>
        <v>31</v>
      </c>
      <c r="F60" s="109"/>
      <c r="G60" s="143"/>
      <c r="H60" s="143"/>
      <c r="I60" s="143"/>
      <c r="J60" s="143"/>
      <c r="K60" s="111"/>
      <c r="L60" s="110"/>
      <c r="M60" s="110">
        <f>IFERROR(_xlfn.XLOOKUP($A60,Input_Raw!$A:$A,Input_Raw!$CQ:$CQ),"")</f>
        <v>7.1618181818181803</v>
      </c>
      <c r="N60" s="110">
        <f>IFERROR(_xlfn.XLOOKUP($A60,Input_Raw!$A:$A,Input_Raw!$CR:$CR),"")</f>
        <v>9.75</v>
      </c>
      <c r="O60" s="141">
        <f t="shared" si="1"/>
        <v>0.94939434424593794</v>
      </c>
      <c r="P60" s="141">
        <f>IFERROR(1-SUMIF(WTG_BD!$F:$F,$A60,WTG_BD!$AA:$AA)/($AA60+SUMIF(WTG_BD!$F:$F,$A60,WTG_BD!$AA:$AA)),"")</f>
        <v>0.99182576506680864</v>
      </c>
      <c r="Q60" s="141">
        <f>IFERROR(1-SUMIF(IGA_BD!$F:$F,$A60,IGA_BD!$W:$W)/($AA60+SUMIF(IGA_BD!$F:$F,$A60,IGA_BD!$W:$W)),"")</f>
        <v>0.95721887622266744</v>
      </c>
      <c r="R60" s="141">
        <f>IFERROR(1-SUMIF(Grid_BD!$F:$F,$A60,Grid_BD!$Y:$Y)/($AA60+SUMIF(Grid_BD!$F:$F,$A60,Grid_BD!$Y:$Y)),"")</f>
        <v>1</v>
      </c>
      <c r="S60" s="108"/>
      <c r="T60" s="140"/>
      <c r="U60" s="141"/>
      <c r="V60" s="108"/>
      <c r="W60" s="142">
        <f t="shared" si="2"/>
        <v>0.34728870738636358</v>
      </c>
      <c r="X60" s="108">
        <f>IFERROR(_xlfn.XLOOKUP($A60,Input_Raw!$A:$A,Input_Raw!$CP:$CP)*1000,"")</f>
        <v>586779</v>
      </c>
      <c r="Y60" s="108">
        <f>IFERROR(_xlfn.XLOOKUP($A60,Input_Raw!$A:$A,Input_Raw!DJ:DJ)*1000,"")</f>
        <v>586779</v>
      </c>
      <c r="Z60" s="108">
        <f>IFERROR(_xlfn.XLOOKUP($A60,Input_Raw!$A:$A,Input_Raw!DK:DK)*1000,"")</f>
        <v>0</v>
      </c>
      <c r="AA60" s="138">
        <f t="shared" si="3"/>
        <v>586779</v>
      </c>
      <c r="AB60" s="108">
        <f>IFERROR(_xlfn.XLOOKUP($A60,Input_Raw!$A:$A,Input_Raw!$DR:$DR),"")</f>
        <v>70.400000000000006</v>
      </c>
      <c r="AC60" s="143">
        <f>IFERROR(_xlfn.XLOOKUP($D60,'Modelling New'!$D:$D,'Modelling New'!$J:$J),"")</f>
        <v>5.7233333333333336</v>
      </c>
      <c r="AD60" s="138">
        <f>IFERROR(_xlfn.XLOOKUP($D60,'Modelling New'!$D:$D,'Modelling New'!$T:$T)*1000,"")</f>
        <v>349950.51476253523</v>
      </c>
      <c r="AE60" s="142"/>
      <c r="AF60" s="142">
        <f>IFERROR(_xlfn.XLOOKUP($D60,'Modelling New'!$D:$D,'Modelling New'!$W:$W),"")</f>
        <v>0.20712033307441716</v>
      </c>
      <c r="AG60" s="142">
        <f>IFERROR(_xlfn.XLOOKUP($D60,'Modelling New'!$D:$D,'Modelling New'!$AE:$AE),"")</f>
        <v>0.96029999999999993</v>
      </c>
      <c r="AH60" s="142">
        <f>IFERROR(_xlfn.XLOOKUP($D60,'Modelling New'!$D:$D,'Modelling New'!$AF:$AF),"")</f>
        <v>0.995</v>
      </c>
      <c r="AI60" s="109">
        <f>IFERROR(_xlfn.XLOOKUP($A60,Input_Raw!$A:$A,Input_Raw!$DP:$DP),"")</f>
        <v>576.94000000000005</v>
      </c>
      <c r="AJ60" s="108"/>
      <c r="AK60" s="108"/>
      <c r="AL60" s="108"/>
      <c r="AM60" s="108"/>
      <c r="AN60" s="132">
        <f>IFERROR(_xlfn.XLOOKUP($A60,Input_Raw!$A:$A,Input_Raw!$DL:$DL),"")</f>
        <v>0</v>
      </c>
      <c r="AO60" s="142">
        <f>IFERROR((_xlfn.XLOOKUP($A60,'WTG Reactive Power'!$A:$A,'WTG Reactive Power'!$AW:$AW))/X60,"")</f>
        <v>3.7751698680423106E-5</v>
      </c>
      <c r="AP60" s="142">
        <f>IFERROR(_xlfn.XLOOKUP($D60,'Modelling New'!$D:$D,'Modelling New'!$AK:$AK),"")</f>
        <v>0.05</v>
      </c>
      <c r="AQ60" s="142">
        <f>IFERROR(_xlfn.XLOOKUP($D60,'Modelling New'!$D:$D,'Modelling New'!$AL:$AL),"")</f>
        <v>0.05</v>
      </c>
      <c r="AR60" s="198">
        <f>IFERROR(_xlfn.XLOOKUP($D60,'Modelling New'!$D:$D,'Modelling New'!$N:$N),"")</f>
        <v>70.400000000000006</v>
      </c>
      <c r="AS60" s="198"/>
    </row>
    <row r="61" spans="1:45">
      <c r="A61" s="137">
        <f t="shared" si="4"/>
        <v>45804</v>
      </c>
      <c r="B61" s="138">
        <f>YEAR(Daily_KPI[[#This Row],[Date]])+IF(MONTH(Daily_KPI[[#This Row],[Date]])&gt;=4,1,0)</f>
        <v>2026</v>
      </c>
      <c r="C61" s="108">
        <f>YEAR(Daily_KPI[[#This Row],[Date]])</f>
        <v>2025</v>
      </c>
      <c r="D61" s="139">
        <f>Daily_KPI[[#This Row],[Date]]-DAY(Daily_KPI[[#This Row],[Date]])+1</f>
        <v>45778</v>
      </c>
      <c r="E61" s="108">
        <f t="shared" ref="E61:E124" si="9">DAY(EOMONTH(A61,0))</f>
        <v>31</v>
      </c>
      <c r="F61" s="109"/>
      <c r="G61" s="110"/>
      <c r="H61" s="110"/>
      <c r="I61" s="110"/>
      <c r="J61" s="110"/>
      <c r="K61" s="111"/>
      <c r="L61" s="110"/>
      <c r="M61" s="110">
        <f>IFERROR(_xlfn.XLOOKUP($A61,Input_Raw!$A:$A,Input_Raw!$CQ:$CQ),"")</f>
        <v>6.39840909090909</v>
      </c>
      <c r="N61" s="110">
        <f>IFERROR(_xlfn.XLOOKUP($A61,Input_Raw!$A:$A,Input_Raw!$CR:$CR),"")</f>
        <v>8.17</v>
      </c>
      <c r="O61" s="141">
        <f t="shared" ref="O61:O124" si="10">IFERROR(P61*Q61,"")</f>
        <v>1</v>
      </c>
      <c r="P61" s="141">
        <f>IFERROR(1-SUMIF(WTG_BD!$F:$F,$A61,WTG_BD!$AA:$AA)/($AA61+SUMIF(WTG_BD!$F:$F,$A61,WTG_BD!$AA:$AA)),"")</f>
        <v>1</v>
      </c>
      <c r="Q61" s="141">
        <f>IFERROR(1-SUMIF(IGA_BD!$F:$F,$A61,IGA_BD!$W:$W)/($AA61+SUMIF(IGA_BD!$F:$F,$A61,IGA_BD!$W:$W)),"")</f>
        <v>1</v>
      </c>
      <c r="R61" s="141">
        <f>IFERROR(1-SUMIF(Grid_BD!$F:$F,$A61,Grid_BD!$Y:$Y)/($AA61+SUMIF(Grid_BD!$F:$F,$A61,Grid_BD!$Y:$Y)),"")</f>
        <v>1</v>
      </c>
      <c r="S61" s="108"/>
      <c r="T61" s="140"/>
      <c r="U61" s="141"/>
      <c r="V61" s="108"/>
      <c r="W61" s="142">
        <f t="shared" ref="W61:W124" si="11">IFERROR(X61/(24*AB61*1000),"")</f>
        <v>0.29865589488636357</v>
      </c>
      <c r="X61" s="108">
        <f>IFERROR(_xlfn.XLOOKUP($A61,Input_Raw!$A:$A,Input_Raw!$CP:$CP)*1000,"")</f>
        <v>504609</v>
      </c>
      <c r="Y61" s="108">
        <f>IFERROR(_xlfn.XLOOKUP($A61,Input_Raw!$A:$A,Input_Raw!DJ:DJ)*1000,"")</f>
        <v>504609.00000000006</v>
      </c>
      <c r="Z61" s="108">
        <f>IFERROR(_xlfn.XLOOKUP($A61,Input_Raw!$A:$A,Input_Raw!DK:DK)*1000,"")</f>
        <v>0</v>
      </c>
      <c r="AA61" s="138">
        <f t="shared" ref="AA61:AA124" si="12">IFERROR(Y61-Z61,"")</f>
        <v>504609.00000000006</v>
      </c>
      <c r="AB61" s="108">
        <f>IFERROR(_xlfn.XLOOKUP($A61,Input_Raw!$A:$A,Input_Raw!$DR:$DR),"")</f>
        <v>70.400000000000006</v>
      </c>
      <c r="AC61" s="143">
        <f>IFERROR(_xlfn.XLOOKUP($D61,'Modelling New'!$D:$D,'Modelling New'!$J:$J),"")</f>
        <v>5.7233333333333336</v>
      </c>
      <c r="AD61" s="138">
        <f>IFERROR(_xlfn.XLOOKUP($D61,'Modelling New'!$D:$D,'Modelling New'!$T:$T)*1000,"")</f>
        <v>349950.51476253523</v>
      </c>
      <c r="AE61" s="142"/>
      <c r="AF61" s="142">
        <f>IFERROR(_xlfn.XLOOKUP($D61,'Modelling New'!$D:$D,'Modelling New'!$W:$W),"")</f>
        <v>0.20712033307441716</v>
      </c>
      <c r="AG61" s="142">
        <f>IFERROR(_xlfn.XLOOKUP($D61,'Modelling New'!$D:$D,'Modelling New'!$AE:$AE),"")</f>
        <v>0.96029999999999993</v>
      </c>
      <c r="AH61" s="142">
        <f>IFERROR(_xlfn.XLOOKUP($D61,'Modelling New'!$D:$D,'Modelling New'!$AF:$AF),"")</f>
        <v>0.995</v>
      </c>
      <c r="AI61" s="109">
        <f>IFERROR(_xlfn.XLOOKUP($A61,Input_Raw!$A:$A,Input_Raw!$DP:$DP),"")</f>
        <v>485.57</v>
      </c>
      <c r="AJ61" s="108"/>
      <c r="AK61" s="108"/>
      <c r="AL61" s="108"/>
      <c r="AM61" s="108"/>
      <c r="AN61" s="132">
        <f>IFERROR(_xlfn.XLOOKUP($A61,Input_Raw!$A:$A,Input_Raw!$DL:$DL),"")</f>
        <v>2.2204460492503131E-16</v>
      </c>
      <c r="AO61" s="142">
        <f>IFERROR((_xlfn.XLOOKUP($A61,'WTG Reactive Power'!$A:$A,'WTG Reactive Power'!$AW:$AW))/X61,"")</f>
        <v>4.3899145675166301E-5</v>
      </c>
      <c r="AP61" s="142">
        <f>IFERROR(_xlfn.XLOOKUP($D61,'Modelling New'!$D:$D,'Modelling New'!$AK:$AK),"")</f>
        <v>0.05</v>
      </c>
      <c r="AQ61" s="142">
        <f>IFERROR(_xlfn.XLOOKUP($D61,'Modelling New'!$D:$D,'Modelling New'!$AL:$AL),"")</f>
        <v>0.05</v>
      </c>
      <c r="AR61" s="198">
        <f>IFERROR(_xlfn.XLOOKUP($D61,'Modelling New'!$D:$D,'Modelling New'!$N:$N),"")</f>
        <v>70.400000000000006</v>
      </c>
      <c r="AS61" s="198"/>
    </row>
    <row r="62" spans="1:45">
      <c r="A62" s="137">
        <f t="shared" si="4"/>
        <v>45805</v>
      </c>
      <c r="B62" s="138">
        <f>YEAR(Daily_KPI[[#This Row],[Date]])+IF(MONTH(Daily_KPI[[#This Row],[Date]])&gt;=4,1,0)</f>
        <v>2026</v>
      </c>
      <c r="C62" s="108">
        <f>YEAR(Daily_KPI[[#This Row],[Date]])</f>
        <v>2025</v>
      </c>
      <c r="D62" s="139">
        <f>Daily_KPI[[#This Row],[Date]]-DAY(Daily_KPI[[#This Row],[Date]])+1</f>
        <v>45778</v>
      </c>
      <c r="E62" s="108">
        <f t="shared" si="9"/>
        <v>31</v>
      </c>
      <c r="F62" s="109"/>
      <c r="G62" s="143"/>
      <c r="H62" s="143"/>
      <c r="I62" s="143"/>
      <c r="J62" s="143"/>
      <c r="K62" s="111"/>
      <c r="L62" s="110"/>
      <c r="M62" s="110">
        <f>IFERROR(_xlfn.XLOOKUP($A62,Input_Raw!$A:$A,Input_Raw!$CQ:$CQ),"")</f>
        <v>7.1456818181818189</v>
      </c>
      <c r="N62" s="110">
        <f>IFERROR(_xlfn.XLOOKUP($A62,Input_Raw!$A:$A,Input_Raw!$CR:$CR),"")</f>
        <v>8.91</v>
      </c>
      <c r="O62" s="141">
        <f t="shared" si="10"/>
        <v>0.96675587918675965</v>
      </c>
      <c r="P62" s="141">
        <f>IFERROR(1-SUMIF(WTG_BD!$F:$F,$A62,WTG_BD!$AA:$AA)/($AA62+SUMIF(WTG_BD!$F:$F,$A62,WTG_BD!$AA:$AA)),"")</f>
        <v>0.99738560965101253</v>
      </c>
      <c r="Q62" s="141">
        <f>IFERROR(1-SUMIF(IGA_BD!$F:$F,$A62,IGA_BD!$W:$W)/($AA62+SUMIF(IGA_BD!$F:$F,$A62,IGA_BD!$W:$W)),"")</f>
        <v>0.96928998155992019</v>
      </c>
      <c r="R62" s="141">
        <f>IFERROR(1-SUMIF(Grid_BD!$F:$F,$A62,Grid_BD!$Y:$Y)/($AA62+SUMIF(Grid_BD!$F:$F,$A62,Grid_BD!$Y:$Y)),"")</f>
        <v>1</v>
      </c>
      <c r="S62" s="108"/>
      <c r="T62" s="140"/>
      <c r="U62" s="141"/>
      <c r="V62" s="108"/>
      <c r="W62" s="142">
        <f t="shared" si="11"/>
        <v>0.34252663352272722</v>
      </c>
      <c r="X62" s="108">
        <f>IFERROR(_xlfn.XLOOKUP($A62,Input_Raw!$A:$A,Input_Raw!$CP:$CP)*1000,"")</f>
        <v>578733</v>
      </c>
      <c r="Y62" s="108">
        <f>IFERROR(_xlfn.XLOOKUP($A62,Input_Raw!$A:$A,Input_Raw!DJ:DJ)*1000,"")</f>
        <v>578733</v>
      </c>
      <c r="Z62" s="108">
        <f>IFERROR(_xlfn.XLOOKUP($A62,Input_Raw!$A:$A,Input_Raw!DK:DK)*1000,"")</f>
        <v>0</v>
      </c>
      <c r="AA62" s="138">
        <f t="shared" si="12"/>
        <v>578733</v>
      </c>
      <c r="AB62" s="108">
        <f>IFERROR(_xlfn.XLOOKUP($A62,Input_Raw!$A:$A,Input_Raw!$DR:$DR),"")</f>
        <v>70.400000000000006</v>
      </c>
      <c r="AC62" s="143">
        <f>IFERROR(_xlfn.XLOOKUP($D62,'Modelling New'!$D:$D,'Modelling New'!$J:$J),"")</f>
        <v>5.7233333333333336</v>
      </c>
      <c r="AD62" s="138">
        <f>IFERROR(_xlfn.XLOOKUP($D62,'Modelling New'!$D:$D,'Modelling New'!$T:$T)*1000,"")</f>
        <v>349950.51476253523</v>
      </c>
      <c r="AE62" s="142"/>
      <c r="AF62" s="142">
        <f>IFERROR(_xlfn.XLOOKUP($D62,'Modelling New'!$D:$D,'Modelling New'!$W:$W),"")</f>
        <v>0.20712033307441716</v>
      </c>
      <c r="AG62" s="142">
        <f>IFERROR(_xlfn.XLOOKUP($D62,'Modelling New'!$D:$D,'Modelling New'!$AE:$AE),"")</f>
        <v>0.96029999999999993</v>
      </c>
      <c r="AH62" s="142">
        <f>IFERROR(_xlfn.XLOOKUP($D62,'Modelling New'!$D:$D,'Modelling New'!$AF:$AF),"")</f>
        <v>0.995</v>
      </c>
      <c r="AI62" s="109">
        <f>IFERROR(_xlfn.XLOOKUP($A62,Input_Raw!$A:$A,Input_Raw!$DP:$DP),"")</f>
        <v>558.98</v>
      </c>
      <c r="AJ62" s="108"/>
      <c r="AK62" s="108"/>
      <c r="AL62" s="108"/>
      <c r="AM62" s="108"/>
      <c r="AN62" s="132">
        <f>IFERROR(_xlfn.XLOOKUP($A62,Input_Raw!$A:$A,Input_Raw!$DL:$DL),"")</f>
        <v>0</v>
      </c>
      <c r="AO62" s="142">
        <f>IFERROR((_xlfn.XLOOKUP($A62,'WTG Reactive Power'!$A:$A,'WTG Reactive Power'!$AW:$AW))/X62,"")</f>
        <v>3.8276552399811295E-5</v>
      </c>
      <c r="AP62" s="142">
        <f>IFERROR(_xlfn.XLOOKUP($D62,'Modelling New'!$D:$D,'Modelling New'!$AK:$AK),"")</f>
        <v>0.05</v>
      </c>
      <c r="AQ62" s="142">
        <f>IFERROR(_xlfn.XLOOKUP($D62,'Modelling New'!$D:$D,'Modelling New'!$AL:$AL),"")</f>
        <v>0.05</v>
      </c>
      <c r="AR62" s="198">
        <f>IFERROR(_xlfn.XLOOKUP($D62,'Modelling New'!$D:$D,'Modelling New'!$N:$N),"")</f>
        <v>70.400000000000006</v>
      </c>
      <c r="AS62" s="198"/>
    </row>
    <row r="63" spans="1:45">
      <c r="A63" s="137">
        <f t="shared" ref="A63:A126" si="13">A62+1</f>
        <v>45806</v>
      </c>
      <c r="B63" s="138">
        <f>YEAR(Daily_KPI[[#This Row],[Date]])+IF(MONTH(Daily_KPI[[#This Row],[Date]])&gt;=4,1,0)</f>
        <v>2026</v>
      </c>
      <c r="C63" s="108">
        <f>YEAR(Daily_KPI[[#This Row],[Date]])</f>
        <v>2025</v>
      </c>
      <c r="D63" s="139">
        <f>Daily_KPI[[#This Row],[Date]]-DAY(Daily_KPI[[#This Row],[Date]])+1</f>
        <v>45778</v>
      </c>
      <c r="E63" s="108">
        <f t="shared" si="9"/>
        <v>31</v>
      </c>
      <c r="F63" s="109"/>
      <c r="G63" s="110"/>
      <c r="H63" s="110"/>
      <c r="I63" s="110"/>
      <c r="J63" s="110"/>
      <c r="K63" s="111"/>
      <c r="L63" s="110"/>
      <c r="M63" s="110">
        <f>IFERROR(_xlfn.XLOOKUP($A63,Input_Raw!$A:$A,Input_Raw!$CQ:$CQ),"")</f>
        <v>7.6143181818181809</v>
      </c>
      <c r="N63" s="110">
        <f>IFERROR(_xlfn.XLOOKUP($A63,Input_Raw!$A:$A,Input_Raw!$CR:$CR),"")</f>
        <v>9.6199999999999992</v>
      </c>
      <c r="O63" s="141">
        <f t="shared" si="10"/>
        <v>0.9972711218254191</v>
      </c>
      <c r="P63" s="141">
        <f>IFERROR(1-SUMIF(WTG_BD!$F:$F,$A63,WTG_BD!$AA:$AA)/($AA63+SUMIF(WTG_BD!$F:$F,$A63,WTG_BD!$AA:$AA)),"")</f>
        <v>0.9972711218254191</v>
      </c>
      <c r="Q63" s="141">
        <f>IFERROR(1-SUMIF(IGA_BD!$F:$F,$A63,IGA_BD!$W:$W)/($AA63+SUMIF(IGA_BD!$F:$F,$A63,IGA_BD!$W:$W)),"")</f>
        <v>1</v>
      </c>
      <c r="R63" s="141">
        <f>IFERROR(1-SUMIF(Grid_BD!$F:$F,$A63,Grid_BD!$Y:$Y)/($AA63+SUMIF(Grid_BD!$F:$F,$A63,Grid_BD!$Y:$Y)),"")</f>
        <v>1</v>
      </c>
      <c r="S63" s="108"/>
      <c r="T63" s="140"/>
      <c r="U63" s="141"/>
      <c r="V63" s="108"/>
      <c r="W63" s="142">
        <f t="shared" si="11"/>
        <v>0.42112511837121208</v>
      </c>
      <c r="X63" s="108">
        <f>IFERROR(_xlfn.XLOOKUP($A63,Input_Raw!$A:$A,Input_Raw!$CP:$CP)*1000,"")</f>
        <v>711533</v>
      </c>
      <c r="Y63" s="108">
        <f>IFERROR(_xlfn.XLOOKUP($A63,Input_Raw!$A:$A,Input_Raw!DJ:DJ)*1000,"")</f>
        <v>711533</v>
      </c>
      <c r="Z63" s="108">
        <f>IFERROR(_xlfn.XLOOKUP($A63,Input_Raw!$A:$A,Input_Raw!DK:DK)*1000,"")</f>
        <v>0</v>
      </c>
      <c r="AA63" s="138">
        <f t="shared" si="12"/>
        <v>711533</v>
      </c>
      <c r="AB63" s="108">
        <f>IFERROR(_xlfn.XLOOKUP($A63,Input_Raw!$A:$A,Input_Raw!$DR:$DR),"")</f>
        <v>70.400000000000006</v>
      </c>
      <c r="AC63" s="143">
        <f>IFERROR(_xlfn.XLOOKUP($D63,'Modelling New'!$D:$D,'Modelling New'!$J:$J),"")</f>
        <v>5.7233333333333336</v>
      </c>
      <c r="AD63" s="138">
        <f>IFERROR(_xlfn.XLOOKUP($D63,'Modelling New'!$D:$D,'Modelling New'!$T:$T)*1000,"")</f>
        <v>349950.51476253523</v>
      </c>
      <c r="AE63" s="142"/>
      <c r="AF63" s="142">
        <f>IFERROR(_xlfn.XLOOKUP($D63,'Modelling New'!$D:$D,'Modelling New'!$W:$W),"")</f>
        <v>0.20712033307441716</v>
      </c>
      <c r="AG63" s="142">
        <f>IFERROR(_xlfn.XLOOKUP($D63,'Modelling New'!$D:$D,'Modelling New'!$AE:$AE),"")</f>
        <v>0.96029999999999993</v>
      </c>
      <c r="AH63" s="142">
        <f>IFERROR(_xlfn.XLOOKUP($D63,'Modelling New'!$D:$D,'Modelling New'!$AF:$AF),"")</f>
        <v>0.995</v>
      </c>
      <c r="AI63" s="109">
        <f>IFERROR(_xlfn.XLOOKUP($A63,Input_Raw!$A:$A,Input_Raw!$DP:$DP),"")</f>
        <v>691.97</v>
      </c>
      <c r="AJ63" s="108"/>
      <c r="AK63" s="108"/>
      <c r="AL63" s="108"/>
      <c r="AM63" s="108"/>
      <c r="AN63" s="132">
        <f>IFERROR(_xlfn.XLOOKUP($A63,Input_Raw!$A:$A,Input_Raw!$DL:$DL),"")</f>
        <v>0</v>
      </c>
      <c r="AO63" s="142">
        <f>IFERROR((_xlfn.XLOOKUP($A63,'WTG Reactive Power'!$A:$A,'WTG Reactive Power'!$AW:$AW))/X63,"")</f>
        <v>3.1132644585704378E-5</v>
      </c>
      <c r="AP63" s="142">
        <f>IFERROR(_xlfn.XLOOKUP($D63,'Modelling New'!$D:$D,'Modelling New'!$AK:$AK),"")</f>
        <v>0.05</v>
      </c>
      <c r="AQ63" s="142">
        <f>IFERROR(_xlfn.XLOOKUP($D63,'Modelling New'!$D:$D,'Modelling New'!$AL:$AL),"")</f>
        <v>0.05</v>
      </c>
      <c r="AR63" s="198">
        <f>IFERROR(_xlfn.XLOOKUP($D63,'Modelling New'!$D:$D,'Modelling New'!$N:$N),"")</f>
        <v>70.400000000000006</v>
      </c>
      <c r="AS63" s="198"/>
    </row>
    <row r="64" spans="1:45">
      <c r="A64" s="137">
        <f t="shared" si="13"/>
        <v>45807</v>
      </c>
      <c r="B64" s="138">
        <f>YEAR(Daily_KPI[[#This Row],[Date]])+IF(MONTH(Daily_KPI[[#This Row],[Date]])&gt;=4,1,0)</f>
        <v>2026</v>
      </c>
      <c r="C64" s="108">
        <f>YEAR(Daily_KPI[[#This Row],[Date]])</f>
        <v>2025</v>
      </c>
      <c r="D64" s="139">
        <f>Daily_KPI[[#This Row],[Date]]-DAY(Daily_KPI[[#This Row],[Date]])+1</f>
        <v>45778</v>
      </c>
      <c r="E64" s="108">
        <f t="shared" si="9"/>
        <v>31</v>
      </c>
      <c r="F64" s="109"/>
      <c r="G64" s="143"/>
      <c r="H64" s="143"/>
      <c r="I64" s="143"/>
      <c r="J64" s="143"/>
      <c r="K64" s="111"/>
      <c r="L64" s="110"/>
      <c r="M64" s="110">
        <f>IFERROR(_xlfn.XLOOKUP($A64,Input_Raw!$A:$A,Input_Raw!$CQ:$CQ),"")</f>
        <v>10.235909090909091</v>
      </c>
      <c r="N64" s="110">
        <f>IFERROR(_xlfn.XLOOKUP($A64,Input_Raw!$A:$A,Input_Raw!$CR:$CR),"")</f>
        <v>12.39</v>
      </c>
      <c r="O64" s="141">
        <f t="shared" si="10"/>
        <v>0.99546303345298215</v>
      </c>
      <c r="P64" s="141">
        <f>IFERROR(1-SUMIF(WTG_BD!$F:$F,$A64,WTG_BD!$AA:$AA)/($AA64+SUMIF(WTG_BD!$F:$F,$A64,WTG_BD!$AA:$AA)),"")</f>
        <v>0.99661141947754528</v>
      </c>
      <c r="Q64" s="141">
        <f>IFERROR(1-SUMIF(IGA_BD!$F:$F,$A64,IGA_BD!$W:$W)/($AA64+SUMIF(IGA_BD!$F:$F,$A64,IGA_BD!$W:$W)),"")</f>
        <v>0.99884770934576972</v>
      </c>
      <c r="R64" s="141">
        <f>IFERROR(1-SUMIF(Grid_BD!$F:$F,$A64,Grid_BD!$Y:$Y)/($AA64+SUMIF(Grid_BD!$F:$F,$A64,Grid_BD!$Y:$Y)),"")</f>
        <v>1</v>
      </c>
      <c r="S64" s="108"/>
      <c r="T64" s="140"/>
      <c r="U64" s="141"/>
      <c r="V64" s="108"/>
      <c r="W64" s="142">
        <f t="shared" si="11"/>
        <v>0.75981593276515136</v>
      </c>
      <c r="X64" s="108">
        <f>IFERROR(_xlfn.XLOOKUP($A64,Input_Raw!$A:$A,Input_Raw!$CP:$CP)*1000,"")</f>
        <v>1283785</v>
      </c>
      <c r="Y64" s="108">
        <f>IFERROR(_xlfn.XLOOKUP($A64,Input_Raw!$A:$A,Input_Raw!DJ:DJ)*1000,"")</f>
        <v>1283785</v>
      </c>
      <c r="Z64" s="108">
        <f>IFERROR(_xlfn.XLOOKUP($A64,Input_Raw!$A:$A,Input_Raw!DK:DK)*1000,"")</f>
        <v>0</v>
      </c>
      <c r="AA64" s="138">
        <f t="shared" si="12"/>
        <v>1283785</v>
      </c>
      <c r="AB64" s="108">
        <f>IFERROR(_xlfn.XLOOKUP($A64,Input_Raw!$A:$A,Input_Raw!$DR:$DR),"")</f>
        <v>70.400000000000006</v>
      </c>
      <c r="AC64" s="143">
        <f>IFERROR(_xlfn.XLOOKUP($D64,'Modelling New'!$D:$D,'Modelling New'!$J:$J),"")</f>
        <v>5.7233333333333336</v>
      </c>
      <c r="AD64" s="138">
        <f>IFERROR(_xlfn.XLOOKUP($D64,'Modelling New'!$D:$D,'Modelling New'!$T:$T)*1000,"")</f>
        <v>349950.51476253523</v>
      </c>
      <c r="AE64" s="142"/>
      <c r="AF64" s="142">
        <f>IFERROR(_xlfn.XLOOKUP($D64,'Modelling New'!$D:$D,'Modelling New'!$W:$W),"")</f>
        <v>0.20712033307441716</v>
      </c>
      <c r="AG64" s="142">
        <f>IFERROR(_xlfn.XLOOKUP($D64,'Modelling New'!$D:$D,'Modelling New'!$AE:$AE),"")</f>
        <v>0.96029999999999993</v>
      </c>
      <c r="AH64" s="142">
        <f>IFERROR(_xlfn.XLOOKUP($D64,'Modelling New'!$D:$D,'Modelling New'!$AF:$AF),"")</f>
        <v>0.995</v>
      </c>
      <c r="AI64" s="109">
        <f>IFERROR(_xlfn.XLOOKUP($A64,Input_Raw!$A:$A,Input_Raw!$DP:$DP),"")</f>
        <v>1292.9100000000001</v>
      </c>
      <c r="AJ64" s="108"/>
      <c r="AK64" s="108"/>
      <c r="AL64" s="108"/>
      <c r="AM64" s="108"/>
      <c r="AN64" s="132">
        <f>IFERROR(_xlfn.XLOOKUP($A64,Input_Raw!$A:$A,Input_Raw!$DL:$DL),"")</f>
        <v>0</v>
      </c>
      <c r="AO64" s="142">
        <f>IFERROR((_xlfn.XLOOKUP($A64,'WTG Reactive Power'!$A:$A,'WTG Reactive Power'!$AW:$AW))/X64,"")</f>
        <v>1.7255150979330644E-5</v>
      </c>
      <c r="AP64" s="142">
        <f>IFERROR(_xlfn.XLOOKUP($D64,'Modelling New'!$D:$D,'Modelling New'!$AK:$AK),"")</f>
        <v>0.05</v>
      </c>
      <c r="AQ64" s="142">
        <f>IFERROR(_xlfn.XLOOKUP($D64,'Modelling New'!$D:$D,'Modelling New'!$AL:$AL),"")</f>
        <v>0.05</v>
      </c>
      <c r="AR64" s="198">
        <f>IFERROR(_xlfn.XLOOKUP($D64,'Modelling New'!$D:$D,'Modelling New'!$N:$N),"")</f>
        <v>70.400000000000006</v>
      </c>
      <c r="AS64" s="198"/>
    </row>
    <row r="65" spans="1:45">
      <c r="A65" s="137">
        <f t="shared" si="13"/>
        <v>45808</v>
      </c>
      <c r="B65" s="138">
        <f>YEAR(Daily_KPI[[#This Row],[Date]])+IF(MONTH(Daily_KPI[[#This Row],[Date]])&gt;=4,1,0)</f>
        <v>2026</v>
      </c>
      <c r="C65" s="108">
        <f>YEAR(Daily_KPI[[#This Row],[Date]])</f>
        <v>2025</v>
      </c>
      <c r="D65" s="139">
        <f>Daily_KPI[[#This Row],[Date]]-DAY(Daily_KPI[[#This Row],[Date]])+1</f>
        <v>45778</v>
      </c>
      <c r="E65" s="108">
        <f t="shared" si="9"/>
        <v>31</v>
      </c>
      <c r="F65" s="109"/>
      <c r="G65" s="110"/>
      <c r="H65" s="110"/>
      <c r="I65" s="110"/>
      <c r="J65" s="110"/>
      <c r="K65" s="111"/>
      <c r="L65" s="110"/>
      <c r="M65" s="110">
        <f>IFERROR(_xlfn.XLOOKUP($A65,Input_Raw!$A:$A,Input_Raw!$CQ:$CQ),"")</f>
        <v>8.8631818181818183</v>
      </c>
      <c r="N65" s="110">
        <f>IFERROR(_xlfn.XLOOKUP($A65,Input_Raw!$A:$A,Input_Raw!$CR:$CR),"")</f>
        <v>11.18</v>
      </c>
      <c r="O65" s="141">
        <f t="shared" si="10"/>
        <v>0.99864062007789101</v>
      </c>
      <c r="P65" s="141">
        <f>IFERROR(1-SUMIF(WTG_BD!$F:$F,$A65,WTG_BD!$AA:$AA)/($AA65+SUMIF(WTG_BD!$F:$F,$A65,WTG_BD!$AA:$AA)),"")</f>
        <v>1</v>
      </c>
      <c r="Q65" s="141">
        <f>IFERROR(1-SUMIF(IGA_BD!$F:$F,$A65,IGA_BD!$W:$W)/($AA65+SUMIF(IGA_BD!$F:$F,$A65,IGA_BD!$W:$W)),"")</f>
        <v>0.99864062007789101</v>
      </c>
      <c r="R65" s="141">
        <f>IFERROR(1-SUMIF(Grid_BD!$F:$F,$A65,Grid_BD!$Y:$Y)/($AA65+SUMIF(Grid_BD!$F:$F,$A65,Grid_BD!$Y:$Y)),"")</f>
        <v>1</v>
      </c>
      <c r="S65" s="108"/>
      <c r="T65" s="140"/>
      <c r="U65" s="141"/>
      <c r="V65" s="108"/>
      <c r="W65" s="142">
        <f t="shared" si="11"/>
        <v>0.58914713541666663</v>
      </c>
      <c r="X65" s="108">
        <f>IFERROR(_xlfn.XLOOKUP($A65,Input_Raw!$A:$A,Input_Raw!$CP:$CP)*1000,"")</f>
        <v>995423</v>
      </c>
      <c r="Y65" s="108">
        <f>IFERROR(_xlfn.XLOOKUP($A65,Input_Raw!$A:$A,Input_Raw!DJ:DJ)*1000,"")</f>
        <v>995423</v>
      </c>
      <c r="Z65" s="108">
        <f>IFERROR(_xlfn.XLOOKUP($A65,Input_Raw!$A:$A,Input_Raw!DK:DK)*1000,"")</f>
        <v>0</v>
      </c>
      <c r="AA65" s="138">
        <f t="shared" si="12"/>
        <v>995423</v>
      </c>
      <c r="AB65" s="108">
        <f>IFERROR(_xlfn.XLOOKUP($A65,Input_Raw!$A:$A,Input_Raw!$DR:$DR),"")</f>
        <v>70.400000000000006</v>
      </c>
      <c r="AC65" s="143">
        <f>IFERROR(_xlfn.XLOOKUP($D65,'Modelling New'!$D:$D,'Modelling New'!$J:$J),"")</f>
        <v>5.7233333333333336</v>
      </c>
      <c r="AD65" s="138">
        <f>IFERROR(_xlfn.XLOOKUP($D65,'Modelling New'!$D:$D,'Modelling New'!$T:$T)*1000,"")</f>
        <v>349950.51476253523</v>
      </c>
      <c r="AE65" s="142"/>
      <c r="AF65" s="142">
        <f>IFERROR(_xlfn.XLOOKUP($D65,'Modelling New'!$D:$D,'Modelling New'!$W:$W),"")</f>
        <v>0.20712033307441716</v>
      </c>
      <c r="AG65" s="142">
        <f>IFERROR(_xlfn.XLOOKUP($D65,'Modelling New'!$D:$D,'Modelling New'!$AE:$AE),"")</f>
        <v>0.96029999999999993</v>
      </c>
      <c r="AH65" s="142">
        <f>IFERROR(_xlfn.XLOOKUP($D65,'Modelling New'!$D:$D,'Modelling New'!$AF:$AF),"")</f>
        <v>0.995</v>
      </c>
      <c r="AI65" s="109">
        <f>IFERROR(_xlfn.XLOOKUP($A65,Input_Raw!$A:$A,Input_Raw!$DP:$DP),"")</f>
        <v>983.09</v>
      </c>
      <c r="AJ65" s="108"/>
      <c r="AK65" s="108"/>
      <c r="AL65" s="108"/>
      <c r="AM65" s="108"/>
      <c r="AN65" s="132">
        <f>IFERROR(_xlfn.XLOOKUP($A65,Input_Raw!$A:$A,Input_Raw!$DL:$DL),"")</f>
        <v>0</v>
      </c>
      <c r="AO65" s="142">
        <f>IFERROR((_xlfn.XLOOKUP($A65,'WTG Reactive Power'!$A:$A,'WTG Reactive Power'!$AW:$AW))/X65,"")</f>
        <v>2.2253759457034839E-5</v>
      </c>
      <c r="AP65" s="142">
        <f>IFERROR(_xlfn.XLOOKUP($D65,'Modelling New'!$D:$D,'Modelling New'!$AK:$AK),"")</f>
        <v>0.05</v>
      </c>
      <c r="AQ65" s="142">
        <f>IFERROR(_xlfn.XLOOKUP($D65,'Modelling New'!$D:$D,'Modelling New'!$AL:$AL),"")</f>
        <v>0.05</v>
      </c>
      <c r="AR65" s="198">
        <f>IFERROR(_xlfn.XLOOKUP($D65,'Modelling New'!$D:$D,'Modelling New'!$N:$N),"")</f>
        <v>70.400000000000006</v>
      </c>
      <c r="AS65" s="198"/>
    </row>
    <row r="66" spans="1:45">
      <c r="A66" s="137">
        <f t="shared" si="13"/>
        <v>45809</v>
      </c>
      <c r="B66" s="138">
        <f>YEAR(Daily_KPI[[#This Row],[Date]])+IF(MONTH(Daily_KPI[[#This Row],[Date]])&gt;=4,1,0)</f>
        <v>2026</v>
      </c>
      <c r="C66" s="108">
        <f>YEAR(Daily_KPI[[#This Row],[Date]])</f>
        <v>2025</v>
      </c>
      <c r="D66" s="139">
        <f>Daily_KPI[[#This Row],[Date]]-DAY(Daily_KPI[[#This Row],[Date]])+1</f>
        <v>45809</v>
      </c>
      <c r="E66" s="108">
        <f t="shared" si="9"/>
        <v>30</v>
      </c>
      <c r="F66" s="109"/>
      <c r="G66" s="143"/>
      <c r="H66" s="143"/>
      <c r="I66" s="143"/>
      <c r="J66" s="143"/>
      <c r="K66" s="111"/>
      <c r="L66" s="110"/>
      <c r="M66" s="110">
        <f>IFERROR(_xlfn.XLOOKUP($A66,Input_Raw!$A:$A,Input_Raw!$CQ:$CQ),"")</f>
        <v>6.521136363636364</v>
      </c>
      <c r="N66" s="110">
        <f>IFERROR(_xlfn.XLOOKUP($A66,Input_Raw!$A:$A,Input_Raw!$CR:$CR),"")</f>
        <v>8.93</v>
      </c>
      <c r="O66" s="141">
        <f t="shared" si="10"/>
        <v>1</v>
      </c>
      <c r="P66" s="141">
        <f>IFERROR(1-SUMIF(WTG_BD!$F:$F,$A66,WTG_BD!$AA:$AA)/($AA66+SUMIF(WTG_BD!$F:$F,$A66,WTG_BD!$AA:$AA)),"")</f>
        <v>1</v>
      </c>
      <c r="Q66" s="141">
        <f>IFERROR(1-SUMIF(IGA_BD!$F:$F,$A66,IGA_BD!$W:$W)/($AA66+SUMIF(IGA_BD!$F:$F,$A66,IGA_BD!$W:$W)),"")</f>
        <v>1</v>
      </c>
      <c r="R66" s="141">
        <f>IFERROR(1-SUMIF(Grid_BD!$F:$F,$A66,Grid_BD!$Y:$Y)/($AA66+SUMIF(Grid_BD!$F:$F,$A66,Grid_BD!$Y:$Y)),"")</f>
        <v>1</v>
      </c>
      <c r="S66" s="108"/>
      <c r="T66" s="140"/>
      <c r="U66" s="141"/>
      <c r="V66" s="108"/>
      <c r="W66" s="142">
        <f t="shared" si="11"/>
        <v>0.28235026041666661</v>
      </c>
      <c r="X66" s="108">
        <f>IFERROR(_xlfn.XLOOKUP($A66,Input_Raw!$A:$A,Input_Raw!$CP:$CP)*1000,"")</f>
        <v>477059</v>
      </c>
      <c r="Y66" s="108">
        <f>IFERROR(_xlfn.XLOOKUP($A66,Input_Raw!$A:$A,Input_Raw!DJ:DJ)*1000,"")</f>
        <v>477058.99999999994</v>
      </c>
      <c r="Z66" s="108">
        <f>IFERROR(_xlfn.XLOOKUP($A66,Input_Raw!$A:$A,Input_Raw!DK:DK)*1000,"")</f>
        <v>0</v>
      </c>
      <c r="AA66" s="138">
        <f t="shared" si="12"/>
        <v>477058.99999999994</v>
      </c>
      <c r="AB66" s="108">
        <f>IFERROR(_xlfn.XLOOKUP($A66,Input_Raw!$A:$A,Input_Raw!$DR:$DR),"")</f>
        <v>70.400000000000006</v>
      </c>
      <c r="AC66" s="143">
        <f>IFERROR(_xlfn.XLOOKUP($D66,'Modelling New'!$D:$D,'Modelling New'!$J:$J),"")</f>
        <v>6.81</v>
      </c>
      <c r="AD66" s="138">
        <f>IFERROR(_xlfn.XLOOKUP($D66,'Modelling New'!$D:$D,'Modelling New'!$T:$T)*1000,"")</f>
        <v>519769.59725666587</v>
      </c>
      <c r="AE66" s="142"/>
      <c r="AF66" s="142">
        <f>IFERROR(_xlfn.XLOOKUP($D66,'Modelling New'!$D:$D,'Modelling New'!$W:$W),"")</f>
        <v>0.30762878625512891</v>
      </c>
      <c r="AG66" s="142">
        <f>IFERROR(_xlfn.XLOOKUP($D66,'Modelling New'!$D:$D,'Modelling New'!$AE:$AE),"")</f>
        <v>0.96029999999999993</v>
      </c>
      <c r="AH66" s="142">
        <f>IFERROR(_xlfn.XLOOKUP($D66,'Modelling New'!$D:$D,'Modelling New'!$AF:$AF),"")</f>
        <v>0.995</v>
      </c>
      <c r="AI66" s="109">
        <f>IFERROR(_xlfn.XLOOKUP($A66,Input_Raw!$A:$A,Input_Raw!$DP:$DP),"")</f>
        <v>430.77</v>
      </c>
      <c r="AJ66" s="108"/>
      <c r="AK66" s="108"/>
      <c r="AL66" s="108"/>
      <c r="AM66" s="108"/>
      <c r="AN66" s="132">
        <f>IFERROR(_xlfn.XLOOKUP($A66,Input_Raw!$A:$A,Input_Raw!$DL:$DL),"")</f>
        <v>-1.1102230246251565E-16</v>
      </c>
      <c r="AO66" s="142">
        <f>IFERROR((_xlfn.XLOOKUP($A66,'WTG Reactive Power'!$A:$A,'WTG Reactive Power'!$AW:$AW))/X66,"")</f>
        <v>4.6434306867703973E-5</v>
      </c>
      <c r="AP66" s="142">
        <f>IFERROR(_xlfn.XLOOKUP($D66,'Modelling New'!$D:$D,'Modelling New'!$AK:$AK),"")</f>
        <v>0.05</v>
      </c>
      <c r="AQ66" s="142">
        <f>IFERROR(_xlfn.XLOOKUP($D66,'Modelling New'!$D:$D,'Modelling New'!$AL:$AL),"")</f>
        <v>0.05</v>
      </c>
      <c r="AR66" s="198">
        <f>IFERROR(_xlfn.XLOOKUP($D66,'Modelling New'!$D:$D,'Modelling New'!$N:$N),"")</f>
        <v>70.400000000000006</v>
      </c>
      <c r="AS66" s="198"/>
    </row>
    <row r="67" spans="1:45">
      <c r="A67" s="137">
        <f t="shared" si="13"/>
        <v>45810</v>
      </c>
      <c r="B67" s="138">
        <f>YEAR(Daily_KPI[[#This Row],[Date]])+IF(MONTH(Daily_KPI[[#This Row],[Date]])&gt;=4,1,0)</f>
        <v>2026</v>
      </c>
      <c r="C67" s="108">
        <f>YEAR(Daily_KPI[[#This Row],[Date]])</f>
        <v>2025</v>
      </c>
      <c r="D67" s="139">
        <f>Daily_KPI[[#This Row],[Date]]-DAY(Daily_KPI[[#This Row],[Date]])+1</f>
        <v>45809</v>
      </c>
      <c r="E67" s="108">
        <f t="shared" si="9"/>
        <v>30</v>
      </c>
      <c r="F67" s="109"/>
      <c r="G67" s="110"/>
      <c r="H67" s="110"/>
      <c r="I67" s="110"/>
      <c r="J67" s="110"/>
      <c r="K67" s="111"/>
      <c r="L67" s="110"/>
      <c r="M67" s="110">
        <f>IFERROR(_xlfn.XLOOKUP($A67,Input_Raw!$A:$A,Input_Raw!$CQ:$CQ),"")</f>
        <v>6.6449999999999996</v>
      </c>
      <c r="N67" s="110">
        <f>IFERROR(_xlfn.XLOOKUP($A67,Input_Raw!$A:$A,Input_Raw!$CR:$CR),"")</f>
        <v>8.89</v>
      </c>
      <c r="O67" s="141">
        <f t="shared" si="10"/>
        <v>0.98013447842847257</v>
      </c>
      <c r="P67" s="141">
        <f>IFERROR(1-SUMIF(WTG_BD!$F:$F,$A67,WTG_BD!$AA:$AA)/($AA67+SUMIF(WTG_BD!$F:$F,$A67,WTG_BD!$AA:$AA)),"")</f>
        <v>0.98770484374779721</v>
      </c>
      <c r="Q67" s="141">
        <f>IFERROR(1-SUMIF(IGA_BD!$F:$F,$A67,IGA_BD!$W:$W)/($AA67+SUMIF(IGA_BD!$F:$F,$A67,IGA_BD!$W:$W)),"")</f>
        <v>0.99233539719153419</v>
      </c>
      <c r="R67" s="141">
        <f>IFERROR(1-SUMIF(Grid_BD!$F:$F,$A67,Grid_BD!$Y:$Y)/($AA67+SUMIF(Grid_BD!$F:$F,$A67,Grid_BD!$Y:$Y)),"")</f>
        <v>1</v>
      </c>
      <c r="S67" s="108"/>
      <c r="T67" s="140"/>
      <c r="U67" s="141"/>
      <c r="V67" s="108"/>
      <c r="W67" s="142">
        <f t="shared" si="11"/>
        <v>0.29026515151515148</v>
      </c>
      <c r="X67" s="108">
        <f>IFERROR(_xlfn.XLOOKUP($A67,Input_Raw!$A:$A,Input_Raw!$CP:$CP)*1000,"")</f>
        <v>490432</v>
      </c>
      <c r="Y67" s="108">
        <f>IFERROR(_xlfn.XLOOKUP($A67,Input_Raw!$A:$A,Input_Raw!DJ:DJ)*1000,"")</f>
        <v>490432</v>
      </c>
      <c r="Z67" s="108">
        <f>IFERROR(_xlfn.XLOOKUP($A67,Input_Raw!$A:$A,Input_Raw!DK:DK)*1000,"")</f>
        <v>0</v>
      </c>
      <c r="AA67" s="138">
        <f t="shared" si="12"/>
        <v>490432</v>
      </c>
      <c r="AB67" s="108">
        <f>IFERROR(_xlfn.XLOOKUP($A67,Input_Raw!$A:$A,Input_Raw!$DR:$DR),"")</f>
        <v>70.400000000000006</v>
      </c>
      <c r="AC67" s="143">
        <f>IFERROR(_xlfn.XLOOKUP($D67,'Modelling New'!$D:$D,'Modelling New'!$J:$J),"")</f>
        <v>6.81</v>
      </c>
      <c r="AD67" s="138">
        <f>IFERROR(_xlfn.XLOOKUP($D67,'Modelling New'!$D:$D,'Modelling New'!$T:$T)*1000,"")</f>
        <v>519769.59725666587</v>
      </c>
      <c r="AE67" s="142"/>
      <c r="AF67" s="142">
        <f>IFERROR(_xlfn.XLOOKUP($D67,'Modelling New'!$D:$D,'Modelling New'!$W:$W),"")</f>
        <v>0.30762878625512891</v>
      </c>
      <c r="AG67" s="142">
        <f>IFERROR(_xlfn.XLOOKUP($D67,'Modelling New'!$D:$D,'Modelling New'!$AE:$AE),"")</f>
        <v>0.96029999999999993</v>
      </c>
      <c r="AH67" s="142">
        <f>IFERROR(_xlfn.XLOOKUP($D67,'Modelling New'!$D:$D,'Modelling New'!$AF:$AF),"")</f>
        <v>0.995</v>
      </c>
      <c r="AI67" s="109">
        <f>IFERROR(_xlfn.XLOOKUP($A67,Input_Raw!$A:$A,Input_Raw!$DP:$DP),"")</f>
        <v>453.43</v>
      </c>
      <c r="AJ67" s="108"/>
      <c r="AK67" s="108"/>
      <c r="AL67" s="108"/>
      <c r="AM67" s="108"/>
      <c r="AN67" s="132">
        <f>IFERROR(_xlfn.XLOOKUP($A67,Input_Raw!$A:$A,Input_Raw!$DL:$DL),"")</f>
        <v>0</v>
      </c>
      <c r="AO67" s="142">
        <f>IFERROR((_xlfn.XLOOKUP($A67,'WTG Reactive Power'!$A:$A,'WTG Reactive Power'!$AW:$AW))/X67,"")</f>
        <v>6.8644836593044503E-5</v>
      </c>
      <c r="AP67" s="142">
        <f>IFERROR(_xlfn.XLOOKUP($D67,'Modelling New'!$D:$D,'Modelling New'!$AK:$AK),"")</f>
        <v>0.05</v>
      </c>
      <c r="AQ67" s="142">
        <f>IFERROR(_xlfn.XLOOKUP($D67,'Modelling New'!$D:$D,'Modelling New'!$AL:$AL),"")</f>
        <v>0.05</v>
      </c>
      <c r="AR67" s="198">
        <f>IFERROR(_xlfn.XLOOKUP($D67,'Modelling New'!$D:$D,'Modelling New'!$N:$N),"")</f>
        <v>70.400000000000006</v>
      </c>
      <c r="AS67" s="198"/>
    </row>
    <row r="68" spans="1:45">
      <c r="A68" s="137">
        <f t="shared" si="13"/>
        <v>45811</v>
      </c>
      <c r="B68" s="138">
        <f>YEAR(Daily_KPI[[#This Row],[Date]])+IF(MONTH(Daily_KPI[[#This Row],[Date]])&gt;=4,1,0)</f>
        <v>2026</v>
      </c>
      <c r="C68" s="108">
        <f>YEAR(Daily_KPI[[#This Row],[Date]])</f>
        <v>2025</v>
      </c>
      <c r="D68" s="139">
        <f>Daily_KPI[[#This Row],[Date]]-DAY(Daily_KPI[[#This Row],[Date]])+1</f>
        <v>45809</v>
      </c>
      <c r="E68" s="108">
        <f t="shared" si="9"/>
        <v>30</v>
      </c>
      <c r="F68" s="109"/>
      <c r="G68" s="143"/>
      <c r="H68" s="143"/>
      <c r="I68" s="143"/>
      <c r="J68" s="143"/>
      <c r="K68" s="111"/>
      <c r="L68" s="110"/>
      <c r="M68" s="110">
        <f>IFERROR(_xlfn.XLOOKUP($A68,Input_Raw!$A:$A,Input_Raw!$CQ:$CQ),"")</f>
        <v>6.731590909090909</v>
      </c>
      <c r="N68" s="110">
        <f>IFERROR(_xlfn.XLOOKUP($A68,Input_Raw!$A:$A,Input_Raw!$CR:$CR),"")</f>
        <v>8.99</v>
      </c>
      <c r="O68" s="141">
        <f t="shared" si="10"/>
        <v>0.99217066657295561</v>
      </c>
      <c r="P68" s="141">
        <f>IFERROR(1-SUMIF(WTG_BD!$F:$F,$A68,WTG_BD!$AA:$AA)/($AA68+SUMIF(WTG_BD!$F:$F,$A68,WTG_BD!$AA:$AA)),"")</f>
        <v>0.99521034837794642</v>
      </c>
      <c r="Q68" s="141">
        <f>IFERROR(1-SUMIF(IGA_BD!$F:$F,$A68,IGA_BD!$W:$W)/($AA68+SUMIF(IGA_BD!$F:$F,$A68,IGA_BD!$W:$W)),"")</f>
        <v>0.99694568910990011</v>
      </c>
      <c r="R68" s="141">
        <f>IFERROR(1-SUMIF(Grid_BD!$F:$F,$A68,Grid_BD!$Y:$Y)/($AA68+SUMIF(Grid_BD!$F:$F,$A68,Grid_BD!$Y:$Y)),"")</f>
        <v>1</v>
      </c>
      <c r="S68" s="108"/>
      <c r="T68" s="140"/>
      <c r="U68" s="141"/>
      <c r="V68" s="108"/>
      <c r="W68" s="142">
        <f t="shared" si="11"/>
        <v>0.31064216382575754</v>
      </c>
      <c r="X68" s="108">
        <f>IFERROR(_xlfn.XLOOKUP($A68,Input_Raw!$A:$A,Input_Raw!$CP:$CP)*1000,"")</f>
        <v>524861</v>
      </c>
      <c r="Y68" s="108">
        <f>IFERROR(_xlfn.XLOOKUP($A68,Input_Raw!$A:$A,Input_Raw!DJ:DJ)*1000,"")</f>
        <v>524861</v>
      </c>
      <c r="Z68" s="108">
        <f>IFERROR(_xlfn.XLOOKUP($A68,Input_Raw!$A:$A,Input_Raw!DK:DK)*1000,"")</f>
        <v>0</v>
      </c>
      <c r="AA68" s="138">
        <f t="shared" si="12"/>
        <v>524861</v>
      </c>
      <c r="AB68" s="108">
        <f>IFERROR(_xlfn.XLOOKUP($A68,Input_Raw!$A:$A,Input_Raw!$DR:$DR),"")</f>
        <v>70.400000000000006</v>
      </c>
      <c r="AC68" s="143">
        <f>IFERROR(_xlfn.XLOOKUP($D68,'Modelling New'!$D:$D,'Modelling New'!$J:$J),"")</f>
        <v>6.81</v>
      </c>
      <c r="AD68" s="138">
        <f>IFERROR(_xlfn.XLOOKUP($D68,'Modelling New'!$D:$D,'Modelling New'!$T:$T)*1000,"")</f>
        <v>519769.59725666587</v>
      </c>
      <c r="AE68" s="142"/>
      <c r="AF68" s="142">
        <f>IFERROR(_xlfn.XLOOKUP($D68,'Modelling New'!$D:$D,'Modelling New'!$W:$W),"")</f>
        <v>0.30762878625512891</v>
      </c>
      <c r="AG68" s="142">
        <f>IFERROR(_xlfn.XLOOKUP($D68,'Modelling New'!$D:$D,'Modelling New'!$AE:$AE),"")</f>
        <v>0.96029999999999993</v>
      </c>
      <c r="AH68" s="142">
        <f>IFERROR(_xlfn.XLOOKUP($D68,'Modelling New'!$D:$D,'Modelling New'!$AF:$AF),"")</f>
        <v>0.995</v>
      </c>
      <c r="AI68" s="109">
        <f>IFERROR(_xlfn.XLOOKUP($A68,Input_Raw!$A:$A,Input_Raw!$DP:$DP),"")</f>
        <v>482.41</v>
      </c>
      <c r="AJ68" s="108"/>
      <c r="AK68" s="108"/>
      <c r="AL68" s="108"/>
      <c r="AM68" s="108"/>
      <c r="AN68" s="132">
        <f>IFERROR(_xlfn.XLOOKUP($A68,Input_Raw!$A:$A,Input_Raw!$DL:$DL),"")</f>
        <v>0</v>
      </c>
      <c r="AO68" s="142">
        <f>IFERROR((_xlfn.XLOOKUP($A68,'WTG Reactive Power'!$A:$A,'WTG Reactive Power'!$AW:$AW))/X68,"")</f>
        <v>1.8108273809637224E-4</v>
      </c>
      <c r="AP68" s="142">
        <f>IFERROR(_xlfn.XLOOKUP($D68,'Modelling New'!$D:$D,'Modelling New'!$AK:$AK),"")</f>
        <v>0.05</v>
      </c>
      <c r="AQ68" s="142">
        <f>IFERROR(_xlfn.XLOOKUP($D68,'Modelling New'!$D:$D,'Modelling New'!$AL:$AL),"")</f>
        <v>0.05</v>
      </c>
      <c r="AR68" s="198">
        <f>IFERROR(_xlfn.XLOOKUP($D68,'Modelling New'!$D:$D,'Modelling New'!$N:$N),"")</f>
        <v>70.400000000000006</v>
      </c>
      <c r="AS68" s="198"/>
    </row>
    <row r="69" spans="1:45">
      <c r="A69" s="137">
        <f t="shared" si="13"/>
        <v>45812</v>
      </c>
      <c r="B69" s="138">
        <f>YEAR(Daily_KPI[[#This Row],[Date]])+IF(MONTH(Daily_KPI[[#This Row],[Date]])&gt;=4,1,0)</f>
        <v>2026</v>
      </c>
      <c r="C69" s="108">
        <f>YEAR(Daily_KPI[[#This Row],[Date]])</f>
        <v>2025</v>
      </c>
      <c r="D69" s="139">
        <f>Daily_KPI[[#This Row],[Date]]-DAY(Daily_KPI[[#This Row],[Date]])+1</f>
        <v>45809</v>
      </c>
      <c r="E69" s="108">
        <f t="shared" si="9"/>
        <v>30</v>
      </c>
      <c r="F69" s="109"/>
      <c r="G69" s="110"/>
      <c r="H69" s="110"/>
      <c r="I69" s="110"/>
      <c r="J69" s="110"/>
      <c r="K69" s="111"/>
      <c r="L69" s="110"/>
      <c r="M69" s="110">
        <f>IFERROR(_xlfn.XLOOKUP($A69,Input_Raw!$A:$A,Input_Raw!$CQ:$CQ),"")</f>
        <v>6.6354545454545466</v>
      </c>
      <c r="N69" s="110">
        <f>IFERROR(_xlfn.XLOOKUP($A69,Input_Raw!$A:$A,Input_Raw!$CR:$CR),"")</f>
        <v>9.1</v>
      </c>
      <c r="O69" s="141">
        <f t="shared" si="10"/>
        <v>0.98759818106072195</v>
      </c>
      <c r="P69" s="141">
        <f>IFERROR(1-SUMIF(WTG_BD!$F:$F,$A69,WTG_BD!$AA:$AA)/($AA69+SUMIF(WTG_BD!$F:$F,$A69,WTG_BD!$AA:$AA)),"")</f>
        <v>0.98799870695745928</v>
      </c>
      <c r="Q69" s="141">
        <f>IFERROR(1-SUMIF(IGA_BD!$F:$F,$A69,IGA_BD!$W:$W)/($AA69+SUMIF(IGA_BD!$F:$F,$A69,IGA_BD!$W:$W)),"")</f>
        <v>0.99959460888570317</v>
      </c>
      <c r="R69" s="141">
        <f>IFERROR(1-SUMIF(Grid_BD!$F:$F,$A69,Grid_BD!$Y:$Y)/($AA69+SUMIF(Grid_BD!$F:$F,$A69,Grid_BD!$Y:$Y)),"")</f>
        <v>1</v>
      </c>
      <c r="S69" s="108"/>
      <c r="T69" s="140"/>
      <c r="U69" s="141"/>
      <c r="V69" s="108"/>
      <c r="W69" s="142">
        <f t="shared" si="11"/>
        <v>0.30208984374999998</v>
      </c>
      <c r="X69" s="108">
        <f>IFERROR(_xlfn.XLOOKUP($A69,Input_Raw!$A:$A,Input_Raw!$CP:$CP)*1000,"")</f>
        <v>510411</v>
      </c>
      <c r="Y69" s="108">
        <f>IFERROR(_xlfn.XLOOKUP($A69,Input_Raw!$A:$A,Input_Raw!DJ:DJ)*1000,"")</f>
        <v>510411.00000000006</v>
      </c>
      <c r="Z69" s="108">
        <f>IFERROR(_xlfn.XLOOKUP($A69,Input_Raw!$A:$A,Input_Raw!DK:DK)*1000,"")</f>
        <v>0</v>
      </c>
      <c r="AA69" s="138">
        <f t="shared" si="12"/>
        <v>510411.00000000006</v>
      </c>
      <c r="AB69" s="108">
        <f>IFERROR(_xlfn.XLOOKUP($A69,Input_Raw!$A:$A,Input_Raw!$DR:$DR),"")</f>
        <v>70.400000000000006</v>
      </c>
      <c r="AC69" s="143">
        <f>IFERROR(_xlfn.XLOOKUP($D69,'Modelling New'!$D:$D,'Modelling New'!$J:$J),"")</f>
        <v>6.81</v>
      </c>
      <c r="AD69" s="138">
        <f>IFERROR(_xlfn.XLOOKUP($D69,'Modelling New'!$D:$D,'Modelling New'!$T:$T)*1000,"")</f>
        <v>519769.59725666587</v>
      </c>
      <c r="AE69" s="142"/>
      <c r="AF69" s="142">
        <f>IFERROR(_xlfn.XLOOKUP($D69,'Modelling New'!$D:$D,'Modelling New'!$W:$W),"")</f>
        <v>0.30762878625512891</v>
      </c>
      <c r="AG69" s="142">
        <f>IFERROR(_xlfn.XLOOKUP($D69,'Modelling New'!$D:$D,'Modelling New'!$AE:$AE),"")</f>
        <v>0.96029999999999993</v>
      </c>
      <c r="AH69" s="142">
        <f>IFERROR(_xlfn.XLOOKUP($D69,'Modelling New'!$D:$D,'Modelling New'!$AF:$AF),"")</f>
        <v>0.995</v>
      </c>
      <c r="AI69" s="109">
        <f>IFERROR(_xlfn.XLOOKUP($A69,Input_Raw!$A:$A,Input_Raw!$DP:$DP),"")</f>
        <v>475.81</v>
      </c>
      <c r="AJ69" s="108"/>
      <c r="AK69" s="108"/>
      <c r="AL69" s="108"/>
      <c r="AM69" s="108"/>
      <c r="AN69" s="132">
        <f>IFERROR(_xlfn.XLOOKUP($A69,Input_Raw!$A:$A,Input_Raw!$DL:$DL),"")</f>
        <v>2.2204460492503131E-16</v>
      </c>
      <c r="AO69" s="142">
        <f>IFERROR((_xlfn.XLOOKUP($A69,'WTG Reactive Power'!$A:$A,'WTG Reactive Power'!$AW:$AW))/X69,"")</f>
        <v>1.8933637891816591E-4</v>
      </c>
      <c r="AP69" s="142">
        <f>IFERROR(_xlfn.XLOOKUP($D69,'Modelling New'!$D:$D,'Modelling New'!$AK:$AK),"")</f>
        <v>0.05</v>
      </c>
      <c r="AQ69" s="142">
        <f>IFERROR(_xlfn.XLOOKUP($D69,'Modelling New'!$D:$D,'Modelling New'!$AL:$AL),"")</f>
        <v>0.05</v>
      </c>
      <c r="AR69" s="198">
        <f>IFERROR(_xlfn.XLOOKUP($D69,'Modelling New'!$D:$D,'Modelling New'!$N:$N),"")</f>
        <v>70.400000000000006</v>
      </c>
      <c r="AS69" s="198"/>
    </row>
    <row r="70" spans="1:45">
      <c r="A70" s="137">
        <f t="shared" si="13"/>
        <v>45813</v>
      </c>
      <c r="B70" s="138">
        <f>YEAR(Daily_KPI[[#This Row],[Date]])+IF(MONTH(Daily_KPI[[#This Row],[Date]])&gt;=4,1,0)</f>
        <v>2026</v>
      </c>
      <c r="C70" s="108">
        <f>YEAR(Daily_KPI[[#This Row],[Date]])</f>
        <v>2025</v>
      </c>
      <c r="D70" s="139">
        <f>Daily_KPI[[#This Row],[Date]]-DAY(Daily_KPI[[#This Row],[Date]])+1</f>
        <v>45809</v>
      </c>
      <c r="E70" s="108">
        <f t="shared" si="9"/>
        <v>30</v>
      </c>
      <c r="F70" s="109"/>
      <c r="G70" s="143"/>
      <c r="H70" s="143"/>
      <c r="I70" s="143"/>
      <c r="J70" s="143"/>
      <c r="K70" s="111"/>
      <c r="L70" s="110"/>
      <c r="M70" s="110">
        <f>IFERROR(_xlfn.XLOOKUP($A70,Input_Raw!$A:$A,Input_Raw!$CQ:$CQ),"")</f>
        <v>6.1284090909090914</v>
      </c>
      <c r="N70" s="110">
        <f>IFERROR(_xlfn.XLOOKUP($A70,Input_Raw!$A:$A,Input_Raw!$CR:$CR),"")</f>
        <v>7.6</v>
      </c>
      <c r="O70" s="141">
        <f t="shared" si="10"/>
        <v>0.98503766042827523</v>
      </c>
      <c r="P70" s="141">
        <f>IFERROR(1-SUMIF(WTG_BD!$F:$F,$A70,WTG_BD!$AA:$AA)/($AA70+SUMIF(WTG_BD!$F:$F,$A70,WTG_BD!$AA:$AA)),"")</f>
        <v>0.99371828627079362</v>
      </c>
      <c r="Q70" s="141">
        <f>IFERROR(1-SUMIF(IGA_BD!$F:$F,$A70,IGA_BD!$W:$W)/($AA70+SUMIF(IGA_BD!$F:$F,$A70,IGA_BD!$W:$W)),"")</f>
        <v>0.99126450024876278</v>
      </c>
      <c r="R70" s="141">
        <f>IFERROR(1-SUMIF(Grid_BD!$F:$F,$A70,Grid_BD!$Y:$Y)/($AA70+SUMIF(Grid_BD!$F:$F,$A70,Grid_BD!$Y:$Y)),"")</f>
        <v>1</v>
      </c>
      <c r="S70" s="108"/>
      <c r="T70" s="140"/>
      <c r="U70" s="141"/>
      <c r="V70" s="108"/>
      <c r="W70" s="142">
        <f t="shared" si="11"/>
        <v>0.22404947916666665</v>
      </c>
      <c r="X70" s="108">
        <f>IFERROR(_xlfn.XLOOKUP($A70,Input_Raw!$A:$A,Input_Raw!$CP:$CP)*1000,"")</f>
        <v>378554</v>
      </c>
      <c r="Y70" s="108">
        <f>IFERROR(_xlfn.XLOOKUP($A70,Input_Raw!$A:$A,Input_Raw!DJ:DJ)*1000,"")</f>
        <v>378554</v>
      </c>
      <c r="Z70" s="108">
        <f>IFERROR(_xlfn.XLOOKUP($A70,Input_Raw!$A:$A,Input_Raw!DK:DK)*1000,"")</f>
        <v>0</v>
      </c>
      <c r="AA70" s="138">
        <f t="shared" si="12"/>
        <v>378554</v>
      </c>
      <c r="AB70" s="108">
        <f>IFERROR(_xlfn.XLOOKUP($A70,Input_Raw!$A:$A,Input_Raw!$DR:$DR),"")</f>
        <v>70.400000000000006</v>
      </c>
      <c r="AC70" s="143">
        <f>IFERROR(_xlfn.XLOOKUP($D70,'Modelling New'!$D:$D,'Modelling New'!$J:$J),"")</f>
        <v>6.81</v>
      </c>
      <c r="AD70" s="138">
        <f>IFERROR(_xlfn.XLOOKUP($D70,'Modelling New'!$D:$D,'Modelling New'!$T:$T)*1000,"")</f>
        <v>519769.59725666587</v>
      </c>
      <c r="AE70" s="142"/>
      <c r="AF70" s="142">
        <f>IFERROR(_xlfn.XLOOKUP($D70,'Modelling New'!$D:$D,'Modelling New'!$W:$W),"")</f>
        <v>0.30762878625512891</v>
      </c>
      <c r="AG70" s="142">
        <f>IFERROR(_xlfn.XLOOKUP($D70,'Modelling New'!$D:$D,'Modelling New'!$AE:$AE),"")</f>
        <v>0.96029999999999993</v>
      </c>
      <c r="AH70" s="142">
        <f>IFERROR(_xlfn.XLOOKUP($D70,'Modelling New'!$D:$D,'Modelling New'!$AF:$AF),"")</f>
        <v>0.995</v>
      </c>
      <c r="AI70" s="109">
        <f>IFERROR(_xlfn.XLOOKUP($A70,Input_Raw!$A:$A,Input_Raw!$DP:$DP),"")</f>
        <v>361.89</v>
      </c>
      <c r="AJ70" s="108"/>
      <c r="AK70" s="108"/>
      <c r="AL70" s="108"/>
      <c r="AM70" s="108"/>
      <c r="AN70" s="132">
        <f>IFERROR(_xlfn.XLOOKUP($A70,Input_Raw!$A:$A,Input_Raw!$DL:$DL),"")</f>
        <v>0</v>
      </c>
      <c r="AO70" s="142">
        <f>IFERROR((_xlfn.XLOOKUP($A70,'WTG Reactive Power'!$A:$A,'WTG Reactive Power'!$AW:$AW))/X70,"")</f>
        <v>1.7881528482946516E-4</v>
      </c>
      <c r="AP70" s="142">
        <f>IFERROR(_xlfn.XLOOKUP($D70,'Modelling New'!$D:$D,'Modelling New'!$AK:$AK),"")</f>
        <v>0.05</v>
      </c>
      <c r="AQ70" s="142">
        <f>IFERROR(_xlfn.XLOOKUP($D70,'Modelling New'!$D:$D,'Modelling New'!$AL:$AL),"")</f>
        <v>0.05</v>
      </c>
      <c r="AR70" s="198">
        <f>IFERROR(_xlfn.XLOOKUP($D70,'Modelling New'!$D:$D,'Modelling New'!$N:$N),"")</f>
        <v>70.400000000000006</v>
      </c>
      <c r="AS70" s="198"/>
    </row>
    <row r="71" spans="1:45">
      <c r="A71" s="137">
        <f t="shared" si="13"/>
        <v>45814</v>
      </c>
      <c r="B71" s="138">
        <f>YEAR(Daily_KPI[[#This Row],[Date]])+IF(MONTH(Daily_KPI[[#This Row],[Date]])&gt;=4,1,0)</f>
        <v>2026</v>
      </c>
      <c r="C71" s="108">
        <f>YEAR(Daily_KPI[[#This Row],[Date]])</f>
        <v>2025</v>
      </c>
      <c r="D71" s="139">
        <f>Daily_KPI[[#This Row],[Date]]-DAY(Daily_KPI[[#This Row],[Date]])+1</f>
        <v>45809</v>
      </c>
      <c r="E71" s="108">
        <f t="shared" si="9"/>
        <v>30</v>
      </c>
      <c r="F71" s="109"/>
      <c r="G71" s="110"/>
      <c r="H71" s="110"/>
      <c r="I71" s="110"/>
      <c r="J71" s="110"/>
      <c r="K71" s="111"/>
      <c r="L71" s="110"/>
      <c r="M71" s="110">
        <f>IFERROR(_xlfn.XLOOKUP($A71,Input_Raw!$A:$A,Input_Raw!$CQ:$CQ),"")</f>
        <v>5.317045454545454</v>
      </c>
      <c r="N71" s="110">
        <f>IFERROR(_xlfn.XLOOKUP($A71,Input_Raw!$A:$A,Input_Raw!$CR:$CR),"")</f>
        <v>6.84</v>
      </c>
      <c r="O71" s="141">
        <f t="shared" si="10"/>
        <v>0.98672813974989049</v>
      </c>
      <c r="P71" s="141">
        <f>IFERROR(1-SUMIF(WTG_BD!$F:$F,$A71,WTG_BD!$AA:$AA)/($AA71+SUMIF(WTG_BD!$F:$F,$A71,WTG_BD!$AA:$AA)),"")</f>
        <v>0.98672813974989049</v>
      </c>
      <c r="Q71" s="141">
        <f>IFERROR(1-SUMIF(IGA_BD!$F:$F,$A71,IGA_BD!$W:$W)/($AA71+SUMIF(IGA_BD!$F:$F,$A71,IGA_BD!$W:$W)),"")</f>
        <v>1</v>
      </c>
      <c r="R71" s="141">
        <f>IFERROR(1-SUMIF(Grid_BD!$F:$F,$A71,Grid_BD!$Y:$Y)/($AA71+SUMIF(Grid_BD!$F:$F,$A71,Grid_BD!$Y:$Y)),"")</f>
        <v>1</v>
      </c>
      <c r="S71" s="108"/>
      <c r="T71" s="140"/>
      <c r="U71" s="141"/>
      <c r="V71" s="108"/>
      <c r="W71" s="142">
        <f t="shared" si="11"/>
        <v>0.14402166193181817</v>
      </c>
      <c r="X71" s="108">
        <f>IFERROR(_xlfn.XLOOKUP($A71,Input_Raw!$A:$A,Input_Raw!$CP:$CP)*1000,"")</f>
        <v>243339</v>
      </c>
      <c r="Y71" s="108">
        <f>IFERROR(_xlfn.XLOOKUP($A71,Input_Raw!$A:$A,Input_Raw!DJ:DJ)*1000,"")</f>
        <v>243339</v>
      </c>
      <c r="Z71" s="108">
        <f>IFERROR(_xlfn.XLOOKUP($A71,Input_Raw!$A:$A,Input_Raw!DK:DK)*1000,"")</f>
        <v>0</v>
      </c>
      <c r="AA71" s="138">
        <f t="shared" si="12"/>
        <v>243339</v>
      </c>
      <c r="AB71" s="108">
        <f>IFERROR(_xlfn.XLOOKUP($A71,Input_Raw!$A:$A,Input_Raw!$DR:$DR),"")</f>
        <v>70.400000000000006</v>
      </c>
      <c r="AC71" s="143">
        <f>IFERROR(_xlfn.XLOOKUP($D71,'Modelling New'!$D:$D,'Modelling New'!$J:$J),"")</f>
        <v>6.81</v>
      </c>
      <c r="AD71" s="138">
        <f>IFERROR(_xlfn.XLOOKUP($D71,'Modelling New'!$D:$D,'Modelling New'!$T:$T)*1000,"")</f>
        <v>519769.59725666587</v>
      </c>
      <c r="AE71" s="142"/>
      <c r="AF71" s="142">
        <f>IFERROR(_xlfn.XLOOKUP($D71,'Modelling New'!$D:$D,'Modelling New'!$W:$W),"")</f>
        <v>0.30762878625512891</v>
      </c>
      <c r="AG71" s="142">
        <f>IFERROR(_xlfn.XLOOKUP($D71,'Modelling New'!$D:$D,'Modelling New'!$AE:$AE),"")</f>
        <v>0.96029999999999993</v>
      </c>
      <c r="AH71" s="142">
        <f>IFERROR(_xlfn.XLOOKUP($D71,'Modelling New'!$D:$D,'Modelling New'!$AF:$AF),"")</f>
        <v>0.995</v>
      </c>
      <c r="AI71" s="109">
        <f>IFERROR(_xlfn.XLOOKUP($A71,Input_Raw!$A:$A,Input_Raw!$DP:$DP),"")</f>
        <v>238.66</v>
      </c>
      <c r="AJ71" s="108"/>
      <c r="AK71" s="108"/>
      <c r="AL71" s="108"/>
      <c r="AM71" s="108"/>
      <c r="AN71" s="132">
        <f>IFERROR(_xlfn.XLOOKUP($A71,Input_Raw!$A:$A,Input_Raw!$DL:$DL),"")</f>
        <v>0</v>
      </c>
      <c r="AO71" s="142">
        <f>IFERROR((_xlfn.XLOOKUP($A71,'WTG Reactive Power'!$A:$A,'WTG Reactive Power'!$AW:$AW))/X71,"")</f>
        <v>1.7782447395060664E-4</v>
      </c>
      <c r="AP71" s="142">
        <f>IFERROR(_xlfn.XLOOKUP($D71,'Modelling New'!$D:$D,'Modelling New'!$AK:$AK),"")</f>
        <v>0.05</v>
      </c>
      <c r="AQ71" s="142">
        <f>IFERROR(_xlfn.XLOOKUP($D71,'Modelling New'!$D:$D,'Modelling New'!$AL:$AL),"")</f>
        <v>0.05</v>
      </c>
      <c r="AR71" s="198">
        <f>IFERROR(_xlfn.XLOOKUP($D71,'Modelling New'!$D:$D,'Modelling New'!$N:$N),"")</f>
        <v>70.400000000000006</v>
      </c>
      <c r="AS71" s="198"/>
    </row>
    <row r="72" spans="1:45">
      <c r="A72" s="137">
        <f t="shared" si="13"/>
        <v>45815</v>
      </c>
      <c r="B72" s="138">
        <f>YEAR(Daily_KPI[[#This Row],[Date]])+IF(MONTH(Daily_KPI[[#This Row],[Date]])&gt;=4,1,0)</f>
        <v>2026</v>
      </c>
      <c r="C72" s="108">
        <f>YEAR(Daily_KPI[[#This Row],[Date]])</f>
        <v>2025</v>
      </c>
      <c r="D72" s="139">
        <f>Daily_KPI[[#This Row],[Date]]-DAY(Daily_KPI[[#This Row],[Date]])+1</f>
        <v>45809</v>
      </c>
      <c r="E72" s="108">
        <f t="shared" si="9"/>
        <v>30</v>
      </c>
      <c r="F72" s="109"/>
      <c r="G72" s="143"/>
      <c r="H72" s="143"/>
      <c r="I72" s="143"/>
      <c r="J72" s="143"/>
      <c r="K72" s="111"/>
      <c r="L72" s="110"/>
      <c r="M72" s="110">
        <f>IFERROR(_xlfn.XLOOKUP($A72,Input_Raw!$A:$A,Input_Raw!$CQ:$CQ),"")</f>
        <v>5.6863636363636347</v>
      </c>
      <c r="N72" s="110">
        <f>IFERROR(_xlfn.XLOOKUP($A72,Input_Raw!$A:$A,Input_Raw!$CR:$CR),"")</f>
        <v>7.26</v>
      </c>
      <c r="O72" s="141">
        <f t="shared" si="10"/>
        <v>0.99718737638200727</v>
      </c>
      <c r="P72" s="141">
        <f>IFERROR(1-SUMIF(WTG_BD!$F:$F,$A72,WTG_BD!$AA:$AA)/($AA72+SUMIF(WTG_BD!$F:$F,$A72,WTG_BD!$AA:$AA)),"")</f>
        <v>0.99718737638200727</v>
      </c>
      <c r="Q72" s="141">
        <f>IFERROR(1-SUMIF(IGA_BD!$F:$F,$A72,IGA_BD!$W:$W)/($AA72+SUMIF(IGA_BD!$F:$F,$A72,IGA_BD!$W:$W)),"")</f>
        <v>1</v>
      </c>
      <c r="R72" s="141">
        <f>IFERROR(1-SUMIF(Grid_BD!$F:$F,$A72,Grid_BD!$Y:$Y)/($AA72+SUMIF(Grid_BD!$F:$F,$A72,Grid_BD!$Y:$Y)),"")</f>
        <v>1</v>
      </c>
      <c r="S72" s="108"/>
      <c r="T72" s="140"/>
      <c r="U72" s="141"/>
      <c r="V72" s="108"/>
      <c r="W72" s="142">
        <f t="shared" si="11"/>
        <v>0.17605291193181816</v>
      </c>
      <c r="X72" s="108">
        <f>IFERROR(_xlfn.XLOOKUP($A72,Input_Raw!$A:$A,Input_Raw!$CP:$CP)*1000,"")</f>
        <v>297459</v>
      </c>
      <c r="Y72" s="108">
        <f>IFERROR(_xlfn.XLOOKUP($A72,Input_Raw!$A:$A,Input_Raw!DJ:DJ)*1000,"")</f>
        <v>297459</v>
      </c>
      <c r="Z72" s="108">
        <f>IFERROR(_xlfn.XLOOKUP($A72,Input_Raw!$A:$A,Input_Raw!DK:DK)*1000,"")</f>
        <v>0</v>
      </c>
      <c r="AA72" s="138">
        <f t="shared" si="12"/>
        <v>297459</v>
      </c>
      <c r="AB72" s="108">
        <f>IFERROR(_xlfn.XLOOKUP($A72,Input_Raw!$A:$A,Input_Raw!$DR:$DR),"")</f>
        <v>70.400000000000006</v>
      </c>
      <c r="AC72" s="143">
        <f>IFERROR(_xlfn.XLOOKUP($D72,'Modelling New'!$D:$D,'Modelling New'!$J:$J),"")</f>
        <v>6.81</v>
      </c>
      <c r="AD72" s="138">
        <f>IFERROR(_xlfn.XLOOKUP($D72,'Modelling New'!$D:$D,'Modelling New'!$T:$T)*1000,"")</f>
        <v>519769.59725666587</v>
      </c>
      <c r="AE72" s="142"/>
      <c r="AF72" s="142">
        <f>IFERROR(_xlfn.XLOOKUP($D72,'Modelling New'!$D:$D,'Modelling New'!$W:$W),"")</f>
        <v>0.30762878625512891</v>
      </c>
      <c r="AG72" s="142">
        <f>IFERROR(_xlfn.XLOOKUP($D72,'Modelling New'!$D:$D,'Modelling New'!$AE:$AE),"")</f>
        <v>0.96029999999999993</v>
      </c>
      <c r="AH72" s="142">
        <f>IFERROR(_xlfn.XLOOKUP($D72,'Modelling New'!$D:$D,'Modelling New'!$AF:$AF),"")</f>
        <v>0.995</v>
      </c>
      <c r="AI72" s="109">
        <f>IFERROR(_xlfn.XLOOKUP($A72,Input_Raw!$A:$A,Input_Raw!$DP:$DP),"")</f>
        <v>290.06</v>
      </c>
      <c r="AJ72" s="108"/>
      <c r="AK72" s="108"/>
      <c r="AL72" s="108"/>
      <c r="AM72" s="108"/>
      <c r="AN72" s="132">
        <f>IFERROR(_xlfn.XLOOKUP($A72,Input_Raw!$A:$A,Input_Raw!$DL:$DL),"")</f>
        <v>0</v>
      </c>
      <c r="AO72" s="142">
        <f>IFERROR((_xlfn.XLOOKUP($A72,'WTG Reactive Power'!$A:$A,'WTG Reactive Power'!$AW:$AW))/X72,"")</f>
        <v>1.7966252491940056E-4</v>
      </c>
      <c r="AP72" s="142">
        <f>IFERROR(_xlfn.XLOOKUP($D72,'Modelling New'!$D:$D,'Modelling New'!$AK:$AK),"")</f>
        <v>0.05</v>
      </c>
      <c r="AQ72" s="142">
        <f>IFERROR(_xlfn.XLOOKUP($D72,'Modelling New'!$D:$D,'Modelling New'!$AL:$AL),"")</f>
        <v>0.05</v>
      </c>
      <c r="AR72" s="198">
        <f>IFERROR(_xlfn.XLOOKUP($D72,'Modelling New'!$D:$D,'Modelling New'!$N:$N),"")</f>
        <v>70.400000000000006</v>
      </c>
      <c r="AS72" s="198"/>
    </row>
    <row r="73" spans="1:45">
      <c r="A73" s="137">
        <f t="shared" si="13"/>
        <v>45816</v>
      </c>
      <c r="B73" s="138">
        <f>YEAR(Daily_KPI[[#This Row],[Date]])+IF(MONTH(Daily_KPI[[#This Row],[Date]])&gt;=4,1,0)</f>
        <v>2026</v>
      </c>
      <c r="C73" s="108">
        <f>YEAR(Daily_KPI[[#This Row],[Date]])</f>
        <v>2025</v>
      </c>
      <c r="D73" s="139">
        <f>Daily_KPI[[#This Row],[Date]]-DAY(Daily_KPI[[#This Row],[Date]])+1</f>
        <v>45809</v>
      </c>
      <c r="E73" s="108">
        <f t="shared" si="9"/>
        <v>30</v>
      </c>
      <c r="F73" s="109"/>
      <c r="G73" s="110"/>
      <c r="H73" s="110"/>
      <c r="I73" s="110"/>
      <c r="J73" s="110"/>
      <c r="K73" s="111"/>
      <c r="L73" s="110"/>
      <c r="M73" s="110">
        <f>IFERROR(_xlfn.XLOOKUP($A73,Input_Raw!$A:$A,Input_Raw!$CQ:$CQ),"")</f>
        <v>6.8177272727272742</v>
      </c>
      <c r="N73" s="110">
        <f>IFERROR(_xlfn.XLOOKUP($A73,Input_Raw!$A:$A,Input_Raw!$CR:$CR),"")</f>
        <v>8.57</v>
      </c>
      <c r="O73" s="141">
        <f t="shared" si="10"/>
        <v>0.99879211191371664</v>
      </c>
      <c r="P73" s="141">
        <f>IFERROR(1-SUMIF(WTG_BD!$F:$F,$A73,WTG_BD!$AA:$AA)/($AA73+SUMIF(WTG_BD!$F:$F,$A73,WTG_BD!$AA:$AA)),"")</f>
        <v>0.99879211191371664</v>
      </c>
      <c r="Q73" s="141">
        <f>IFERROR(1-SUMIF(IGA_BD!$F:$F,$A73,IGA_BD!$W:$W)/($AA73+SUMIF(IGA_BD!$F:$F,$A73,IGA_BD!$W:$W)),"")</f>
        <v>1</v>
      </c>
      <c r="R73" s="141">
        <f>IFERROR(1-SUMIF(Grid_BD!$F:$F,$A73,Grid_BD!$Y:$Y)/($AA73+SUMIF(Grid_BD!$F:$F,$A73,Grid_BD!$Y:$Y)),"")</f>
        <v>1</v>
      </c>
      <c r="S73" s="108"/>
      <c r="T73" s="140"/>
      <c r="U73" s="141"/>
      <c r="V73" s="108"/>
      <c r="W73" s="142">
        <f t="shared" si="11"/>
        <v>0.29706616950757569</v>
      </c>
      <c r="X73" s="108">
        <f>IFERROR(_xlfn.XLOOKUP($A73,Input_Raw!$A:$A,Input_Raw!$CP:$CP)*1000,"")</f>
        <v>501923</v>
      </c>
      <c r="Y73" s="108">
        <f>IFERROR(_xlfn.XLOOKUP($A73,Input_Raw!$A:$A,Input_Raw!DJ:DJ)*1000,"")</f>
        <v>501923</v>
      </c>
      <c r="Z73" s="108">
        <f>IFERROR(_xlfn.XLOOKUP($A73,Input_Raw!$A:$A,Input_Raw!DK:DK)*1000,"")</f>
        <v>0</v>
      </c>
      <c r="AA73" s="138">
        <f t="shared" si="12"/>
        <v>501923</v>
      </c>
      <c r="AB73" s="108">
        <f>IFERROR(_xlfn.XLOOKUP($A73,Input_Raw!$A:$A,Input_Raw!$DR:$DR),"")</f>
        <v>70.400000000000006</v>
      </c>
      <c r="AC73" s="143">
        <f>IFERROR(_xlfn.XLOOKUP($D73,'Modelling New'!$D:$D,'Modelling New'!$J:$J),"")</f>
        <v>6.81</v>
      </c>
      <c r="AD73" s="138">
        <f>IFERROR(_xlfn.XLOOKUP($D73,'Modelling New'!$D:$D,'Modelling New'!$T:$T)*1000,"")</f>
        <v>519769.59725666587</v>
      </c>
      <c r="AE73" s="142"/>
      <c r="AF73" s="142">
        <f>IFERROR(_xlfn.XLOOKUP($D73,'Modelling New'!$D:$D,'Modelling New'!$W:$W),"")</f>
        <v>0.30762878625512891</v>
      </c>
      <c r="AG73" s="142">
        <f>IFERROR(_xlfn.XLOOKUP($D73,'Modelling New'!$D:$D,'Modelling New'!$AE:$AE),"")</f>
        <v>0.96029999999999993</v>
      </c>
      <c r="AH73" s="142">
        <f>IFERROR(_xlfn.XLOOKUP($D73,'Modelling New'!$D:$D,'Modelling New'!$AF:$AF),"")</f>
        <v>0.995</v>
      </c>
      <c r="AI73" s="109">
        <f>IFERROR(_xlfn.XLOOKUP($A73,Input_Raw!$A:$A,Input_Raw!$DP:$DP),"")</f>
        <v>485.96</v>
      </c>
      <c r="AJ73" s="108"/>
      <c r="AK73" s="108"/>
      <c r="AL73" s="108"/>
      <c r="AM73" s="108"/>
      <c r="AN73" s="132">
        <f>IFERROR(_xlfn.XLOOKUP($A73,Input_Raw!$A:$A,Input_Raw!$DL:$DL),"")</f>
        <v>0</v>
      </c>
      <c r="AO73" s="142">
        <f>IFERROR((_xlfn.XLOOKUP($A73,'WTG Reactive Power'!$A:$A,'WTG Reactive Power'!$AW:$AW))/X73,"")</f>
        <v>1.8802163014380025E-4</v>
      </c>
      <c r="AP73" s="142">
        <f>IFERROR(_xlfn.XLOOKUP($D73,'Modelling New'!$D:$D,'Modelling New'!$AK:$AK),"")</f>
        <v>0.05</v>
      </c>
      <c r="AQ73" s="142">
        <f>IFERROR(_xlfn.XLOOKUP($D73,'Modelling New'!$D:$D,'Modelling New'!$AL:$AL),"")</f>
        <v>0.05</v>
      </c>
      <c r="AR73" s="198">
        <f>IFERROR(_xlfn.XLOOKUP($D73,'Modelling New'!$D:$D,'Modelling New'!$N:$N),"")</f>
        <v>70.400000000000006</v>
      </c>
      <c r="AS73" s="198"/>
    </row>
    <row r="74" spans="1:45">
      <c r="A74" s="137">
        <f t="shared" si="13"/>
        <v>45817</v>
      </c>
      <c r="B74" s="138">
        <f>YEAR(Daily_KPI[[#This Row],[Date]])+IF(MONTH(Daily_KPI[[#This Row],[Date]])&gt;=4,1,0)</f>
        <v>2026</v>
      </c>
      <c r="C74" s="108">
        <f>YEAR(Daily_KPI[[#This Row],[Date]])</f>
        <v>2025</v>
      </c>
      <c r="D74" s="139">
        <f>Daily_KPI[[#This Row],[Date]]-DAY(Daily_KPI[[#This Row],[Date]])+1</f>
        <v>45809</v>
      </c>
      <c r="E74" s="108">
        <f t="shared" si="9"/>
        <v>30</v>
      </c>
      <c r="F74" s="109"/>
      <c r="G74" s="143"/>
      <c r="H74" s="143"/>
      <c r="I74" s="143"/>
      <c r="J74" s="143"/>
      <c r="K74" s="111"/>
      <c r="L74" s="110"/>
      <c r="M74" s="110">
        <f>IFERROR(_xlfn.XLOOKUP($A74,Input_Raw!$A:$A,Input_Raw!$CQ:$CQ),"")</f>
        <v>7.3813636363636359</v>
      </c>
      <c r="N74" s="110">
        <f>IFERROR(_xlfn.XLOOKUP($A74,Input_Raw!$A:$A,Input_Raw!$CR:$CR),"")</f>
        <v>9.48</v>
      </c>
      <c r="O74" s="141">
        <f t="shared" si="10"/>
        <v>0.99972753122698077</v>
      </c>
      <c r="P74" s="141">
        <f>IFERROR(1-SUMIF(WTG_BD!$F:$F,$A74,WTG_BD!$AA:$AA)/($AA74+SUMIF(WTG_BD!$F:$F,$A74,WTG_BD!$AA:$AA)),"")</f>
        <v>0.99972753122698077</v>
      </c>
      <c r="Q74" s="141">
        <f>IFERROR(1-SUMIF(IGA_BD!$F:$F,$A74,IGA_BD!$W:$W)/($AA74+SUMIF(IGA_BD!$F:$F,$A74,IGA_BD!$W:$W)),"")</f>
        <v>1</v>
      </c>
      <c r="R74" s="141">
        <f>IFERROR(1-SUMIF(Grid_BD!$F:$F,$A74,Grid_BD!$Y:$Y)/($AA74+SUMIF(Grid_BD!$F:$F,$A74,Grid_BD!$Y:$Y)),"")</f>
        <v>1</v>
      </c>
      <c r="S74" s="108"/>
      <c r="T74" s="140"/>
      <c r="U74" s="141"/>
      <c r="V74" s="108"/>
      <c r="W74" s="142">
        <f t="shared" si="11"/>
        <v>0.37351621685606057</v>
      </c>
      <c r="X74" s="108">
        <f>IFERROR(_xlfn.XLOOKUP($A74,Input_Raw!$A:$A,Input_Raw!$CP:$CP)*1000,"")</f>
        <v>631093</v>
      </c>
      <c r="Y74" s="108">
        <f>IFERROR(_xlfn.XLOOKUP($A74,Input_Raw!$A:$A,Input_Raw!DJ:DJ)*1000,"")</f>
        <v>631093.00000000012</v>
      </c>
      <c r="Z74" s="108">
        <f>IFERROR(_xlfn.XLOOKUP($A74,Input_Raw!$A:$A,Input_Raw!DK:DK)*1000,"")</f>
        <v>0</v>
      </c>
      <c r="AA74" s="138">
        <f t="shared" si="12"/>
        <v>631093.00000000012</v>
      </c>
      <c r="AB74" s="108">
        <f>IFERROR(_xlfn.XLOOKUP($A74,Input_Raw!$A:$A,Input_Raw!$DR:$DR),"")</f>
        <v>70.400000000000006</v>
      </c>
      <c r="AC74" s="143">
        <f>IFERROR(_xlfn.XLOOKUP($D74,'Modelling New'!$D:$D,'Modelling New'!$J:$J),"")</f>
        <v>6.81</v>
      </c>
      <c r="AD74" s="138">
        <f>IFERROR(_xlfn.XLOOKUP($D74,'Modelling New'!$D:$D,'Modelling New'!$T:$T)*1000,"")</f>
        <v>519769.59725666587</v>
      </c>
      <c r="AE74" s="142"/>
      <c r="AF74" s="142">
        <f>IFERROR(_xlfn.XLOOKUP($D74,'Modelling New'!$D:$D,'Modelling New'!$W:$W),"")</f>
        <v>0.30762878625512891</v>
      </c>
      <c r="AG74" s="142">
        <f>IFERROR(_xlfn.XLOOKUP($D74,'Modelling New'!$D:$D,'Modelling New'!$AE:$AE),"")</f>
        <v>0.96029999999999993</v>
      </c>
      <c r="AH74" s="142">
        <f>IFERROR(_xlfn.XLOOKUP($D74,'Modelling New'!$D:$D,'Modelling New'!$AF:$AF),"")</f>
        <v>0.995</v>
      </c>
      <c r="AI74" s="109">
        <f>IFERROR(_xlfn.XLOOKUP($A74,Input_Raw!$A:$A,Input_Raw!$DP:$DP),"")</f>
        <v>615.65</v>
      </c>
      <c r="AJ74" s="108"/>
      <c r="AK74" s="108"/>
      <c r="AL74" s="108"/>
      <c r="AM74" s="108"/>
      <c r="AN74" s="132">
        <f>IFERROR(_xlfn.XLOOKUP($A74,Input_Raw!$A:$A,Input_Raw!$DL:$DL),"")</f>
        <v>2.2204460492503131E-16</v>
      </c>
      <c r="AO74" s="142">
        <f>IFERROR((_xlfn.XLOOKUP($A74,'WTG Reactive Power'!$A:$A,'WTG Reactive Power'!$AW:$AW))/X74,"")</f>
        <v>1.8677250949279001E-4</v>
      </c>
      <c r="AP74" s="142">
        <f>IFERROR(_xlfn.XLOOKUP($D74,'Modelling New'!$D:$D,'Modelling New'!$AK:$AK),"")</f>
        <v>0.05</v>
      </c>
      <c r="AQ74" s="142">
        <f>IFERROR(_xlfn.XLOOKUP($D74,'Modelling New'!$D:$D,'Modelling New'!$AL:$AL),"")</f>
        <v>0.05</v>
      </c>
      <c r="AR74" s="198">
        <f>IFERROR(_xlfn.XLOOKUP($D74,'Modelling New'!$D:$D,'Modelling New'!$N:$N),"")</f>
        <v>70.400000000000006</v>
      </c>
      <c r="AS74" s="198"/>
    </row>
    <row r="75" spans="1:45">
      <c r="A75" s="137">
        <f t="shared" si="13"/>
        <v>45818</v>
      </c>
      <c r="B75" s="138">
        <f>YEAR(Daily_KPI[[#This Row],[Date]])+IF(MONTH(Daily_KPI[[#This Row],[Date]])&gt;=4,1,0)</f>
        <v>2026</v>
      </c>
      <c r="C75" s="108">
        <f>YEAR(Daily_KPI[[#This Row],[Date]])</f>
        <v>2025</v>
      </c>
      <c r="D75" s="139">
        <f>Daily_KPI[[#This Row],[Date]]-DAY(Daily_KPI[[#This Row],[Date]])+1</f>
        <v>45809</v>
      </c>
      <c r="E75" s="108">
        <f t="shared" si="9"/>
        <v>30</v>
      </c>
      <c r="F75" s="109"/>
      <c r="G75" s="110"/>
      <c r="H75" s="110"/>
      <c r="I75" s="110"/>
      <c r="J75" s="110"/>
      <c r="K75" s="111"/>
      <c r="L75" s="110"/>
      <c r="M75" s="110">
        <f>IFERROR(_xlfn.XLOOKUP($A75,Input_Raw!$A:$A,Input_Raw!$CQ:$CQ),"")</f>
        <v>7.9763636363636357</v>
      </c>
      <c r="N75" s="110">
        <f>IFERROR(_xlfn.XLOOKUP($A75,Input_Raw!$A:$A,Input_Raw!$CR:$CR),"")</f>
        <v>10.029999999999999</v>
      </c>
      <c r="O75" s="141">
        <f t="shared" si="10"/>
        <v>0.99795447738441723</v>
      </c>
      <c r="P75" s="141">
        <f>IFERROR(1-SUMIF(WTG_BD!$F:$F,$A75,WTG_BD!$AA:$AA)/($AA75+SUMIF(WTG_BD!$F:$F,$A75,WTG_BD!$AA:$AA)),"")</f>
        <v>0.99795447738441723</v>
      </c>
      <c r="Q75" s="141">
        <f>IFERROR(1-SUMIF(IGA_BD!$F:$F,$A75,IGA_BD!$W:$W)/($AA75+SUMIF(IGA_BD!$F:$F,$A75,IGA_BD!$W:$W)),"")</f>
        <v>1</v>
      </c>
      <c r="R75" s="141">
        <f>IFERROR(1-SUMIF(Grid_BD!$F:$F,$A75,Grid_BD!$Y:$Y)/($AA75+SUMIF(Grid_BD!$F:$F,$A75,Grid_BD!$Y:$Y)),"")</f>
        <v>0.9434259326271256</v>
      </c>
      <c r="S75" s="108"/>
      <c r="T75" s="140"/>
      <c r="U75" s="141"/>
      <c r="V75" s="108"/>
      <c r="W75" s="142">
        <f t="shared" si="11"/>
        <v>0.43976680871212115</v>
      </c>
      <c r="X75" s="108">
        <f>IFERROR(_xlfn.XLOOKUP($A75,Input_Raw!$A:$A,Input_Raw!$CP:$CP)*1000,"")</f>
        <v>743030</v>
      </c>
      <c r="Y75" s="108">
        <f>IFERROR(_xlfn.XLOOKUP($A75,Input_Raw!$A:$A,Input_Raw!DJ:DJ)*1000,"")</f>
        <v>743030</v>
      </c>
      <c r="Z75" s="108">
        <f>IFERROR(_xlfn.XLOOKUP($A75,Input_Raw!$A:$A,Input_Raw!DK:DK)*1000,"")</f>
        <v>0</v>
      </c>
      <c r="AA75" s="138">
        <f t="shared" si="12"/>
        <v>743030</v>
      </c>
      <c r="AB75" s="108">
        <f>IFERROR(_xlfn.XLOOKUP($A75,Input_Raw!$A:$A,Input_Raw!$DR:$DR),"")</f>
        <v>70.400000000000006</v>
      </c>
      <c r="AC75" s="143">
        <f>IFERROR(_xlfn.XLOOKUP($D75,'Modelling New'!$D:$D,'Modelling New'!$J:$J),"")</f>
        <v>6.81</v>
      </c>
      <c r="AD75" s="138">
        <f>IFERROR(_xlfn.XLOOKUP($D75,'Modelling New'!$D:$D,'Modelling New'!$T:$T)*1000,"")</f>
        <v>519769.59725666587</v>
      </c>
      <c r="AE75" s="142"/>
      <c r="AF75" s="142">
        <f>IFERROR(_xlfn.XLOOKUP($D75,'Modelling New'!$D:$D,'Modelling New'!$W:$W),"")</f>
        <v>0.30762878625512891</v>
      </c>
      <c r="AG75" s="142">
        <f>IFERROR(_xlfn.XLOOKUP($D75,'Modelling New'!$D:$D,'Modelling New'!$AE:$AE),"")</f>
        <v>0.96029999999999993</v>
      </c>
      <c r="AH75" s="142">
        <f>IFERROR(_xlfn.XLOOKUP($D75,'Modelling New'!$D:$D,'Modelling New'!$AF:$AF),"")</f>
        <v>0.995</v>
      </c>
      <c r="AI75" s="109">
        <f>IFERROR(_xlfn.XLOOKUP($A75,Input_Raw!$A:$A,Input_Raw!$DP:$DP),"")</f>
        <v>754.1</v>
      </c>
      <c r="AJ75" s="108"/>
      <c r="AK75" s="108"/>
      <c r="AL75" s="108"/>
      <c r="AM75" s="108"/>
      <c r="AN75" s="132">
        <f>IFERROR(_xlfn.XLOOKUP($A75,Input_Raw!$A:$A,Input_Raw!$DL:$DL),"")</f>
        <v>0</v>
      </c>
      <c r="AO75" s="142">
        <f>IFERROR((_xlfn.XLOOKUP($A75,'WTG Reactive Power'!$A:$A,'WTG Reactive Power'!$AW:$AW))/X75,"")</f>
        <v>9.0793481869282984E-5</v>
      </c>
      <c r="AP75" s="142">
        <f>IFERROR(_xlfn.XLOOKUP($D75,'Modelling New'!$D:$D,'Modelling New'!$AK:$AK),"")</f>
        <v>0.05</v>
      </c>
      <c r="AQ75" s="142">
        <f>IFERROR(_xlfn.XLOOKUP($D75,'Modelling New'!$D:$D,'Modelling New'!$AL:$AL),"")</f>
        <v>0.05</v>
      </c>
      <c r="AR75" s="198">
        <f>IFERROR(_xlfn.XLOOKUP($D75,'Modelling New'!$D:$D,'Modelling New'!$N:$N),"")</f>
        <v>70.400000000000006</v>
      </c>
      <c r="AS75" s="198"/>
    </row>
    <row r="76" spans="1:45">
      <c r="A76" s="137">
        <f t="shared" si="13"/>
        <v>45819</v>
      </c>
      <c r="B76" s="138">
        <f>YEAR(Daily_KPI[[#This Row],[Date]])+IF(MONTH(Daily_KPI[[#This Row],[Date]])&gt;=4,1,0)</f>
        <v>2026</v>
      </c>
      <c r="C76" s="108">
        <f>YEAR(Daily_KPI[[#This Row],[Date]])</f>
        <v>2025</v>
      </c>
      <c r="D76" s="139">
        <f>Daily_KPI[[#This Row],[Date]]-DAY(Daily_KPI[[#This Row],[Date]])+1</f>
        <v>45809</v>
      </c>
      <c r="E76" s="108">
        <f t="shared" si="9"/>
        <v>30</v>
      </c>
      <c r="F76" s="109"/>
      <c r="G76" s="143"/>
      <c r="H76" s="143"/>
      <c r="I76" s="143"/>
      <c r="J76" s="143"/>
      <c r="K76" s="111"/>
      <c r="L76" s="110"/>
      <c r="M76" s="110">
        <f>IFERROR(_xlfn.XLOOKUP($A76,Input_Raw!$A:$A,Input_Raw!$CQ:$CQ),"")</f>
        <v>8.4359090909090906</v>
      </c>
      <c r="N76" s="110">
        <f>IFERROR(_xlfn.XLOOKUP($A76,Input_Raw!$A:$A,Input_Raw!$CR:$CR),"")</f>
        <v>10.56</v>
      </c>
      <c r="O76" s="141">
        <f t="shared" si="10"/>
        <v>0.9964548758633649</v>
      </c>
      <c r="P76" s="141">
        <f>IFERROR(1-SUMIF(WTG_BD!$F:$F,$A76,WTG_BD!$AA:$AA)/($AA76+SUMIF(WTG_BD!$F:$F,$A76,WTG_BD!$AA:$AA)),"")</f>
        <v>0.9964548758633649</v>
      </c>
      <c r="Q76" s="141">
        <f>IFERROR(1-SUMIF(IGA_BD!$F:$F,$A76,IGA_BD!$W:$W)/($AA76+SUMIF(IGA_BD!$F:$F,$A76,IGA_BD!$W:$W)),"")</f>
        <v>1</v>
      </c>
      <c r="R76" s="141">
        <f>IFERROR(1-SUMIF(Grid_BD!$F:$F,$A76,Grid_BD!$Y:$Y)/($AA76+SUMIF(Grid_BD!$F:$F,$A76,Grid_BD!$Y:$Y)),"")</f>
        <v>1</v>
      </c>
      <c r="S76" s="108"/>
      <c r="T76" s="140"/>
      <c r="U76" s="141"/>
      <c r="V76" s="108"/>
      <c r="W76" s="142">
        <f t="shared" si="11"/>
        <v>0.51470999053030297</v>
      </c>
      <c r="X76" s="108">
        <f>IFERROR(_xlfn.XLOOKUP($A76,Input_Raw!$A:$A,Input_Raw!$CP:$CP)*1000,"")</f>
        <v>869654</v>
      </c>
      <c r="Y76" s="108">
        <f>IFERROR(_xlfn.XLOOKUP($A76,Input_Raw!$A:$A,Input_Raw!DJ:DJ)*1000,"")</f>
        <v>869654</v>
      </c>
      <c r="Z76" s="108">
        <f>IFERROR(_xlfn.XLOOKUP($A76,Input_Raw!$A:$A,Input_Raw!DK:DK)*1000,"")</f>
        <v>0</v>
      </c>
      <c r="AA76" s="138">
        <f t="shared" si="12"/>
        <v>869654</v>
      </c>
      <c r="AB76" s="108">
        <f>IFERROR(_xlfn.XLOOKUP($A76,Input_Raw!$A:$A,Input_Raw!$DR:$DR),"")</f>
        <v>70.400000000000006</v>
      </c>
      <c r="AC76" s="143">
        <f>IFERROR(_xlfn.XLOOKUP($D76,'Modelling New'!$D:$D,'Modelling New'!$J:$J),"")</f>
        <v>6.81</v>
      </c>
      <c r="AD76" s="138">
        <f>IFERROR(_xlfn.XLOOKUP($D76,'Modelling New'!$D:$D,'Modelling New'!$T:$T)*1000,"")</f>
        <v>519769.59725666587</v>
      </c>
      <c r="AE76" s="142"/>
      <c r="AF76" s="142">
        <f>IFERROR(_xlfn.XLOOKUP($D76,'Modelling New'!$D:$D,'Modelling New'!$W:$W),"")</f>
        <v>0.30762878625512891</v>
      </c>
      <c r="AG76" s="142">
        <f>IFERROR(_xlfn.XLOOKUP($D76,'Modelling New'!$D:$D,'Modelling New'!$AE:$AE),"")</f>
        <v>0.96029999999999993</v>
      </c>
      <c r="AH76" s="142">
        <f>IFERROR(_xlfn.XLOOKUP($D76,'Modelling New'!$D:$D,'Modelling New'!$AF:$AF),"")</f>
        <v>0.995</v>
      </c>
      <c r="AI76" s="109">
        <f>IFERROR(_xlfn.XLOOKUP($A76,Input_Raw!$A:$A,Input_Raw!$DP:$DP),"")</f>
        <v>869.19</v>
      </c>
      <c r="AJ76" s="108"/>
      <c r="AK76" s="108"/>
      <c r="AL76" s="108"/>
      <c r="AM76" s="108"/>
      <c r="AN76" s="132">
        <f>IFERROR(_xlfn.XLOOKUP($A76,Input_Raw!$A:$A,Input_Raw!$DL:$DL),"")</f>
        <v>0</v>
      </c>
      <c r="AO76" s="142">
        <f>IFERROR((_xlfn.XLOOKUP($A76,'WTG Reactive Power'!$A:$A,'WTG Reactive Power'!$AW:$AW))/X76,"")</f>
        <v>7.5600471183558826E-5</v>
      </c>
      <c r="AP76" s="142">
        <f>IFERROR(_xlfn.XLOOKUP($D76,'Modelling New'!$D:$D,'Modelling New'!$AK:$AK),"")</f>
        <v>0.05</v>
      </c>
      <c r="AQ76" s="142">
        <f>IFERROR(_xlfn.XLOOKUP($D76,'Modelling New'!$D:$D,'Modelling New'!$AL:$AL),"")</f>
        <v>0.05</v>
      </c>
      <c r="AR76" s="198">
        <f>IFERROR(_xlfn.XLOOKUP($D76,'Modelling New'!$D:$D,'Modelling New'!$N:$N),"")</f>
        <v>70.400000000000006</v>
      </c>
      <c r="AS76" s="198"/>
    </row>
    <row r="77" spans="1:45">
      <c r="A77" s="137">
        <f t="shared" si="13"/>
        <v>45820</v>
      </c>
      <c r="B77" s="138">
        <f>YEAR(Daily_KPI[[#This Row],[Date]])+IF(MONTH(Daily_KPI[[#This Row],[Date]])&gt;=4,1,0)</f>
        <v>2026</v>
      </c>
      <c r="C77" s="108">
        <f>YEAR(Daily_KPI[[#This Row],[Date]])</f>
        <v>2025</v>
      </c>
      <c r="D77" s="139">
        <f>Daily_KPI[[#This Row],[Date]]-DAY(Daily_KPI[[#This Row],[Date]])+1</f>
        <v>45809</v>
      </c>
      <c r="E77" s="108">
        <f t="shared" si="9"/>
        <v>30</v>
      </c>
      <c r="F77" s="109"/>
      <c r="G77" s="110"/>
      <c r="H77" s="110"/>
      <c r="I77" s="110"/>
      <c r="J77" s="110"/>
      <c r="K77" s="111"/>
      <c r="L77" s="110"/>
      <c r="M77" s="110">
        <f>IFERROR(_xlfn.XLOOKUP($A77,Input_Raw!$A:$A,Input_Raw!$CQ:$CQ),"")</f>
        <v>7.3545454545454554</v>
      </c>
      <c r="N77" s="110">
        <f>IFERROR(_xlfn.XLOOKUP($A77,Input_Raw!$A:$A,Input_Raw!$CR:$CR),"")</f>
        <v>9.94</v>
      </c>
      <c r="O77" s="141">
        <f t="shared" si="10"/>
        <v>1</v>
      </c>
      <c r="P77" s="141">
        <f>IFERROR(1-SUMIF(WTG_BD!$F:$F,$A77,WTG_BD!$AA:$AA)/($AA77+SUMIF(WTG_BD!$F:$F,$A77,WTG_BD!$AA:$AA)),"")</f>
        <v>1</v>
      </c>
      <c r="Q77" s="141">
        <f>IFERROR(1-SUMIF(IGA_BD!$F:$F,$A77,IGA_BD!$W:$W)/($AA77+SUMIF(IGA_BD!$F:$F,$A77,IGA_BD!$W:$W)),"")</f>
        <v>1</v>
      </c>
      <c r="R77" s="141">
        <f>IFERROR(1-SUMIF(Grid_BD!$F:$F,$A77,Grid_BD!$Y:$Y)/($AA77+SUMIF(Grid_BD!$F:$F,$A77,Grid_BD!$Y:$Y)),"")</f>
        <v>1</v>
      </c>
      <c r="S77" s="108"/>
      <c r="T77" s="140"/>
      <c r="U77" s="141"/>
      <c r="V77" s="108"/>
      <c r="W77" s="142">
        <f t="shared" si="11"/>
        <v>0.38220466382575752</v>
      </c>
      <c r="X77" s="108">
        <f>IFERROR(_xlfn.XLOOKUP($A77,Input_Raw!$A:$A,Input_Raw!$CP:$CP)*1000,"")</f>
        <v>645773</v>
      </c>
      <c r="Y77" s="108">
        <f>IFERROR(_xlfn.XLOOKUP($A77,Input_Raw!$A:$A,Input_Raw!DJ:DJ)*1000,"")</f>
        <v>645772.99999999988</v>
      </c>
      <c r="Z77" s="108">
        <f>IFERROR(_xlfn.XLOOKUP($A77,Input_Raw!$A:$A,Input_Raw!DK:DK)*1000,"")</f>
        <v>0</v>
      </c>
      <c r="AA77" s="138">
        <f t="shared" si="12"/>
        <v>645772.99999999988</v>
      </c>
      <c r="AB77" s="108">
        <f>IFERROR(_xlfn.XLOOKUP($A77,Input_Raw!$A:$A,Input_Raw!$DR:$DR),"")</f>
        <v>70.400000000000006</v>
      </c>
      <c r="AC77" s="143">
        <f>IFERROR(_xlfn.XLOOKUP($D77,'Modelling New'!$D:$D,'Modelling New'!$J:$J),"")</f>
        <v>6.81</v>
      </c>
      <c r="AD77" s="138">
        <f>IFERROR(_xlfn.XLOOKUP($D77,'Modelling New'!$D:$D,'Modelling New'!$T:$T)*1000,"")</f>
        <v>519769.59725666587</v>
      </c>
      <c r="AE77" s="142"/>
      <c r="AF77" s="142">
        <f>IFERROR(_xlfn.XLOOKUP($D77,'Modelling New'!$D:$D,'Modelling New'!$W:$W),"")</f>
        <v>0.30762878625512891</v>
      </c>
      <c r="AG77" s="142">
        <f>IFERROR(_xlfn.XLOOKUP($D77,'Modelling New'!$D:$D,'Modelling New'!$AE:$AE),"")</f>
        <v>0.96029999999999993</v>
      </c>
      <c r="AH77" s="142">
        <f>IFERROR(_xlfn.XLOOKUP($D77,'Modelling New'!$D:$D,'Modelling New'!$AF:$AF),"")</f>
        <v>0.995</v>
      </c>
      <c r="AI77" s="109">
        <f>IFERROR(_xlfn.XLOOKUP($A77,Input_Raw!$A:$A,Input_Raw!$DP:$DP),"")</f>
        <v>630.85</v>
      </c>
      <c r="AJ77" s="108"/>
      <c r="AK77" s="108"/>
      <c r="AL77" s="108"/>
      <c r="AM77" s="108"/>
      <c r="AN77" s="132">
        <f>IFERROR(_xlfn.XLOOKUP($A77,Input_Raw!$A:$A,Input_Raw!$DL:$DL),"")</f>
        <v>-2.2204460492503131E-16</v>
      </c>
      <c r="AO77" s="142">
        <f>IFERROR((_xlfn.XLOOKUP($A77,'WTG Reactive Power'!$A:$A,'WTG Reactive Power'!$AW:$AW))/X77,"")</f>
        <v>2.0167793068668607E-4</v>
      </c>
      <c r="AP77" s="142">
        <f>IFERROR(_xlfn.XLOOKUP($D77,'Modelling New'!$D:$D,'Modelling New'!$AK:$AK),"")</f>
        <v>0.05</v>
      </c>
      <c r="AQ77" s="142">
        <f>IFERROR(_xlfn.XLOOKUP($D77,'Modelling New'!$D:$D,'Modelling New'!$AL:$AL),"")</f>
        <v>0.05</v>
      </c>
      <c r="AR77" s="198">
        <f>IFERROR(_xlfn.XLOOKUP($D77,'Modelling New'!$D:$D,'Modelling New'!$N:$N),"")</f>
        <v>70.400000000000006</v>
      </c>
      <c r="AS77" s="198"/>
    </row>
    <row r="78" spans="1:45">
      <c r="A78" s="137">
        <f t="shared" si="13"/>
        <v>45821</v>
      </c>
      <c r="B78" s="138">
        <f>YEAR(Daily_KPI[[#This Row],[Date]])+IF(MONTH(Daily_KPI[[#This Row],[Date]])&gt;=4,1,0)</f>
        <v>2026</v>
      </c>
      <c r="C78" s="108">
        <f>YEAR(Daily_KPI[[#This Row],[Date]])</f>
        <v>2025</v>
      </c>
      <c r="D78" s="139">
        <f>Daily_KPI[[#This Row],[Date]]-DAY(Daily_KPI[[#This Row],[Date]])+1</f>
        <v>45809</v>
      </c>
      <c r="E78" s="108">
        <f t="shared" si="9"/>
        <v>30</v>
      </c>
      <c r="F78" s="109"/>
      <c r="G78" s="143"/>
      <c r="H78" s="143"/>
      <c r="I78" s="143"/>
      <c r="J78" s="143"/>
      <c r="K78" s="111"/>
      <c r="L78" s="110"/>
      <c r="M78" s="110">
        <f>IFERROR(_xlfn.XLOOKUP($A78,Input_Raw!$A:$A,Input_Raw!$CQ:$CQ),"")</f>
        <v>2.4861363636363634</v>
      </c>
      <c r="N78" s="110">
        <f>IFERROR(_xlfn.XLOOKUP($A78,Input_Raw!$A:$A,Input_Raw!$CR:$CR),"")</f>
        <v>3.02</v>
      </c>
      <c r="O78" s="141">
        <f t="shared" si="10"/>
        <v>0.9778919758042931</v>
      </c>
      <c r="P78" s="141">
        <f>IFERROR(1-SUMIF(WTG_BD!$F:$F,$A78,WTG_BD!$AA:$AA)/($AA78+SUMIF(WTG_BD!$F:$F,$A78,WTG_BD!$AA:$AA)),"")</f>
        <v>0.9778919758042931</v>
      </c>
      <c r="Q78" s="141">
        <f>IFERROR(1-SUMIF(IGA_BD!$F:$F,$A78,IGA_BD!$W:$W)/($AA78+SUMIF(IGA_BD!$F:$F,$A78,IGA_BD!$W:$W)),"")</f>
        <v>1</v>
      </c>
      <c r="R78" s="141">
        <f>IFERROR(1-SUMIF(Grid_BD!$F:$F,$A78,Grid_BD!$Y:$Y)/($AA78+SUMIF(Grid_BD!$F:$F,$A78,Grid_BD!$Y:$Y)),"")</f>
        <v>1</v>
      </c>
      <c r="S78" s="108"/>
      <c r="T78" s="140"/>
      <c r="U78" s="141"/>
      <c r="V78" s="108"/>
      <c r="W78" s="142">
        <f t="shared" si="11"/>
        <v>1.0812026515151514E-2</v>
      </c>
      <c r="X78" s="108">
        <f>IFERROR(_xlfn.XLOOKUP($A78,Input_Raw!$A:$A,Input_Raw!$CP:$CP)*1000,"")</f>
        <v>18268</v>
      </c>
      <c r="Y78" s="108">
        <f>IFERROR(_xlfn.XLOOKUP($A78,Input_Raw!$A:$A,Input_Raw!DJ:DJ)*1000,"")</f>
        <v>18268</v>
      </c>
      <c r="Z78" s="108">
        <f>IFERROR(_xlfn.XLOOKUP($A78,Input_Raw!$A:$A,Input_Raw!DK:DK)*1000,"")</f>
        <v>0</v>
      </c>
      <c r="AA78" s="138">
        <f t="shared" si="12"/>
        <v>18268</v>
      </c>
      <c r="AB78" s="108">
        <f>IFERROR(_xlfn.XLOOKUP($A78,Input_Raw!$A:$A,Input_Raw!$DR:$DR),"")</f>
        <v>70.400000000000006</v>
      </c>
      <c r="AC78" s="143">
        <f>IFERROR(_xlfn.XLOOKUP($D78,'Modelling New'!$D:$D,'Modelling New'!$J:$J),"")</f>
        <v>6.81</v>
      </c>
      <c r="AD78" s="138">
        <f>IFERROR(_xlfn.XLOOKUP($D78,'Modelling New'!$D:$D,'Modelling New'!$T:$T)*1000,"")</f>
        <v>519769.59725666587</v>
      </c>
      <c r="AE78" s="142"/>
      <c r="AF78" s="142">
        <f>IFERROR(_xlfn.XLOOKUP($D78,'Modelling New'!$D:$D,'Modelling New'!$W:$W),"")</f>
        <v>0.30762878625512891</v>
      </c>
      <c r="AG78" s="142">
        <f>IFERROR(_xlfn.XLOOKUP($D78,'Modelling New'!$D:$D,'Modelling New'!$AE:$AE),"")</f>
        <v>0.96029999999999993</v>
      </c>
      <c r="AH78" s="142">
        <f>IFERROR(_xlfn.XLOOKUP($D78,'Modelling New'!$D:$D,'Modelling New'!$AF:$AF),"")</f>
        <v>0.995</v>
      </c>
      <c r="AI78" s="109">
        <f>IFERROR(_xlfn.XLOOKUP($A78,Input_Raw!$A:$A,Input_Raw!$DP:$DP),"")</f>
        <v>15.97</v>
      </c>
      <c r="AJ78" s="108"/>
      <c r="AK78" s="108"/>
      <c r="AL78" s="108"/>
      <c r="AM78" s="108"/>
      <c r="AN78" s="132">
        <f>IFERROR(_xlfn.XLOOKUP($A78,Input_Raw!$A:$A,Input_Raw!$DL:$DL),"")</f>
        <v>0</v>
      </c>
      <c r="AO78" s="142">
        <f>IFERROR((_xlfn.XLOOKUP($A78,'WTG Reactive Power'!$A:$A,'WTG Reactive Power'!$AW:$AW))/X78,"")</f>
        <v>1.8013861214509892E-4</v>
      </c>
      <c r="AP78" s="142">
        <f>IFERROR(_xlfn.XLOOKUP($D78,'Modelling New'!$D:$D,'Modelling New'!$AK:$AK),"")</f>
        <v>0.05</v>
      </c>
      <c r="AQ78" s="142">
        <f>IFERROR(_xlfn.XLOOKUP($D78,'Modelling New'!$D:$D,'Modelling New'!$AL:$AL),"")</f>
        <v>0.05</v>
      </c>
      <c r="AR78" s="198">
        <f>IFERROR(_xlfn.XLOOKUP($D78,'Modelling New'!$D:$D,'Modelling New'!$N:$N),"")</f>
        <v>70.400000000000006</v>
      </c>
      <c r="AS78" s="198"/>
    </row>
    <row r="79" spans="1:45">
      <c r="A79" s="137">
        <f t="shared" si="13"/>
        <v>45822</v>
      </c>
      <c r="B79" s="138">
        <f>YEAR(Daily_KPI[[#This Row],[Date]])+IF(MONTH(Daily_KPI[[#This Row],[Date]])&gt;=4,1,0)</f>
        <v>2026</v>
      </c>
      <c r="C79" s="108">
        <f>YEAR(Daily_KPI[[#This Row],[Date]])</f>
        <v>2025</v>
      </c>
      <c r="D79" s="139">
        <f>Daily_KPI[[#This Row],[Date]]-DAY(Daily_KPI[[#This Row],[Date]])+1</f>
        <v>45809</v>
      </c>
      <c r="E79" s="108">
        <f t="shared" si="9"/>
        <v>30</v>
      </c>
      <c r="F79" s="109"/>
      <c r="G79" s="110"/>
      <c r="H79" s="110"/>
      <c r="I79" s="110"/>
      <c r="J79" s="110"/>
      <c r="K79" s="111"/>
      <c r="L79" s="110"/>
      <c r="M79" s="110">
        <f>IFERROR(_xlfn.XLOOKUP($A79,Input_Raw!$A:$A,Input_Raw!$CQ:$CQ),"")</f>
        <v>3.1106818181818174</v>
      </c>
      <c r="N79" s="110">
        <f>IFERROR(_xlfn.XLOOKUP($A79,Input_Raw!$A:$A,Input_Raw!$CR:$CR),"")</f>
        <v>3.77</v>
      </c>
      <c r="O79" s="141">
        <f t="shared" si="10"/>
        <v>0.99424053104256149</v>
      </c>
      <c r="P79" s="141">
        <f>IFERROR(1-SUMIF(WTG_BD!$F:$F,$A79,WTG_BD!$AA:$AA)/($AA79+SUMIF(WTG_BD!$F:$F,$A79,WTG_BD!$AA:$AA)),"")</f>
        <v>0.99424053104256149</v>
      </c>
      <c r="Q79" s="141">
        <f>IFERROR(1-SUMIF(IGA_BD!$F:$F,$A79,IGA_BD!$W:$W)/($AA79+SUMIF(IGA_BD!$F:$F,$A79,IGA_BD!$W:$W)),"")</f>
        <v>1</v>
      </c>
      <c r="R79" s="141">
        <f>IFERROR(1-SUMIF(Grid_BD!$F:$F,$A79,Grid_BD!$Y:$Y)/($AA79+SUMIF(Grid_BD!$F:$F,$A79,Grid_BD!$Y:$Y)),"")</f>
        <v>1</v>
      </c>
      <c r="S79" s="108"/>
      <c r="T79" s="140"/>
      <c r="U79" s="141"/>
      <c r="V79" s="108"/>
      <c r="W79" s="142">
        <f t="shared" si="11"/>
        <v>4.2196377840909086E-2</v>
      </c>
      <c r="X79" s="108">
        <f>IFERROR(_xlfn.XLOOKUP($A79,Input_Raw!$A:$A,Input_Raw!$CP:$CP)*1000,"")</f>
        <v>71295</v>
      </c>
      <c r="Y79" s="108">
        <f>IFERROR(_xlfn.XLOOKUP($A79,Input_Raw!$A:$A,Input_Raw!DJ:DJ)*1000,"")</f>
        <v>71295</v>
      </c>
      <c r="Z79" s="108">
        <f>IFERROR(_xlfn.XLOOKUP($A79,Input_Raw!$A:$A,Input_Raw!DK:DK)*1000,"")</f>
        <v>0</v>
      </c>
      <c r="AA79" s="138">
        <f t="shared" si="12"/>
        <v>71295</v>
      </c>
      <c r="AB79" s="108">
        <f>IFERROR(_xlfn.XLOOKUP($A79,Input_Raw!$A:$A,Input_Raw!$DR:$DR),"")</f>
        <v>70.400000000000006</v>
      </c>
      <c r="AC79" s="143">
        <f>IFERROR(_xlfn.XLOOKUP($D79,'Modelling New'!$D:$D,'Modelling New'!$J:$J),"")</f>
        <v>6.81</v>
      </c>
      <c r="AD79" s="138">
        <f>IFERROR(_xlfn.XLOOKUP($D79,'Modelling New'!$D:$D,'Modelling New'!$T:$T)*1000,"")</f>
        <v>519769.59725666587</v>
      </c>
      <c r="AE79" s="142"/>
      <c r="AF79" s="142">
        <f>IFERROR(_xlfn.XLOOKUP($D79,'Modelling New'!$D:$D,'Modelling New'!$W:$W),"")</f>
        <v>0.30762878625512891</v>
      </c>
      <c r="AG79" s="142">
        <f>IFERROR(_xlfn.XLOOKUP($D79,'Modelling New'!$D:$D,'Modelling New'!$AE:$AE),"")</f>
        <v>0.96029999999999993</v>
      </c>
      <c r="AH79" s="142">
        <f>IFERROR(_xlfn.XLOOKUP($D79,'Modelling New'!$D:$D,'Modelling New'!$AF:$AF),"")</f>
        <v>0.995</v>
      </c>
      <c r="AI79" s="109">
        <f>IFERROR(_xlfn.XLOOKUP($A79,Input_Raw!$A:$A,Input_Raw!$DP:$DP),"")</f>
        <v>65.28</v>
      </c>
      <c r="AJ79" s="108"/>
      <c r="AK79" s="108"/>
      <c r="AL79" s="108"/>
      <c r="AM79" s="108"/>
      <c r="AN79" s="132">
        <f>IFERROR(_xlfn.XLOOKUP($A79,Input_Raw!$A:$A,Input_Raw!$DL:$DL),"")</f>
        <v>0</v>
      </c>
      <c r="AO79" s="142">
        <f>IFERROR((_xlfn.XLOOKUP($A79,'WTG Reactive Power'!$A:$A,'WTG Reactive Power'!$AW:$AW))/X79,"")</f>
        <v>1.9316404609953942E-4</v>
      </c>
      <c r="AP79" s="142">
        <f>IFERROR(_xlfn.XLOOKUP($D79,'Modelling New'!$D:$D,'Modelling New'!$AK:$AK),"")</f>
        <v>0.05</v>
      </c>
      <c r="AQ79" s="142">
        <f>IFERROR(_xlfn.XLOOKUP($D79,'Modelling New'!$D:$D,'Modelling New'!$AL:$AL),"")</f>
        <v>0.05</v>
      </c>
      <c r="AR79" s="198">
        <f>IFERROR(_xlfn.XLOOKUP($D79,'Modelling New'!$D:$D,'Modelling New'!$N:$N),"")</f>
        <v>70.400000000000006</v>
      </c>
      <c r="AS79" s="198"/>
    </row>
    <row r="80" spans="1:45">
      <c r="A80" s="137">
        <f t="shared" si="13"/>
        <v>45823</v>
      </c>
      <c r="B80" s="138">
        <f>YEAR(Daily_KPI[[#This Row],[Date]])+IF(MONTH(Daily_KPI[[#This Row],[Date]])&gt;=4,1,0)</f>
        <v>2026</v>
      </c>
      <c r="C80" s="108">
        <f>YEAR(Daily_KPI[[#This Row],[Date]])</f>
        <v>2025</v>
      </c>
      <c r="D80" s="139">
        <f>Daily_KPI[[#This Row],[Date]]-DAY(Daily_KPI[[#This Row],[Date]])+1</f>
        <v>45809</v>
      </c>
      <c r="E80" s="108">
        <f t="shared" si="9"/>
        <v>30</v>
      </c>
      <c r="F80" s="109"/>
      <c r="G80" s="143"/>
      <c r="H80" s="143"/>
      <c r="I80" s="143"/>
      <c r="J80" s="143"/>
      <c r="K80" s="111"/>
      <c r="L80" s="110"/>
      <c r="M80" s="110">
        <f>IFERROR(_xlfn.XLOOKUP($A80,Input_Raw!$A:$A,Input_Raw!$CQ:$CQ),"")</f>
        <v>6.2652272727272722</v>
      </c>
      <c r="N80" s="110">
        <f>IFERROR(_xlfn.XLOOKUP($A80,Input_Raw!$A:$A,Input_Raw!$CR:$CR),"")</f>
        <v>8.49</v>
      </c>
      <c r="O80" s="141">
        <f t="shared" si="10"/>
        <v>0.99426727975541573</v>
      </c>
      <c r="P80" s="141">
        <f>IFERROR(1-SUMIF(WTG_BD!$F:$F,$A80,WTG_BD!$AA:$AA)/($AA80+SUMIF(WTG_BD!$F:$F,$A80,WTG_BD!$AA:$AA)),"")</f>
        <v>0.99426727975541573</v>
      </c>
      <c r="Q80" s="141">
        <f>IFERROR(1-SUMIF(IGA_BD!$F:$F,$A80,IGA_BD!$W:$W)/($AA80+SUMIF(IGA_BD!$F:$F,$A80,IGA_BD!$W:$W)),"")</f>
        <v>1</v>
      </c>
      <c r="R80" s="141">
        <f>IFERROR(1-SUMIF(Grid_BD!$F:$F,$A80,Grid_BD!$Y:$Y)/($AA80+SUMIF(Grid_BD!$F:$F,$A80,Grid_BD!$Y:$Y)),"")</f>
        <v>1</v>
      </c>
      <c r="S80" s="108"/>
      <c r="T80" s="140"/>
      <c r="U80" s="141"/>
      <c r="V80" s="108"/>
      <c r="W80" s="142">
        <f t="shared" si="11"/>
        <v>0.26504202178030301</v>
      </c>
      <c r="X80" s="108">
        <f>IFERROR(_xlfn.XLOOKUP($A80,Input_Raw!$A:$A,Input_Raw!$CP:$CP)*1000,"")</f>
        <v>447815</v>
      </c>
      <c r="Y80" s="108">
        <f>IFERROR(_xlfn.XLOOKUP($A80,Input_Raw!$A:$A,Input_Raw!DJ:DJ)*1000,"")</f>
        <v>447815</v>
      </c>
      <c r="Z80" s="108">
        <f>IFERROR(_xlfn.XLOOKUP($A80,Input_Raw!$A:$A,Input_Raw!DK:DK)*1000,"")</f>
        <v>0</v>
      </c>
      <c r="AA80" s="138">
        <f t="shared" si="12"/>
        <v>447815</v>
      </c>
      <c r="AB80" s="108">
        <f>IFERROR(_xlfn.XLOOKUP($A80,Input_Raw!$A:$A,Input_Raw!$DR:$DR),"")</f>
        <v>70.400000000000006</v>
      </c>
      <c r="AC80" s="143">
        <f>IFERROR(_xlfn.XLOOKUP($D80,'Modelling New'!$D:$D,'Modelling New'!$J:$J),"")</f>
        <v>6.81</v>
      </c>
      <c r="AD80" s="138">
        <f>IFERROR(_xlfn.XLOOKUP($D80,'Modelling New'!$D:$D,'Modelling New'!$T:$T)*1000,"")</f>
        <v>519769.59725666587</v>
      </c>
      <c r="AE80" s="142"/>
      <c r="AF80" s="142">
        <f>IFERROR(_xlfn.XLOOKUP($D80,'Modelling New'!$D:$D,'Modelling New'!$W:$W),"")</f>
        <v>0.30762878625512891</v>
      </c>
      <c r="AG80" s="142">
        <f>IFERROR(_xlfn.XLOOKUP($D80,'Modelling New'!$D:$D,'Modelling New'!$AE:$AE),"")</f>
        <v>0.96029999999999993</v>
      </c>
      <c r="AH80" s="142">
        <f>IFERROR(_xlfn.XLOOKUP($D80,'Modelling New'!$D:$D,'Modelling New'!$AF:$AF),"")</f>
        <v>0.995</v>
      </c>
      <c r="AI80" s="109">
        <f>IFERROR(_xlfn.XLOOKUP($A80,Input_Raw!$A:$A,Input_Raw!$DP:$DP),"")</f>
        <v>413.48</v>
      </c>
      <c r="AJ80" s="108"/>
      <c r="AK80" s="108"/>
      <c r="AL80" s="108"/>
      <c r="AM80" s="108"/>
      <c r="AN80" s="132">
        <f>IFERROR(_xlfn.XLOOKUP($A80,Input_Raw!$A:$A,Input_Raw!$DL:$DL),"")</f>
        <v>0</v>
      </c>
      <c r="AO80" s="142">
        <f>IFERROR((_xlfn.XLOOKUP($A80,'WTG Reactive Power'!$A:$A,'WTG Reactive Power'!$AW:$AW))/X80,"")</f>
        <v>1.8688608986597887E-4</v>
      </c>
      <c r="AP80" s="142">
        <f>IFERROR(_xlfn.XLOOKUP($D80,'Modelling New'!$D:$D,'Modelling New'!$AK:$AK),"")</f>
        <v>0.05</v>
      </c>
      <c r="AQ80" s="142">
        <f>IFERROR(_xlfn.XLOOKUP($D80,'Modelling New'!$D:$D,'Modelling New'!$AL:$AL),"")</f>
        <v>0.05</v>
      </c>
      <c r="AR80" s="198">
        <f>IFERROR(_xlfn.XLOOKUP($D80,'Modelling New'!$D:$D,'Modelling New'!$N:$N),"")</f>
        <v>70.400000000000006</v>
      </c>
      <c r="AS80" s="198"/>
    </row>
    <row r="81" spans="1:45">
      <c r="A81" s="137">
        <f t="shared" si="13"/>
        <v>45824</v>
      </c>
      <c r="B81" s="138">
        <f>YEAR(Daily_KPI[[#This Row],[Date]])+IF(MONTH(Daily_KPI[[#This Row],[Date]])&gt;=4,1,0)</f>
        <v>2026</v>
      </c>
      <c r="C81" s="108">
        <f>YEAR(Daily_KPI[[#This Row],[Date]])</f>
        <v>2025</v>
      </c>
      <c r="D81" s="139">
        <f>Daily_KPI[[#This Row],[Date]]-DAY(Daily_KPI[[#This Row],[Date]])+1</f>
        <v>45809</v>
      </c>
      <c r="E81" s="108">
        <f t="shared" si="9"/>
        <v>30</v>
      </c>
      <c r="F81" s="109"/>
      <c r="G81" s="110"/>
      <c r="H81" s="110"/>
      <c r="I81" s="110"/>
      <c r="J81" s="110"/>
      <c r="K81" s="111"/>
      <c r="L81" s="110"/>
      <c r="M81" s="110">
        <f>IFERROR(_xlfn.XLOOKUP($A81,Input_Raw!$A:$A,Input_Raw!$CQ:$CQ),"")</f>
        <v>11.971590909090908</v>
      </c>
      <c r="N81" s="110">
        <f>IFERROR(_xlfn.XLOOKUP($A81,Input_Raw!$A:$A,Input_Raw!$CR:$CR),"")</f>
        <v>14.99</v>
      </c>
      <c r="O81" s="141">
        <f t="shared" si="10"/>
        <v>0.97903189631150045</v>
      </c>
      <c r="P81" s="141">
        <f>IFERROR(1-SUMIF(WTG_BD!$F:$F,$A81,WTG_BD!$AA:$AA)/($AA81+SUMIF(WTG_BD!$F:$F,$A81,WTG_BD!$AA:$AA)),"")</f>
        <v>0.97903189631150045</v>
      </c>
      <c r="Q81" s="141">
        <f>IFERROR(1-SUMIF(IGA_BD!$F:$F,$A81,IGA_BD!$W:$W)/($AA81+SUMIF(IGA_BD!$F:$F,$A81,IGA_BD!$W:$W)),"")</f>
        <v>1</v>
      </c>
      <c r="R81" s="141">
        <f>IFERROR(1-SUMIF(Grid_BD!$F:$F,$A81,Grid_BD!$Y:$Y)/($AA81+SUMIF(Grid_BD!$F:$F,$A81,Grid_BD!$Y:$Y)),"")</f>
        <v>1</v>
      </c>
      <c r="S81" s="108"/>
      <c r="T81" s="140"/>
      <c r="U81" s="141"/>
      <c r="V81" s="108"/>
      <c r="W81" s="142">
        <f t="shared" si="11"/>
        <v>0.85255622632575745</v>
      </c>
      <c r="X81" s="108">
        <f>IFERROR(_xlfn.XLOOKUP($A81,Input_Raw!$A:$A,Input_Raw!$CP:$CP)*1000,"")</f>
        <v>1440479</v>
      </c>
      <c r="Y81" s="108">
        <f>IFERROR(_xlfn.XLOOKUP($A81,Input_Raw!$A:$A,Input_Raw!DJ:DJ)*1000,"")</f>
        <v>1440479</v>
      </c>
      <c r="Z81" s="108">
        <f>IFERROR(_xlfn.XLOOKUP($A81,Input_Raw!$A:$A,Input_Raw!DK:DK)*1000,"")</f>
        <v>0</v>
      </c>
      <c r="AA81" s="138">
        <f t="shared" si="12"/>
        <v>1440479</v>
      </c>
      <c r="AB81" s="108">
        <f>IFERROR(_xlfn.XLOOKUP($A81,Input_Raw!$A:$A,Input_Raw!$DR:$DR),"")</f>
        <v>70.400000000000006</v>
      </c>
      <c r="AC81" s="143">
        <f>IFERROR(_xlfn.XLOOKUP($D81,'Modelling New'!$D:$D,'Modelling New'!$J:$J),"")</f>
        <v>6.81</v>
      </c>
      <c r="AD81" s="138">
        <f>IFERROR(_xlfn.XLOOKUP($D81,'Modelling New'!$D:$D,'Modelling New'!$T:$T)*1000,"")</f>
        <v>519769.59725666587</v>
      </c>
      <c r="AE81" s="142"/>
      <c r="AF81" s="142">
        <f>IFERROR(_xlfn.XLOOKUP($D81,'Modelling New'!$D:$D,'Modelling New'!$W:$W),"")</f>
        <v>0.30762878625512891</v>
      </c>
      <c r="AG81" s="142">
        <f>IFERROR(_xlfn.XLOOKUP($D81,'Modelling New'!$D:$D,'Modelling New'!$AE:$AE),"")</f>
        <v>0.96029999999999993</v>
      </c>
      <c r="AH81" s="142">
        <f>IFERROR(_xlfn.XLOOKUP($D81,'Modelling New'!$D:$D,'Modelling New'!$AF:$AF),"")</f>
        <v>0.995</v>
      </c>
      <c r="AI81" s="109">
        <f>IFERROR(_xlfn.XLOOKUP($A81,Input_Raw!$A:$A,Input_Raw!$DP:$DP),"")</f>
        <v>1482.58</v>
      </c>
      <c r="AJ81" s="108"/>
      <c r="AK81" s="108"/>
      <c r="AL81" s="108"/>
      <c r="AM81" s="108"/>
      <c r="AN81" s="132">
        <f>IFERROR(_xlfn.XLOOKUP($A81,Input_Raw!$A:$A,Input_Raw!$DL:$DL),"")</f>
        <v>0</v>
      </c>
      <c r="AO81" s="142">
        <f>IFERROR((_xlfn.XLOOKUP($A81,'WTG Reactive Power'!$A:$A,'WTG Reactive Power'!$AW:$AW))/X81,"")</f>
        <v>1.8249680638639414E-4</v>
      </c>
      <c r="AP81" s="142">
        <f>IFERROR(_xlfn.XLOOKUP($D81,'Modelling New'!$D:$D,'Modelling New'!$AK:$AK),"")</f>
        <v>0.05</v>
      </c>
      <c r="AQ81" s="142">
        <f>IFERROR(_xlfn.XLOOKUP($D81,'Modelling New'!$D:$D,'Modelling New'!$AL:$AL),"")</f>
        <v>0.05</v>
      </c>
      <c r="AR81" s="198">
        <f>IFERROR(_xlfn.XLOOKUP($D81,'Modelling New'!$D:$D,'Modelling New'!$N:$N),"")</f>
        <v>70.400000000000006</v>
      </c>
      <c r="AS81" s="198"/>
    </row>
    <row r="82" spans="1:45">
      <c r="A82" s="137">
        <f t="shared" si="13"/>
        <v>45825</v>
      </c>
      <c r="B82" s="138">
        <f>YEAR(Daily_KPI[[#This Row],[Date]])+IF(MONTH(Daily_KPI[[#This Row],[Date]])&gt;=4,1,0)</f>
        <v>2026</v>
      </c>
      <c r="C82" s="108">
        <f>YEAR(Daily_KPI[[#This Row],[Date]])</f>
        <v>2025</v>
      </c>
      <c r="D82" s="139">
        <f>Daily_KPI[[#This Row],[Date]]-DAY(Daily_KPI[[#This Row],[Date]])+1</f>
        <v>45809</v>
      </c>
      <c r="E82" s="108">
        <f t="shared" si="9"/>
        <v>30</v>
      </c>
      <c r="F82" s="109"/>
      <c r="G82" s="143"/>
      <c r="H82" s="143"/>
      <c r="I82" s="143"/>
      <c r="J82" s="143"/>
      <c r="K82" s="111"/>
      <c r="L82" s="110"/>
      <c r="M82" s="110">
        <f>IFERROR(_xlfn.XLOOKUP($A82,Input_Raw!$A:$A,Input_Raw!$CQ:$CQ),"")</f>
        <v>11.752272727272727</v>
      </c>
      <c r="N82" s="110">
        <f>IFERROR(_xlfn.XLOOKUP($A82,Input_Raw!$A:$A,Input_Raw!$CR:$CR),"")</f>
        <v>14.63</v>
      </c>
      <c r="O82" s="141">
        <f t="shared" si="10"/>
        <v>0.95384934967754564</v>
      </c>
      <c r="P82" s="141">
        <f>IFERROR(1-SUMIF(WTG_BD!$F:$F,$A82,WTG_BD!$AA:$AA)/($AA82+SUMIF(WTG_BD!$F:$F,$A82,WTG_BD!$AA:$AA)),"")</f>
        <v>0.99490422427029934</v>
      </c>
      <c r="Q82" s="141">
        <f>IFERROR(1-SUMIF(IGA_BD!$F:$F,$A82,IGA_BD!$W:$W)/($AA82+SUMIF(IGA_BD!$F:$F,$A82,IGA_BD!$W:$W)),"")</f>
        <v>0.95873484744437099</v>
      </c>
      <c r="R82" s="141">
        <f>IFERROR(1-SUMIF(Grid_BD!$F:$F,$A82,Grid_BD!$Y:$Y)/($AA82+SUMIF(Grid_BD!$F:$F,$A82,Grid_BD!$Y:$Y)),"")</f>
        <v>1</v>
      </c>
      <c r="S82" s="108"/>
      <c r="T82" s="140"/>
      <c r="U82" s="141"/>
      <c r="V82" s="108"/>
      <c r="W82" s="142">
        <f t="shared" si="11"/>
        <v>0.83869495738636357</v>
      </c>
      <c r="X82" s="108">
        <f>IFERROR(_xlfn.XLOOKUP($A82,Input_Raw!$A:$A,Input_Raw!$CP:$CP)*1000,"")</f>
        <v>1417059</v>
      </c>
      <c r="Y82" s="108">
        <f>IFERROR(_xlfn.XLOOKUP($A82,Input_Raw!$A:$A,Input_Raw!DJ:DJ)*1000,"")</f>
        <v>1417059</v>
      </c>
      <c r="Z82" s="108">
        <f>IFERROR(_xlfn.XLOOKUP($A82,Input_Raw!$A:$A,Input_Raw!DK:DK)*1000,"")</f>
        <v>0</v>
      </c>
      <c r="AA82" s="138">
        <f t="shared" si="12"/>
        <v>1417059</v>
      </c>
      <c r="AB82" s="108">
        <f>IFERROR(_xlfn.XLOOKUP($A82,Input_Raw!$A:$A,Input_Raw!$DR:$DR),"")</f>
        <v>70.400000000000006</v>
      </c>
      <c r="AC82" s="143">
        <f>IFERROR(_xlfn.XLOOKUP($D82,'Modelling New'!$D:$D,'Modelling New'!$J:$J),"")</f>
        <v>6.81</v>
      </c>
      <c r="AD82" s="138">
        <f>IFERROR(_xlfn.XLOOKUP($D82,'Modelling New'!$D:$D,'Modelling New'!$T:$T)*1000,"")</f>
        <v>519769.59725666587</v>
      </c>
      <c r="AE82" s="142"/>
      <c r="AF82" s="142">
        <f>IFERROR(_xlfn.XLOOKUP($D82,'Modelling New'!$D:$D,'Modelling New'!$W:$W),"")</f>
        <v>0.30762878625512891</v>
      </c>
      <c r="AG82" s="142">
        <f>IFERROR(_xlfn.XLOOKUP($D82,'Modelling New'!$D:$D,'Modelling New'!$AE:$AE),"")</f>
        <v>0.96029999999999993</v>
      </c>
      <c r="AH82" s="142">
        <f>IFERROR(_xlfn.XLOOKUP($D82,'Modelling New'!$D:$D,'Modelling New'!$AF:$AF),"")</f>
        <v>0.995</v>
      </c>
      <c r="AI82" s="109">
        <f>IFERROR(_xlfn.XLOOKUP($A82,Input_Raw!$A:$A,Input_Raw!$DP:$DP),"")</f>
        <v>1496.89</v>
      </c>
      <c r="AJ82" s="108"/>
      <c r="AK82" s="108"/>
      <c r="AL82" s="108"/>
      <c r="AM82" s="108"/>
      <c r="AN82" s="132">
        <f>IFERROR(_xlfn.XLOOKUP($A82,Input_Raw!$A:$A,Input_Raw!$DL:$DL),"")</f>
        <v>0</v>
      </c>
      <c r="AO82" s="142">
        <f>IFERROR((_xlfn.XLOOKUP($A82,'WTG Reactive Power'!$A:$A,'WTG Reactive Power'!$AW:$AW))/X82,"")</f>
        <v>7.4457651081100596E-5</v>
      </c>
      <c r="AP82" s="142">
        <f>IFERROR(_xlfn.XLOOKUP($D82,'Modelling New'!$D:$D,'Modelling New'!$AK:$AK),"")</f>
        <v>0.05</v>
      </c>
      <c r="AQ82" s="142">
        <f>IFERROR(_xlfn.XLOOKUP($D82,'Modelling New'!$D:$D,'Modelling New'!$AL:$AL),"")</f>
        <v>0.05</v>
      </c>
      <c r="AR82" s="198">
        <f>IFERROR(_xlfn.XLOOKUP($D82,'Modelling New'!$D:$D,'Modelling New'!$N:$N),"")</f>
        <v>70.400000000000006</v>
      </c>
      <c r="AS82" s="198"/>
    </row>
    <row r="83" spans="1:45">
      <c r="A83" s="137">
        <f t="shared" si="13"/>
        <v>45826</v>
      </c>
      <c r="B83" s="138">
        <f>YEAR(Daily_KPI[[#This Row],[Date]])+IF(MONTH(Daily_KPI[[#This Row],[Date]])&gt;=4,1,0)</f>
        <v>2026</v>
      </c>
      <c r="C83" s="108">
        <f>YEAR(Daily_KPI[[#This Row],[Date]])</f>
        <v>2025</v>
      </c>
      <c r="D83" s="139">
        <f>Daily_KPI[[#This Row],[Date]]-DAY(Daily_KPI[[#This Row],[Date]])+1</f>
        <v>45809</v>
      </c>
      <c r="E83" s="108">
        <f t="shared" si="9"/>
        <v>30</v>
      </c>
      <c r="F83" s="109"/>
      <c r="G83" s="110"/>
      <c r="H83" s="110"/>
      <c r="I83" s="110"/>
      <c r="J83" s="110"/>
      <c r="K83" s="111"/>
      <c r="L83" s="110"/>
      <c r="M83" s="110">
        <f>IFERROR(_xlfn.XLOOKUP($A83,Input_Raw!$A:$A,Input_Raw!$CQ:$CQ),"")</f>
        <v>12.69090909090909</v>
      </c>
      <c r="N83" s="110">
        <f>IFERROR(_xlfn.XLOOKUP($A83,Input_Raw!$A:$A,Input_Raw!$CR:$CR),"")</f>
        <v>15.89</v>
      </c>
      <c r="O83" s="141">
        <f t="shared" si="10"/>
        <v>0.95973300639641113</v>
      </c>
      <c r="P83" s="141">
        <f>IFERROR(1-SUMIF(WTG_BD!$F:$F,$A83,WTG_BD!$AA:$AA)/($AA83+SUMIF(WTG_BD!$F:$F,$A83,WTG_BD!$AA:$AA)),"")</f>
        <v>0.97287578433288502</v>
      </c>
      <c r="Q83" s="141">
        <f>IFERROR(1-SUMIF(IGA_BD!$F:$F,$A83,IGA_BD!$W:$W)/($AA83+SUMIF(IGA_BD!$F:$F,$A83,IGA_BD!$W:$W)),"")</f>
        <v>0.98649079548681939</v>
      </c>
      <c r="R83" s="141">
        <f>IFERROR(1-SUMIF(Grid_BD!$F:$F,$A83,Grid_BD!$Y:$Y)/($AA83+SUMIF(Grid_BD!$F:$F,$A83,Grid_BD!$Y:$Y)),"")</f>
        <v>1</v>
      </c>
      <c r="S83" s="108"/>
      <c r="T83" s="140"/>
      <c r="U83" s="141"/>
      <c r="V83" s="108"/>
      <c r="W83" s="142">
        <f t="shared" si="11"/>
        <v>0.90454012784090898</v>
      </c>
      <c r="X83" s="108">
        <f>IFERROR(_xlfn.XLOOKUP($A83,Input_Raw!$A:$A,Input_Raw!$CP:$CP)*1000,"")</f>
        <v>1528311</v>
      </c>
      <c r="Y83" s="108">
        <f>IFERROR(_xlfn.XLOOKUP($A83,Input_Raw!$A:$A,Input_Raw!DJ:DJ)*1000,"")</f>
        <v>1528311</v>
      </c>
      <c r="Z83" s="108">
        <f>IFERROR(_xlfn.XLOOKUP($A83,Input_Raw!$A:$A,Input_Raw!DK:DK)*1000,"")</f>
        <v>0</v>
      </c>
      <c r="AA83" s="138">
        <f t="shared" si="12"/>
        <v>1528311</v>
      </c>
      <c r="AB83" s="108">
        <f>IFERROR(_xlfn.XLOOKUP($A83,Input_Raw!$A:$A,Input_Raw!$DR:$DR),"")</f>
        <v>70.400000000000006</v>
      </c>
      <c r="AC83" s="143">
        <f>IFERROR(_xlfn.XLOOKUP($D83,'Modelling New'!$D:$D,'Modelling New'!$J:$J),"")</f>
        <v>6.81</v>
      </c>
      <c r="AD83" s="138">
        <f>IFERROR(_xlfn.XLOOKUP($D83,'Modelling New'!$D:$D,'Modelling New'!$T:$T)*1000,"")</f>
        <v>519769.59725666587</v>
      </c>
      <c r="AE83" s="142"/>
      <c r="AF83" s="142">
        <f>IFERROR(_xlfn.XLOOKUP($D83,'Modelling New'!$D:$D,'Modelling New'!$W:$W),"")</f>
        <v>0.30762878625512891</v>
      </c>
      <c r="AG83" s="142">
        <f>IFERROR(_xlfn.XLOOKUP($D83,'Modelling New'!$D:$D,'Modelling New'!$AE:$AE),"")</f>
        <v>0.96029999999999993</v>
      </c>
      <c r="AH83" s="142">
        <f>IFERROR(_xlfn.XLOOKUP($D83,'Modelling New'!$D:$D,'Modelling New'!$AF:$AF),"")</f>
        <v>0.995</v>
      </c>
      <c r="AI83" s="109">
        <f>IFERROR(_xlfn.XLOOKUP($A83,Input_Raw!$A:$A,Input_Raw!$DP:$DP),"")</f>
        <v>1619.39</v>
      </c>
      <c r="AJ83" s="108"/>
      <c r="AK83" s="108"/>
      <c r="AL83" s="108"/>
      <c r="AM83" s="108"/>
      <c r="AN83" s="132">
        <f>IFERROR(_xlfn.XLOOKUP($A83,Input_Raw!$A:$A,Input_Raw!$DL:$DL),"")</f>
        <v>0</v>
      </c>
      <c r="AO83" s="142">
        <f>IFERROR((_xlfn.XLOOKUP($A83,'WTG Reactive Power'!$A:$A,'WTG Reactive Power'!$AW:$AW))/X83,"")</f>
        <v>1.9126108429501587E-4</v>
      </c>
      <c r="AP83" s="142">
        <f>IFERROR(_xlfn.XLOOKUP($D83,'Modelling New'!$D:$D,'Modelling New'!$AK:$AK),"")</f>
        <v>0.05</v>
      </c>
      <c r="AQ83" s="142">
        <f>IFERROR(_xlfn.XLOOKUP($D83,'Modelling New'!$D:$D,'Modelling New'!$AL:$AL),"")</f>
        <v>0.05</v>
      </c>
      <c r="AR83" s="198">
        <f>IFERROR(_xlfn.XLOOKUP($D83,'Modelling New'!$D:$D,'Modelling New'!$N:$N),"")</f>
        <v>70.400000000000006</v>
      </c>
      <c r="AS83" s="198"/>
    </row>
    <row r="84" spans="1:45">
      <c r="A84" s="137">
        <f t="shared" si="13"/>
        <v>45827</v>
      </c>
      <c r="B84" s="138">
        <f>YEAR(Daily_KPI[[#This Row],[Date]])+IF(MONTH(Daily_KPI[[#This Row],[Date]])&gt;=4,1,0)</f>
        <v>2026</v>
      </c>
      <c r="C84" s="108">
        <f>YEAR(Daily_KPI[[#This Row],[Date]])</f>
        <v>2025</v>
      </c>
      <c r="D84" s="139">
        <f>Daily_KPI[[#This Row],[Date]]-DAY(Daily_KPI[[#This Row],[Date]])+1</f>
        <v>45809</v>
      </c>
      <c r="E84" s="108">
        <f t="shared" si="9"/>
        <v>30</v>
      </c>
      <c r="F84" s="109"/>
      <c r="G84" s="143"/>
      <c r="H84" s="143"/>
      <c r="I84" s="143"/>
      <c r="J84" s="143"/>
      <c r="K84" s="111"/>
      <c r="L84" s="110"/>
      <c r="M84" s="110">
        <f>IFERROR(_xlfn.XLOOKUP($A84,Input_Raw!$A:$A,Input_Raw!$CQ:$CQ),"")</f>
        <v>12.536136363636365</v>
      </c>
      <c r="N84" s="110">
        <f>IFERROR(_xlfn.XLOOKUP($A84,Input_Raw!$A:$A,Input_Raw!$CR:$CR),"")</f>
        <v>15.54</v>
      </c>
      <c r="O84" s="141">
        <f t="shared" si="10"/>
        <v>0.91891489935798387</v>
      </c>
      <c r="P84" s="141">
        <f>IFERROR(1-SUMIF(WTG_BD!$F:$F,$A84,WTG_BD!$AA:$AA)/($AA84+SUMIF(WTG_BD!$F:$F,$A84,WTG_BD!$AA:$AA)),"")</f>
        <v>0.96401576759271079</v>
      </c>
      <c r="Q84" s="141">
        <f>IFERROR(1-SUMIF(IGA_BD!$F:$F,$A84,IGA_BD!$W:$W)/($AA84+SUMIF(IGA_BD!$F:$F,$A84,IGA_BD!$W:$W)),"")</f>
        <v>0.95321563220137939</v>
      </c>
      <c r="R84" s="141">
        <f>IFERROR(1-SUMIF(Grid_BD!$F:$F,$A84,Grid_BD!$Y:$Y)/($AA84+SUMIF(Grid_BD!$F:$F,$A84,Grid_BD!$Y:$Y)),"")</f>
        <v>1</v>
      </c>
      <c r="S84" s="108"/>
      <c r="T84" s="140"/>
      <c r="U84" s="141"/>
      <c r="V84" s="108"/>
      <c r="W84" s="142">
        <f t="shared" si="11"/>
        <v>0.83139855587121203</v>
      </c>
      <c r="X84" s="108">
        <f>IFERROR(_xlfn.XLOOKUP($A84,Input_Raw!$A:$A,Input_Raw!$CP:$CP)*1000,"")</f>
        <v>1404731</v>
      </c>
      <c r="Y84" s="108">
        <f>IFERROR(_xlfn.XLOOKUP($A84,Input_Raw!$A:$A,Input_Raw!DJ:DJ)*1000,"")</f>
        <v>1404731.0000000002</v>
      </c>
      <c r="Z84" s="108">
        <f>IFERROR(_xlfn.XLOOKUP($A84,Input_Raw!$A:$A,Input_Raw!DK:DK)*1000,"")</f>
        <v>0</v>
      </c>
      <c r="AA84" s="138">
        <f t="shared" si="12"/>
        <v>1404731.0000000002</v>
      </c>
      <c r="AB84" s="108">
        <f>IFERROR(_xlfn.XLOOKUP($A84,Input_Raw!$A:$A,Input_Raw!$DR:$DR),"")</f>
        <v>70.400000000000006</v>
      </c>
      <c r="AC84" s="143">
        <f>IFERROR(_xlfn.XLOOKUP($D84,'Modelling New'!$D:$D,'Modelling New'!$J:$J),"")</f>
        <v>6.81</v>
      </c>
      <c r="AD84" s="138">
        <f>IFERROR(_xlfn.XLOOKUP($D84,'Modelling New'!$D:$D,'Modelling New'!$T:$T)*1000,"")</f>
        <v>519769.59725666587</v>
      </c>
      <c r="AE84" s="142"/>
      <c r="AF84" s="142">
        <f>IFERROR(_xlfn.XLOOKUP($D84,'Modelling New'!$D:$D,'Modelling New'!$W:$W),"")</f>
        <v>0.30762878625512891</v>
      </c>
      <c r="AG84" s="142">
        <f>IFERROR(_xlfn.XLOOKUP($D84,'Modelling New'!$D:$D,'Modelling New'!$AE:$AE),"")</f>
        <v>0.96029999999999993</v>
      </c>
      <c r="AH84" s="142">
        <f>IFERROR(_xlfn.XLOOKUP($D84,'Modelling New'!$D:$D,'Modelling New'!$AF:$AF),"")</f>
        <v>0.995</v>
      </c>
      <c r="AI84" s="109">
        <f>IFERROR(_xlfn.XLOOKUP($A84,Input_Raw!$A:$A,Input_Raw!$DP:$DP),"")</f>
        <v>1534.29</v>
      </c>
      <c r="AJ84" s="108"/>
      <c r="AK84" s="108"/>
      <c r="AL84" s="108"/>
      <c r="AM84" s="108"/>
      <c r="AN84" s="132">
        <f>IFERROR(_xlfn.XLOOKUP($A84,Input_Raw!$A:$A,Input_Raw!$DL:$DL),"")</f>
        <v>2.2204460492503131E-16</v>
      </c>
      <c r="AO84" s="142">
        <f>IFERROR((_xlfn.XLOOKUP($A84,'WTG Reactive Power'!$A:$A,'WTG Reactive Power'!$AW:$AW))/X84,"")</f>
        <v>1.9265196456355938E-4</v>
      </c>
      <c r="AP84" s="142">
        <f>IFERROR(_xlfn.XLOOKUP($D84,'Modelling New'!$D:$D,'Modelling New'!$AK:$AK),"")</f>
        <v>0.05</v>
      </c>
      <c r="AQ84" s="142">
        <f>IFERROR(_xlfn.XLOOKUP($D84,'Modelling New'!$D:$D,'Modelling New'!$AL:$AL),"")</f>
        <v>0.05</v>
      </c>
      <c r="AR84" s="198">
        <f>IFERROR(_xlfn.XLOOKUP($D84,'Modelling New'!$D:$D,'Modelling New'!$N:$N),"")</f>
        <v>70.400000000000006</v>
      </c>
      <c r="AS84" s="198"/>
    </row>
    <row r="85" spans="1:45">
      <c r="A85" s="137">
        <f t="shared" si="13"/>
        <v>45828</v>
      </c>
      <c r="B85" s="138">
        <f>YEAR(Daily_KPI[[#This Row],[Date]])+IF(MONTH(Daily_KPI[[#This Row],[Date]])&gt;=4,1,0)</f>
        <v>2026</v>
      </c>
      <c r="C85" s="108">
        <f>YEAR(Daily_KPI[[#This Row],[Date]])</f>
        <v>2025</v>
      </c>
      <c r="D85" s="139">
        <f>Daily_KPI[[#This Row],[Date]]-DAY(Daily_KPI[[#This Row],[Date]])+1</f>
        <v>45809</v>
      </c>
      <c r="E85" s="108">
        <f t="shared" si="9"/>
        <v>30</v>
      </c>
      <c r="F85" s="109"/>
      <c r="G85" s="110"/>
      <c r="H85" s="110"/>
      <c r="I85" s="110"/>
      <c r="J85" s="110"/>
      <c r="K85" s="111"/>
      <c r="L85" s="110"/>
      <c r="M85" s="110">
        <f>IFERROR(_xlfn.XLOOKUP($A85,Input_Raw!$A:$A,Input_Raw!$CQ:$CQ),"")</f>
        <v>11.052954545454549</v>
      </c>
      <c r="N85" s="110">
        <f>IFERROR(_xlfn.XLOOKUP($A85,Input_Raw!$A:$A,Input_Raw!$CR:$CR),"")</f>
        <v>13.77</v>
      </c>
      <c r="O85" s="141">
        <f t="shared" si="10"/>
        <v>0.94936123178378096</v>
      </c>
      <c r="P85" s="141">
        <f>IFERROR(1-SUMIF(WTG_BD!$F:$F,$A85,WTG_BD!$AA:$AA)/($AA85+SUMIF(WTG_BD!$F:$F,$A85,WTG_BD!$AA:$AA)),"")</f>
        <v>0.98942280022719775</v>
      </c>
      <c r="Q85" s="141">
        <f>IFERROR(1-SUMIF(IGA_BD!$F:$F,$A85,IGA_BD!$W:$W)/($AA85+SUMIF(IGA_BD!$F:$F,$A85,IGA_BD!$W:$W)),"")</f>
        <v>0.9595101624561132</v>
      </c>
      <c r="R85" s="141">
        <f>IFERROR(1-SUMIF(Grid_BD!$F:$F,$A85,Grid_BD!$Y:$Y)/($AA85+SUMIF(Grid_BD!$F:$F,$A85,Grid_BD!$Y:$Y)),"")</f>
        <v>1</v>
      </c>
      <c r="S85" s="108"/>
      <c r="T85" s="140"/>
      <c r="U85" s="141"/>
      <c r="V85" s="108"/>
      <c r="W85" s="142">
        <f t="shared" si="11"/>
        <v>0.77736564867424229</v>
      </c>
      <c r="X85" s="108">
        <f>IFERROR(_xlfn.XLOOKUP($A85,Input_Raw!$A:$A,Input_Raw!$CP:$CP)*1000,"")</f>
        <v>1313437</v>
      </c>
      <c r="Y85" s="108">
        <f>IFERROR(_xlfn.XLOOKUP($A85,Input_Raw!$A:$A,Input_Raw!DJ:DJ)*1000,"")</f>
        <v>1313437</v>
      </c>
      <c r="Z85" s="108">
        <f>IFERROR(_xlfn.XLOOKUP($A85,Input_Raw!$A:$A,Input_Raw!DK:DK)*1000,"")</f>
        <v>0</v>
      </c>
      <c r="AA85" s="138">
        <f t="shared" si="12"/>
        <v>1313437</v>
      </c>
      <c r="AB85" s="108">
        <f>IFERROR(_xlfn.XLOOKUP($A85,Input_Raw!$A:$A,Input_Raw!$DR:$DR),"")</f>
        <v>70.400000000000006</v>
      </c>
      <c r="AC85" s="143">
        <f>IFERROR(_xlfn.XLOOKUP($D85,'Modelling New'!$D:$D,'Modelling New'!$J:$J),"")</f>
        <v>6.81</v>
      </c>
      <c r="AD85" s="138">
        <f>IFERROR(_xlfn.XLOOKUP($D85,'Modelling New'!$D:$D,'Modelling New'!$T:$T)*1000,"")</f>
        <v>519769.59725666587</v>
      </c>
      <c r="AE85" s="142"/>
      <c r="AF85" s="142">
        <f>IFERROR(_xlfn.XLOOKUP($D85,'Modelling New'!$D:$D,'Modelling New'!$W:$W),"")</f>
        <v>0.30762878625512891</v>
      </c>
      <c r="AG85" s="142">
        <f>IFERROR(_xlfn.XLOOKUP($D85,'Modelling New'!$D:$D,'Modelling New'!$AE:$AE),"")</f>
        <v>0.96029999999999993</v>
      </c>
      <c r="AH85" s="142">
        <f>IFERROR(_xlfn.XLOOKUP($D85,'Modelling New'!$D:$D,'Modelling New'!$AF:$AF),"")</f>
        <v>0.995</v>
      </c>
      <c r="AI85" s="109">
        <f>IFERROR(_xlfn.XLOOKUP($A85,Input_Raw!$A:$A,Input_Raw!$DP:$DP),"")</f>
        <v>1387.29</v>
      </c>
      <c r="AJ85" s="108"/>
      <c r="AK85" s="108"/>
      <c r="AL85" s="108"/>
      <c r="AM85" s="108"/>
      <c r="AN85" s="132">
        <f>IFERROR(_xlfn.XLOOKUP($A85,Input_Raw!$A:$A,Input_Raw!$DL:$DL),"")</f>
        <v>0</v>
      </c>
      <c r="AO85" s="142">
        <f>IFERROR((_xlfn.XLOOKUP($A85,'WTG Reactive Power'!$A:$A,'WTG Reactive Power'!$AW:$AW))/X85,"")</f>
        <v>2.0604276172616831E-4</v>
      </c>
      <c r="AP85" s="142">
        <f>IFERROR(_xlfn.XLOOKUP($D85,'Modelling New'!$D:$D,'Modelling New'!$AK:$AK),"")</f>
        <v>0.05</v>
      </c>
      <c r="AQ85" s="142">
        <f>IFERROR(_xlfn.XLOOKUP($D85,'Modelling New'!$D:$D,'Modelling New'!$AL:$AL),"")</f>
        <v>0.05</v>
      </c>
      <c r="AR85" s="198">
        <f>IFERROR(_xlfn.XLOOKUP($D85,'Modelling New'!$D:$D,'Modelling New'!$N:$N),"")</f>
        <v>70.400000000000006</v>
      </c>
      <c r="AS85" s="198"/>
    </row>
    <row r="86" spans="1:45">
      <c r="A86" s="137">
        <f t="shared" si="13"/>
        <v>45829</v>
      </c>
      <c r="B86" s="138">
        <f>YEAR(Daily_KPI[[#This Row],[Date]])+IF(MONTH(Daily_KPI[[#This Row],[Date]])&gt;=4,1,0)</f>
        <v>2026</v>
      </c>
      <c r="C86" s="108">
        <f>YEAR(Daily_KPI[[#This Row],[Date]])</f>
        <v>2025</v>
      </c>
      <c r="D86" s="139">
        <f>Daily_KPI[[#This Row],[Date]]-DAY(Daily_KPI[[#This Row],[Date]])+1</f>
        <v>45809</v>
      </c>
      <c r="E86" s="108">
        <f t="shared" si="9"/>
        <v>30</v>
      </c>
      <c r="F86" s="109"/>
      <c r="G86" s="143"/>
      <c r="H86" s="143"/>
      <c r="I86" s="143"/>
      <c r="J86" s="143"/>
      <c r="K86" s="111"/>
      <c r="L86" s="110"/>
      <c r="M86" s="110">
        <f>IFERROR(_xlfn.XLOOKUP($A86,Input_Raw!$A:$A,Input_Raw!$CQ:$CQ),"")</f>
        <v>10.391363636363637</v>
      </c>
      <c r="N86" s="110">
        <f>IFERROR(_xlfn.XLOOKUP($A86,Input_Raw!$A:$A,Input_Raw!$CR:$CR),"")</f>
        <v>12.93</v>
      </c>
      <c r="O86" s="141">
        <f t="shared" si="10"/>
        <v>0.99619326919961448</v>
      </c>
      <c r="P86" s="141">
        <f>IFERROR(1-SUMIF(WTG_BD!$F:$F,$A86,WTG_BD!$AA:$AA)/($AA86+SUMIF(WTG_BD!$F:$F,$A86,WTG_BD!$AA:$AA)),"")</f>
        <v>0.99619326919961448</v>
      </c>
      <c r="Q86" s="141">
        <f>IFERROR(1-SUMIF(IGA_BD!$F:$F,$A86,IGA_BD!$W:$W)/($AA86+SUMIF(IGA_BD!$F:$F,$A86,IGA_BD!$W:$W)),"")</f>
        <v>1</v>
      </c>
      <c r="R86" s="141">
        <f>IFERROR(1-SUMIF(Grid_BD!$F:$F,$A86,Grid_BD!$Y:$Y)/($AA86+SUMIF(Grid_BD!$F:$F,$A86,Grid_BD!$Y:$Y)),"")</f>
        <v>1</v>
      </c>
      <c r="S86" s="108"/>
      <c r="T86" s="140"/>
      <c r="U86" s="141"/>
      <c r="V86" s="108"/>
      <c r="W86" s="142">
        <f t="shared" si="11"/>
        <v>0.78247573390151504</v>
      </c>
      <c r="X86" s="108">
        <f>IFERROR(_xlfn.XLOOKUP($A86,Input_Raw!$A:$A,Input_Raw!$CP:$CP)*1000,"")</f>
        <v>1322071</v>
      </c>
      <c r="Y86" s="108">
        <f>IFERROR(_xlfn.XLOOKUP($A86,Input_Raw!$A:$A,Input_Raw!DJ:DJ)*1000,"")</f>
        <v>1322071</v>
      </c>
      <c r="Z86" s="108">
        <f>IFERROR(_xlfn.XLOOKUP($A86,Input_Raw!$A:$A,Input_Raw!DK:DK)*1000,"")</f>
        <v>0</v>
      </c>
      <c r="AA86" s="138">
        <f t="shared" si="12"/>
        <v>1322071</v>
      </c>
      <c r="AB86" s="108">
        <f>IFERROR(_xlfn.XLOOKUP($A86,Input_Raw!$A:$A,Input_Raw!$DR:$DR),"")</f>
        <v>70.400000000000006</v>
      </c>
      <c r="AC86" s="143">
        <f>IFERROR(_xlfn.XLOOKUP($D86,'Modelling New'!$D:$D,'Modelling New'!$J:$J),"")</f>
        <v>6.81</v>
      </c>
      <c r="AD86" s="138">
        <f>IFERROR(_xlfn.XLOOKUP($D86,'Modelling New'!$D:$D,'Modelling New'!$T:$T)*1000,"")</f>
        <v>519769.59725666587</v>
      </c>
      <c r="AE86" s="142"/>
      <c r="AF86" s="142">
        <f>IFERROR(_xlfn.XLOOKUP($D86,'Modelling New'!$D:$D,'Modelling New'!$W:$W),"")</f>
        <v>0.30762878625512891</v>
      </c>
      <c r="AG86" s="142">
        <f>IFERROR(_xlfn.XLOOKUP($D86,'Modelling New'!$D:$D,'Modelling New'!$AE:$AE),"")</f>
        <v>0.96029999999999993</v>
      </c>
      <c r="AH86" s="142">
        <f>IFERROR(_xlfn.XLOOKUP($D86,'Modelling New'!$D:$D,'Modelling New'!$AF:$AF),"")</f>
        <v>0.995</v>
      </c>
      <c r="AI86" s="109">
        <f>IFERROR(_xlfn.XLOOKUP($A86,Input_Raw!$A:$A,Input_Raw!$DP:$DP),"")</f>
        <v>1337.29</v>
      </c>
      <c r="AJ86" s="108"/>
      <c r="AK86" s="108"/>
      <c r="AL86" s="108"/>
      <c r="AM86" s="108"/>
      <c r="AN86" s="132">
        <f>IFERROR(_xlfn.XLOOKUP($A86,Input_Raw!$A:$A,Input_Raw!$DL:$DL),"")</f>
        <v>0</v>
      </c>
      <c r="AO86" s="142">
        <f>IFERROR((_xlfn.XLOOKUP($A86,'WTG Reactive Power'!$A:$A,'WTG Reactive Power'!$AW:$AW))/X86,"")</f>
        <v>1.9884167882562031E-4</v>
      </c>
      <c r="AP86" s="142">
        <f>IFERROR(_xlfn.XLOOKUP($D86,'Modelling New'!$D:$D,'Modelling New'!$AK:$AK),"")</f>
        <v>0.05</v>
      </c>
      <c r="AQ86" s="142">
        <f>IFERROR(_xlfn.XLOOKUP($D86,'Modelling New'!$D:$D,'Modelling New'!$AL:$AL),"")</f>
        <v>0.05</v>
      </c>
      <c r="AR86" s="198">
        <f>IFERROR(_xlfn.XLOOKUP($D86,'Modelling New'!$D:$D,'Modelling New'!$N:$N),"")</f>
        <v>70.400000000000006</v>
      </c>
      <c r="AS86" s="198"/>
    </row>
    <row r="87" spans="1:45">
      <c r="A87" s="137">
        <f t="shared" si="13"/>
        <v>45830</v>
      </c>
      <c r="B87" s="138">
        <f>YEAR(Daily_KPI[[#This Row],[Date]])+IF(MONTH(Daily_KPI[[#This Row],[Date]])&gt;=4,1,0)</f>
        <v>2026</v>
      </c>
      <c r="C87" s="108">
        <f>YEAR(Daily_KPI[[#This Row],[Date]])</f>
        <v>2025</v>
      </c>
      <c r="D87" s="139">
        <f>Daily_KPI[[#This Row],[Date]]-DAY(Daily_KPI[[#This Row],[Date]])+1</f>
        <v>45809</v>
      </c>
      <c r="E87" s="108">
        <f t="shared" si="9"/>
        <v>30</v>
      </c>
      <c r="F87" s="109"/>
      <c r="G87" s="110"/>
      <c r="H87" s="110"/>
      <c r="I87" s="110"/>
      <c r="J87" s="110"/>
      <c r="K87" s="111"/>
      <c r="L87" s="110"/>
      <c r="M87" s="110">
        <f>IFERROR(_xlfn.XLOOKUP($A87,Input_Raw!$A:$A,Input_Raw!$CQ:$CQ),"")</f>
        <v>10.809090909090912</v>
      </c>
      <c r="N87" s="110">
        <f>IFERROR(_xlfn.XLOOKUP($A87,Input_Raw!$A:$A,Input_Raw!$CR:$CR),"")</f>
        <v>13.14</v>
      </c>
      <c r="O87" s="141">
        <f t="shared" si="10"/>
        <v>0.99619548762431509</v>
      </c>
      <c r="P87" s="141">
        <f>IFERROR(1-SUMIF(WTG_BD!$F:$F,$A87,WTG_BD!$AA:$AA)/($AA87+SUMIF(WTG_BD!$F:$F,$A87,WTG_BD!$AA:$AA)),"")</f>
        <v>0.99619548762431509</v>
      </c>
      <c r="Q87" s="141">
        <f>IFERROR(1-SUMIF(IGA_BD!$F:$F,$A87,IGA_BD!$W:$W)/($AA87+SUMIF(IGA_BD!$F:$F,$A87,IGA_BD!$W:$W)),"")</f>
        <v>1</v>
      </c>
      <c r="R87" s="141">
        <f>IFERROR(1-SUMIF(Grid_BD!$F:$F,$A87,Grid_BD!$Y:$Y)/($AA87+SUMIF(Grid_BD!$F:$F,$A87,Grid_BD!$Y:$Y)),"")</f>
        <v>1</v>
      </c>
      <c r="S87" s="108"/>
      <c r="T87" s="140"/>
      <c r="U87" s="141"/>
      <c r="V87" s="108"/>
      <c r="W87" s="142">
        <f t="shared" si="11"/>
        <v>0.81594341856060593</v>
      </c>
      <c r="X87" s="108">
        <f>IFERROR(_xlfn.XLOOKUP($A87,Input_Raw!$A:$A,Input_Raw!$CP:$CP)*1000,"")</f>
        <v>1378618</v>
      </c>
      <c r="Y87" s="108">
        <f>IFERROR(_xlfn.XLOOKUP($A87,Input_Raw!$A:$A,Input_Raw!DJ:DJ)*1000,"")</f>
        <v>1378618.0000000002</v>
      </c>
      <c r="Z87" s="108">
        <f>IFERROR(_xlfn.XLOOKUP($A87,Input_Raw!$A:$A,Input_Raw!DK:DK)*1000,"")</f>
        <v>0</v>
      </c>
      <c r="AA87" s="138">
        <f t="shared" si="12"/>
        <v>1378618.0000000002</v>
      </c>
      <c r="AB87" s="108">
        <f>IFERROR(_xlfn.XLOOKUP($A87,Input_Raw!$A:$A,Input_Raw!$DR:$DR),"")</f>
        <v>70.400000000000006</v>
      </c>
      <c r="AC87" s="143">
        <f>IFERROR(_xlfn.XLOOKUP($D87,'Modelling New'!$D:$D,'Modelling New'!$J:$J),"")</f>
        <v>6.81</v>
      </c>
      <c r="AD87" s="138">
        <f>IFERROR(_xlfn.XLOOKUP($D87,'Modelling New'!$D:$D,'Modelling New'!$T:$T)*1000,"")</f>
        <v>519769.59725666587</v>
      </c>
      <c r="AE87" s="142"/>
      <c r="AF87" s="142">
        <f>IFERROR(_xlfn.XLOOKUP($D87,'Modelling New'!$D:$D,'Modelling New'!$W:$W),"")</f>
        <v>0.30762878625512891</v>
      </c>
      <c r="AG87" s="142">
        <f>IFERROR(_xlfn.XLOOKUP($D87,'Modelling New'!$D:$D,'Modelling New'!$AE:$AE),"")</f>
        <v>0.96029999999999993</v>
      </c>
      <c r="AH87" s="142">
        <f>IFERROR(_xlfn.XLOOKUP($D87,'Modelling New'!$D:$D,'Modelling New'!$AF:$AF),"")</f>
        <v>0.995</v>
      </c>
      <c r="AI87" s="109">
        <f>IFERROR(_xlfn.XLOOKUP($A87,Input_Raw!$A:$A,Input_Raw!$DP:$DP),"")</f>
        <v>1411.15</v>
      </c>
      <c r="AJ87" s="108"/>
      <c r="AK87" s="108"/>
      <c r="AL87" s="108"/>
      <c r="AM87" s="108"/>
      <c r="AN87" s="132">
        <f>IFERROR(_xlfn.XLOOKUP($A87,Input_Raw!$A:$A,Input_Raw!$DL:$DL),"")</f>
        <v>2.2204460492503131E-16</v>
      </c>
      <c r="AO87" s="142">
        <f>IFERROR((_xlfn.XLOOKUP($A87,'WTG Reactive Power'!$A:$A,'WTG Reactive Power'!$AW:$AW))/X87,"")</f>
        <v>1.8699702431468809E-4</v>
      </c>
      <c r="AP87" s="142">
        <f>IFERROR(_xlfn.XLOOKUP($D87,'Modelling New'!$D:$D,'Modelling New'!$AK:$AK),"")</f>
        <v>0.05</v>
      </c>
      <c r="AQ87" s="142">
        <f>IFERROR(_xlfn.XLOOKUP($D87,'Modelling New'!$D:$D,'Modelling New'!$AL:$AL),"")</f>
        <v>0.05</v>
      </c>
      <c r="AR87" s="198">
        <f>IFERROR(_xlfn.XLOOKUP($D87,'Modelling New'!$D:$D,'Modelling New'!$N:$N),"")</f>
        <v>70.400000000000006</v>
      </c>
      <c r="AS87" s="198"/>
    </row>
    <row r="88" spans="1:45">
      <c r="A88" s="137">
        <f t="shared" si="13"/>
        <v>45831</v>
      </c>
      <c r="B88" s="138">
        <f>YEAR(Daily_KPI[[#This Row],[Date]])+IF(MONTH(Daily_KPI[[#This Row],[Date]])&gt;=4,1,0)</f>
        <v>2026</v>
      </c>
      <c r="C88" s="108">
        <f>YEAR(Daily_KPI[[#This Row],[Date]])</f>
        <v>2025</v>
      </c>
      <c r="D88" s="139">
        <f>Daily_KPI[[#This Row],[Date]]-DAY(Daily_KPI[[#This Row],[Date]])+1</f>
        <v>45809</v>
      </c>
      <c r="E88" s="108">
        <f t="shared" si="9"/>
        <v>30</v>
      </c>
      <c r="F88" s="109"/>
      <c r="G88" s="143"/>
      <c r="H88" s="143"/>
      <c r="I88" s="143"/>
      <c r="J88" s="143"/>
      <c r="K88" s="111"/>
      <c r="L88" s="110"/>
      <c r="M88" s="110">
        <f>IFERROR(_xlfn.XLOOKUP($A88,Input_Raw!$A:$A,Input_Raw!$CQ:$CQ),"")</f>
        <v>13.445681818181821</v>
      </c>
      <c r="N88" s="110">
        <f>IFERROR(_xlfn.XLOOKUP($A88,Input_Raw!$A:$A,Input_Raw!$CR:$CR),"")</f>
        <v>16.41</v>
      </c>
      <c r="O88" s="141">
        <f t="shared" si="10"/>
        <v>0.96122442016445231</v>
      </c>
      <c r="P88" s="141">
        <f>IFERROR(1-SUMIF(WTG_BD!$F:$F,$A88,WTG_BD!$AA:$AA)/($AA88+SUMIF(WTG_BD!$F:$F,$A88,WTG_BD!$AA:$AA)),"")</f>
        <v>0.99184829368115357</v>
      </c>
      <c r="Q88" s="141">
        <f>IFERROR(1-SUMIF(IGA_BD!$F:$F,$A88,IGA_BD!$W:$W)/($AA88+SUMIF(IGA_BD!$F:$F,$A88,IGA_BD!$W:$W)),"")</f>
        <v>0.96912443796919423</v>
      </c>
      <c r="R88" s="141">
        <f>IFERROR(1-SUMIF(Grid_BD!$F:$F,$A88,Grid_BD!$Y:$Y)/($AA88+SUMIF(Grid_BD!$F:$F,$A88,Grid_BD!$Y:$Y)),"")</f>
        <v>1</v>
      </c>
      <c r="S88" s="108"/>
      <c r="T88" s="140"/>
      <c r="U88" s="141"/>
      <c r="V88" s="108"/>
      <c r="W88" s="142">
        <f t="shared" si="11"/>
        <v>0.88698804450757562</v>
      </c>
      <c r="X88" s="108">
        <f>IFERROR(_xlfn.XLOOKUP($A88,Input_Raw!$A:$A,Input_Raw!$CP:$CP)*1000,"")</f>
        <v>1498655</v>
      </c>
      <c r="Y88" s="108">
        <f>IFERROR(_xlfn.XLOOKUP($A88,Input_Raw!$A:$A,Input_Raw!DJ:DJ)*1000,"")</f>
        <v>1498655</v>
      </c>
      <c r="Z88" s="108">
        <f>IFERROR(_xlfn.XLOOKUP($A88,Input_Raw!$A:$A,Input_Raw!DK:DK)*1000,"")</f>
        <v>0</v>
      </c>
      <c r="AA88" s="138">
        <f t="shared" si="12"/>
        <v>1498655</v>
      </c>
      <c r="AB88" s="108">
        <f>IFERROR(_xlfn.XLOOKUP($A88,Input_Raw!$A:$A,Input_Raw!$DR:$DR),"")</f>
        <v>70.400000000000006</v>
      </c>
      <c r="AC88" s="143">
        <f>IFERROR(_xlfn.XLOOKUP($D88,'Modelling New'!$D:$D,'Modelling New'!$J:$J),"")</f>
        <v>6.81</v>
      </c>
      <c r="AD88" s="138">
        <f>IFERROR(_xlfn.XLOOKUP($D88,'Modelling New'!$D:$D,'Modelling New'!$T:$T)*1000,"")</f>
        <v>519769.59725666587</v>
      </c>
      <c r="AE88" s="142"/>
      <c r="AF88" s="142">
        <f>IFERROR(_xlfn.XLOOKUP($D88,'Modelling New'!$D:$D,'Modelling New'!$W:$W),"")</f>
        <v>0.30762878625512891</v>
      </c>
      <c r="AG88" s="142">
        <f>IFERROR(_xlfn.XLOOKUP($D88,'Modelling New'!$D:$D,'Modelling New'!$AE:$AE),"")</f>
        <v>0.96029999999999993</v>
      </c>
      <c r="AH88" s="142">
        <f>IFERROR(_xlfn.XLOOKUP($D88,'Modelling New'!$D:$D,'Modelling New'!$AF:$AF),"")</f>
        <v>0.995</v>
      </c>
      <c r="AI88" s="109">
        <f>IFERROR(_xlfn.XLOOKUP($A88,Input_Raw!$A:$A,Input_Raw!$DP:$DP),"")</f>
        <v>1581.51</v>
      </c>
      <c r="AJ88" s="108"/>
      <c r="AK88" s="108"/>
      <c r="AL88" s="108"/>
      <c r="AM88" s="108"/>
      <c r="AN88" s="132">
        <f>IFERROR(_xlfn.XLOOKUP($A88,Input_Raw!$A:$A,Input_Raw!$DL:$DL),"")</f>
        <v>0</v>
      </c>
      <c r="AO88" s="142">
        <f>IFERROR((_xlfn.XLOOKUP($A88,'WTG Reactive Power'!$A:$A,'WTG Reactive Power'!$AW:$AW))/X88,"")</f>
        <v>1.8012104320207125E-4</v>
      </c>
      <c r="AP88" s="142">
        <f>IFERROR(_xlfn.XLOOKUP($D88,'Modelling New'!$D:$D,'Modelling New'!$AK:$AK),"")</f>
        <v>0.05</v>
      </c>
      <c r="AQ88" s="142">
        <f>IFERROR(_xlfn.XLOOKUP($D88,'Modelling New'!$D:$D,'Modelling New'!$AL:$AL),"")</f>
        <v>0.05</v>
      </c>
      <c r="AR88" s="198">
        <f>IFERROR(_xlfn.XLOOKUP($D88,'Modelling New'!$D:$D,'Modelling New'!$N:$N),"")</f>
        <v>70.400000000000006</v>
      </c>
      <c r="AS88" s="198"/>
    </row>
    <row r="89" spans="1:45">
      <c r="A89" s="137">
        <f t="shared" si="13"/>
        <v>45832</v>
      </c>
      <c r="B89" s="138">
        <f>YEAR(Daily_KPI[[#This Row],[Date]])+IF(MONTH(Daily_KPI[[#This Row],[Date]])&gt;=4,1,0)</f>
        <v>2026</v>
      </c>
      <c r="C89" s="108">
        <f>YEAR(Daily_KPI[[#This Row],[Date]])</f>
        <v>2025</v>
      </c>
      <c r="D89" s="139">
        <f>Daily_KPI[[#This Row],[Date]]-DAY(Daily_KPI[[#This Row],[Date]])+1</f>
        <v>45809</v>
      </c>
      <c r="E89" s="108">
        <f t="shared" si="9"/>
        <v>30</v>
      </c>
      <c r="F89" s="109"/>
      <c r="G89" s="110"/>
      <c r="H89" s="110"/>
      <c r="I89" s="110"/>
      <c r="J89" s="110"/>
      <c r="K89" s="111"/>
      <c r="L89" s="110"/>
      <c r="M89" s="110">
        <f>IFERROR(_xlfn.XLOOKUP($A89,Input_Raw!$A:$A,Input_Raw!$CQ:$CQ),"")</f>
        <v>13.354318181818174</v>
      </c>
      <c r="N89" s="110">
        <f>IFERROR(_xlfn.XLOOKUP($A89,Input_Raw!$A:$A,Input_Raw!$CR:$CR),"")</f>
        <v>15.91</v>
      </c>
      <c r="O89" s="141">
        <f t="shared" si="10"/>
        <v>0.97225174747371135</v>
      </c>
      <c r="P89" s="141">
        <f>IFERROR(1-SUMIF(WTG_BD!$F:$F,$A89,WTG_BD!$AA:$AA)/($AA89+SUMIF(WTG_BD!$F:$F,$A89,WTG_BD!$AA:$AA)),"")</f>
        <v>0.98652051652431372</v>
      </c>
      <c r="Q89" s="141">
        <f>IFERROR(1-SUMIF(IGA_BD!$F:$F,$A89,IGA_BD!$W:$W)/($AA89+SUMIF(IGA_BD!$F:$F,$A89,IGA_BD!$W:$W)),"")</f>
        <v>0.98553626730351862</v>
      </c>
      <c r="R89" s="141">
        <f>IFERROR(1-SUMIF(Grid_BD!$F:$F,$A89,Grid_BD!$Y:$Y)/($AA89+SUMIF(Grid_BD!$F:$F,$A89,Grid_BD!$Y:$Y)),"")</f>
        <v>1</v>
      </c>
      <c r="S89" s="108"/>
      <c r="T89" s="140"/>
      <c r="U89" s="141"/>
      <c r="V89" s="108"/>
      <c r="W89" s="142">
        <f t="shared" si="11"/>
        <v>0.91028705018939382</v>
      </c>
      <c r="X89" s="108">
        <f>IFERROR(_xlfn.XLOOKUP($A89,Input_Raw!$A:$A,Input_Raw!$CP:$CP)*1000,"")</f>
        <v>1538021</v>
      </c>
      <c r="Y89" s="108">
        <f>IFERROR(_xlfn.XLOOKUP($A89,Input_Raw!$A:$A,Input_Raw!DJ:DJ)*1000,"")</f>
        <v>1538021.0000000002</v>
      </c>
      <c r="Z89" s="108">
        <f>IFERROR(_xlfn.XLOOKUP($A89,Input_Raw!$A:$A,Input_Raw!DK:DK)*1000,"")</f>
        <v>0</v>
      </c>
      <c r="AA89" s="138">
        <f t="shared" si="12"/>
        <v>1538021.0000000002</v>
      </c>
      <c r="AB89" s="108">
        <f>IFERROR(_xlfn.XLOOKUP($A89,Input_Raw!$A:$A,Input_Raw!$DR:$DR),"")</f>
        <v>70.400000000000006</v>
      </c>
      <c r="AC89" s="143">
        <f>IFERROR(_xlfn.XLOOKUP($D89,'Modelling New'!$D:$D,'Modelling New'!$J:$J),"")</f>
        <v>6.81</v>
      </c>
      <c r="AD89" s="138">
        <f>IFERROR(_xlfn.XLOOKUP($D89,'Modelling New'!$D:$D,'Modelling New'!$T:$T)*1000,"")</f>
        <v>519769.59725666587</v>
      </c>
      <c r="AE89" s="142"/>
      <c r="AF89" s="142">
        <f>IFERROR(_xlfn.XLOOKUP($D89,'Modelling New'!$D:$D,'Modelling New'!$W:$W),"")</f>
        <v>0.30762878625512891</v>
      </c>
      <c r="AG89" s="142">
        <f>IFERROR(_xlfn.XLOOKUP($D89,'Modelling New'!$D:$D,'Modelling New'!$AE:$AE),"")</f>
        <v>0.96029999999999993</v>
      </c>
      <c r="AH89" s="142">
        <f>IFERROR(_xlfn.XLOOKUP($D89,'Modelling New'!$D:$D,'Modelling New'!$AF:$AF),"")</f>
        <v>0.995</v>
      </c>
      <c r="AI89" s="109">
        <f>IFERROR(_xlfn.XLOOKUP($A89,Input_Raw!$A:$A,Input_Raw!$DP:$DP),"")</f>
        <v>1618.54</v>
      </c>
      <c r="AJ89" s="108"/>
      <c r="AK89" s="108"/>
      <c r="AL89" s="108"/>
      <c r="AM89" s="108"/>
      <c r="AN89" s="132">
        <f>IFERROR(_xlfn.XLOOKUP($A89,Input_Raw!$A:$A,Input_Raw!$DL:$DL),"")</f>
        <v>2.2204460492503131E-16</v>
      </c>
      <c r="AO89" s="142">
        <f>IFERROR((_xlfn.XLOOKUP($A89,'WTG Reactive Power'!$A:$A,'WTG Reactive Power'!$AW:$AW))/X89,"")</f>
        <v>1.9863152128612026E-4</v>
      </c>
      <c r="AP89" s="142">
        <f>IFERROR(_xlfn.XLOOKUP($D89,'Modelling New'!$D:$D,'Modelling New'!$AK:$AK),"")</f>
        <v>0.05</v>
      </c>
      <c r="AQ89" s="142">
        <f>IFERROR(_xlfn.XLOOKUP($D89,'Modelling New'!$D:$D,'Modelling New'!$AL:$AL),"")</f>
        <v>0.05</v>
      </c>
      <c r="AR89" s="198">
        <f>IFERROR(_xlfn.XLOOKUP($D89,'Modelling New'!$D:$D,'Modelling New'!$N:$N),"")</f>
        <v>70.400000000000006</v>
      </c>
      <c r="AS89" s="198"/>
    </row>
    <row r="90" spans="1:45">
      <c r="A90" s="137">
        <f t="shared" si="13"/>
        <v>45833</v>
      </c>
      <c r="B90" s="138">
        <f>YEAR(Daily_KPI[[#This Row],[Date]])+IF(MONTH(Daily_KPI[[#This Row],[Date]])&gt;=4,1,0)</f>
        <v>2026</v>
      </c>
      <c r="C90" s="108">
        <f>YEAR(Daily_KPI[[#This Row],[Date]])</f>
        <v>2025</v>
      </c>
      <c r="D90" s="139">
        <f>Daily_KPI[[#This Row],[Date]]-DAY(Daily_KPI[[#This Row],[Date]])+1</f>
        <v>45809</v>
      </c>
      <c r="E90" s="108">
        <f t="shared" si="9"/>
        <v>30</v>
      </c>
      <c r="F90" s="109"/>
      <c r="G90" s="143"/>
      <c r="H90" s="143"/>
      <c r="I90" s="143"/>
      <c r="J90" s="143"/>
      <c r="K90" s="111"/>
      <c r="L90" s="110"/>
      <c r="M90" s="110">
        <f>IFERROR(_xlfn.XLOOKUP($A90,Input_Raw!$A:$A,Input_Raw!$CQ:$CQ),"")</f>
        <v>12.225227272727274</v>
      </c>
      <c r="N90" s="110">
        <f>IFERROR(_xlfn.XLOOKUP($A90,Input_Raw!$A:$A,Input_Raw!$CR:$CR),"")</f>
        <v>14.81</v>
      </c>
      <c r="O90" s="141">
        <f t="shared" si="10"/>
        <v>0.99072607890236297</v>
      </c>
      <c r="P90" s="141">
        <f>IFERROR(1-SUMIF(WTG_BD!$F:$F,$A90,WTG_BD!$AA:$AA)/($AA90+SUMIF(WTG_BD!$F:$F,$A90,WTG_BD!$AA:$AA)),"")</f>
        <v>0.99072607890236297</v>
      </c>
      <c r="Q90" s="141">
        <f>IFERROR(1-SUMIF(IGA_BD!$F:$F,$A90,IGA_BD!$W:$W)/($AA90+SUMIF(IGA_BD!$F:$F,$A90,IGA_BD!$W:$W)),"")</f>
        <v>1</v>
      </c>
      <c r="R90" s="141">
        <f>IFERROR(1-SUMIF(Grid_BD!$F:$F,$A90,Grid_BD!$Y:$Y)/($AA90+SUMIF(Grid_BD!$F:$F,$A90,Grid_BD!$Y:$Y)),"")</f>
        <v>1</v>
      </c>
      <c r="S90" s="108"/>
      <c r="T90" s="140"/>
      <c r="U90" s="141"/>
      <c r="V90" s="108"/>
      <c r="W90" s="142">
        <f t="shared" si="11"/>
        <v>0.90687263257575745</v>
      </c>
      <c r="X90" s="108">
        <f>IFERROR(_xlfn.XLOOKUP($A90,Input_Raw!$A:$A,Input_Raw!$CP:$CP)*1000,"")</f>
        <v>1532252</v>
      </c>
      <c r="Y90" s="108">
        <f>IFERROR(_xlfn.XLOOKUP($A90,Input_Raw!$A:$A,Input_Raw!DJ:DJ)*1000,"")</f>
        <v>1532252.0000000002</v>
      </c>
      <c r="Z90" s="108">
        <f>IFERROR(_xlfn.XLOOKUP($A90,Input_Raw!$A:$A,Input_Raw!DK:DK)*1000,"")</f>
        <v>0</v>
      </c>
      <c r="AA90" s="138">
        <f t="shared" si="12"/>
        <v>1532252.0000000002</v>
      </c>
      <c r="AB90" s="108">
        <f>IFERROR(_xlfn.XLOOKUP($A90,Input_Raw!$A:$A,Input_Raw!$DR:$DR),"")</f>
        <v>70.400000000000006</v>
      </c>
      <c r="AC90" s="143">
        <f>IFERROR(_xlfn.XLOOKUP($D90,'Modelling New'!$D:$D,'Modelling New'!$J:$J),"")</f>
        <v>6.81</v>
      </c>
      <c r="AD90" s="138">
        <f>IFERROR(_xlfn.XLOOKUP($D90,'Modelling New'!$D:$D,'Modelling New'!$T:$T)*1000,"")</f>
        <v>519769.59725666587</v>
      </c>
      <c r="AE90" s="142"/>
      <c r="AF90" s="142">
        <f>IFERROR(_xlfn.XLOOKUP($D90,'Modelling New'!$D:$D,'Modelling New'!$W:$W),"")</f>
        <v>0.30762878625512891</v>
      </c>
      <c r="AG90" s="142">
        <f>IFERROR(_xlfn.XLOOKUP($D90,'Modelling New'!$D:$D,'Modelling New'!$AE:$AE),"")</f>
        <v>0.96029999999999993</v>
      </c>
      <c r="AH90" s="142">
        <f>IFERROR(_xlfn.XLOOKUP($D90,'Modelling New'!$D:$D,'Modelling New'!$AF:$AF),"")</f>
        <v>0.995</v>
      </c>
      <c r="AI90" s="109">
        <f>IFERROR(_xlfn.XLOOKUP($A90,Input_Raw!$A:$A,Input_Raw!$DP:$DP),"")</f>
        <v>1590.42</v>
      </c>
      <c r="AJ90" s="108"/>
      <c r="AK90" s="108"/>
      <c r="AL90" s="108"/>
      <c r="AM90" s="108"/>
      <c r="AN90" s="132">
        <f>IFERROR(_xlfn.XLOOKUP($A90,Input_Raw!$A:$A,Input_Raw!$DL:$DL),"")</f>
        <v>2.2204460492503131E-16</v>
      </c>
      <c r="AO90" s="142">
        <f>IFERROR((_xlfn.XLOOKUP($A90,'WTG Reactive Power'!$A:$A,'WTG Reactive Power'!$AW:$AW))/X90,"")</f>
        <v>1.8337769396504835E-4</v>
      </c>
      <c r="AP90" s="142">
        <f>IFERROR(_xlfn.XLOOKUP($D90,'Modelling New'!$D:$D,'Modelling New'!$AK:$AK),"")</f>
        <v>0.05</v>
      </c>
      <c r="AQ90" s="142">
        <f>IFERROR(_xlfn.XLOOKUP($D90,'Modelling New'!$D:$D,'Modelling New'!$AL:$AL),"")</f>
        <v>0.05</v>
      </c>
      <c r="AR90" s="198">
        <f>IFERROR(_xlfn.XLOOKUP($D90,'Modelling New'!$D:$D,'Modelling New'!$N:$N),"")</f>
        <v>70.400000000000006</v>
      </c>
      <c r="AS90" s="198"/>
    </row>
    <row r="91" spans="1:45">
      <c r="A91" s="137">
        <f t="shared" si="13"/>
        <v>45834</v>
      </c>
      <c r="B91" s="138">
        <f>YEAR(Daily_KPI[[#This Row],[Date]])+IF(MONTH(Daily_KPI[[#This Row],[Date]])&gt;=4,1,0)</f>
        <v>2026</v>
      </c>
      <c r="C91" s="108">
        <f>YEAR(Daily_KPI[[#This Row],[Date]])</f>
        <v>2025</v>
      </c>
      <c r="D91" s="139">
        <f>Daily_KPI[[#This Row],[Date]]-DAY(Daily_KPI[[#This Row],[Date]])+1</f>
        <v>45809</v>
      </c>
      <c r="E91" s="108">
        <f t="shared" si="9"/>
        <v>30</v>
      </c>
      <c r="F91" s="109"/>
      <c r="G91" s="110"/>
      <c r="H91" s="110"/>
      <c r="I91" s="110"/>
      <c r="J91" s="110"/>
      <c r="K91" s="111"/>
      <c r="L91" s="110"/>
      <c r="M91" s="110">
        <f>IFERROR(_xlfn.XLOOKUP($A91,Input_Raw!$A:$A,Input_Raw!$CQ:$CQ),"")</f>
        <v>11.651818181818184</v>
      </c>
      <c r="N91" s="110">
        <f>IFERROR(_xlfn.XLOOKUP($A91,Input_Raw!$A:$A,Input_Raw!$CR:$CR),"")</f>
        <v>14.81</v>
      </c>
      <c r="O91" s="141">
        <f t="shared" si="10"/>
        <v>0.98671412039371065</v>
      </c>
      <c r="P91" s="141">
        <f>IFERROR(1-SUMIF(WTG_BD!$F:$F,$A91,WTG_BD!$AA:$AA)/($AA91+SUMIF(WTG_BD!$F:$F,$A91,WTG_BD!$AA:$AA)),"")</f>
        <v>0.99395022723455118</v>
      </c>
      <c r="Q91" s="141">
        <f>IFERROR(1-SUMIF(IGA_BD!$F:$F,$A91,IGA_BD!$W:$W)/($AA91+SUMIF(IGA_BD!$F:$F,$A91,IGA_BD!$W:$W)),"")</f>
        <v>0.99271984990538875</v>
      </c>
      <c r="R91" s="141">
        <f>IFERROR(1-SUMIF(Grid_BD!$F:$F,$A91,Grid_BD!$Y:$Y)/($AA91+SUMIF(Grid_BD!$F:$F,$A91,Grid_BD!$Y:$Y)),"")</f>
        <v>1</v>
      </c>
      <c r="S91" s="108"/>
      <c r="T91" s="140"/>
      <c r="U91" s="141"/>
      <c r="V91" s="108"/>
      <c r="W91" s="142">
        <f t="shared" si="11"/>
        <v>0.87904296874999988</v>
      </c>
      <c r="X91" s="108">
        <f>IFERROR(_xlfn.XLOOKUP($A91,Input_Raw!$A:$A,Input_Raw!$CP:$CP)*1000,"")</f>
        <v>1485231</v>
      </c>
      <c r="Y91" s="108">
        <f>IFERROR(_xlfn.XLOOKUP($A91,Input_Raw!$A:$A,Input_Raw!DJ:DJ)*1000,"")</f>
        <v>1485231</v>
      </c>
      <c r="Z91" s="108">
        <f>IFERROR(_xlfn.XLOOKUP($A91,Input_Raw!$A:$A,Input_Raw!DK:DK)*1000,"")</f>
        <v>0</v>
      </c>
      <c r="AA91" s="138">
        <f t="shared" si="12"/>
        <v>1485231</v>
      </c>
      <c r="AB91" s="108">
        <f>IFERROR(_xlfn.XLOOKUP($A91,Input_Raw!$A:$A,Input_Raw!$DR:$DR),"")</f>
        <v>70.400000000000006</v>
      </c>
      <c r="AC91" s="143">
        <f>IFERROR(_xlfn.XLOOKUP($D91,'Modelling New'!$D:$D,'Modelling New'!$J:$J),"")</f>
        <v>6.81</v>
      </c>
      <c r="AD91" s="138">
        <f>IFERROR(_xlfn.XLOOKUP($D91,'Modelling New'!$D:$D,'Modelling New'!$T:$T)*1000,"")</f>
        <v>519769.59725666587</v>
      </c>
      <c r="AE91" s="142"/>
      <c r="AF91" s="142">
        <f>IFERROR(_xlfn.XLOOKUP($D91,'Modelling New'!$D:$D,'Modelling New'!$W:$W),"")</f>
        <v>0.30762878625512891</v>
      </c>
      <c r="AG91" s="142">
        <f>IFERROR(_xlfn.XLOOKUP($D91,'Modelling New'!$D:$D,'Modelling New'!$AE:$AE),"")</f>
        <v>0.96029999999999993</v>
      </c>
      <c r="AH91" s="142">
        <f>IFERROR(_xlfn.XLOOKUP($D91,'Modelling New'!$D:$D,'Modelling New'!$AF:$AF),"")</f>
        <v>0.995</v>
      </c>
      <c r="AI91" s="109">
        <f>IFERROR(_xlfn.XLOOKUP($A91,Input_Raw!$A:$A,Input_Raw!$DP:$DP),"")</f>
        <v>1539.71</v>
      </c>
      <c r="AJ91" s="108"/>
      <c r="AK91" s="108"/>
      <c r="AL91" s="108"/>
      <c r="AM91" s="108"/>
      <c r="AN91" s="132">
        <f>IFERROR(_xlfn.XLOOKUP($A91,Input_Raw!$A:$A,Input_Raw!$DL:$DL),"")</f>
        <v>0</v>
      </c>
      <c r="AO91" s="142">
        <f>IFERROR((_xlfn.XLOOKUP($A91,'WTG Reactive Power'!$A:$A,'WTG Reactive Power'!$AW:$AW))/X91,"")</f>
        <v>1.8789767023895043E-4</v>
      </c>
      <c r="AP91" s="142">
        <f>IFERROR(_xlfn.XLOOKUP($D91,'Modelling New'!$D:$D,'Modelling New'!$AK:$AK),"")</f>
        <v>0.05</v>
      </c>
      <c r="AQ91" s="142">
        <f>IFERROR(_xlfn.XLOOKUP($D91,'Modelling New'!$D:$D,'Modelling New'!$AL:$AL),"")</f>
        <v>0.05</v>
      </c>
      <c r="AR91" s="198">
        <f>IFERROR(_xlfn.XLOOKUP($D91,'Modelling New'!$D:$D,'Modelling New'!$N:$N),"")</f>
        <v>70.400000000000006</v>
      </c>
      <c r="AS91" s="198"/>
    </row>
    <row r="92" spans="1:45">
      <c r="A92" s="137">
        <f t="shared" si="13"/>
        <v>45835</v>
      </c>
      <c r="B92" s="138">
        <f>YEAR(Daily_KPI[[#This Row],[Date]])+IF(MONTH(Daily_KPI[[#This Row],[Date]])&gt;=4,1,0)</f>
        <v>2026</v>
      </c>
      <c r="C92" s="108">
        <f>YEAR(Daily_KPI[[#This Row],[Date]])</f>
        <v>2025</v>
      </c>
      <c r="D92" s="139">
        <f>Daily_KPI[[#This Row],[Date]]-DAY(Daily_KPI[[#This Row],[Date]])+1</f>
        <v>45809</v>
      </c>
      <c r="E92" s="108">
        <f t="shared" si="9"/>
        <v>30</v>
      </c>
      <c r="F92" s="109"/>
      <c r="G92" s="143"/>
      <c r="H92" s="143"/>
      <c r="I92" s="143"/>
      <c r="J92" s="143"/>
      <c r="K92" s="111"/>
      <c r="L92" s="110"/>
      <c r="M92" s="110">
        <f>IFERROR(_xlfn.XLOOKUP($A92,Input_Raw!$A:$A,Input_Raw!$CQ:$CQ),"")</f>
        <v>10.357045454545455</v>
      </c>
      <c r="N92" s="110">
        <f>IFERROR(_xlfn.XLOOKUP($A92,Input_Raw!$A:$A,Input_Raw!$CR:$CR),"")</f>
        <v>13.37</v>
      </c>
      <c r="O92" s="141">
        <f t="shared" si="10"/>
        <v>0.99689265072288091</v>
      </c>
      <c r="P92" s="141">
        <f>IFERROR(1-SUMIF(WTG_BD!$F:$F,$A92,WTG_BD!$AA:$AA)/($AA92+SUMIF(WTG_BD!$F:$F,$A92,WTG_BD!$AA:$AA)),"")</f>
        <v>0.99689265072288091</v>
      </c>
      <c r="Q92" s="141">
        <f>IFERROR(1-SUMIF(IGA_BD!$F:$F,$A92,IGA_BD!$W:$W)/($AA92+SUMIF(IGA_BD!$F:$F,$A92,IGA_BD!$W:$W)),"")</f>
        <v>1</v>
      </c>
      <c r="R92" s="141">
        <f>IFERROR(1-SUMIF(Grid_BD!$F:$F,$A92,Grid_BD!$Y:$Y)/($AA92+SUMIF(Grid_BD!$F:$F,$A92,Grid_BD!$Y:$Y)),"")</f>
        <v>1</v>
      </c>
      <c r="S92" s="108"/>
      <c r="T92" s="140"/>
      <c r="U92" s="141"/>
      <c r="V92" s="108"/>
      <c r="W92" s="142">
        <f t="shared" si="11"/>
        <v>0.78951231060606053</v>
      </c>
      <c r="X92" s="108">
        <f>IFERROR(_xlfn.XLOOKUP($A92,Input_Raw!$A:$A,Input_Raw!$CP:$CP)*1000,"")</f>
        <v>1333960</v>
      </c>
      <c r="Y92" s="108">
        <f>IFERROR(_xlfn.XLOOKUP($A92,Input_Raw!$A:$A,Input_Raw!DJ:DJ)*1000,"")</f>
        <v>1333960</v>
      </c>
      <c r="Z92" s="108">
        <f>IFERROR(_xlfn.XLOOKUP($A92,Input_Raw!$A:$A,Input_Raw!DK:DK)*1000,"")</f>
        <v>0</v>
      </c>
      <c r="AA92" s="138">
        <f t="shared" si="12"/>
        <v>1333960</v>
      </c>
      <c r="AB92" s="108">
        <f>IFERROR(_xlfn.XLOOKUP($A92,Input_Raw!$A:$A,Input_Raw!$DR:$DR),"")</f>
        <v>70.400000000000006</v>
      </c>
      <c r="AC92" s="143">
        <f>IFERROR(_xlfn.XLOOKUP($D92,'Modelling New'!$D:$D,'Modelling New'!$J:$J),"")</f>
        <v>6.81</v>
      </c>
      <c r="AD92" s="138">
        <f>IFERROR(_xlfn.XLOOKUP($D92,'Modelling New'!$D:$D,'Modelling New'!$T:$T)*1000,"")</f>
        <v>519769.59725666587</v>
      </c>
      <c r="AE92" s="142"/>
      <c r="AF92" s="142">
        <f>IFERROR(_xlfn.XLOOKUP($D92,'Modelling New'!$D:$D,'Modelling New'!$W:$W),"")</f>
        <v>0.30762878625512891</v>
      </c>
      <c r="AG92" s="142">
        <f>IFERROR(_xlfn.XLOOKUP($D92,'Modelling New'!$D:$D,'Modelling New'!$AE:$AE),"")</f>
        <v>0.96029999999999993</v>
      </c>
      <c r="AH92" s="142">
        <f>IFERROR(_xlfn.XLOOKUP($D92,'Modelling New'!$D:$D,'Modelling New'!$AF:$AF),"")</f>
        <v>0.995</v>
      </c>
      <c r="AI92" s="109">
        <f>IFERROR(_xlfn.XLOOKUP($A92,Input_Raw!$A:$A,Input_Raw!$DP:$DP),"")</f>
        <v>1342.98</v>
      </c>
      <c r="AJ92" s="108"/>
      <c r="AK92" s="108"/>
      <c r="AL92" s="108"/>
      <c r="AM92" s="108"/>
      <c r="AN92" s="132">
        <f>IFERROR(_xlfn.XLOOKUP($A92,Input_Raw!$A:$A,Input_Raw!$DL:$DL),"")</f>
        <v>0</v>
      </c>
      <c r="AO92" s="142">
        <f>IFERROR((_xlfn.XLOOKUP($A92,'WTG Reactive Power'!$A:$A,'WTG Reactive Power'!$AW:$AW))/X92,"")</f>
        <v>2.0208877477585532E-4</v>
      </c>
      <c r="AP92" s="142">
        <f>IFERROR(_xlfn.XLOOKUP($D92,'Modelling New'!$D:$D,'Modelling New'!$AK:$AK),"")</f>
        <v>0.05</v>
      </c>
      <c r="AQ92" s="142">
        <f>IFERROR(_xlfn.XLOOKUP($D92,'Modelling New'!$D:$D,'Modelling New'!$AL:$AL),"")</f>
        <v>0.05</v>
      </c>
      <c r="AR92" s="198">
        <f>IFERROR(_xlfn.XLOOKUP($D92,'Modelling New'!$D:$D,'Modelling New'!$N:$N),"")</f>
        <v>70.400000000000006</v>
      </c>
      <c r="AS92" s="198"/>
    </row>
    <row r="93" spans="1:45">
      <c r="A93" s="137">
        <f t="shared" si="13"/>
        <v>45836</v>
      </c>
      <c r="B93" s="138">
        <f>YEAR(Daily_KPI[[#This Row],[Date]])+IF(MONTH(Daily_KPI[[#This Row],[Date]])&gt;=4,1,0)</f>
        <v>2026</v>
      </c>
      <c r="C93" s="108">
        <f>YEAR(Daily_KPI[[#This Row],[Date]])</f>
        <v>2025</v>
      </c>
      <c r="D93" s="139">
        <f>Daily_KPI[[#This Row],[Date]]-DAY(Daily_KPI[[#This Row],[Date]])+1</f>
        <v>45809</v>
      </c>
      <c r="E93" s="108">
        <f t="shared" si="9"/>
        <v>30</v>
      </c>
      <c r="F93" s="109"/>
      <c r="G93" s="110"/>
      <c r="H93" s="110"/>
      <c r="I93" s="110"/>
      <c r="J93" s="110"/>
      <c r="K93" s="111"/>
      <c r="L93" s="110"/>
      <c r="M93" s="110">
        <f>IFERROR(_xlfn.XLOOKUP($A93,Input_Raw!$A:$A,Input_Raw!$CQ:$CQ),"")</f>
        <v>10.577727272727271</v>
      </c>
      <c r="N93" s="110">
        <f>IFERROR(_xlfn.XLOOKUP($A93,Input_Raw!$A:$A,Input_Raw!$CR:$CR),"")</f>
        <v>13.4</v>
      </c>
      <c r="O93" s="141">
        <f t="shared" si="10"/>
        <v>0.99618650445482948</v>
      </c>
      <c r="P93" s="141">
        <f>IFERROR(1-SUMIF(WTG_BD!$F:$F,$A93,WTG_BD!$AA:$AA)/($AA93+SUMIF(WTG_BD!$F:$F,$A93,WTG_BD!$AA:$AA)),"")</f>
        <v>0.99618650445482948</v>
      </c>
      <c r="Q93" s="141">
        <f>IFERROR(1-SUMIF(IGA_BD!$F:$F,$A93,IGA_BD!$W:$W)/($AA93+SUMIF(IGA_BD!$F:$F,$A93,IGA_BD!$W:$W)),"")</f>
        <v>1</v>
      </c>
      <c r="R93" s="141">
        <f>IFERROR(1-SUMIF(Grid_BD!$F:$F,$A93,Grid_BD!$Y:$Y)/($AA93+SUMIF(Grid_BD!$F:$F,$A93,Grid_BD!$Y:$Y)),"")</f>
        <v>1</v>
      </c>
      <c r="S93" s="108"/>
      <c r="T93" s="140"/>
      <c r="U93" s="141"/>
      <c r="V93" s="108"/>
      <c r="W93" s="142">
        <f t="shared" si="11"/>
        <v>0.80303681344696953</v>
      </c>
      <c r="X93" s="108">
        <f>IFERROR(_xlfn.XLOOKUP($A93,Input_Raw!$A:$A,Input_Raw!$CP:$CP)*1000,"")</f>
        <v>1356811</v>
      </c>
      <c r="Y93" s="108">
        <f>IFERROR(_xlfn.XLOOKUP($A93,Input_Raw!$A:$A,Input_Raw!DJ:DJ)*1000,"")</f>
        <v>1356811</v>
      </c>
      <c r="Z93" s="108">
        <f>IFERROR(_xlfn.XLOOKUP($A93,Input_Raw!$A:$A,Input_Raw!DK:DK)*1000,"")</f>
        <v>0</v>
      </c>
      <c r="AA93" s="138">
        <f t="shared" si="12"/>
        <v>1356811</v>
      </c>
      <c r="AB93" s="108">
        <f>IFERROR(_xlfn.XLOOKUP($A93,Input_Raw!$A:$A,Input_Raw!$DR:$DR),"")</f>
        <v>70.400000000000006</v>
      </c>
      <c r="AC93" s="143">
        <f>IFERROR(_xlfn.XLOOKUP($D93,'Modelling New'!$D:$D,'Modelling New'!$J:$J),"")</f>
        <v>6.81</v>
      </c>
      <c r="AD93" s="138">
        <f>IFERROR(_xlfn.XLOOKUP($D93,'Modelling New'!$D:$D,'Modelling New'!$T:$T)*1000,"")</f>
        <v>519769.59725666587</v>
      </c>
      <c r="AE93" s="142"/>
      <c r="AF93" s="142">
        <f>IFERROR(_xlfn.XLOOKUP($D93,'Modelling New'!$D:$D,'Modelling New'!$W:$W),"")</f>
        <v>0.30762878625512891</v>
      </c>
      <c r="AG93" s="142">
        <f>IFERROR(_xlfn.XLOOKUP($D93,'Modelling New'!$D:$D,'Modelling New'!$AE:$AE),"")</f>
        <v>0.96029999999999993</v>
      </c>
      <c r="AH93" s="142">
        <f>IFERROR(_xlfn.XLOOKUP($D93,'Modelling New'!$D:$D,'Modelling New'!$AF:$AF),"")</f>
        <v>0.995</v>
      </c>
      <c r="AI93" s="109">
        <f>IFERROR(_xlfn.XLOOKUP($A93,Input_Raw!$A:$A,Input_Raw!$DP:$DP),"")</f>
        <v>1368.72</v>
      </c>
      <c r="AJ93" s="108"/>
      <c r="AK93" s="108"/>
      <c r="AL93" s="108"/>
      <c r="AM93" s="108"/>
      <c r="AN93" s="132">
        <f>IFERROR(_xlfn.XLOOKUP($A93,Input_Raw!$A:$A,Input_Raw!$DL:$DL),"")</f>
        <v>0</v>
      </c>
      <c r="AO93" s="142">
        <f>IFERROR((_xlfn.XLOOKUP($A93,'WTG Reactive Power'!$A:$A,'WTG Reactive Power'!$AW:$AW))/X93,"")</f>
        <v>1.9949250558847184E-4</v>
      </c>
      <c r="AP93" s="142">
        <f>IFERROR(_xlfn.XLOOKUP($D93,'Modelling New'!$D:$D,'Modelling New'!$AK:$AK),"")</f>
        <v>0.05</v>
      </c>
      <c r="AQ93" s="142">
        <f>IFERROR(_xlfn.XLOOKUP($D93,'Modelling New'!$D:$D,'Modelling New'!$AL:$AL),"")</f>
        <v>0.05</v>
      </c>
      <c r="AR93" s="198">
        <f>IFERROR(_xlfn.XLOOKUP($D93,'Modelling New'!$D:$D,'Modelling New'!$N:$N),"")</f>
        <v>70.400000000000006</v>
      </c>
      <c r="AS93" s="198"/>
    </row>
    <row r="94" spans="1:45">
      <c r="A94" s="137">
        <f t="shared" si="13"/>
        <v>45837</v>
      </c>
      <c r="B94" s="138">
        <f>YEAR(Daily_KPI[[#This Row],[Date]])+IF(MONTH(Daily_KPI[[#This Row],[Date]])&gt;=4,1,0)</f>
        <v>2026</v>
      </c>
      <c r="C94" s="108">
        <f>YEAR(Daily_KPI[[#This Row],[Date]])</f>
        <v>2025</v>
      </c>
      <c r="D94" s="139">
        <f>Daily_KPI[[#This Row],[Date]]-DAY(Daily_KPI[[#This Row],[Date]])+1</f>
        <v>45809</v>
      </c>
      <c r="E94" s="108">
        <f t="shared" si="9"/>
        <v>30</v>
      </c>
      <c r="F94" s="109"/>
      <c r="G94" s="143"/>
      <c r="H94" s="143"/>
      <c r="I94" s="143"/>
      <c r="J94" s="143"/>
      <c r="K94" s="111"/>
      <c r="L94" s="110"/>
      <c r="M94" s="110">
        <f>IFERROR(_xlfn.XLOOKUP($A94,Input_Raw!$A:$A,Input_Raw!$CQ:$CQ),"")</f>
        <v>10.847954545454543</v>
      </c>
      <c r="N94" s="110">
        <f>IFERROR(_xlfn.XLOOKUP($A94,Input_Raw!$A:$A,Input_Raw!$CR:$CR),"")</f>
        <v>13.28</v>
      </c>
      <c r="O94" s="141">
        <f t="shared" si="10"/>
        <v>0.98732951502586097</v>
      </c>
      <c r="P94" s="141">
        <f>IFERROR(1-SUMIF(WTG_BD!$F:$F,$A94,WTG_BD!$AA:$AA)/($AA94+SUMIF(WTG_BD!$F:$F,$A94,WTG_BD!$AA:$AA)),"")</f>
        <v>0.99216109801584862</v>
      </c>
      <c r="Q94" s="141">
        <f>IFERROR(1-SUMIF(IGA_BD!$F:$F,$A94,IGA_BD!$W:$W)/($AA94+SUMIF(IGA_BD!$F:$F,$A94,IGA_BD!$W:$W)),"")</f>
        <v>0.99513024346585455</v>
      </c>
      <c r="R94" s="141">
        <f>IFERROR(1-SUMIF(Grid_BD!$F:$F,$A94,Grid_BD!$Y:$Y)/($AA94+SUMIF(Grid_BD!$F:$F,$A94,Grid_BD!$Y:$Y)),"")</f>
        <v>1</v>
      </c>
      <c r="S94" s="108"/>
      <c r="T94" s="140"/>
      <c r="U94" s="141"/>
      <c r="V94" s="108"/>
      <c r="W94" s="142">
        <f t="shared" si="11"/>
        <v>0.80416489109848477</v>
      </c>
      <c r="X94" s="108">
        <f>IFERROR(_xlfn.XLOOKUP($A94,Input_Raw!$A:$A,Input_Raw!$CP:$CP)*1000,"")</f>
        <v>1358717</v>
      </c>
      <c r="Y94" s="108">
        <f>IFERROR(_xlfn.XLOOKUP($A94,Input_Raw!$A:$A,Input_Raw!DJ:DJ)*1000,"")</f>
        <v>1358717</v>
      </c>
      <c r="Z94" s="108">
        <f>IFERROR(_xlfn.XLOOKUP($A94,Input_Raw!$A:$A,Input_Raw!DK:DK)*1000,"")</f>
        <v>0</v>
      </c>
      <c r="AA94" s="138">
        <f t="shared" si="12"/>
        <v>1358717</v>
      </c>
      <c r="AB94" s="108">
        <f>IFERROR(_xlfn.XLOOKUP($A94,Input_Raw!$A:$A,Input_Raw!$DR:$DR),"")</f>
        <v>70.400000000000006</v>
      </c>
      <c r="AC94" s="143">
        <f>IFERROR(_xlfn.XLOOKUP($D94,'Modelling New'!$D:$D,'Modelling New'!$J:$J),"")</f>
        <v>6.81</v>
      </c>
      <c r="AD94" s="138">
        <f>IFERROR(_xlfn.XLOOKUP($D94,'Modelling New'!$D:$D,'Modelling New'!$T:$T)*1000,"")</f>
        <v>519769.59725666587</v>
      </c>
      <c r="AE94" s="142"/>
      <c r="AF94" s="142">
        <f>IFERROR(_xlfn.XLOOKUP($D94,'Modelling New'!$D:$D,'Modelling New'!$W:$W),"")</f>
        <v>0.30762878625512891</v>
      </c>
      <c r="AG94" s="142">
        <f>IFERROR(_xlfn.XLOOKUP($D94,'Modelling New'!$D:$D,'Modelling New'!$AE:$AE),"")</f>
        <v>0.96029999999999993</v>
      </c>
      <c r="AH94" s="142">
        <f>IFERROR(_xlfn.XLOOKUP($D94,'Modelling New'!$D:$D,'Modelling New'!$AF:$AF),"")</f>
        <v>0.995</v>
      </c>
      <c r="AI94" s="109">
        <f>IFERROR(_xlfn.XLOOKUP($A94,Input_Raw!$A:$A,Input_Raw!$DP:$DP),"")</f>
        <v>1400.72</v>
      </c>
      <c r="AJ94" s="108"/>
      <c r="AK94" s="108"/>
      <c r="AL94" s="108"/>
      <c r="AM94" s="108"/>
      <c r="AN94" s="132">
        <f>IFERROR(_xlfn.XLOOKUP($A94,Input_Raw!$A:$A,Input_Raw!$DL:$DL),"")</f>
        <v>0</v>
      </c>
      <c r="AO94" s="142">
        <f>IFERROR((_xlfn.XLOOKUP($A94,'WTG Reactive Power'!$A:$A,'WTG Reactive Power'!$AW:$AW))/X94,"")</f>
        <v>1.9864036501591819E-4</v>
      </c>
      <c r="AP94" s="142">
        <f>IFERROR(_xlfn.XLOOKUP($D94,'Modelling New'!$D:$D,'Modelling New'!$AK:$AK),"")</f>
        <v>0.05</v>
      </c>
      <c r="AQ94" s="142">
        <f>IFERROR(_xlfn.XLOOKUP($D94,'Modelling New'!$D:$D,'Modelling New'!$AL:$AL),"")</f>
        <v>0.05</v>
      </c>
      <c r="AR94" s="198">
        <f>IFERROR(_xlfn.XLOOKUP($D94,'Modelling New'!$D:$D,'Modelling New'!$N:$N),"")</f>
        <v>70.400000000000006</v>
      </c>
      <c r="AS94" s="198"/>
    </row>
    <row r="95" spans="1:45">
      <c r="A95" s="137">
        <f t="shared" si="13"/>
        <v>45838</v>
      </c>
      <c r="B95" s="138">
        <f>YEAR(Daily_KPI[[#This Row],[Date]])+IF(MONTH(Daily_KPI[[#This Row],[Date]])&gt;=4,1,0)</f>
        <v>2026</v>
      </c>
      <c r="C95" s="108">
        <f>YEAR(Daily_KPI[[#This Row],[Date]])</f>
        <v>2025</v>
      </c>
      <c r="D95" s="139">
        <f>Daily_KPI[[#This Row],[Date]]-DAY(Daily_KPI[[#This Row],[Date]])+1</f>
        <v>45809</v>
      </c>
      <c r="E95" s="108">
        <f t="shared" si="9"/>
        <v>30</v>
      </c>
      <c r="F95" s="109"/>
      <c r="G95" s="110"/>
      <c r="H95" s="110"/>
      <c r="I95" s="110"/>
      <c r="J95" s="110"/>
      <c r="K95" s="111"/>
      <c r="L95" s="110"/>
      <c r="M95" s="110">
        <f>IFERROR(_xlfn.XLOOKUP($A95,Input_Raw!$A:$A,Input_Raw!$CQ:$CQ),"")</f>
        <v>12.068409090909093</v>
      </c>
      <c r="N95" s="110">
        <f>IFERROR(_xlfn.XLOOKUP($A95,Input_Raw!$A:$A,Input_Raw!$CR:$CR),"")</f>
        <v>14.72</v>
      </c>
      <c r="O95" s="141">
        <f t="shared" si="10"/>
        <v>0.98104656066052387</v>
      </c>
      <c r="P95" s="141">
        <f>IFERROR(1-SUMIF(WTG_BD!$F:$F,$A95,WTG_BD!$AA:$AA)/($AA95+SUMIF(WTG_BD!$F:$F,$A95,WTG_BD!$AA:$AA)),"")</f>
        <v>0.98348516546710174</v>
      </c>
      <c r="Q95" s="141">
        <f>IFERROR(1-SUMIF(IGA_BD!$F:$F,$A95,IGA_BD!$W:$W)/($AA95+SUMIF(IGA_BD!$F:$F,$A95,IGA_BD!$W:$W)),"")</f>
        <v>0.99752044576552445</v>
      </c>
      <c r="R95" s="141">
        <f>IFERROR(1-SUMIF(Grid_BD!$F:$F,$A95,Grid_BD!$Y:$Y)/($AA95+SUMIF(Grid_BD!$F:$F,$A95,Grid_BD!$Y:$Y)),"")</f>
        <v>1</v>
      </c>
      <c r="S95" s="108"/>
      <c r="T95" s="140"/>
      <c r="U95" s="141"/>
      <c r="V95" s="108"/>
      <c r="W95" s="142">
        <f t="shared" si="11"/>
        <v>0.89478989109848472</v>
      </c>
      <c r="X95" s="108">
        <f>IFERROR(_xlfn.XLOOKUP($A95,Input_Raw!$A:$A,Input_Raw!$CP:$CP)*1000,"")</f>
        <v>1511837</v>
      </c>
      <c r="Y95" s="108">
        <f>IFERROR(_xlfn.XLOOKUP($A95,Input_Raw!$A:$A,Input_Raw!DJ:DJ)*1000,"")</f>
        <v>1511837</v>
      </c>
      <c r="Z95" s="108">
        <f>IFERROR(_xlfn.XLOOKUP($A95,Input_Raw!$A:$A,Input_Raw!DK:DK)*1000,"")</f>
        <v>0</v>
      </c>
      <c r="AA95" s="138">
        <f t="shared" si="12"/>
        <v>1511837</v>
      </c>
      <c r="AB95" s="108">
        <f>IFERROR(_xlfn.XLOOKUP($A95,Input_Raw!$A:$A,Input_Raw!$DR:$DR),"")</f>
        <v>70.400000000000006</v>
      </c>
      <c r="AC95" s="143">
        <f>IFERROR(_xlfn.XLOOKUP($D95,'Modelling New'!$D:$D,'Modelling New'!$J:$J),"")</f>
        <v>6.81</v>
      </c>
      <c r="AD95" s="138">
        <f>IFERROR(_xlfn.XLOOKUP($D95,'Modelling New'!$D:$D,'Modelling New'!$T:$T)*1000,"")</f>
        <v>519769.59725666587</v>
      </c>
      <c r="AE95" s="142"/>
      <c r="AF95" s="142">
        <f>IFERROR(_xlfn.XLOOKUP($D95,'Modelling New'!$D:$D,'Modelling New'!$W:$W),"")</f>
        <v>0.30762878625512891</v>
      </c>
      <c r="AG95" s="142">
        <f>IFERROR(_xlfn.XLOOKUP($D95,'Modelling New'!$D:$D,'Modelling New'!$AE:$AE),"")</f>
        <v>0.96029999999999993</v>
      </c>
      <c r="AH95" s="142">
        <f>IFERROR(_xlfn.XLOOKUP($D95,'Modelling New'!$D:$D,'Modelling New'!$AF:$AF),"")</f>
        <v>0.995</v>
      </c>
      <c r="AI95" s="109">
        <f>IFERROR(_xlfn.XLOOKUP($A95,Input_Raw!$A:$A,Input_Raw!$DP:$DP),"")</f>
        <v>1574.47</v>
      </c>
      <c r="AJ95" s="108"/>
      <c r="AK95" s="108"/>
      <c r="AL95" s="108"/>
      <c r="AM95" s="108"/>
      <c r="AN95" s="132">
        <f>IFERROR(_xlfn.XLOOKUP($A95,Input_Raw!$A:$A,Input_Raw!$DL:$DL),"")</f>
        <v>0</v>
      </c>
      <c r="AO95" s="142">
        <f>IFERROR((_xlfn.XLOOKUP($A95,'WTG Reactive Power'!$A:$A,'WTG Reactive Power'!$AW:$AW))/X95,"")</f>
        <v>1.8934165334402232E-4</v>
      </c>
      <c r="AP95" s="142">
        <f>IFERROR(_xlfn.XLOOKUP($D95,'Modelling New'!$D:$D,'Modelling New'!$AK:$AK),"")</f>
        <v>0.05</v>
      </c>
      <c r="AQ95" s="142">
        <f>IFERROR(_xlfn.XLOOKUP($D95,'Modelling New'!$D:$D,'Modelling New'!$AL:$AL),"")</f>
        <v>0.05</v>
      </c>
      <c r="AR95" s="198">
        <f>IFERROR(_xlfn.XLOOKUP($D95,'Modelling New'!$D:$D,'Modelling New'!$N:$N),"")</f>
        <v>70.400000000000006</v>
      </c>
      <c r="AS95" s="198"/>
    </row>
    <row r="96" spans="1:45">
      <c r="A96" s="137">
        <f t="shared" si="13"/>
        <v>45839</v>
      </c>
      <c r="B96" s="138">
        <f>YEAR(Daily_KPI[[#This Row],[Date]])+IF(MONTH(Daily_KPI[[#This Row],[Date]])&gt;=4,1,0)</f>
        <v>2026</v>
      </c>
      <c r="C96" s="108">
        <f>YEAR(Daily_KPI[[#This Row],[Date]])</f>
        <v>2025</v>
      </c>
      <c r="D96" s="139">
        <f>Daily_KPI[[#This Row],[Date]]-DAY(Daily_KPI[[#This Row],[Date]])+1</f>
        <v>45839</v>
      </c>
      <c r="E96" s="108">
        <f t="shared" si="9"/>
        <v>31</v>
      </c>
      <c r="F96" s="109"/>
      <c r="G96" s="143"/>
      <c r="H96" s="143"/>
      <c r="I96" s="143"/>
      <c r="J96" s="143"/>
      <c r="K96" s="111"/>
      <c r="L96" s="110"/>
      <c r="M96" s="110">
        <f>IFERROR(_xlfn.XLOOKUP($A96,Input_Raw!$A:$A,Input_Raw!$CQ:$CQ),"")</f>
        <v>10.836590909090908</v>
      </c>
      <c r="N96" s="110">
        <f>IFERROR(_xlfn.XLOOKUP($A96,Input_Raw!$A:$A,Input_Raw!$CR:$CR),"")</f>
        <v>12.97</v>
      </c>
      <c r="O96" s="141">
        <f t="shared" si="10"/>
        <v>0.97772223941542125</v>
      </c>
      <c r="P96" s="141">
        <f>IFERROR(1-SUMIF(WTG_BD!$F:$F,$A96,WTG_BD!$AA:$AA)/($AA96+SUMIF(WTG_BD!$F:$F,$A96,WTG_BD!$AA:$AA)),"")</f>
        <v>0.98203848164155361</v>
      </c>
      <c r="Q96" s="141">
        <f>IFERROR(1-SUMIF(IGA_BD!$F:$F,$A96,IGA_BD!$W:$W)/($AA96+SUMIF(IGA_BD!$F:$F,$A96,IGA_BD!$W:$W)),"")</f>
        <v>0.99560481355178931</v>
      </c>
      <c r="R96" s="141">
        <f>IFERROR(1-SUMIF(Grid_BD!$F:$F,$A96,Grid_BD!$Y:$Y)/($AA96+SUMIF(Grid_BD!$F:$F,$A96,Grid_BD!$Y:$Y)),"")</f>
        <v>1</v>
      </c>
      <c r="S96" s="108"/>
      <c r="T96" s="140"/>
      <c r="U96" s="141"/>
      <c r="V96" s="108"/>
      <c r="W96" s="142">
        <f t="shared" si="11"/>
        <v>0.82733487215909085</v>
      </c>
      <c r="X96" s="108">
        <f>IFERROR(_xlfn.XLOOKUP($A96,Input_Raw!$A:$A,Input_Raw!$CP:$CP)*1000,"")</f>
        <v>1397865</v>
      </c>
      <c r="Y96" s="108">
        <f>IFERROR(_xlfn.XLOOKUP($A96,Input_Raw!$A:$A,Input_Raw!DJ:DJ)*1000,"")</f>
        <v>1397865</v>
      </c>
      <c r="Z96" s="108">
        <f>IFERROR(_xlfn.XLOOKUP($A96,Input_Raw!$A:$A,Input_Raw!DK:DK)*1000,"")</f>
        <v>0</v>
      </c>
      <c r="AA96" s="138">
        <f t="shared" si="12"/>
        <v>1397865</v>
      </c>
      <c r="AB96" s="108">
        <f>IFERROR(_xlfn.XLOOKUP($A96,Input_Raw!$A:$A,Input_Raw!$DR:$DR),"")</f>
        <v>70.400000000000006</v>
      </c>
      <c r="AC96" s="143">
        <f>IFERROR(_xlfn.XLOOKUP($D96,'Modelling New'!$D:$D,'Modelling New'!$J:$J),"")</f>
        <v>9.8233333333333324</v>
      </c>
      <c r="AD96" s="138">
        <f>IFERROR(_xlfn.XLOOKUP($D96,'Modelling New'!$D:$D,'Modelling New'!$T:$T)*1000,"")</f>
        <v>904894.00217495637</v>
      </c>
      <c r="AE96" s="142"/>
      <c r="AF96" s="142">
        <f>IFERROR(_xlfn.XLOOKUP($D96,'Modelling New'!$D:$D,'Modelling New'!$W:$W),"")</f>
        <v>0.53556699939332175</v>
      </c>
      <c r="AG96" s="142">
        <f>IFERROR(_xlfn.XLOOKUP($D96,'Modelling New'!$D:$D,'Modelling New'!$AE:$AE),"")</f>
        <v>0.96029999999999993</v>
      </c>
      <c r="AH96" s="142">
        <f>IFERROR(_xlfn.XLOOKUP($D96,'Modelling New'!$D:$D,'Modelling New'!$AF:$AF),"")</f>
        <v>0.995</v>
      </c>
      <c r="AI96" s="109">
        <f>IFERROR(_xlfn.XLOOKUP($A96,Input_Raw!$A:$A,Input_Raw!$DP:$DP),"")</f>
        <v>1440.43</v>
      </c>
      <c r="AJ96" s="108"/>
      <c r="AK96" s="108"/>
      <c r="AL96" s="108"/>
      <c r="AM96" s="108"/>
      <c r="AN96" s="132">
        <f>IFERROR(_xlfn.XLOOKUP($A96,Input_Raw!$A:$A,Input_Raw!$DL:$DL),"")</f>
        <v>0</v>
      </c>
      <c r="AO96" s="142">
        <f>IFERROR((_xlfn.XLOOKUP($A96,'WTG Reactive Power'!$A:$A,'WTG Reactive Power'!$AW:$AW))/X96,"")</f>
        <v>1.9684951932649674E-4</v>
      </c>
      <c r="AP96" s="142">
        <f>IFERROR(_xlfn.XLOOKUP($D96,'Modelling New'!$D:$D,'Modelling New'!$AK:$AK),"")</f>
        <v>0.05</v>
      </c>
      <c r="AQ96" s="142">
        <f>IFERROR(_xlfn.XLOOKUP($D96,'Modelling New'!$D:$D,'Modelling New'!$AL:$AL),"")</f>
        <v>0.05</v>
      </c>
      <c r="AR96" s="198">
        <f>IFERROR(_xlfn.XLOOKUP($D96,'Modelling New'!$D:$D,'Modelling New'!$N:$N),"")</f>
        <v>70.400000000000006</v>
      </c>
      <c r="AS96" s="198"/>
    </row>
    <row r="97" spans="1:45">
      <c r="A97" s="137">
        <f t="shared" si="13"/>
        <v>45840</v>
      </c>
      <c r="B97" s="138">
        <f>YEAR(Daily_KPI[[#This Row],[Date]])+IF(MONTH(Daily_KPI[[#This Row],[Date]])&gt;=4,1,0)</f>
        <v>2026</v>
      </c>
      <c r="C97" s="108">
        <f>YEAR(Daily_KPI[[#This Row],[Date]])</f>
        <v>2025</v>
      </c>
      <c r="D97" s="139">
        <f>Daily_KPI[[#This Row],[Date]]-DAY(Daily_KPI[[#This Row],[Date]])+1</f>
        <v>45839</v>
      </c>
      <c r="E97" s="108">
        <f t="shared" si="9"/>
        <v>31</v>
      </c>
      <c r="F97" s="109"/>
      <c r="G97" s="110"/>
      <c r="H97" s="110"/>
      <c r="I97" s="110"/>
      <c r="J97" s="110"/>
      <c r="K97" s="111"/>
      <c r="L97" s="110"/>
      <c r="M97" s="110">
        <f>IFERROR(_xlfn.XLOOKUP($A97,Input_Raw!$A:$A,Input_Raw!$CQ:$CQ),"")</f>
        <v>11.855681818181818</v>
      </c>
      <c r="N97" s="110">
        <f>IFERROR(_xlfn.XLOOKUP($A97,Input_Raw!$A:$A,Input_Raw!$CR:$CR),"")</f>
        <v>14.15</v>
      </c>
      <c r="O97" s="141">
        <f t="shared" si="10"/>
        <v>0.97680022934277189</v>
      </c>
      <c r="P97" s="141">
        <f>IFERROR(1-SUMIF(WTG_BD!$F:$F,$A97,WTG_BD!$AA:$AA)/($AA97+SUMIF(WTG_BD!$F:$F,$A97,WTG_BD!$AA:$AA)),"")</f>
        <v>0.99497004303787318</v>
      </c>
      <c r="Q97" s="141">
        <f>IFERROR(1-SUMIF(IGA_BD!$F:$F,$A97,IGA_BD!$W:$W)/($AA97+SUMIF(IGA_BD!$F:$F,$A97,IGA_BD!$W:$W)),"")</f>
        <v>0.9817383308952452</v>
      </c>
      <c r="R97" s="141">
        <f>IFERROR(1-SUMIF(Grid_BD!$F:$F,$A97,Grid_BD!$Y:$Y)/($AA97+SUMIF(Grid_BD!$F:$F,$A97,Grid_BD!$Y:$Y)),"")</f>
        <v>1</v>
      </c>
      <c r="S97" s="108"/>
      <c r="T97" s="140"/>
      <c r="U97" s="141"/>
      <c r="V97" s="108"/>
      <c r="W97" s="142">
        <f t="shared" si="11"/>
        <v>0.89608723958333325</v>
      </c>
      <c r="X97" s="108">
        <f>IFERROR(_xlfn.XLOOKUP($A97,Input_Raw!$A:$A,Input_Raw!$CP:$CP)*1000,"")</f>
        <v>1514029</v>
      </c>
      <c r="Y97" s="108">
        <f>IFERROR(_xlfn.XLOOKUP($A97,Input_Raw!$A:$A,Input_Raw!DJ:DJ)*1000,"")</f>
        <v>1514029</v>
      </c>
      <c r="Z97" s="108">
        <f>IFERROR(_xlfn.XLOOKUP($A97,Input_Raw!$A:$A,Input_Raw!DK:DK)*1000,"")</f>
        <v>0</v>
      </c>
      <c r="AA97" s="138">
        <f t="shared" si="12"/>
        <v>1514029</v>
      </c>
      <c r="AB97" s="108">
        <f>IFERROR(_xlfn.XLOOKUP($A97,Input_Raw!$A:$A,Input_Raw!$DR:$DR),"")</f>
        <v>70.400000000000006</v>
      </c>
      <c r="AC97" s="143">
        <f>IFERROR(_xlfn.XLOOKUP($D97,'Modelling New'!$D:$D,'Modelling New'!$J:$J),"")</f>
        <v>9.8233333333333324</v>
      </c>
      <c r="AD97" s="138">
        <f>IFERROR(_xlfn.XLOOKUP($D97,'Modelling New'!$D:$D,'Modelling New'!$T:$T)*1000,"")</f>
        <v>904894.00217495637</v>
      </c>
      <c r="AE97" s="142"/>
      <c r="AF97" s="142">
        <f>IFERROR(_xlfn.XLOOKUP($D97,'Modelling New'!$D:$D,'Modelling New'!$W:$W),"")</f>
        <v>0.53556699939332175</v>
      </c>
      <c r="AG97" s="142">
        <f>IFERROR(_xlfn.XLOOKUP($D97,'Modelling New'!$D:$D,'Modelling New'!$AE:$AE),"")</f>
        <v>0.96029999999999993</v>
      </c>
      <c r="AH97" s="142">
        <f>IFERROR(_xlfn.XLOOKUP($D97,'Modelling New'!$D:$D,'Modelling New'!$AF:$AF),"")</f>
        <v>0.995</v>
      </c>
      <c r="AI97" s="109">
        <f>IFERROR(_xlfn.XLOOKUP($A97,Input_Raw!$A:$A,Input_Raw!$DP:$DP),"")</f>
        <v>1569.18</v>
      </c>
      <c r="AJ97" s="108"/>
      <c r="AK97" s="108"/>
      <c r="AL97" s="108"/>
      <c r="AM97" s="108"/>
      <c r="AN97" s="132">
        <f>IFERROR(_xlfn.XLOOKUP($A97,Input_Raw!$A:$A,Input_Raw!$DL:$DL),"")</f>
        <v>0</v>
      </c>
      <c r="AO97" s="142">
        <f>IFERROR((_xlfn.XLOOKUP($A97,'WTG Reactive Power'!$A:$A,'WTG Reactive Power'!$AW:$AW))/X97,"")</f>
        <v>1.9512196573953785E-4</v>
      </c>
      <c r="AP97" s="142">
        <f>IFERROR(_xlfn.XLOOKUP($D97,'Modelling New'!$D:$D,'Modelling New'!$AK:$AK),"")</f>
        <v>0.05</v>
      </c>
      <c r="AQ97" s="142">
        <f>IFERROR(_xlfn.XLOOKUP($D97,'Modelling New'!$D:$D,'Modelling New'!$AL:$AL),"")</f>
        <v>0.05</v>
      </c>
      <c r="AR97" s="198">
        <f>IFERROR(_xlfn.XLOOKUP($D97,'Modelling New'!$D:$D,'Modelling New'!$N:$N),"")</f>
        <v>70.400000000000006</v>
      </c>
      <c r="AS97" s="198"/>
    </row>
    <row r="98" spans="1:45">
      <c r="A98" s="137">
        <f t="shared" si="13"/>
        <v>45841</v>
      </c>
      <c r="B98" s="138">
        <f>YEAR(Daily_KPI[[#This Row],[Date]])+IF(MONTH(Daily_KPI[[#This Row],[Date]])&gt;=4,1,0)</f>
        <v>2026</v>
      </c>
      <c r="C98" s="108">
        <f>YEAR(Daily_KPI[[#This Row],[Date]])</f>
        <v>2025</v>
      </c>
      <c r="D98" s="139">
        <f>Daily_KPI[[#This Row],[Date]]-DAY(Daily_KPI[[#This Row],[Date]])+1</f>
        <v>45839</v>
      </c>
      <c r="E98" s="108">
        <f t="shared" si="9"/>
        <v>31</v>
      </c>
      <c r="F98" s="109"/>
      <c r="G98" s="143"/>
      <c r="H98" s="143"/>
      <c r="I98" s="143"/>
      <c r="J98" s="143"/>
      <c r="K98" s="111"/>
      <c r="L98" s="110"/>
      <c r="M98" s="110">
        <f>IFERROR(_xlfn.XLOOKUP($A98,Input_Raw!$A:$A,Input_Raw!$CQ:$CQ),"")</f>
        <v>11.751136363636364</v>
      </c>
      <c r="N98" s="110">
        <f>IFERROR(_xlfn.XLOOKUP($A98,Input_Raw!$A:$A,Input_Raw!$CR:$CR),"")</f>
        <v>14.58</v>
      </c>
      <c r="O98" s="141">
        <f t="shared" si="10"/>
        <v>0.99582801539826993</v>
      </c>
      <c r="P98" s="141">
        <f>IFERROR(1-SUMIF(WTG_BD!$F:$F,$A98,WTG_BD!$AA:$AA)/($AA98+SUMIF(WTG_BD!$F:$F,$A98,WTG_BD!$AA:$AA)),"")</f>
        <v>0.99768075676390822</v>
      </c>
      <c r="Q98" s="141">
        <f>IFERROR(1-SUMIF(IGA_BD!$F:$F,$A98,IGA_BD!$W:$W)/($AA98+SUMIF(IGA_BD!$F:$F,$A98,IGA_BD!$W:$W)),"")</f>
        <v>0.99814295168762412</v>
      </c>
      <c r="R98" s="141">
        <f>IFERROR(1-SUMIF(Grid_BD!$F:$F,$A98,Grid_BD!$Y:$Y)/($AA98+SUMIF(Grid_BD!$F:$F,$A98,Grid_BD!$Y:$Y)),"")</f>
        <v>1</v>
      </c>
      <c r="S98" s="108"/>
      <c r="T98" s="140"/>
      <c r="U98" s="141"/>
      <c r="V98" s="108"/>
      <c r="W98" s="142">
        <f t="shared" si="11"/>
        <v>0.89263375946969681</v>
      </c>
      <c r="X98" s="108">
        <f>IFERROR(_xlfn.XLOOKUP($A98,Input_Raw!$A:$A,Input_Raw!$CP:$CP)*1000,"")</f>
        <v>1508194</v>
      </c>
      <c r="Y98" s="108">
        <f>IFERROR(_xlfn.XLOOKUP($A98,Input_Raw!$A:$A,Input_Raw!DJ:DJ)*1000,"")</f>
        <v>1508194</v>
      </c>
      <c r="Z98" s="108">
        <f>IFERROR(_xlfn.XLOOKUP($A98,Input_Raw!$A:$A,Input_Raw!DK:DK)*1000,"")</f>
        <v>0</v>
      </c>
      <c r="AA98" s="138">
        <f t="shared" si="12"/>
        <v>1508194</v>
      </c>
      <c r="AB98" s="108">
        <f>IFERROR(_xlfn.XLOOKUP($A98,Input_Raw!$A:$A,Input_Raw!$DR:$DR),"")</f>
        <v>70.400000000000006</v>
      </c>
      <c r="AC98" s="143">
        <f>IFERROR(_xlfn.XLOOKUP($D98,'Modelling New'!$D:$D,'Modelling New'!$J:$J),"")</f>
        <v>9.8233333333333324</v>
      </c>
      <c r="AD98" s="138">
        <f>IFERROR(_xlfn.XLOOKUP($D98,'Modelling New'!$D:$D,'Modelling New'!$T:$T)*1000,"")</f>
        <v>904894.00217495637</v>
      </c>
      <c r="AE98" s="142"/>
      <c r="AF98" s="142">
        <f>IFERROR(_xlfn.XLOOKUP($D98,'Modelling New'!$D:$D,'Modelling New'!$W:$W),"")</f>
        <v>0.53556699939332175</v>
      </c>
      <c r="AG98" s="142">
        <f>IFERROR(_xlfn.XLOOKUP($D98,'Modelling New'!$D:$D,'Modelling New'!$AE:$AE),"")</f>
        <v>0.96029999999999993</v>
      </c>
      <c r="AH98" s="142">
        <f>IFERROR(_xlfn.XLOOKUP($D98,'Modelling New'!$D:$D,'Modelling New'!$AF:$AF),"")</f>
        <v>0.995</v>
      </c>
      <c r="AI98" s="109">
        <f>IFERROR(_xlfn.XLOOKUP($A98,Input_Raw!$A:$A,Input_Raw!$DP:$DP),"")</f>
        <v>1538.95</v>
      </c>
      <c r="AJ98" s="108"/>
      <c r="AK98" s="108"/>
      <c r="AL98" s="108"/>
      <c r="AM98" s="108"/>
      <c r="AN98" s="132">
        <f>IFERROR(_xlfn.XLOOKUP($A98,Input_Raw!$A:$A,Input_Raw!$DL:$DL),"")</f>
        <v>0</v>
      </c>
      <c r="AO98" s="142">
        <f>IFERROR((_xlfn.XLOOKUP($A98,'WTG Reactive Power'!$A:$A,'WTG Reactive Power'!$AW:$AW))/X98,"")</f>
        <v>1.9381487516415878E-4</v>
      </c>
      <c r="AP98" s="142">
        <f>IFERROR(_xlfn.XLOOKUP($D98,'Modelling New'!$D:$D,'Modelling New'!$AK:$AK),"")</f>
        <v>0.05</v>
      </c>
      <c r="AQ98" s="142">
        <f>IFERROR(_xlfn.XLOOKUP($D98,'Modelling New'!$D:$D,'Modelling New'!$AL:$AL),"")</f>
        <v>0.05</v>
      </c>
      <c r="AR98" s="198">
        <f>IFERROR(_xlfn.XLOOKUP($D98,'Modelling New'!$D:$D,'Modelling New'!$N:$N),"")</f>
        <v>70.400000000000006</v>
      </c>
      <c r="AS98" s="198"/>
    </row>
    <row r="99" spans="1:45">
      <c r="A99" s="137">
        <f t="shared" si="13"/>
        <v>45842</v>
      </c>
      <c r="B99" s="138">
        <f>YEAR(Daily_KPI[[#This Row],[Date]])+IF(MONTH(Daily_KPI[[#This Row],[Date]])&gt;=4,1,0)</f>
        <v>2026</v>
      </c>
      <c r="C99" s="108">
        <f>YEAR(Daily_KPI[[#This Row],[Date]])</f>
        <v>2025</v>
      </c>
      <c r="D99" s="139">
        <f>Daily_KPI[[#This Row],[Date]]-DAY(Daily_KPI[[#This Row],[Date]])+1</f>
        <v>45839</v>
      </c>
      <c r="E99" s="108">
        <f t="shared" si="9"/>
        <v>31</v>
      </c>
      <c r="F99" s="109"/>
      <c r="G99" s="110"/>
      <c r="H99" s="110"/>
      <c r="I99" s="110"/>
      <c r="J99" s="110"/>
      <c r="K99" s="111"/>
      <c r="L99" s="110"/>
      <c r="M99" s="110">
        <f>IFERROR(_xlfn.XLOOKUP($A99,Input_Raw!$A:$A,Input_Raw!$CQ:$CQ),"")</f>
        <v>11.649545454545455</v>
      </c>
      <c r="N99" s="110">
        <f>IFERROR(_xlfn.XLOOKUP($A99,Input_Raw!$A:$A,Input_Raw!$CR:$CR),"")</f>
        <v>14.66</v>
      </c>
      <c r="O99" s="141">
        <f t="shared" si="10"/>
        <v>0.99775082156833073</v>
      </c>
      <c r="P99" s="141">
        <f>IFERROR(1-SUMIF(WTG_BD!$F:$F,$A99,WTG_BD!$AA:$AA)/($AA99+SUMIF(WTG_BD!$F:$F,$A99,WTG_BD!$AA:$AA)),"")</f>
        <v>0.99775082156833073</v>
      </c>
      <c r="Q99" s="141">
        <f>IFERROR(1-SUMIF(IGA_BD!$F:$F,$A99,IGA_BD!$W:$W)/($AA99+SUMIF(IGA_BD!$F:$F,$A99,IGA_BD!$W:$W)),"")</f>
        <v>1</v>
      </c>
      <c r="R99" s="141">
        <f>IFERROR(1-SUMIF(Grid_BD!$F:$F,$A99,Grid_BD!$Y:$Y)/($AA99+SUMIF(Grid_BD!$F:$F,$A99,Grid_BD!$Y:$Y)),"")</f>
        <v>1</v>
      </c>
      <c r="S99" s="108"/>
      <c r="T99" s="140"/>
      <c r="U99" s="141"/>
      <c r="V99" s="108"/>
      <c r="W99" s="142">
        <f t="shared" si="11"/>
        <v>0.87403349905303018</v>
      </c>
      <c r="X99" s="108">
        <f>IFERROR(_xlfn.XLOOKUP($A99,Input_Raw!$A:$A,Input_Raw!$CP:$CP)*1000,"")</f>
        <v>1476767</v>
      </c>
      <c r="Y99" s="108">
        <f>IFERROR(_xlfn.XLOOKUP($A99,Input_Raw!$A:$A,Input_Raw!DJ:DJ)*1000,"")</f>
        <v>1476767</v>
      </c>
      <c r="Z99" s="108">
        <f>IFERROR(_xlfn.XLOOKUP($A99,Input_Raw!$A:$A,Input_Raw!DK:DK)*1000,"")</f>
        <v>0</v>
      </c>
      <c r="AA99" s="138">
        <f t="shared" si="12"/>
        <v>1476767</v>
      </c>
      <c r="AB99" s="108">
        <f>IFERROR(_xlfn.XLOOKUP($A99,Input_Raw!$A:$A,Input_Raw!$DR:$DR),"")</f>
        <v>70.400000000000006</v>
      </c>
      <c r="AC99" s="143">
        <f>IFERROR(_xlfn.XLOOKUP($D99,'Modelling New'!$D:$D,'Modelling New'!$J:$J),"")</f>
        <v>9.8233333333333324</v>
      </c>
      <c r="AD99" s="138">
        <f>IFERROR(_xlfn.XLOOKUP($D99,'Modelling New'!$D:$D,'Modelling New'!$T:$T)*1000,"")</f>
        <v>904894.00217495637</v>
      </c>
      <c r="AE99" s="142"/>
      <c r="AF99" s="142">
        <f>IFERROR(_xlfn.XLOOKUP($D99,'Modelling New'!$D:$D,'Modelling New'!$W:$W),"")</f>
        <v>0.53556699939332175</v>
      </c>
      <c r="AG99" s="142">
        <f>IFERROR(_xlfn.XLOOKUP($D99,'Modelling New'!$D:$D,'Modelling New'!$AE:$AE),"")</f>
        <v>0.96029999999999993</v>
      </c>
      <c r="AH99" s="142">
        <f>IFERROR(_xlfn.XLOOKUP($D99,'Modelling New'!$D:$D,'Modelling New'!$AF:$AF),"")</f>
        <v>0.995</v>
      </c>
      <c r="AI99" s="109">
        <f>IFERROR(_xlfn.XLOOKUP($A99,Input_Raw!$A:$A,Input_Raw!$DP:$DP),"")</f>
        <v>1498.97</v>
      </c>
      <c r="AJ99" s="108"/>
      <c r="AK99" s="108"/>
      <c r="AL99" s="108"/>
      <c r="AM99" s="108"/>
      <c r="AN99" s="132">
        <f>IFERROR(_xlfn.XLOOKUP($A99,Input_Raw!$A:$A,Input_Raw!$DL:$DL),"")</f>
        <v>0</v>
      </c>
      <c r="AO99" s="142">
        <f>IFERROR((_xlfn.XLOOKUP($A99,'WTG Reactive Power'!$A:$A,'WTG Reactive Power'!$AW:$AW))/X99,"")</f>
        <v>1.8639741870811935E-4</v>
      </c>
      <c r="AP99" s="142">
        <f>IFERROR(_xlfn.XLOOKUP($D99,'Modelling New'!$D:$D,'Modelling New'!$AK:$AK),"")</f>
        <v>0.05</v>
      </c>
      <c r="AQ99" s="142">
        <f>IFERROR(_xlfn.XLOOKUP($D99,'Modelling New'!$D:$D,'Modelling New'!$AL:$AL),"")</f>
        <v>0.05</v>
      </c>
      <c r="AR99" s="198">
        <f>IFERROR(_xlfn.XLOOKUP($D99,'Modelling New'!$D:$D,'Modelling New'!$N:$N),"")</f>
        <v>70.400000000000006</v>
      </c>
      <c r="AS99" s="198"/>
    </row>
    <row r="100" spans="1:45">
      <c r="A100" s="137">
        <f t="shared" si="13"/>
        <v>45843</v>
      </c>
      <c r="B100" s="138">
        <f>YEAR(Daily_KPI[[#This Row],[Date]])+IF(MONTH(Daily_KPI[[#This Row],[Date]])&gt;=4,1,0)</f>
        <v>2026</v>
      </c>
      <c r="C100" s="108">
        <f>YEAR(Daily_KPI[[#This Row],[Date]])</f>
        <v>2025</v>
      </c>
      <c r="D100" s="139">
        <f>Daily_KPI[[#This Row],[Date]]-DAY(Daily_KPI[[#This Row],[Date]])+1</f>
        <v>45839</v>
      </c>
      <c r="E100" s="108">
        <f t="shared" si="9"/>
        <v>31</v>
      </c>
      <c r="F100" s="109"/>
      <c r="G100" s="143"/>
      <c r="H100" s="143"/>
      <c r="I100" s="143"/>
      <c r="J100" s="143"/>
      <c r="K100" s="111"/>
      <c r="L100" s="110"/>
      <c r="M100" s="110">
        <f>IFERROR(_xlfn.XLOOKUP($A100,Input_Raw!$A:$A,Input_Raw!$CQ:$CQ),"")</f>
        <v>12.372727272727269</v>
      </c>
      <c r="N100" s="110">
        <f>IFERROR(_xlfn.XLOOKUP($A100,Input_Raw!$A:$A,Input_Raw!$CR:$CR),"")</f>
        <v>15.35</v>
      </c>
      <c r="O100" s="141">
        <f t="shared" si="10"/>
        <v>0.97766505918679836</v>
      </c>
      <c r="P100" s="141">
        <f>IFERROR(1-SUMIF(WTG_BD!$F:$F,$A100,WTG_BD!$AA:$AA)/($AA100+SUMIF(WTG_BD!$F:$F,$A100,WTG_BD!$AA:$AA)),"")</f>
        <v>0.97766505918679836</v>
      </c>
      <c r="Q100" s="141">
        <f>IFERROR(1-SUMIF(IGA_BD!$F:$F,$A100,IGA_BD!$W:$W)/($AA100+SUMIF(IGA_BD!$F:$F,$A100,IGA_BD!$W:$W)),"")</f>
        <v>1</v>
      </c>
      <c r="R100" s="141">
        <f>IFERROR(1-SUMIF(Grid_BD!$F:$F,$A100,Grid_BD!$Y:$Y)/($AA100+SUMIF(Grid_BD!$F:$F,$A100,Grid_BD!$Y:$Y)),"")</f>
        <v>1</v>
      </c>
      <c r="S100" s="108"/>
      <c r="T100" s="140"/>
      <c r="U100" s="141"/>
      <c r="V100" s="108"/>
      <c r="W100" s="142">
        <f t="shared" si="11"/>
        <v>0.90999230587121205</v>
      </c>
      <c r="X100" s="108">
        <f>IFERROR(_xlfn.XLOOKUP($A100,Input_Raw!$A:$A,Input_Raw!$CP:$CP)*1000,"")</f>
        <v>1537523</v>
      </c>
      <c r="Y100" s="108">
        <f>IFERROR(_xlfn.XLOOKUP($A100,Input_Raw!$A:$A,Input_Raw!DJ:DJ)*1000,"")</f>
        <v>1537523</v>
      </c>
      <c r="Z100" s="108">
        <f>IFERROR(_xlfn.XLOOKUP($A100,Input_Raw!$A:$A,Input_Raw!DK:DK)*1000,"")</f>
        <v>0</v>
      </c>
      <c r="AA100" s="138">
        <f t="shared" si="12"/>
        <v>1537523</v>
      </c>
      <c r="AB100" s="108">
        <f>IFERROR(_xlfn.XLOOKUP($A100,Input_Raw!$A:$A,Input_Raw!$DR:$DR),"")</f>
        <v>70.400000000000006</v>
      </c>
      <c r="AC100" s="143">
        <f>IFERROR(_xlfn.XLOOKUP($D100,'Modelling New'!$D:$D,'Modelling New'!$J:$J),"")</f>
        <v>9.8233333333333324</v>
      </c>
      <c r="AD100" s="138">
        <f>IFERROR(_xlfn.XLOOKUP($D100,'Modelling New'!$D:$D,'Modelling New'!$T:$T)*1000,"")</f>
        <v>904894.00217495637</v>
      </c>
      <c r="AE100" s="142"/>
      <c r="AF100" s="142">
        <f>IFERROR(_xlfn.XLOOKUP($D100,'Modelling New'!$D:$D,'Modelling New'!$W:$W),"")</f>
        <v>0.53556699939332175</v>
      </c>
      <c r="AG100" s="142">
        <f>IFERROR(_xlfn.XLOOKUP($D100,'Modelling New'!$D:$D,'Modelling New'!$AE:$AE),"")</f>
        <v>0.96029999999999993</v>
      </c>
      <c r="AH100" s="142">
        <f>IFERROR(_xlfn.XLOOKUP($D100,'Modelling New'!$D:$D,'Modelling New'!$AF:$AF),"")</f>
        <v>0.995</v>
      </c>
      <c r="AI100" s="109">
        <f>IFERROR(_xlfn.XLOOKUP($A100,Input_Raw!$A:$A,Input_Raw!$DP:$DP),"")</f>
        <v>1597.99</v>
      </c>
      <c r="AJ100" s="108"/>
      <c r="AK100" s="108"/>
      <c r="AL100" s="108"/>
      <c r="AM100" s="108"/>
      <c r="AN100" s="132">
        <f>IFERROR(_xlfn.XLOOKUP($A100,Input_Raw!$A:$A,Input_Raw!$DL:$DL),"")</f>
        <v>0</v>
      </c>
      <c r="AO100" s="142">
        <f>IFERROR((_xlfn.XLOOKUP($A100,'WTG Reactive Power'!$A:$A,'WTG Reactive Power'!$AW:$AW))/X100,"")</f>
        <v>1.9325879580337987E-4</v>
      </c>
      <c r="AP100" s="142">
        <f>IFERROR(_xlfn.XLOOKUP($D100,'Modelling New'!$D:$D,'Modelling New'!$AK:$AK),"")</f>
        <v>0.05</v>
      </c>
      <c r="AQ100" s="142">
        <f>IFERROR(_xlfn.XLOOKUP($D100,'Modelling New'!$D:$D,'Modelling New'!$AL:$AL),"")</f>
        <v>0.05</v>
      </c>
      <c r="AR100" s="198">
        <f>IFERROR(_xlfn.XLOOKUP($D100,'Modelling New'!$D:$D,'Modelling New'!$N:$N),"")</f>
        <v>70.400000000000006</v>
      </c>
      <c r="AS100" s="198"/>
    </row>
    <row r="101" spans="1:45">
      <c r="A101" s="137">
        <f t="shared" si="13"/>
        <v>45844</v>
      </c>
      <c r="B101" s="138">
        <f>YEAR(Daily_KPI[[#This Row],[Date]])+IF(MONTH(Daily_KPI[[#This Row],[Date]])&gt;=4,1,0)</f>
        <v>2026</v>
      </c>
      <c r="C101" s="108">
        <f>YEAR(Daily_KPI[[#This Row],[Date]])</f>
        <v>2025</v>
      </c>
      <c r="D101" s="139">
        <f>Daily_KPI[[#This Row],[Date]]-DAY(Daily_KPI[[#This Row],[Date]])+1</f>
        <v>45839</v>
      </c>
      <c r="E101" s="108">
        <f t="shared" si="9"/>
        <v>31</v>
      </c>
      <c r="F101" s="109"/>
      <c r="G101" s="110"/>
      <c r="H101" s="110"/>
      <c r="I101" s="110"/>
      <c r="J101" s="110"/>
      <c r="K101" s="111"/>
      <c r="L101" s="110"/>
      <c r="M101" s="110">
        <f>IFERROR(_xlfn.XLOOKUP($A101,Input_Raw!$A:$A,Input_Raw!$CQ:$CQ),"")</f>
        <v>13.3775</v>
      </c>
      <c r="N101" s="110">
        <f>IFERROR(_xlfn.XLOOKUP($A101,Input_Raw!$A:$A,Input_Raw!$CR:$CR),"")</f>
        <v>16.28</v>
      </c>
      <c r="O101" s="141">
        <f t="shared" si="10"/>
        <v>0.99971432434036145</v>
      </c>
      <c r="P101" s="141">
        <f>IFERROR(1-SUMIF(WTG_BD!$F:$F,$A101,WTG_BD!$AA:$AA)/($AA101+SUMIF(WTG_BD!$F:$F,$A101,WTG_BD!$AA:$AA)),"")</f>
        <v>0.99971432434036145</v>
      </c>
      <c r="Q101" s="141">
        <f>IFERROR(1-SUMIF(IGA_BD!$F:$F,$A101,IGA_BD!$W:$W)/($AA101+SUMIF(IGA_BD!$F:$F,$A101,IGA_BD!$W:$W)),"")</f>
        <v>1</v>
      </c>
      <c r="R101" s="141">
        <f>IFERROR(1-SUMIF(Grid_BD!$F:$F,$A101,Grid_BD!$Y:$Y)/($AA101+SUMIF(Grid_BD!$F:$F,$A101,Grid_BD!$Y:$Y)),"")</f>
        <v>1</v>
      </c>
      <c r="S101" s="108"/>
      <c r="T101" s="140"/>
      <c r="U101" s="141"/>
      <c r="V101" s="108"/>
      <c r="W101" s="142">
        <f t="shared" si="11"/>
        <v>0.96724313446969679</v>
      </c>
      <c r="X101" s="108">
        <f>IFERROR(_xlfn.XLOOKUP($A101,Input_Raw!$A:$A,Input_Raw!$CP:$CP)*1000,"")</f>
        <v>1634254</v>
      </c>
      <c r="Y101" s="108">
        <f>IFERROR(_xlfn.XLOOKUP($A101,Input_Raw!$A:$A,Input_Raw!DJ:DJ)*1000,"")</f>
        <v>1634254</v>
      </c>
      <c r="Z101" s="108">
        <f>IFERROR(_xlfn.XLOOKUP($A101,Input_Raw!$A:$A,Input_Raw!DK:DK)*1000,"")</f>
        <v>0</v>
      </c>
      <c r="AA101" s="138">
        <f t="shared" si="12"/>
        <v>1634254</v>
      </c>
      <c r="AB101" s="108">
        <f>IFERROR(_xlfn.XLOOKUP($A101,Input_Raw!$A:$A,Input_Raw!$DR:$DR),"")</f>
        <v>70.400000000000006</v>
      </c>
      <c r="AC101" s="143">
        <f>IFERROR(_xlfn.XLOOKUP($D101,'Modelling New'!$D:$D,'Modelling New'!$J:$J),"")</f>
        <v>9.8233333333333324</v>
      </c>
      <c r="AD101" s="138">
        <f>IFERROR(_xlfn.XLOOKUP($D101,'Modelling New'!$D:$D,'Modelling New'!$T:$T)*1000,"")</f>
        <v>904894.00217495637</v>
      </c>
      <c r="AE101" s="142"/>
      <c r="AF101" s="142">
        <f>IFERROR(_xlfn.XLOOKUP($D101,'Modelling New'!$D:$D,'Modelling New'!$W:$W),"")</f>
        <v>0.53556699939332175</v>
      </c>
      <c r="AG101" s="142">
        <f>IFERROR(_xlfn.XLOOKUP($D101,'Modelling New'!$D:$D,'Modelling New'!$AE:$AE),"")</f>
        <v>0.96029999999999993</v>
      </c>
      <c r="AH101" s="142">
        <f>IFERROR(_xlfn.XLOOKUP($D101,'Modelling New'!$D:$D,'Modelling New'!$AF:$AF),"")</f>
        <v>0.995</v>
      </c>
      <c r="AI101" s="109">
        <f>IFERROR(_xlfn.XLOOKUP($A101,Input_Raw!$A:$A,Input_Raw!$DP:$DP),"")</f>
        <v>1671.39</v>
      </c>
      <c r="AJ101" s="108"/>
      <c r="AK101" s="108"/>
      <c r="AL101" s="108"/>
      <c r="AM101" s="108"/>
      <c r="AN101" s="132">
        <f>IFERROR(_xlfn.XLOOKUP($A101,Input_Raw!$A:$A,Input_Raw!$DL:$DL),"")</f>
        <v>0</v>
      </c>
      <c r="AO101" s="142">
        <f>IFERROR((_xlfn.XLOOKUP($A101,'WTG Reactive Power'!$A:$A,'WTG Reactive Power'!$AW:$AW))/X101,"")</f>
        <v>1.9148682354966443E-4</v>
      </c>
      <c r="AP101" s="142">
        <f>IFERROR(_xlfn.XLOOKUP($D101,'Modelling New'!$D:$D,'Modelling New'!$AK:$AK),"")</f>
        <v>0.05</v>
      </c>
      <c r="AQ101" s="142">
        <f>IFERROR(_xlfn.XLOOKUP($D101,'Modelling New'!$D:$D,'Modelling New'!$AL:$AL),"")</f>
        <v>0.05</v>
      </c>
      <c r="AR101" s="198">
        <f>IFERROR(_xlfn.XLOOKUP($D101,'Modelling New'!$D:$D,'Modelling New'!$N:$N),"")</f>
        <v>70.400000000000006</v>
      </c>
      <c r="AS101" s="198"/>
    </row>
    <row r="102" spans="1:45">
      <c r="A102" s="137">
        <f t="shared" si="13"/>
        <v>45845</v>
      </c>
      <c r="B102" s="138">
        <f>YEAR(Daily_KPI[[#This Row],[Date]])+IF(MONTH(Daily_KPI[[#This Row],[Date]])&gt;=4,1,0)</f>
        <v>2026</v>
      </c>
      <c r="C102" s="108">
        <f>YEAR(Daily_KPI[[#This Row],[Date]])</f>
        <v>2025</v>
      </c>
      <c r="D102" s="139">
        <f>Daily_KPI[[#This Row],[Date]]-DAY(Daily_KPI[[#This Row],[Date]])+1</f>
        <v>45839</v>
      </c>
      <c r="E102" s="108">
        <f t="shared" si="9"/>
        <v>31</v>
      </c>
      <c r="F102" s="109"/>
      <c r="G102" s="143"/>
      <c r="H102" s="143"/>
      <c r="I102" s="143"/>
      <c r="J102" s="143"/>
      <c r="K102" s="111"/>
      <c r="L102" s="110"/>
      <c r="M102" s="110">
        <f>IFERROR(_xlfn.XLOOKUP($A102,Input_Raw!$A:$A,Input_Raw!$CQ:$CQ),"")</f>
        <v>12.243181818181817</v>
      </c>
      <c r="N102" s="110">
        <f>IFERROR(_xlfn.XLOOKUP($A102,Input_Raw!$A:$A,Input_Raw!$CR:$CR),"")</f>
        <v>14.69</v>
      </c>
      <c r="O102" s="141">
        <f t="shared" si="10"/>
        <v>0.99147718540492091</v>
      </c>
      <c r="P102" s="141">
        <f>IFERROR(1-SUMIF(WTG_BD!$F:$F,$A102,WTG_BD!$AA:$AA)/($AA102+SUMIF(WTG_BD!$F:$F,$A102,WTG_BD!$AA:$AA)),"")</f>
        <v>0.99550511388388585</v>
      </c>
      <c r="Q102" s="141">
        <f>IFERROR(1-SUMIF(IGA_BD!$F:$F,$A102,IGA_BD!$W:$W)/($AA102+SUMIF(IGA_BD!$F:$F,$A102,IGA_BD!$W:$W)),"")</f>
        <v>0.99595388469351975</v>
      </c>
      <c r="R102" s="141">
        <f>IFERROR(1-SUMIF(Grid_BD!$F:$F,$A102,Grid_BD!$Y:$Y)/($AA102+SUMIF(Grid_BD!$F:$F,$A102,Grid_BD!$Y:$Y)),"")</f>
        <v>1</v>
      </c>
      <c r="S102" s="108"/>
      <c r="T102" s="140"/>
      <c r="U102" s="141"/>
      <c r="V102" s="108"/>
      <c r="W102" s="142">
        <f t="shared" si="11"/>
        <v>0.90616536458333319</v>
      </c>
      <c r="X102" s="108">
        <f>IFERROR(_xlfn.XLOOKUP($A102,Input_Raw!$A:$A,Input_Raw!$CP:$CP)*1000,"")</f>
        <v>1531057</v>
      </c>
      <c r="Y102" s="108">
        <f>IFERROR(_xlfn.XLOOKUP($A102,Input_Raw!$A:$A,Input_Raw!DJ:DJ)*1000,"")</f>
        <v>1531056.9999999998</v>
      </c>
      <c r="Z102" s="108">
        <f>IFERROR(_xlfn.XLOOKUP($A102,Input_Raw!$A:$A,Input_Raw!DK:DK)*1000,"")</f>
        <v>0</v>
      </c>
      <c r="AA102" s="138">
        <f t="shared" si="12"/>
        <v>1531056.9999999998</v>
      </c>
      <c r="AB102" s="108">
        <f>IFERROR(_xlfn.XLOOKUP($A102,Input_Raw!$A:$A,Input_Raw!$DR:$DR),"")</f>
        <v>70.400000000000006</v>
      </c>
      <c r="AC102" s="143">
        <f>IFERROR(_xlfn.XLOOKUP($D102,'Modelling New'!$D:$D,'Modelling New'!$J:$J),"")</f>
        <v>9.8233333333333324</v>
      </c>
      <c r="AD102" s="138">
        <f>IFERROR(_xlfn.XLOOKUP($D102,'Modelling New'!$D:$D,'Modelling New'!$T:$T)*1000,"")</f>
        <v>904894.00217495637</v>
      </c>
      <c r="AE102" s="142"/>
      <c r="AF102" s="142">
        <f>IFERROR(_xlfn.XLOOKUP($D102,'Modelling New'!$D:$D,'Modelling New'!$W:$W),"")</f>
        <v>0.53556699939332175</v>
      </c>
      <c r="AG102" s="142">
        <f>IFERROR(_xlfn.XLOOKUP($D102,'Modelling New'!$D:$D,'Modelling New'!$AE:$AE),"")</f>
        <v>0.96029999999999993</v>
      </c>
      <c r="AH102" s="142">
        <f>IFERROR(_xlfn.XLOOKUP($D102,'Modelling New'!$D:$D,'Modelling New'!$AF:$AF),"")</f>
        <v>0.995</v>
      </c>
      <c r="AI102" s="109">
        <f>IFERROR(_xlfn.XLOOKUP($A102,Input_Raw!$A:$A,Input_Raw!$DP:$DP),"")</f>
        <v>1571.27</v>
      </c>
      <c r="AJ102" s="108"/>
      <c r="AK102" s="108"/>
      <c r="AL102" s="108"/>
      <c r="AM102" s="108"/>
      <c r="AN102" s="132">
        <f>IFERROR(_xlfn.XLOOKUP($A102,Input_Raw!$A:$A,Input_Raw!$DL:$DL),"")</f>
        <v>-1.1102230246251565E-16</v>
      </c>
      <c r="AO102" s="142">
        <f>IFERROR((_xlfn.XLOOKUP($A102,'WTG Reactive Power'!$A:$A,'WTG Reactive Power'!$AW:$AW))/X102,"")</f>
        <v>1.7385946234094044E-4</v>
      </c>
      <c r="AP102" s="142">
        <f>IFERROR(_xlfn.XLOOKUP($D102,'Modelling New'!$D:$D,'Modelling New'!$AK:$AK),"")</f>
        <v>0.05</v>
      </c>
      <c r="AQ102" s="142">
        <f>IFERROR(_xlfn.XLOOKUP($D102,'Modelling New'!$D:$D,'Modelling New'!$AL:$AL),"")</f>
        <v>0.05</v>
      </c>
      <c r="AR102" s="198">
        <f>IFERROR(_xlfn.XLOOKUP($D102,'Modelling New'!$D:$D,'Modelling New'!$N:$N),"")</f>
        <v>70.400000000000006</v>
      </c>
      <c r="AS102" s="198"/>
    </row>
    <row r="103" spans="1:45">
      <c r="A103" s="137">
        <f t="shared" si="13"/>
        <v>45846</v>
      </c>
      <c r="B103" s="138">
        <f>YEAR(Daily_KPI[[#This Row],[Date]])+IF(MONTH(Daily_KPI[[#This Row],[Date]])&gt;=4,1,0)</f>
        <v>2026</v>
      </c>
      <c r="C103" s="108">
        <f>YEAR(Daily_KPI[[#This Row],[Date]])</f>
        <v>2025</v>
      </c>
      <c r="D103" s="139">
        <f>Daily_KPI[[#This Row],[Date]]-DAY(Daily_KPI[[#This Row],[Date]])+1</f>
        <v>45839</v>
      </c>
      <c r="E103" s="108">
        <f t="shared" si="9"/>
        <v>31</v>
      </c>
      <c r="F103" s="109"/>
      <c r="G103" s="110"/>
      <c r="H103" s="110"/>
      <c r="I103" s="110"/>
      <c r="J103" s="110"/>
      <c r="K103" s="111"/>
      <c r="L103" s="110"/>
      <c r="M103" s="110">
        <f>IFERROR(_xlfn.XLOOKUP($A103,Input_Raw!$A:$A,Input_Raw!$CQ:$CQ),"")</f>
        <v>11.197499999999998</v>
      </c>
      <c r="N103" s="110">
        <f>IFERROR(_xlfn.XLOOKUP($A103,Input_Raw!$A:$A,Input_Raw!$CR:$CR),"")</f>
        <v>13.29</v>
      </c>
      <c r="O103" s="141">
        <f t="shared" si="10"/>
        <v>0.99297998364669093</v>
      </c>
      <c r="P103" s="141">
        <f>IFERROR(1-SUMIF(WTG_BD!$F:$F,$A103,WTG_BD!$AA:$AA)/($AA103+SUMIF(WTG_BD!$F:$F,$A103,WTG_BD!$AA:$AA)),"")</f>
        <v>0.99613080947377786</v>
      </c>
      <c r="Q103" s="141">
        <f>IFERROR(1-SUMIF(IGA_BD!$F:$F,$A103,IGA_BD!$W:$W)/($AA103+SUMIF(IGA_BD!$F:$F,$A103,IGA_BD!$W:$W)),"")</f>
        <v>0.99683693567439058</v>
      </c>
      <c r="R103" s="141">
        <f>IFERROR(1-SUMIF(Grid_BD!$F:$F,$A103,Grid_BD!$Y:$Y)/($AA103+SUMIF(Grid_BD!$F:$F,$A103,Grid_BD!$Y:$Y)),"")</f>
        <v>1</v>
      </c>
      <c r="S103" s="108"/>
      <c r="T103" s="140"/>
      <c r="U103" s="141"/>
      <c r="V103" s="108"/>
      <c r="W103" s="142">
        <f t="shared" si="11"/>
        <v>0.86807765151515137</v>
      </c>
      <c r="X103" s="108">
        <f>IFERROR(_xlfn.XLOOKUP($A103,Input_Raw!$A:$A,Input_Raw!$CP:$CP)*1000,"")</f>
        <v>1466704</v>
      </c>
      <c r="Y103" s="108">
        <f>IFERROR(_xlfn.XLOOKUP($A103,Input_Raw!$A:$A,Input_Raw!DJ:DJ)*1000,"")</f>
        <v>1466704</v>
      </c>
      <c r="Z103" s="108">
        <f>IFERROR(_xlfn.XLOOKUP($A103,Input_Raw!$A:$A,Input_Raw!DK:DK)*1000,"")</f>
        <v>0</v>
      </c>
      <c r="AA103" s="138">
        <f t="shared" si="12"/>
        <v>1466704</v>
      </c>
      <c r="AB103" s="108">
        <f>IFERROR(_xlfn.XLOOKUP($A103,Input_Raw!$A:$A,Input_Raw!$DR:$DR),"")</f>
        <v>70.400000000000006</v>
      </c>
      <c r="AC103" s="143">
        <f>IFERROR(_xlfn.XLOOKUP($D103,'Modelling New'!$D:$D,'Modelling New'!$J:$J),"")</f>
        <v>9.8233333333333324</v>
      </c>
      <c r="AD103" s="138">
        <f>IFERROR(_xlfn.XLOOKUP($D103,'Modelling New'!$D:$D,'Modelling New'!$T:$T)*1000,"")</f>
        <v>904894.00217495637</v>
      </c>
      <c r="AE103" s="142"/>
      <c r="AF103" s="142">
        <f>IFERROR(_xlfn.XLOOKUP($D103,'Modelling New'!$D:$D,'Modelling New'!$W:$W),"")</f>
        <v>0.53556699939332175</v>
      </c>
      <c r="AG103" s="142">
        <f>IFERROR(_xlfn.XLOOKUP($D103,'Modelling New'!$D:$D,'Modelling New'!$AE:$AE),"")</f>
        <v>0.96029999999999993</v>
      </c>
      <c r="AH103" s="142">
        <f>IFERROR(_xlfn.XLOOKUP($D103,'Modelling New'!$D:$D,'Modelling New'!$AF:$AF),"")</f>
        <v>0.995</v>
      </c>
      <c r="AI103" s="109">
        <f>IFERROR(_xlfn.XLOOKUP($A103,Input_Raw!$A:$A,Input_Raw!$DP:$DP),"")</f>
        <v>1492.04</v>
      </c>
      <c r="AJ103" s="108"/>
      <c r="AK103" s="108"/>
      <c r="AL103" s="108"/>
      <c r="AM103" s="108"/>
      <c r="AN103" s="132">
        <f>IFERROR(_xlfn.XLOOKUP($A103,Input_Raw!$A:$A,Input_Raw!$DL:$DL),"")</f>
        <v>0</v>
      </c>
      <c r="AO103" s="142">
        <f>IFERROR((_xlfn.XLOOKUP($A103,'WTG Reactive Power'!$A:$A,'WTG Reactive Power'!$AW:$AW))/X103,"")</f>
        <v>1.8757214691353307E-4</v>
      </c>
      <c r="AP103" s="142">
        <f>IFERROR(_xlfn.XLOOKUP($D103,'Modelling New'!$D:$D,'Modelling New'!$AK:$AK),"")</f>
        <v>0.05</v>
      </c>
      <c r="AQ103" s="142">
        <f>IFERROR(_xlfn.XLOOKUP($D103,'Modelling New'!$D:$D,'Modelling New'!$AL:$AL),"")</f>
        <v>0.05</v>
      </c>
      <c r="AR103" s="198">
        <f>IFERROR(_xlfn.XLOOKUP($D103,'Modelling New'!$D:$D,'Modelling New'!$N:$N),"")</f>
        <v>70.400000000000006</v>
      </c>
      <c r="AS103" s="198"/>
    </row>
    <row r="104" spans="1:45">
      <c r="A104" s="137">
        <f t="shared" si="13"/>
        <v>45847</v>
      </c>
      <c r="B104" s="138">
        <f>YEAR(Daily_KPI[[#This Row],[Date]])+IF(MONTH(Daily_KPI[[#This Row],[Date]])&gt;=4,1,0)</f>
        <v>2026</v>
      </c>
      <c r="C104" s="108">
        <f>YEAR(Daily_KPI[[#This Row],[Date]])</f>
        <v>2025</v>
      </c>
      <c r="D104" s="139">
        <f>Daily_KPI[[#This Row],[Date]]-DAY(Daily_KPI[[#This Row],[Date]])+1</f>
        <v>45839</v>
      </c>
      <c r="E104" s="108">
        <f t="shared" si="9"/>
        <v>31</v>
      </c>
      <c r="F104" s="109"/>
      <c r="G104" s="143"/>
      <c r="H104" s="143"/>
      <c r="I104" s="143"/>
      <c r="J104" s="143"/>
      <c r="K104" s="111"/>
      <c r="L104" s="110"/>
      <c r="M104" s="110">
        <f>IFERROR(_xlfn.XLOOKUP($A104,Input_Raw!$A:$A,Input_Raw!$CQ:$CQ),"")</f>
        <v>9.8275000000000023</v>
      </c>
      <c r="N104" s="110">
        <f>IFERROR(_xlfn.XLOOKUP($A104,Input_Raw!$A:$A,Input_Raw!$CR:$CR),"")</f>
        <v>12.01</v>
      </c>
      <c r="O104" s="141">
        <f t="shared" si="10"/>
        <v>1</v>
      </c>
      <c r="P104" s="141">
        <f>IFERROR(1-SUMIF(WTG_BD!$F:$F,$A104,WTG_BD!$AA:$AA)/($AA104+SUMIF(WTG_BD!$F:$F,$A104,WTG_BD!$AA:$AA)),"")</f>
        <v>1</v>
      </c>
      <c r="Q104" s="141">
        <f>IFERROR(1-SUMIF(IGA_BD!$F:$F,$A104,IGA_BD!$W:$W)/($AA104+SUMIF(IGA_BD!$F:$F,$A104,IGA_BD!$W:$W)),"")</f>
        <v>1</v>
      </c>
      <c r="R104" s="141">
        <f>IFERROR(1-SUMIF(Grid_BD!$F:$F,$A104,Grid_BD!$Y:$Y)/($AA104+SUMIF(Grid_BD!$F:$F,$A104,Grid_BD!$Y:$Y)),"")</f>
        <v>1</v>
      </c>
      <c r="S104" s="108"/>
      <c r="T104" s="140"/>
      <c r="U104" s="141"/>
      <c r="V104" s="108"/>
      <c r="W104" s="142">
        <f t="shared" si="11"/>
        <v>0.72571200284090898</v>
      </c>
      <c r="X104" s="108">
        <f>IFERROR(_xlfn.XLOOKUP($A104,Input_Raw!$A:$A,Input_Raw!$CP:$CP)*1000,"")</f>
        <v>1226163</v>
      </c>
      <c r="Y104" s="108">
        <f>IFERROR(_xlfn.XLOOKUP($A104,Input_Raw!$A:$A,Input_Raw!DJ:DJ)*1000,"")</f>
        <v>1226163</v>
      </c>
      <c r="Z104" s="108">
        <f>IFERROR(_xlfn.XLOOKUP($A104,Input_Raw!$A:$A,Input_Raw!DK:DK)*1000,"")</f>
        <v>0</v>
      </c>
      <c r="AA104" s="138">
        <f t="shared" si="12"/>
        <v>1226163</v>
      </c>
      <c r="AB104" s="108">
        <f>IFERROR(_xlfn.XLOOKUP($A104,Input_Raw!$A:$A,Input_Raw!$DR:$DR),"")</f>
        <v>70.400000000000006</v>
      </c>
      <c r="AC104" s="143">
        <f>IFERROR(_xlfn.XLOOKUP($D104,'Modelling New'!$D:$D,'Modelling New'!$J:$J),"")</f>
        <v>9.8233333333333324</v>
      </c>
      <c r="AD104" s="138">
        <f>IFERROR(_xlfn.XLOOKUP($D104,'Modelling New'!$D:$D,'Modelling New'!$T:$T)*1000,"")</f>
        <v>904894.00217495637</v>
      </c>
      <c r="AE104" s="142"/>
      <c r="AF104" s="142">
        <f>IFERROR(_xlfn.XLOOKUP($D104,'Modelling New'!$D:$D,'Modelling New'!$W:$W),"")</f>
        <v>0.53556699939332175</v>
      </c>
      <c r="AG104" s="142">
        <f>IFERROR(_xlfn.XLOOKUP($D104,'Modelling New'!$D:$D,'Modelling New'!$AE:$AE),"")</f>
        <v>0.96029999999999993</v>
      </c>
      <c r="AH104" s="142">
        <f>IFERROR(_xlfn.XLOOKUP($D104,'Modelling New'!$D:$D,'Modelling New'!$AF:$AF),"")</f>
        <v>0.995</v>
      </c>
      <c r="AI104" s="109">
        <f>IFERROR(_xlfn.XLOOKUP($A104,Input_Raw!$A:$A,Input_Raw!$DP:$DP),"")</f>
        <v>1190.71</v>
      </c>
      <c r="AJ104" s="108"/>
      <c r="AK104" s="108"/>
      <c r="AL104" s="108"/>
      <c r="AM104" s="108"/>
      <c r="AN104" s="132">
        <f>IFERROR(_xlfn.XLOOKUP($A104,Input_Raw!$A:$A,Input_Raw!$DL:$DL),"")</f>
        <v>0</v>
      </c>
      <c r="AO104" s="142">
        <f>IFERROR((_xlfn.XLOOKUP($A104,'WTG Reactive Power'!$A:$A,'WTG Reactive Power'!$AW:$AW))/X104,"")</f>
        <v>1.8550016039194355E-4</v>
      </c>
      <c r="AP104" s="142">
        <f>IFERROR(_xlfn.XLOOKUP($D104,'Modelling New'!$D:$D,'Modelling New'!$AK:$AK),"")</f>
        <v>0.05</v>
      </c>
      <c r="AQ104" s="142">
        <f>IFERROR(_xlfn.XLOOKUP($D104,'Modelling New'!$D:$D,'Modelling New'!$AL:$AL),"")</f>
        <v>0.05</v>
      </c>
      <c r="AR104" s="198">
        <f>IFERROR(_xlfn.XLOOKUP($D104,'Modelling New'!$D:$D,'Modelling New'!$N:$N),"")</f>
        <v>70.400000000000006</v>
      </c>
      <c r="AS104" s="198"/>
    </row>
    <row r="105" spans="1:45">
      <c r="A105" s="137">
        <f t="shared" si="13"/>
        <v>45848</v>
      </c>
      <c r="B105" s="138">
        <f>YEAR(Daily_KPI[[#This Row],[Date]])+IF(MONTH(Daily_KPI[[#This Row],[Date]])&gt;=4,1,0)</f>
        <v>2026</v>
      </c>
      <c r="C105" s="108">
        <f>YEAR(Daily_KPI[[#This Row],[Date]])</f>
        <v>2025</v>
      </c>
      <c r="D105" s="139">
        <f>Daily_KPI[[#This Row],[Date]]-DAY(Daily_KPI[[#This Row],[Date]])+1</f>
        <v>45839</v>
      </c>
      <c r="E105" s="108">
        <f t="shared" si="9"/>
        <v>31</v>
      </c>
      <c r="F105" s="109"/>
      <c r="G105" s="110"/>
      <c r="H105" s="110"/>
      <c r="I105" s="110"/>
      <c r="J105" s="110"/>
      <c r="K105" s="111"/>
      <c r="L105" s="110"/>
      <c r="M105" s="110" t="str">
        <f>IFERROR(_xlfn.XLOOKUP($A105,Input_Raw!$A:$A,Input_Raw!$CQ:$CQ),"")</f>
        <v/>
      </c>
      <c r="N105" s="110" t="str">
        <f>IFERROR(_xlfn.XLOOKUP($A105,Input_Raw!$A:$A,Input_Raw!$CR:$CR),"")</f>
        <v/>
      </c>
      <c r="O105" s="141" t="str">
        <f t="shared" si="10"/>
        <v/>
      </c>
      <c r="P105" s="141" t="str">
        <f>IFERROR(1-SUMIF(WTG_BD!$F:$F,$A105,WTG_BD!$AA:$AA)/($AA105+SUMIF(WTG_BD!$F:$F,$A105,WTG_BD!$AA:$AA)),"")</f>
        <v/>
      </c>
      <c r="Q105" s="141" t="str">
        <f>IFERROR(1-SUMIF(IGA_BD!$F:$F,$A105,IGA_BD!$W:$W)/($AA105+SUMIF(IGA_BD!$F:$F,$A105,IGA_BD!$W:$W)),"")</f>
        <v/>
      </c>
      <c r="R105" s="141" t="str">
        <f>IFERROR(1-SUMIF(Grid_BD!$F:$F,$A105,Grid_BD!$Y:$Y)/($AA105+SUMIF(Grid_BD!$F:$F,$A105,Grid_BD!$Y:$Y)),"")</f>
        <v/>
      </c>
      <c r="S105" s="108"/>
      <c r="T105" s="140"/>
      <c r="U105" s="141"/>
      <c r="V105" s="108"/>
      <c r="W105" s="142" t="str">
        <f t="shared" si="11"/>
        <v/>
      </c>
      <c r="X105" s="108" t="str">
        <f>IFERROR(_xlfn.XLOOKUP($A105,Input_Raw!$A:$A,Input_Raw!$CP:$CP)*1000,"")</f>
        <v/>
      </c>
      <c r="Y105" s="108" t="str">
        <f>IFERROR(_xlfn.XLOOKUP($A105,Input_Raw!$A:$A,Input_Raw!DJ:DJ)*1000,"")</f>
        <v/>
      </c>
      <c r="Z105" s="108" t="str">
        <f>IFERROR(_xlfn.XLOOKUP($A105,Input_Raw!$A:$A,Input_Raw!DK:DK)*1000,"")</f>
        <v/>
      </c>
      <c r="AA105" s="138" t="str">
        <f t="shared" si="12"/>
        <v/>
      </c>
      <c r="AB105" s="108" t="str">
        <f>IFERROR(_xlfn.XLOOKUP($A105,Input_Raw!$A:$A,Input_Raw!$DR:$DR),"")</f>
        <v/>
      </c>
      <c r="AC105" s="143">
        <f>IFERROR(_xlfn.XLOOKUP($D105,'Modelling New'!$D:$D,'Modelling New'!$J:$J),"")</f>
        <v>9.8233333333333324</v>
      </c>
      <c r="AD105" s="138">
        <f>IFERROR(_xlfn.XLOOKUP($D105,'Modelling New'!$D:$D,'Modelling New'!$T:$T)*1000,"")</f>
        <v>904894.00217495637</v>
      </c>
      <c r="AE105" s="142"/>
      <c r="AF105" s="142">
        <f>IFERROR(_xlfn.XLOOKUP($D105,'Modelling New'!$D:$D,'Modelling New'!$W:$W),"")</f>
        <v>0.53556699939332175</v>
      </c>
      <c r="AG105" s="142">
        <f>IFERROR(_xlfn.XLOOKUP($D105,'Modelling New'!$D:$D,'Modelling New'!$AE:$AE),"")</f>
        <v>0.96029999999999993</v>
      </c>
      <c r="AH105" s="142">
        <f>IFERROR(_xlfn.XLOOKUP($D105,'Modelling New'!$D:$D,'Modelling New'!$AF:$AF),"")</f>
        <v>0.995</v>
      </c>
      <c r="AI105" s="109" t="str">
        <f>IFERROR(_xlfn.XLOOKUP($A105,Input_Raw!$A:$A,Input_Raw!$DP:$DP),"")</f>
        <v/>
      </c>
      <c r="AJ105" s="108"/>
      <c r="AK105" s="108"/>
      <c r="AL105" s="108"/>
      <c r="AM105" s="108"/>
      <c r="AN105" s="132" t="str">
        <f>IFERROR(_xlfn.XLOOKUP($A105,Input_Raw!$A:$A,Input_Raw!$DL:$DL),"")</f>
        <v/>
      </c>
      <c r="AO105" s="142" t="str">
        <f>IFERROR((_xlfn.XLOOKUP($A105,'WTG Reactive Power'!$A:$A,'WTG Reactive Power'!$AW:$AW))/X105,"")</f>
        <v/>
      </c>
      <c r="AP105" s="142">
        <f>IFERROR(_xlfn.XLOOKUP($D105,'Modelling New'!$D:$D,'Modelling New'!$AK:$AK),"")</f>
        <v>0.05</v>
      </c>
      <c r="AQ105" s="142">
        <f>IFERROR(_xlfn.XLOOKUP($D105,'Modelling New'!$D:$D,'Modelling New'!$AL:$AL),"")</f>
        <v>0.05</v>
      </c>
      <c r="AR105" s="198">
        <f>IFERROR(_xlfn.XLOOKUP($D105,'Modelling New'!$D:$D,'Modelling New'!$N:$N),"")</f>
        <v>70.400000000000006</v>
      </c>
      <c r="AS105" s="198"/>
    </row>
    <row r="106" spans="1:45">
      <c r="A106" s="137">
        <f t="shared" si="13"/>
        <v>45849</v>
      </c>
      <c r="B106" s="138">
        <f>YEAR(Daily_KPI[[#This Row],[Date]])+IF(MONTH(Daily_KPI[[#This Row],[Date]])&gt;=4,1,0)</f>
        <v>2026</v>
      </c>
      <c r="C106" s="108">
        <f>YEAR(Daily_KPI[[#This Row],[Date]])</f>
        <v>2025</v>
      </c>
      <c r="D106" s="139">
        <f>Daily_KPI[[#This Row],[Date]]-DAY(Daily_KPI[[#This Row],[Date]])+1</f>
        <v>45839</v>
      </c>
      <c r="E106" s="108">
        <f t="shared" si="9"/>
        <v>31</v>
      </c>
      <c r="F106" s="109"/>
      <c r="G106" s="143"/>
      <c r="H106" s="143"/>
      <c r="I106" s="143"/>
      <c r="J106" s="143"/>
      <c r="K106" s="111"/>
      <c r="L106" s="110"/>
      <c r="M106" s="110" t="str">
        <f>IFERROR(_xlfn.XLOOKUP($A106,Input_Raw!$A:$A,Input_Raw!$CQ:$CQ),"")</f>
        <v/>
      </c>
      <c r="N106" s="110" t="str">
        <f>IFERROR(_xlfn.XLOOKUP($A106,Input_Raw!$A:$A,Input_Raw!$CR:$CR),"")</f>
        <v/>
      </c>
      <c r="O106" s="141" t="str">
        <f t="shared" si="10"/>
        <v/>
      </c>
      <c r="P106" s="141" t="str">
        <f>IFERROR(1-SUMIF(WTG_BD!$F:$F,$A106,WTG_BD!$AA:$AA)/($AA106+SUMIF(WTG_BD!$F:$F,$A106,WTG_BD!$AA:$AA)),"")</f>
        <v/>
      </c>
      <c r="Q106" s="141" t="str">
        <f>IFERROR(1-SUMIF(IGA_BD!$F:$F,$A106,IGA_BD!$W:$W)/($AA106+SUMIF(IGA_BD!$F:$F,$A106,IGA_BD!$W:$W)),"")</f>
        <v/>
      </c>
      <c r="R106" s="141" t="str">
        <f>IFERROR(1-SUMIF(Grid_BD!$F:$F,$A106,Grid_BD!$Y:$Y)/($AA106+SUMIF(Grid_BD!$F:$F,$A106,Grid_BD!$Y:$Y)),"")</f>
        <v/>
      </c>
      <c r="S106" s="108"/>
      <c r="T106" s="140"/>
      <c r="U106" s="141"/>
      <c r="V106" s="108"/>
      <c r="W106" s="142" t="str">
        <f t="shared" si="11"/>
        <v/>
      </c>
      <c r="X106" s="108" t="str">
        <f>IFERROR(_xlfn.XLOOKUP($A106,Input_Raw!$A:$A,Input_Raw!$CP:$CP)*1000,"")</f>
        <v/>
      </c>
      <c r="Y106" s="108" t="str">
        <f>IFERROR(_xlfn.XLOOKUP($A106,Input_Raw!$A:$A,Input_Raw!DJ:DJ)*1000,"")</f>
        <v/>
      </c>
      <c r="Z106" s="108" t="str">
        <f>IFERROR(_xlfn.XLOOKUP($A106,Input_Raw!$A:$A,Input_Raw!DK:DK)*1000,"")</f>
        <v/>
      </c>
      <c r="AA106" s="138" t="str">
        <f t="shared" si="12"/>
        <v/>
      </c>
      <c r="AB106" s="108" t="str">
        <f>IFERROR(_xlfn.XLOOKUP($A106,Input_Raw!$A:$A,Input_Raw!$DR:$DR),"")</f>
        <v/>
      </c>
      <c r="AC106" s="143">
        <f>IFERROR(_xlfn.XLOOKUP($D106,'Modelling New'!$D:$D,'Modelling New'!$J:$J),"")</f>
        <v>9.8233333333333324</v>
      </c>
      <c r="AD106" s="138">
        <f>IFERROR(_xlfn.XLOOKUP($D106,'Modelling New'!$D:$D,'Modelling New'!$T:$T)*1000,"")</f>
        <v>904894.00217495637</v>
      </c>
      <c r="AE106" s="142"/>
      <c r="AF106" s="142">
        <f>IFERROR(_xlfn.XLOOKUP($D106,'Modelling New'!$D:$D,'Modelling New'!$W:$W),"")</f>
        <v>0.53556699939332175</v>
      </c>
      <c r="AG106" s="142">
        <f>IFERROR(_xlfn.XLOOKUP($D106,'Modelling New'!$D:$D,'Modelling New'!$AE:$AE),"")</f>
        <v>0.96029999999999993</v>
      </c>
      <c r="AH106" s="142">
        <f>IFERROR(_xlfn.XLOOKUP($D106,'Modelling New'!$D:$D,'Modelling New'!$AF:$AF),"")</f>
        <v>0.995</v>
      </c>
      <c r="AI106" s="109" t="str">
        <f>IFERROR(_xlfn.XLOOKUP($A106,Input_Raw!$A:$A,Input_Raw!$DP:$DP),"")</f>
        <v/>
      </c>
      <c r="AJ106" s="108"/>
      <c r="AK106" s="108"/>
      <c r="AL106" s="108"/>
      <c r="AM106" s="108"/>
      <c r="AN106" s="132" t="str">
        <f>IFERROR(_xlfn.XLOOKUP($A106,Input_Raw!$A:$A,Input_Raw!$DL:$DL),"")</f>
        <v/>
      </c>
      <c r="AO106" s="142" t="str">
        <f>IFERROR((_xlfn.XLOOKUP($A106,'WTG Reactive Power'!$A:$A,'WTG Reactive Power'!$AW:$AW))/X106,"")</f>
        <v/>
      </c>
      <c r="AP106" s="142">
        <f>IFERROR(_xlfn.XLOOKUP($D106,'Modelling New'!$D:$D,'Modelling New'!$AK:$AK),"")</f>
        <v>0.05</v>
      </c>
      <c r="AQ106" s="142">
        <f>IFERROR(_xlfn.XLOOKUP($D106,'Modelling New'!$D:$D,'Modelling New'!$AL:$AL),"")</f>
        <v>0.05</v>
      </c>
      <c r="AR106" s="198">
        <f>IFERROR(_xlfn.XLOOKUP($D106,'Modelling New'!$D:$D,'Modelling New'!$N:$N),"")</f>
        <v>70.400000000000006</v>
      </c>
      <c r="AS106" s="198"/>
    </row>
    <row r="107" spans="1:45">
      <c r="A107" s="137">
        <f t="shared" si="13"/>
        <v>45850</v>
      </c>
      <c r="B107" s="138">
        <f>YEAR(Daily_KPI[[#This Row],[Date]])+IF(MONTH(Daily_KPI[[#This Row],[Date]])&gt;=4,1,0)</f>
        <v>2026</v>
      </c>
      <c r="C107" s="108">
        <f>YEAR(Daily_KPI[[#This Row],[Date]])</f>
        <v>2025</v>
      </c>
      <c r="D107" s="139">
        <f>Daily_KPI[[#This Row],[Date]]-DAY(Daily_KPI[[#This Row],[Date]])+1</f>
        <v>45839</v>
      </c>
      <c r="E107" s="108">
        <f t="shared" si="9"/>
        <v>31</v>
      </c>
      <c r="F107" s="109"/>
      <c r="G107" s="110"/>
      <c r="H107" s="110"/>
      <c r="I107" s="110"/>
      <c r="J107" s="110"/>
      <c r="K107" s="111"/>
      <c r="L107" s="110"/>
      <c r="M107" s="110" t="str">
        <f>IFERROR(_xlfn.XLOOKUP($A107,Input_Raw!$A:$A,Input_Raw!$CQ:$CQ),"")</f>
        <v/>
      </c>
      <c r="N107" s="110" t="str">
        <f>IFERROR(_xlfn.XLOOKUP($A107,Input_Raw!$A:$A,Input_Raw!$CR:$CR),"")</f>
        <v/>
      </c>
      <c r="O107" s="141" t="str">
        <f t="shared" si="10"/>
        <v/>
      </c>
      <c r="P107" s="141" t="str">
        <f>IFERROR(1-SUMIF(WTG_BD!$F:$F,$A107,WTG_BD!$AA:$AA)/($AA107+SUMIF(WTG_BD!$F:$F,$A107,WTG_BD!$AA:$AA)),"")</f>
        <v/>
      </c>
      <c r="Q107" s="141" t="str">
        <f>IFERROR(1-SUMIF(IGA_BD!$F:$F,$A107,IGA_BD!$W:$W)/($AA107+SUMIF(IGA_BD!$F:$F,$A107,IGA_BD!$W:$W)),"")</f>
        <v/>
      </c>
      <c r="R107" s="141" t="str">
        <f>IFERROR(1-SUMIF(Grid_BD!$F:$F,$A107,Grid_BD!$Y:$Y)/($AA107+SUMIF(Grid_BD!$F:$F,$A107,Grid_BD!$Y:$Y)),"")</f>
        <v/>
      </c>
      <c r="S107" s="108"/>
      <c r="T107" s="140"/>
      <c r="U107" s="141"/>
      <c r="V107" s="108"/>
      <c r="W107" s="142" t="str">
        <f t="shared" si="11"/>
        <v/>
      </c>
      <c r="X107" s="108" t="str">
        <f>IFERROR(_xlfn.XLOOKUP($A107,Input_Raw!$A:$A,Input_Raw!$CP:$CP)*1000,"")</f>
        <v/>
      </c>
      <c r="Y107" s="108" t="str">
        <f>IFERROR(_xlfn.XLOOKUP($A107,Input_Raw!$A:$A,Input_Raw!DJ:DJ)*1000,"")</f>
        <v/>
      </c>
      <c r="Z107" s="108" t="str">
        <f>IFERROR(_xlfn.XLOOKUP($A107,Input_Raw!$A:$A,Input_Raw!DK:DK)*1000,"")</f>
        <v/>
      </c>
      <c r="AA107" s="138" t="str">
        <f t="shared" si="12"/>
        <v/>
      </c>
      <c r="AB107" s="108" t="str">
        <f>IFERROR(_xlfn.XLOOKUP($A107,Input_Raw!$A:$A,Input_Raw!$DR:$DR),"")</f>
        <v/>
      </c>
      <c r="AC107" s="143">
        <f>IFERROR(_xlfn.XLOOKUP($D107,'Modelling New'!$D:$D,'Modelling New'!$J:$J),"")</f>
        <v>9.8233333333333324</v>
      </c>
      <c r="AD107" s="138">
        <f>IFERROR(_xlfn.XLOOKUP($D107,'Modelling New'!$D:$D,'Modelling New'!$T:$T)*1000,"")</f>
        <v>904894.00217495637</v>
      </c>
      <c r="AE107" s="142"/>
      <c r="AF107" s="142">
        <f>IFERROR(_xlfn.XLOOKUP($D107,'Modelling New'!$D:$D,'Modelling New'!$W:$W),"")</f>
        <v>0.53556699939332175</v>
      </c>
      <c r="AG107" s="142">
        <f>IFERROR(_xlfn.XLOOKUP($D107,'Modelling New'!$D:$D,'Modelling New'!$AE:$AE),"")</f>
        <v>0.96029999999999993</v>
      </c>
      <c r="AH107" s="142">
        <f>IFERROR(_xlfn.XLOOKUP($D107,'Modelling New'!$D:$D,'Modelling New'!$AF:$AF),"")</f>
        <v>0.995</v>
      </c>
      <c r="AI107" s="109" t="str">
        <f>IFERROR(_xlfn.XLOOKUP($A107,Input_Raw!$A:$A,Input_Raw!$DP:$DP),"")</f>
        <v/>
      </c>
      <c r="AJ107" s="108"/>
      <c r="AK107" s="108"/>
      <c r="AL107" s="108"/>
      <c r="AM107" s="108"/>
      <c r="AN107" s="132" t="str">
        <f>IFERROR(_xlfn.XLOOKUP($A107,Input_Raw!$A:$A,Input_Raw!$DL:$DL),"")</f>
        <v/>
      </c>
      <c r="AO107" s="142" t="str">
        <f>IFERROR((_xlfn.XLOOKUP($A107,'WTG Reactive Power'!$A:$A,'WTG Reactive Power'!$AW:$AW))/X107,"")</f>
        <v/>
      </c>
      <c r="AP107" s="142">
        <f>IFERROR(_xlfn.XLOOKUP($D107,'Modelling New'!$D:$D,'Modelling New'!$AK:$AK),"")</f>
        <v>0.05</v>
      </c>
      <c r="AQ107" s="142">
        <f>IFERROR(_xlfn.XLOOKUP($D107,'Modelling New'!$D:$D,'Modelling New'!$AL:$AL),"")</f>
        <v>0.05</v>
      </c>
      <c r="AR107" s="198">
        <f>IFERROR(_xlfn.XLOOKUP($D107,'Modelling New'!$D:$D,'Modelling New'!$N:$N),"")</f>
        <v>70.400000000000006</v>
      </c>
      <c r="AS107" s="198"/>
    </row>
    <row r="108" spans="1:45">
      <c r="A108" s="137">
        <f t="shared" si="13"/>
        <v>45851</v>
      </c>
      <c r="B108" s="138">
        <f>YEAR(Daily_KPI[[#This Row],[Date]])+IF(MONTH(Daily_KPI[[#This Row],[Date]])&gt;=4,1,0)</f>
        <v>2026</v>
      </c>
      <c r="C108" s="108">
        <f>YEAR(Daily_KPI[[#This Row],[Date]])</f>
        <v>2025</v>
      </c>
      <c r="D108" s="139">
        <f>Daily_KPI[[#This Row],[Date]]-DAY(Daily_KPI[[#This Row],[Date]])+1</f>
        <v>45839</v>
      </c>
      <c r="E108" s="108">
        <f t="shared" si="9"/>
        <v>31</v>
      </c>
      <c r="F108" s="109"/>
      <c r="G108" s="143"/>
      <c r="H108" s="143"/>
      <c r="I108" s="143"/>
      <c r="J108" s="143"/>
      <c r="K108" s="111"/>
      <c r="L108" s="110"/>
      <c r="M108" s="110" t="str">
        <f>IFERROR(_xlfn.XLOOKUP($A108,Input_Raw!$A:$A,Input_Raw!$CQ:$CQ),"")</f>
        <v/>
      </c>
      <c r="N108" s="110" t="str">
        <f>IFERROR(_xlfn.XLOOKUP($A108,Input_Raw!$A:$A,Input_Raw!$CR:$CR),"")</f>
        <v/>
      </c>
      <c r="O108" s="141" t="str">
        <f t="shared" si="10"/>
        <v/>
      </c>
      <c r="P108" s="141" t="str">
        <f>IFERROR(1-SUMIF(WTG_BD!$F:$F,$A108,WTG_BD!$AA:$AA)/($AA108+SUMIF(WTG_BD!$F:$F,$A108,WTG_BD!$AA:$AA)),"")</f>
        <v/>
      </c>
      <c r="Q108" s="141" t="str">
        <f>IFERROR(1-SUMIF(IGA_BD!$F:$F,$A108,IGA_BD!$W:$W)/($AA108+SUMIF(IGA_BD!$F:$F,$A108,IGA_BD!$W:$W)),"")</f>
        <v/>
      </c>
      <c r="R108" s="141" t="str">
        <f>IFERROR(1-SUMIF(Grid_BD!$F:$F,$A108,Grid_BD!$Y:$Y)/($AA108+SUMIF(Grid_BD!$F:$F,$A108,Grid_BD!$Y:$Y)),"")</f>
        <v/>
      </c>
      <c r="S108" s="108"/>
      <c r="T108" s="140"/>
      <c r="U108" s="141"/>
      <c r="V108" s="108"/>
      <c r="W108" s="142" t="str">
        <f t="shared" si="11"/>
        <v/>
      </c>
      <c r="X108" s="108" t="str">
        <f>IFERROR(_xlfn.XLOOKUP($A108,Input_Raw!$A:$A,Input_Raw!$CP:$CP)*1000,"")</f>
        <v/>
      </c>
      <c r="Y108" s="108" t="str">
        <f>IFERROR(_xlfn.XLOOKUP($A108,Input_Raw!$A:$A,Input_Raw!DJ:DJ)*1000,"")</f>
        <v/>
      </c>
      <c r="Z108" s="108" t="str">
        <f>IFERROR(_xlfn.XLOOKUP($A108,Input_Raw!$A:$A,Input_Raw!DK:DK)*1000,"")</f>
        <v/>
      </c>
      <c r="AA108" s="138" t="str">
        <f t="shared" si="12"/>
        <v/>
      </c>
      <c r="AB108" s="108" t="str">
        <f>IFERROR(_xlfn.XLOOKUP($A108,Input_Raw!$A:$A,Input_Raw!$DR:$DR),"")</f>
        <v/>
      </c>
      <c r="AC108" s="143">
        <f>IFERROR(_xlfn.XLOOKUP($D108,'Modelling New'!$D:$D,'Modelling New'!$J:$J),"")</f>
        <v>9.8233333333333324</v>
      </c>
      <c r="AD108" s="138">
        <f>IFERROR(_xlfn.XLOOKUP($D108,'Modelling New'!$D:$D,'Modelling New'!$T:$T)*1000,"")</f>
        <v>904894.00217495637</v>
      </c>
      <c r="AE108" s="142"/>
      <c r="AF108" s="142">
        <f>IFERROR(_xlfn.XLOOKUP($D108,'Modelling New'!$D:$D,'Modelling New'!$W:$W),"")</f>
        <v>0.53556699939332175</v>
      </c>
      <c r="AG108" s="142">
        <f>IFERROR(_xlfn.XLOOKUP($D108,'Modelling New'!$D:$D,'Modelling New'!$AE:$AE),"")</f>
        <v>0.96029999999999993</v>
      </c>
      <c r="AH108" s="142">
        <f>IFERROR(_xlfn.XLOOKUP($D108,'Modelling New'!$D:$D,'Modelling New'!$AF:$AF),"")</f>
        <v>0.995</v>
      </c>
      <c r="AI108" s="109" t="str">
        <f>IFERROR(_xlfn.XLOOKUP($A108,Input_Raw!$A:$A,Input_Raw!$DP:$DP),"")</f>
        <v/>
      </c>
      <c r="AJ108" s="108"/>
      <c r="AK108" s="108"/>
      <c r="AL108" s="108"/>
      <c r="AM108" s="108"/>
      <c r="AN108" s="132" t="str">
        <f>IFERROR(_xlfn.XLOOKUP($A108,Input_Raw!$A:$A,Input_Raw!$DL:$DL),"")</f>
        <v/>
      </c>
      <c r="AO108" s="142" t="str">
        <f>IFERROR((_xlfn.XLOOKUP($A108,'WTG Reactive Power'!$A:$A,'WTG Reactive Power'!$AW:$AW))/X108,"")</f>
        <v/>
      </c>
      <c r="AP108" s="142">
        <f>IFERROR(_xlfn.XLOOKUP($D108,'Modelling New'!$D:$D,'Modelling New'!$AK:$AK),"")</f>
        <v>0.05</v>
      </c>
      <c r="AQ108" s="142">
        <f>IFERROR(_xlfn.XLOOKUP($D108,'Modelling New'!$D:$D,'Modelling New'!$AL:$AL),"")</f>
        <v>0.05</v>
      </c>
      <c r="AR108" s="198">
        <f>IFERROR(_xlfn.XLOOKUP($D108,'Modelling New'!$D:$D,'Modelling New'!$N:$N),"")</f>
        <v>70.400000000000006</v>
      </c>
      <c r="AS108" s="198"/>
    </row>
    <row r="109" spans="1:45">
      <c r="A109" s="137">
        <f t="shared" si="13"/>
        <v>45852</v>
      </c>
      <c r="B109" s="138">
        <f>YEAR(Daily_KPI[[#This Row],[Date]])+IF(MONTH(Daily_KPI[[#This Row],[Date]])&gt;=4,1,0)</f>
        <v>2026</v>
      </c>
      <c r="C109" s="108">
        <f>YEAR(Daily_KPI[[#This Row],[Date]])</f>
        <v>2025</v>
      </c>
      <c r="D109" s="139">
        <f>Daily_KPI[[#This Row],[Date]]-DAY(Daily_KPI[[#This Row],[Date]])+1</f>
        <v>45839</v>
      </c>
      <c r="E109" s="108">
        <f t="shared" si="9"/>
        <v>31</v>
      </c>
      <c r="F109" s="109"/>
      <c r="G109" s="110"/>
      <c r="H109" s="110"/>
      <c r="I109" s="110"/>
      <c r="J109" s="110"/>
      <c r="K109" s="111"/>
      <c r="L109" s="110"/>
      <c r="M109" s="110" t="str">
        <f>IFERROR(_xlfn.XLOOKUP($A109,Input_Raw!$A:$A,Input_Raw!$CQ:$CQ),"")</f>
        <v/>
      </c>
      <c r="N109" s="110" t="str">
        <f>IFERROR(_xlfn.XLOOKUP($A109,Input_Raw!$A:$A,Input_Raw!$CR:$CR),"")</f>
        <v/>
      </c>
      <c r="O109" s="141" t="str">
        <f t="shared" si="10"/>
        <v/>
      </c>
      <c r="P109" s="141" t="str">
        <f>IFERROR(1-SUMIF(WTG_BD!$F:$F,$A109,WTG_BD!$AA:$AA)/($AA109+SUMIF(WTG_BD!$F:$F,$A109,WTG_BD!$AA:$AA)),"")</f>
        <v/>
      </c>
      <c r="Q109" s="141" t="str">
        <f>IFERROR(1-SUMIF(IGA_BD!$F:$F,$A109,IGA_BD!$W:$W)/($AA109+SUMIF(IGA_BD!$F:$F,$A109,IGA_BD!$W:$W)),"")</f>
        <v/>
      </c>
      <c r="R109" s="141" t="str">
        <f>IFERROR(1-SUMIF(Grid_BD!$F:$F,$A109,Grid_BD!$Y:$Y)/($AA109+SUMIF(Grid_BD!$F:$F,$A109,Grid_BD!$Y:$Y)),"")</f>
        <v/>
      </c>
      <c r="S109" s="108"/>
      <c r="T109" s="140"/>
      <c r="U109" s="141"/>
      <c r="V109" s="108"/>
      <c r="W109" s="142" t="str">
        <f t="shared" si="11"/>
        <v/>
      </c>
      <c r="X109" s="108" t="str">
        <f>IFERROR(_xlfn.XLOOKUP($A109,Input_Raw!$A:$A,Input_Raw!$CP:$CP)*1000,"")</f>
        <v/>
      </c>
      <c r="Y109" s="108" t="str">
        <f>IFERROR(_xlfn.XLOOKUP($A109,Input_Raw!$A:$A,Input_Raw!DJ:DJ)*1000,"")</f>
        <v/>
      </c>
      <c r="Z109" s="108" t="str">
        <f>IFERROR(_xlfn.XLOOKUP($A109,Input_Raw!$A:$A,Input_Raw!DK:DK)*1000,"")</f>
        <v/>
      </c>
      <c r="AA109" s="138" t="str">
        <f t="shared" si="12"/>
        <v/>
      </c>
      <c r="AB109" s="108" t="str">
        <f>IFERROR(_xlfn.XLOOKUP($A109,Input_Raw!$A:$A,Input_Raw!$DR:$DR),"")</f>
        <v/>
      </c>
      <c r="AC109" s="143">
        <f>IFERROR(_xlfn.XLOOKUP($D109,'Modelling New'!$D:$D,'Modelling New'!$J:$J),"")</f>
        <v>9.8233333333333324</v>
      </c>
      <c r="AD109" s="138">
        <f>IFERROR(_xlfn.XLOOKUP($D109,'Modelling New'!$D:$D,'Modelling New'!$T:$T)*1000,"")</f>
        <v>904894.00217495637</v>
      </c>
      <c r="AE109" s="142"/>
      <c r="AF109" s="142">
        <f>IFERROR(_xlfn.XLOOKUP($D109,'Modelling New'!$D:$D,'Modelling New'!$W:$W),"")</f>
        <v>0.53556699939332175</v>
      </c>
      <c r="AG109" s="142">
        <f>IFERROR(_xlfn.XLOOKUP($D109,'Modelling New'!$D:$D,'Modelling New'!$AE:$AE),"")</f>
        <v>0.96029999999999993</v>
      </c>
      <c r="AH109" s="142">
        <f>IFERROR(_xlfn.XLOOKUP($D109,'Modelling New'!$D:$D,'Modelling New'!$AF:$AF),"")</f>
        <v>0.995</v>
      </c>
      <c r="AI109" s="109" t="str">
        <f>IFERROR(_xlfn.XLOOKUP($A109,Input_Raw!$A:$A,Input_Raw!$DP:$DP),"")</f>
        <v/>
      </c>
      <c r="AJ109" s="108"/>
      <c r="AK109" s="108"/>
      <c r="AL109" s="108"/>
      <c r="AM109" s="108"/>
      <c r="AN109" s="132" t="str">
        <f>IFERROR(_xlfn.XLOOKUP($A109,Input_Raw!$A:$A,Input_Raw!$DL:$DL),"")</f>
        <v/>
      </c>
      <c r="AO109" s="142" t="str">
        <f>IFERROR((_xlfn.XLOOKUP($A109,'WTG Reactive Power'!$A:$A,'WTG Reactive Power'!$AW:$AW))/X109,"")</f>
        <v/>
      </c>
      <c r="AP109" s="142">
        <f>IFERROR(_xlfn.XLOOKUP($D109,'Modelling New'!$D:$D,'Modelling New'!$AK:$AK),"")</f>
        <v>0.05</v>
      </c>
      <c r="AQ109" s="142">
        <f>IFERROR(_xlfn.XLOOKUP($D109,'Modelling New'!$D:$D,'Modelling New'!$AL:$AL),"")</f>
        <v>0.05</v>
      </c>
      <c r="AR109" s="198">
        <f>IFERROR(_xlfn.XLOOKUP($D109,'Modelling New'!$D:$D,'Modelling New'!$N:$N),"")</f>
        <v>70.400000000000006</v>
      </c>
      <c r="AS109" s="198"/>
    </row>
    <row r="110" spans="1:45">
      <c r="A110" s="137">
        <f t="shared" si="13"/>
        <v>45853</v>
      </c>
      <c r="B110" s="138">
        <f>YEAR(Daily_KPI[[#This Row],[Date]])+IF(MONTH(Daily_KPI[[#This Row],[Date]])&gt;=4,1,0)</f>
        <v>2026</v>
      </c>
      <c r="C110" s="108">
        <f>YEAR(Daily_KPI[[#This Row],[Date]])</f>
        <v>2025</v>
      </c>
      <c r="D110" s="139">
        <f>Daily_KPI[[#This Row],[Date]]-DAY(Daily_KPI[[#This Row],[Date]])+1</f>
        <v>45839</v>
      </c>
      <c r="E110" s="108">
        <f t="shared" si="9"/>
        <v>31</v>
      </c>
      <c r="F110" s="109"/>
      <c r="G110" s="143"/>
      <c r="H110" s="143"/>
      <c r="I110" s="143"/>
      <c r="J110" s="143"/>
      <c r="K110" s="111"/>
      <c r="L110" s="110"/>
      <c r="M110" s="110" t="str">
        <f>IFERROR(_xlfn.XLOOKUP($A110,Input_Raw!$A:$A,Input_Raw!$CQ:$CQ),"")</f>
        <v/>
      </c>
      <c r="N110" s="110" t="str">
        <f>IFERROR(_xlfn.XLOOKUP($A110,Input_Raw!$A:$A,Input_Raw!$CR:$CR),"")</f>
        <v/>
      </c>
      <c r="O110" s="141" t="str">
        <f t="shared" si="10"/>
        <v/>
      </c>
      <c r="P110" s="141" t="str">
        <f>IFERROR(1-SUMIF(WTG_BD!$F:$F,$A110,WTG_BD!$AA:$AA)/($AA110+SUMIF(WTG_BD!$F:$F,$A110,WTG_BD!$AA:$AA)),"")</f>
        <v/>
      </c>
      <c r="Q110" s="141" t="str">
        <f>IFERROR(1-SUMIF(IGA_BD!$F:$F,$A110,IGA_BD!$W:$W)/($AA110+SUMIF(IGA_BD!$F:$F,$A110,IGA_BD!$W:$W)),"")</f>
        <v/>
      </c>
      <c r="R110" s="141" t="str">
        <f>IFERROR(1-SUMIF(Grid_BD!$F:$F,$A110,Grid_BD!$Y:$Y)/($AA110+SUMIF(Grid_BD!$F:$F,$A110,Grid_BD!$Y:$Y)),"")</f>
        <v/>
      </c>
      <c r="S110" s="108"/>
      <c r="T110" s="140"/>
      <c r="U110" s="141"/>
      <c r="V110" s="108"/>
      <c r="W110" s="142" t="str">
        <f t="shared" si="11"/>
        <v/>
      </c>
      <c r="X110" s="108" t="str">
        <f>IFERROR(_xlfn.XLOOKUP($A110,Input_Raw!$A:$A,Input_Raw!$CP:$CP)*1000,"")</f>
        <v/>
      </c>
      <c r="Y110" s="108" t="str">
        <f>IFERROR(_xlfn.XLOOKUP($A110,Input_Raw!$A:$A,Input_Raw!DJ:DJ)*1000,"")</f>
        <v/>
      </c>
      <c r="Z110" s="108" t="str">
        <f>IFERROR(_xlfn.XLOOKUP($A110,Input_Raw!$A:$A,Input_Raw!DK:DK)*1000,"")</f>
        <v/>
      </c>
      <c r="AA110" s="138" t="str">
        <f t="shared" si="12"/>
        <v/>
      </c>
      <c r="AB110" s="108" t="str">
        <f>IFERROR(_xlfn.XLOOKUP($A110,Input_Raw!$A:$A,Input_Raw!$DR:$DR),"")</f>
        <v/>
      </c>
      <c r="AC110" s="143">
        <f>IFERROR(_xlfn.XLOOKUP($D110,'Modelling New'!$D:$D,'Modelling New'!$J:$J),"")</f>
        <v>9.8233333333333324</v>
      </c>
      <c r="AD110" s="138">
        <f>IFERROR(_xlfn.XLOOKUP($D110,'Modelling New'!$D:$D,'Modelling New'!$T:$T)*1000,"")</f>
        <v>904894.00217495637</v>
      </c>
      <c r="AE110" s="142"/>
      <c r="AF110" s="142">
        <f>IFERROR(_xlfn.XLOOKUP($D110,'Modelling New'!$D:$D,'Modelling New'!$W:$W),"")</f>
        <v>0.53556699939332175</v>
      </c>
      <c r="AG110" s="142">
        <f>IFERROR(_xlfn.XLOOKUP($D110,'Modelling New'!$D:$D,'Modelling New'!$AE:$AE),"")</f>
        <v>0.96029999999999993</v>
      </c>
      <c r="AH110" s="142">
        <f>IFERROR(_xlfn.XLOOKUP($D110,'Modelling New'!$D:$D,'Modelling New'!$AF:$AF),"")</f>
        <v>0.995</v>
      </c>
      <c r="AI110" s="109" t="str">
        <f>IFERROR(_xlfn.XLOOKUP($A110,Input_Raw!$A:$A,Input_Raw!$DP:$DP),"")</f>
        <v/>
      </c>
      <c r="AJ110" s="108"/>
      <c r="AK110" s="108"/>
      <c r="AL110" s="108"/>
      <c r="AM110" s="108"/>
      <c r="AN110" s="132" t="str">
        <f>IFERROR(_xlfn.XLOOKUP($A110,Input_Raw!$A:$A,Input_Raw!$DL:$DL),"")</f>
        <v/>
      </c>
      <c r="AO110" s="142" t="str">
        <f>IFERROR((_xlfn.XLOOKUP($A110,'WTG Reactive Power'!$A:$A,'WTG Reactive Power'!$AW:$AW))/X110,"")</f>
        <v/>
      </c>
      <c r="AP110" s="142">
        <f>IFERROR(_xlfn.XLOOKUP($D110,'Modelling New'!$D:$D,'Modelling New'!$AK:$AK),"")</f>
        <v>0.05</v>
      </c>
      <c r="AQ110" s="142">
        <f>IFERROR(_xlfn.XLOOKUP($D110,'Modelling New'!$D:$D,'Modelling New'!$AL:$AL),"")</f>
        <v>0.05</v>
      </c>
      <c r="AR110" s="198">
        <f>IFERROR(_xlfn.XLOOKUP($D110,'Modelling New'!$D:$D,'Modelling New'!$N:$N),"")</f>
        <v>70.400000000000006</v>
      </c>
      <c r="AS110" s="198"/>
    </row>
    <row r="111" spans="1:45">
      <c r="A111" s="137">
        <f t="shared" si="13"/>
        <v>45854</v>
      </c>
      <c r="B111" s="138">
        <f>YEAR(Daily_KPI[[#This Row],[Date]])+IF(MONTH(Daily_KPI[[#This Row],[Date]])&gt;=4,1,0)</f>
        <v>2026</v>
      </c>
      <c r="C111" s="108">
        <f>YEAR(Daily_KPI[[#This Row],[Date]])</f>
        <v>2025</v>
      </c>
      <c r="D111" s="139">
        <f>Daily_KPI[[#This Row],[Date]]-DAY(Daily_KPI[[#This Row],[Date]])+1</f>
        <v>45839</v>
      </c>
      <c r="E111" s="108">
        <f t="shared" si="9"/>
        <v>31</v>
      </c>
      <c r="F111" s="109"/>
      <c r="G111" s="110"/>
      <c r="H111" s="110"/>
      <c r="I111" s="110"/>
      <c r="J111" s="110"/>
      <c r="K111" s="111"/>
      <c r="L111" s="110"/>
      <c r="M111" s="110" t="str">
        <f>IFERROR(_xlfn.XLOOKUP($A111,Input_Raw!$A:$A,Input_Raw!$CQ:$CQ),"")</f>
        <v/>
      </c>
      <c r="N111" s="110" t="str">
        <f>IFERROR(_xlfn.XLOOKUP($A111,Input_Raw!$A:$A,Input_Raw!$CR:$CR),"")</f>
        <v/>
      </c>
      <c r="O111" s="141" t="str">
        <f t="shared" si="10"/>
        <v/>
      </c>
      <c r="P111" s="141" t="str">
        <f>IFERROR(1-SUMIF(WTG_BD!$F:$F,$A111,WTG_BD!$AA:$AA)/($AA111+SUMIF(WTG_BD!$F:$F,$A111,WTG_BD!$AA:$AA)),"")</f>
        <v/>
      </c>
      <c r="Q111" s="141" t="str">
        <f>IFERROR(1-SUMIF(IGA_BD!$F:$F,$A111,IGA_BD!$W:$W)/($AA111+SUMIF(IGA_BD!$F:$F,$A111,IGA_BD!$W:$W)),"")</f>
        <v/>
      </c>
      <c r="R111" s="141" t="str">
        <f>IFERROR(1-SUMIF(Grid_BD!$F:$F,$A111,Grid_BD!$Y:$Y)/($AA111+SUMIF(Grid_BD!$F:$F,$A111,Grid_BD!$Y:$Y)),"")</f>
        <v/>
      </c>
      <c r="S111" s="108"/>
      <c r="T111" s="140"/>
      <c r="U111" s="141"/>
      <c r="V111" s="108"/>
      <c r="W111" s="142" t="str">
        <f t="shared" si="11"/>
        <v/>
      </c>
      <c r="X111" s="108" t="str">
        <f>IFERROR(_xlfn.XLOOKUP($A111,Input_Raw!$A:$A,Input_Raw!$CP:$CP)*1000,"")</f>
        <v/>
      </c>
      <c r="Y111" s="108" t="str">
        <f>IFERROR(_xlfn.XLOOKUP($A111,Input_Raw!$A:$A,Input_Raw!DJ:DJ)*1000,"")</f>
        <v/>
      </c>
      <c r="Z111" s="108" t="str">
        <f>IFERROR(_xlfn.XLOOKUP($A111,Input_Raw!$A:$A,Input_Raw!DK:DK)*1000,"")</f>
        <v/>
      </c>
      <c r="AA111" s="138" t="str">
        <f t="shared" si="12"/>
        <v/>
      </c>
      <c r="AB111" s="108" t="str">
        <f>IFERROR(_xlfn.XLOOKUP($A111,Input_Raw!$A:$A,Input_Raw!$DR:$DR),"")</f>
        <v/>
      </c>
      <c r="AC111" s="143">
        <f>IFERROR(_xlfn.XLOOKUP($D111,'Modelling New'!$D:$D,'Modelling New'!$J:$J),"")</f>
        <v>9.8233333333333324</v>
      </c>
      <c r="AD111" s="138">
        <f>IFERROR(_xlfn.XLOOKUP($D111,'Modelling New'!$D:$D,'Modelling New'!$T:$T)*1000,"")</f>
        <v>904894.00217495637</v>
      </c>
      <c r="AE111" s="142"/>
      <c r="AF111" s="142">
        <f>IFERROR(_xlfn.XLOOKUP($D111,'Modelling New'!$D:$D,'Modelling New'!$W:$W),"")</f>
        <v>0.53556699939332175</v>
      </c>
      <c r="AG111" s="142">
        <f>IFERROR(_xlfn.XLOOKUP($D111,'Modelling New'!$D:$D,'Modelling New'!$AE:$AE),"")</f>
        <v>0.96029999999999993</v>
      </c>
      <c r="AH111" s="142">
        <f>IFERROR(_xlfn.XLOOKUP($D111,'Modelling New'!$D:$D,'Modelling New'!$AF:$AF),"")</f>
        <v>0.995</v>
      </c>
      <c r="AI111" s="109" t="str">
        <f>IFERROR(_xlfn.XLOOKUP($A111,Input_Raw!$A:$A,Input_Raw!$DP:$DP),"")</f>
        <v/>
      </c>
      <c r="AJ111" s="108"/>
      <c r="AK111" s="108"/>
      <c r="AL111" s="108"/>
      <c r="AM111" s="108"/>
      <c r="AN111" s="132" t="str">
        <f>IFERROR(_xlfn.XLOOKUP($A111,Input_Raw!$A:$A,Input_Raw!$DL:$DL),"")</f>
        <v/>
      </c>
      <c r="AO111" s="142" t="str">
        <f>IFERROR((_xlfn.XLOOKUP($A111,'WTG Reactive Power'!$A:$A,'WTG Reactive Power'!$AW:$AW))/X111,"")</f>
        <v/>
      </c>
      <c r="AP111" s="142">
        <f>IFERROR(_xlfn.XLOOKUP($D111,'Modelling New'!$D:$D,'Modelling New'!$AK:$AK),"")</f>
        <v>0.05</v>
      </c>
      <c r="AQ111" s="142">
        <f>IFERROR(_xlfn.XLOOKUP($D111,'Modelling New'!$D:$D,'Modelling New'!$AL:$AL),"")</f>
        <v>0.05</v>
      </c>
      <c r="AR111" s="198">
        <f>IFERROR(_xlfn.XLOOKUP($D111,'Modelling New'!$D:$D,'Modelling New'!$N:$N),"")</f>
        <v>70.400000000000006</v>
      </c>
      <c r="AS111" s="198"/>
    </row>
    <row r="112" spans="1:45">
      <c r="A112" s="137">
        <f t="shared" si="13"/>
        <v>45855</v>
      </c>
      <c r="B112" s="138">
        <f>YEAR(Daily_KPI[[#This Row],[Date]])+IF(MONTH(Daily_KPI[[#This Row],[Date]])&gt;=4,1,0)</f>
        <v>2026</v>
      </c>
      <c r="C112" s="108">
        <f>YEAR(Daily_KPI[[#This Row],[Date]])</f>
        <v>2025</v>
      </c>
      <c r="D112" s="139">
        <f>Daily_KPI[[#This Row],[Date]]-DAY(Daily_KPI[[#This Row],[Date]])+1</f>
        <v>45839</v>
      </c>
      <c r="E112" s="108">
        <f t="shared" si="9"/>
        <v>31</v>
      </c>
      <c r="F112" s="109"/>
      <c r="G112" s="143"/>
      <c r="H112" s="143"/>
      <c r="I112" s="143"/>
      <c r="J112" s="143"/>
      <c r="K112" s="111"/>
      <c r="L112" s="110"/>
      <c r="M112" s="110" t="str">
        <f>IFERROR(_xlfn.XLOOKUP($A112,Input_Raw!$A:$A,Input_Raw!$CQ:$CQ),"")</f>
        <v/>
      </c>
      <c r="N112" s="110" t="str">
        <f>IFERROR(_xlfn.XLOOKUP($A112,Input_Raw!$A:$A,Input_Raw!$CR:$CR),"")</f>
        <v/>
      </c>
      <c r="O112" s="141" t="str">
        <f t="shared" si="10"/>
        <v/>
      </c>
      <c r="P112" s="141" t="str">
        <f>IFERROR(1-SUMIF(WTG_BD!$F:$F,$A112,WTG_BD!$AA:$AA)/($AA112+SUMIF(WTG_BD!$F:$F,$A112,WTG_BD!$AA:$AA)),"")</f>
        <v/>
      </c>
      <c r="Q112" s="141" t="str">
        <f>IFERROR(1-SUMIF(IGA_BD!$F:$F,$A112,IGA_BD!$W:$W)/($AA112+SUMIF(IGA_BD!$F:$F,$A112,IGA_BD!$W:$W)),"")</f>
        <v/>
      </c>
      <c r="R112" s="141" t="str">
        <f>IFERROR(1-SUMIF(Grid_BD!$F:$F,$A112,Grid_BD!$Y:$Y)/($AA112+SUMIF(Grid_BD!$F:$F,$A112,Grid_BD!$Y:$Y)),"")</f>
        <v/>
      </c>
      <c r="S112" s="108"/>
      <c r="T112" s="140"/>
      <c r="U112" s="141"/>
      <c r="V112" s="108"/>
      <c r="W112" s="142" t="str">
        <f t="shared" si="11"/>
        <v/>
      </c>
      <c r="X112" s="108" t="str">
        <f>IFERROR(_xlfn.XLOOKUP($A112,Input_Raw!$A:$A,Input_Raw!$CP:$CP)*1000,"")</f>
        <v/>
      </c>
      <c r="Y112" s="108" t="str">
        <f>IFERROR(_xlfn.XLOOKUP($A112,Input_Raw!$A:$A,Input_Raw!DJ:DJ)*1000,"")</f>
        <v/>
      </c>
      <c r="Z112" s="108" t="str">
        <f>IFERROR(_xlfn.XLOOKUP($A112,Input_Raw!$A:$A,Input_Raw!DK:DK)*1000,"")</f>
        <v/>
      </c>
      <c r="AA112" s="138" t="str">
        <f t="shared" si="12"/>
        <v/>
      </c>
      <c r="AB112" s="108" t="str">
        <f>IFERROR(_xlfn.XLOOKUP($A112,Input_Raw!$A:$A,Input_Raw!$DR:$DR),"")</f>
        <v/>
      </c>
      <c r="AC112" s="143">
        <f>IFERROR(_xlfn.XLOOKUP($D112,'Modelling New'!$D:$D,'Modelling New'!$J:$J),"")</f>
        <v>9.8233333333333324</v>
      </c>
      <c r="AD112" s="138">
        <f>IFERROR(_xlfn.XLOOKUP($D112,'Modelling New'!$D:$D,'Modelling New'!$T:$T)*1000,"")</f>
        <v>904894.00217495637</v>
      </c>
      <c r="AE112" s="142"/>
      <c r="AF112" s="142">
        <f>IFERROR(_xlfn.XLOOKUP($D112,'Modelling New'!$D:$D,'Modelling New'!$W:$W),"")</f>
        <v>0.53556699939332175</v>
      </c>
      <c r="AG112" s="142">
        <f>IFERROR(_xlfn.XLOOKUP($D112,'Modelling New'!$D:$D,'Modelling New'!$AE:$AE),"")</f>
        <v>0.96029999999999993</v>
      </c>
      <c r="AH112" s="142">
        <f>IFERROR(_xlfn.XLOOKUP($D112,'Modelling New'!$D:$D,'Modelling New'!$AF:$AF),"")</f>
        <v>0.995</v>
      </c>
      <c r="AI112" s="109" t="str">
        <f>IFERROR(_xlfn.XLOOKUP($A112,Input_Raw!$A:$A,Input_Raw!$DP:$DP),"")</f>
        <v/>
      </c>
      <c r="AJ112" s="108"/>
      <c r="AK112" s="108"/>
      <c r="AL112" s="108"/>
      <c r="AM112" s="108"/>
      <c r="AN112" s="132" t="str">
        <f>IFERROR(_xlfn.XLOOKUP($A112,Input_Raw!$A:$A,Input_Raw!$DL:$DL),"")</f>
        <v/>
      </c>
      <c r="AO112" s="142" t="str">
        <f>IFERROR((_xlfn.XLOOKUP($A112,'WTG Reactive Power'!$A:$A,'WTG Reactive Power'!$AW:$AW))/X112,"")</f>
        <v/>
      </c>
      <c r="AP112" s="142">
        <f>IFERROR(_xlfn.XLOOKUP($D112,'Modelling New'!$D:$D,'Modelling New'!$AK:$AK),"")</f>
        <v>0.05</v>
      </c>
      <c r="AQ112" s="142">
        <f>IFERROR(_xlfn.XLOOKUP($D112,'Modelling New'!$D:$D,'Modelling New'!$AL:$AL),"")</f>
        <v>0.05</v>
      </c>
      <c r="AR112" s="198">
        <f>IFERROR(_xlfn.XLOOKUP($D112,'Modelling New'!$D:$D,'Modelling New'!$N:$N),"")</f>
        <v>70.400000000000006</v>
      </c>
      <c r="AS112" s="198"/>
    </row>
    <row r="113" spans="1:45">
      <c r="A113" s="137">
        <f t="shared" si="13"/>
        <v>45856</v>
      </c>
      <c r="B113" s="138">
        <f>YEAR(Daily_KPI[[#This Row],[Date]])+IF(MONTH(Daily_KPI[[#This Row],[Date]])&gt;=4,1,0)</f>
        <v>2026</v>
      </c>
      <c r="C113" s="108">
        <f>YEAR(Daily_KPI[[#This Row],[Date]])</f>
        <v>2025</v>
      </c>
      <c r="D113" s="139">
        <f>Daily_KPI[[#This Row],[Date]]-DAY(Daily_KPI[[#This Row],[Date]])+1</f>
        <v>45839</v>
      </c>
      <c r="E113" s="108">
        <f t="shared" si="9"/>
        <v>31</v>
      </c>
      <c r="F113" s="109"/>
      <c r="G113" s="110"/>
      <c r="H113" s="110"/>
      <c r="I113" s="110"/>
      <c r="J113" s="110"/>
      <c r="K113" s="111"/>
      <c r="L113" s="110"/>
      <c r="M113" s="110" t="str">
        <f>IFERROR(_xlfn.XLOOKUP($A113,Input_Raw!$A:$A,Input_Raw!$CQ:$CQ),"")</f>
        <v/>
      </c>
      <c r="N113" s="110" t="str">
        <f>IFERROR(_xlfn.XLOOKUP($A113,Input_Raw!$A:$A,Input_Raw!$CR:$CR),"")</f>
        <v/>
      </c>
      <c r="O113" s="141" t="str">
        <f t="shared" si="10"/>
        <v/>
      </c>
      <c r="P113" s="141" t="str">
        <f>IFERROR(1-SUMIF(WTG_BD!$F:$F,$A113,WTG_BD!$AA:$AA)/($AA113+SUMIF(WTG_BD!$F:$F,$A113,WTG_BD!$AA:$AA)),"")</f>
        <v/>
      </c>
      <c r="Q113" s="141" t="str">
        <f>IFERROR(1-SUMIF(IGA_BD!$F:$F,$A113,IGA_BD!$W:$W)/($AA113+SUMIF(IGA_BD!$F:$F,$A113,IGA_BD!$W:$W)),"")</f>
        <v/>
      </c>
      <c r="R113" s="141" t="str">
        <f>IFERROR(1-SUMIF(Grid_BD!$F:$F,$A113,Grid_BD!$Y:$Y)/($AA113+SUMIF(Grid_BD!$F:$F,$A113,Grid_BD!$Y:$Y)),"")</f>
        <v/>
      </c>
      <c r="S113" s="108"/>
      <c r="T113" s="140"/>
      <c r="U113" s="141"/>
      <c r="V113" s="108"/>
      <c r="W113" s="142" t="str">
        <f t="shared" si="11"/>
        <v/>
      </c>
      <c r="X113" s="108" t="str">
        <f>IFERROR(_xlfn.XLOOKUP($A113,Input_Raw!$A:$A,Input_Raw!$CP:$CP)*1000,"")</f>
        <v/>
      </c>
      <c r="Y113" s="108" t="str">
        <f>IFERROR(_xlfn.XLOOKUP($A113,Input_Raw!$A:$A,Input_Raw!DJ:DJ)*1000,"")</f>
        <v/>
      </c>
      <c r="Z113" s="108" t="str">
        <f>IFERROR(_xlfn.XLOOKUP($A113,Input_Raw!$A:$A,Input_Raw!DK:DK)*1000,"")</f>
        <v/>
      </c>
      <c r="AA113" s="138" t="str">
        <f t="shared" si="12"/>
        <v/>
      </c>
      <c r="AB113" s="108" t="str">
        <f>IFERROR(_xlfn.XLOOKUP($A113,Input_Raw!$A:$A,Input_Raw!$DR:$DR),"")</f>
        <v/>
      </c>
      <c r="AC113" s="143">
        <f>IFERROR(_xlfn.XLOOKUP($D113,'Modelling New'!$D:$D,'Modelling New'!$J:$J),"")</f>
        <v>9.8233333333333324</v>
      </c>
      <c r="AD113" s="138">
        <f>IFERROR(_xlfn.XLOOKUP($D113,'Modelling New'!$D:$D,'Modelling New'!$T:$T)*1000,"")</f>
        <v>904894.00217495637</v>
      </c>
      <c r="AE113" s="142"/>
      <c r="AF113" s="142">
        <f>IFERROR(_xlfn.XLOOKUP($D113,'Modelling New'!$D:$D,'Modelling New'!$W:$W),"")</f>
        <v>0.53556699939332175</v>
      </c>
      <c r="AG113" s="142">
        <f>IFERROR(_xlfn.XLOOKUP($D113,'Modelling New'!$D:$D,'Modelling New'!$AE:$AE),"")</f>
        <v>0.96029999999999993</v>
      </c>
      <c r="AH113" s="142">
        <f>IFERROR(_xlfn.XLOOKUP($D113,'Modelling New'!$D:$D,'Modelling New'!$AF:$AF),"")</f>
        <v>0.995</v>
      </c>
      <c r="AI113" s="109" t="str">
        <f>IFERROR(_xlfn.XLOOKUP($A113,Input_Raw!$A:$A,Input_Raw!$DP:$DP),"")</f>
        <v/>
      </c>
      <c r="AJ113" s="108"/>
      <c r="AK113" s="108"/>
      <c r="AL113" s="108"/>
      <c r="AM113" s="108"/>
      <c r="AN113" s="132" t="str">
        <f>IFERROR(_xlfn.XLOOKUP($A113,Input_Raw!$A:$A,Input_Raw!$DL:$DL),"")</f>
        <v/>
      </c>
      <c r="AO113" s="142" t="str">
        <f>IFERROR((_xlfn.XLOOKUP($A113,'WTG Reactive Power'!$A:$A,'WTG Reactive Power'!$AW:$AW))/X113,"")</f>
        <v/>
      </c>
      <c r="AP113" s="142">
        <f>IFERROR(_xlfn.XLOOKUP($D113,'Modelling New'!$D:$D,'Modelling New'!$AK:$AK),"")</f>
        <v>0.05</v>
      </c>
      <c r="AQ113" s="142">
        <f>IFERROR(_xlfn.XLOOKUP($D113,'Modelling New'!$D:$D,'Modelling New'!$AL:$AL),"")</f>
        <v>0.05</v>
      </c>
      <c r="AR113" s="198">
        <f>IFERROR(_xlfn.XLOOKUP($D113,'Modelling New'!$D:$D,'Modelling New'!$N:$N),"")</f>
        <v>70.400000000000006</v>
      </c>
      <c r="AS113" s="198"/>
    </row>
    <row r="114" spans="1:45">
      <c r="A114" s="137">
        <f t="shared" si="13"/>
        <v>45857</v>
      </c>
      <c r="B114" s="138">
        <f>YEAR(Daily_KPI[[#This Row],[Date]])+IF(MONTH(Daily_KPI[[#This Row],[Date]])&gt;=4,1,0)</f>
        <v>2026</v>
      </c>
      <c r="C114" s="108">
        <f>YEAR(Daily_KPI[[#This Row],[Date]])</f>
        <v>2025</v>
      </c>
      <c r="D114" s="139">
        <f>Daily_KPI[[#This Row],[Date]]-DAY(Daily_KPI[[#This Row],[Date]])+1</f>
        <v>45839</v>
      </c>
      <c r="E114" s="108">
        <f t="shared" si="9"/>
        <v>31</v>
      </c>
      <c r="F114" s="109"/>
      <c r="G114" s="143"/>
      <c r="H114" s="143"/>
      <c r="I114" s="143"/>
      <c r="J114" s="143"/>
      <c r="K114" s="111"/>
      <c r="L114" s="110"/>
      <c r="M114" s="110" t="str">
        <f>IFERROR(_xlfn.XLOOKUP($A114,Input_Raw!$A:$A,Input_Raw!$CQ:$CQ),"")</f>
        <v/>
      </c>
      <c r="N114" s="110" t="str">
        <f>IFERROR(_xlfn.XLOOKUP($A114,Input_Raw!$A:$A,Input_Raw!$CR:$CR),"")</f>
        <v/>
      </c>
      <c r="O114" s="141" t="str">
        <f t="shared" si="10"/>
        <v/>
      </c>
      <c r="P114" s="141" t="str">
        <f>IFERROR(1-SUMIF(WTG_BD!$F:$F,$A114,WTG_BD!$AA:$AA)/($AA114+SUMIF(WTG_BD!$F:$F,$A114,WTG_BD!$AA:$AA)),"")</f>
        <v/>
      </c>
      <c r="Q114" s="141" t="str">
        <f>IFERROR(1-SUMIF(IGA_BD!$F:$F,$A114,IGA_BD!$W:$W)/($AA114+SUMIF(IGA_BD!$F:$F,$A114,IGA_BD!$W:$W)),"")</f>
        <v/>
      </c>
      <c r="R114" s="141" t="str">
        <f>IFERROR(1-SUMIF(Grid_BD!$F:$F,$A114,Grid_BD!$Y:$Y)/($AA114+SUMIF(Grid_BD!$F:$F,$A114,Grid_BD!$Y:$Y)),"")</f>
        <v/>
      </c>
      <c r="S114" s="108"/>
      <c r="T114" s="140"/>
      <c r="U114" s="141"/>
      <c r="V114" s="108"/>
      <c r="W114" s="142" t="str">
        <f t="shared" si="11"/>
        <v/>
      </c>
      <c r="X114" s="108" t="str">
        <f>IFERROR(_xlfn.XLOOKUP($A114,Input_Raw!$A:$A,Input_Raw!$CP:$CP)*1000,"")</f>
        <v/>
      </c>
      <c r="Y114" s="108" t="str">
        <f>IFERROR(_xlfn.XLOOKUP($A114,Input_Raw!$A:$A,Input_Raw!DJ:DJ)*1000,"")</f>
        <v/>
      </c>
      <c r="Z114" s="108" t="str">
        <f>IFERROR(_xlfn.XLOOKUP($A114,Input_Raw!$A:$A,Input_Raw!DK:DK)*1000,"")</f>
        <v/>
      </c>
      <c r="AA114" s="138" t="str">
        <f t="shared" si="12"/>
        <v/>
      </c>
      <c r="AB114" s="108" t="str">
        <f>IFERROR(_xlfn.XLOOKUP($A114,Input_Raw!$A:$A,Input_Raw!$DR:$DR),"")</f>
        <v/>
      </c>
      <c r="AC114" s="143">
        <f>IFERROR(_xlfn.XLOOKUP($D114,'Modelling New'!$D:$D,'Modelling New'!$J:$J),"")</f>
        <v>9.8233333333333324</v>
      </c>
      <c r="AD114" s="138">
        <f>IFERROR(_xlfn.XLOOKUP($D114,'Modelling New'!$D:$D,'Modelling New'!$T:$T)*1000,"")</f>
        <v>904894.00217495637</v>
      </c>
      <c r="AE114" s="142"/>
      <c r="AF114" s="142">
        <f>IFERROR(_xlfn.XLOOKUP($D114,'Modelling New'!$D:$D,'Modelling New'!$W:$W),"")</f>
        <v>0.53556699939332175</v>
      </c>
      <c r="AG114" s="142">
        <f>IFERROR(_xlfn.XLOOKUP($D114,'Modelling New'!$D:$D,'Modelling New'!$AE:$AE),"")</f>
        <v>0.96029999999999993</v>
      </c>
      <c r="AH114" s="142">
        <f>IFERROR(_xlfn.XLOOKUP($D114,'Modelling New'!$D:$D,'Modelling New'!$AF:$AF),"")</f>
        <v>0.995</v>
      </c>
      <c r="AI114" s="109" t="str">
        <f>IFERROR(_xlfn.XLOOKUP($A114,Input_Raw!$A:$A,Input_Raw!$DP:$DP),"")</f>
        <v/>
      </c>
      <c r="AJ114" s="108"/>
      <c r="AK114" s="108"/>
      <c r="AL114" s="108"/>
      <c r="AM114" s="108"/>
      <c r="AN114" s="132" t="str">
        <f>IFERROR(_xlfn.XLOOKUP($A114,Input_Raw!$A:$A,Input_Raw!$DL:$DL),"")</f>
        <v/>
      </c>
      <c r="AO114" s="142" t="str">
        <f>IFERROR((_xlfn.XLOOKUP($A114,'WTG Reactive Power'!$A:$A,'WTG Reactive Power'!$AW:$AW))/X114,"")</f>
        <v/>
      </c>
      <c r="AP114" s="142">
        <f>IFERROR(_xlfn.XLOOKUP($D114,'Modelling New'!$D:$D,'Modelling New'!$AK:$AK),"")</f>
        <v>0.05</v>
      </c>
      <c r="AQ114" s="142">
        <f>IFERROR(_xlfn.XLOOKUP($D114,'Modelling New'!$D:$D,'Modelling New'!$AL:$AL),"")</f>
        <v>0.05</v>
      </c>
      <c r="AR114" s="198">
        <f>IFERROR(_xlfn.XLOOKUP($D114,'Modelling New'!$D:$D,'Modelling New'!$N:$N),"")</f>
        <v>70.400000000000006</v>
      </c>
      <c r="AS114" s="198"/>
    </row>
    <row r="115" spans="1:45">
      <c r="A115" s="137">
        <f t="shared" si="13"/>
        <v>45858</v>
      </c>
      <c r="B115" s="138">
        <f>YEAR(Daily_KPI[[#This Row],[Date]])+IF(MONTH(Daily_KPI[[#This Row],[Date]])&gt;=4,1,0)</f>
        <v>2026</v>
      </c>
      <c r="C115" s="108">
        <f>YEAR(Daily_KPI[[#This Row],[Date]])</f>
        <v>2025</v>
      </c>
      <c r="D115" s="139">
        <f>Daily_KPI[[#This Row],[Date]]-DAY(Daily_KPI[[#This Row],[Date]])+1</f>
        <v>45839</v>
      </c>
      <c r="E115" s="108">
        <f t="shared" si="9"/>
        <v>31</v>
      </c>
      <c r="F115" s="109"/>
      <c r="G115" s="110"/>
      <c r="H115" s="110"/>
      <c r="I115" s="110"/>
      <c r="J115" s="110"/>
      <c r="K115" s="111"/>
      <c r="L115" s="110"/>
      <c r="M115" s="110" t="str">
        <f>IFERROR(_xlfn.XLOOKUP($A115,Input_Raw!$A:$A,Input_Raw!$CQ:$CQ),"")</f>
        <v/>
      </c>
      <c r="N115" s="110" t="str">
        <f>IFERROR(_xlfn.XLOOKUP($A115,Input_Raw!$A:$A,Input_Raw!$CR:$CR),"")</f>
        <v/>
      </c>
      <c r="O115" s="141" t="str">
        <f t="shared" si="10"/>
        <v/>
      </c>
      <c r="P115" s="141" t="str">
        <f>IFERROR(1-SUMIF(WTG_BD!$F:$F,$A115,WTG_BD!$AA:$AA)/($AA115+SUMIF(WTG_BD!$F:$F,$A115,WTG_BD!$AA:$AA)),"")</f>
        <v/>
      </c>
      <c r="Q115" s="141" t="str">
        <f>IFERROR(1-SUMIF(IGA_BD!$F:$F,$A115,IGA_BD!$W:$W)/($AA115+SUMIF(IGA_BD!$F:$F,$A115,IGA_BD!$W:$W)),"")</f>
        <v/>
      </c>
      <c r="R115" s="141" t="str">
        <f>IFERROR(1-SUMIF(Grid_BD!$F:$F,$A115,Grid_BD!$Y:$Y)/($AA115+SUMIF(Grid_BD!$F:$F,$A115,Grid_BD!$Y:$Y)),"")</f>
        <v/>
      </c>
      <c r="S115" s="108"/>
      <c r="T115" s="140"/>
      <c r="U115" s="141"/>
      <c r="V115" s="108"/>
      <c r="W115" s="142" t="str">
        <f t="shared" si="11"/>
        <v/>
      </c>
      <c r="X115" s="108" t="str">
        <f>IFERROR(_xlfn.XLOOKUP($A115,Input_Raw!$A:$A,Input_Raw!$CP:$CP)*1000,"")</f>
        <v/>
      </c>
      <c r="Y115" s="108" t="str">
        <f>IFERROR(_xlfn.XLOOKUP($A115,Input_Raw!$A:$A,Input_Raw!DJ:DJ)*1000,"")</f>
        <v/>
      </c>
      <c r="Z115" s="108" t="str">
        <f>IFERROR(_xlfn.XLOOKUP($A115,Input_Raw!$A:$A,Input_Raw!DK:DK)*1000,"")</f>
        <v/>
      </c>
      <c r="AA115" s="138" t="str">
        <f t="shared" si="12"/>
        <v/>
      </c>
      <c r="AB115" s="108" t="str">
        <f>IFERROR(_xlfn.XLOOKUP($A115,Input_Raw!$A:$A,Input_Raw!$DR:$DR),"")</f>
        <v/>
      </c>
      <c r="AC115" s="143">
        <f>IFERROR(_xlfn.XLOOKUP($D115,'Modelling New'!$D:$D,'Modelling New'!$J:$J),"")</f>
        <v>9.8233333333333324</v>
      </c>
      <c r="AD115" s="138">
        <f>IFERROR(_xlfn.XLOOKUP($D115,'Modelling New'!$D:$D,'Modelling New'!$T:$T)*1000,"")</f>
        <v>904894.00217495637</v>
      </c>
      <c r="AE115" s="142"/>
      <c r="AF115" s="142">
        <f>IFERROR(_xlfn.XLOOKUP($D115,'Modelling New'!$D:$D,'Modelling New'!$W:$W),"")</f>
        <v>0.53556699939332175</v>
      </c>
      <c r="AG115" s="142">
        <f>IFERROR(_xlfn.XLOOKUP($D115,'Modelling New'!$D:$D,'Modelling New'!$AE:$AE),"")</f>
        <v>0.96029999999999993</v>
      </c>
      <c r="AH115" s="142">
        <f>IFERROR(_xlfn.XLOOKUP($D115,'Modelling New'!$D:$D,'Modelling New'!$AF:$AF),"")</f>
        <v>0.995</v>
      </c>
      <c r="AI115" s="109" t="str">
        <f>IFERROR(_xlfn.XLOOKUP($A115,Input_Raw!$A:$A,Input_Raw!$DP:$DP),"")</f>
        <v/>
      </c>
      <c r="AJ115" s="108"/>
      <c r="AK115" s="108"/>
      <c r="AL115" s="108"/>
      <c r="AM115" s="108"/>
      <c r="AN115" s="132" t="str">
        <f>IFERROR(_xlfn.XLOOKUP($A115,Input_Raw!$A:$A,Input_Raw!$DL:$DL),"")</f>
        <v/>
      </c>
      <c r="AO115" s="142" t="str">
        <f>IFERROR((_xlfn.XLOOKUP($A115,'WTG Reactive Power'!$A:$A,'WTG Reactive Power'!$AW:$AW))/X115,"")</f>
        <v/>
      </c>
      <c r="AP115" s="142">
        <f>IFERROR(_xlfn.XLOOKUP($D115,'Modelling New'!$D:$D,'Modelling New'!$AK:$AK),"")</f>
        <v>0.05</v>
      </c>
      <c r="AQ115" s="142">
        <f>IFERROR(_xlfn.XLOOKUP($D115,'Modelling New'!$D:$D,'Modelling New'!$AL:$AL),"")</f>
        <v>0.05</v>
      </c>
      <c r="AR115" s="198">
        <f>IFERROR(_xlfn.XLOOKUP($D115,'Modelling New'!$D:$D,'Modelling New'!$N:$N),"")</f>
        <v>70.400000000000006</v>
      </c>
      <c r="AS115" s="198"/>
    </row>
    <row r="116" spans="1:45">
      <c r="A116" s="137">
        <f t="shared" si="13"/>
        <v>45859</v>
      </c>
      <c r="B116" s="138">
        <f>YEAR(Daily_KPI[[#This Row],[Date]])+IF(MONTH(Daily_KPI[[#This Row],[Date]])&gt;=4,1,0)</f>
        <v>2026</v>
      </c>
      <c r="C116" s="108">
        <f>YEAR(Daily_KPI[[#This Row],[Date]])</f>
        <v>2025</v>
      </c>
      <c r="D116" s="139">
        <f>Daily_KPI[[#This Row],[Date]]-DAY(Daily_KPI[[#This Row],[Date]])+1</f>
        <v>45839</v>
      </c>
      <c r="E116" s="108">
        <f t="shared" si="9"/>
        <v>31</v>
      </c>
      <c r="F116" s="109"/>
      <c r="G116" s="143"/>
      <c r="H116" s="143"/>
      <c r="I116" s="143"/>
      <c r="J116" s="143"/>
      <c r="K116" s="111"/>
      <c r="L116" s="110"/>
      <c r="M116" s="110" t="str">
        <f>IFERROR(_xlfn.XLOOKUP($A116,Input_Raw!$A:$A,Input_Raw!$CQ:$CQ),"")</f>
        <v/>
      </c>
      <c r="N116" s="110" t="str">
        <f>IFERROR(_xlfn.XLOOKUP($A116,Input_Raw!$A:$A,Input_Raw!$CR:$CR),"")</f>
        <v/>
      </c>
      <c r="O116" s="141" t="str">
        <f t="shared" si="10"/>
        <v/>
      </c>
      <c r="P116" s="141" t="str">
        <f>IFERROR(1-SUMIF(WTG_BD!$F:$F,$A116,WTG_BD!$AA:$AA)/($AA116+SUMIF(WTG_BD!$F:$F,$A116,WTG_BD!$AA:$AA)),"")</f>
        <v/>
      </c>
      <c r="Q116" s="141" t="str">
        <f>IFERROR(1-SUMIF(IGA_BD!$F:$F,$A116,IGA_BD!$W:$W)/($AA116+SUMIF(IGA_BD!$F:$F,$A116,IGA_BD!$W:$W)),"")</f>
        <v/>
      </c>
      <c r="R116" s="141" t="str">
        <f>IFERROR(1-SUMIF(Grid_BD!$F:$F,$A116,Grid_BD!$Y:$Y)/($AA116+SUMIF(Grid_BD!$F:$F,$A116,Grid_BD!$Y:$Y)),"")</f>
        <v/>
      </c>
      <c r="S116" s="108"/>
      <c r="T116" s="140"/>
      <c r="U116" s="141"/>
      <c r="V116" s="108"/>
      <c r="W116" s="142" t="str">
        <f t="shared" si="11"/>
        <v/>
      </c>
      <c r="X116" s="108" t="str">
        <f>IFERROR(_xlfn.XLOOKUP($A116,Input_Raw!$A:$A,Input_Raw!$CP:$CP)*1000,"")</f>
        <v/>
      </c>
      <c r="Y116" s="108" t="str">
        <f>IFERROR(_xlfn.XLOOKUP($A116,Input_Raw!$A:$A,Input_Raw!DJ:DJ)*1000,"")</f>
        <v/>
      </c>
      <c r="Z116" s="108" t="str">
        <f>IFERROR(_xlfn.XLOOKUP($A116,Input_Raw!$A:$A,Input_Raw!DK:DK)*1000,"")</f>
        <v/>
      </c>
      <c r="AA116" s="138" t="str">
        <f t="shared" si="12"/>
        <v/>
      </c>
      <c r="AB116" s="108" t="str">
        <f>IFERROR(_xlfn.XLOOKUP($A116,Input_Raw!$A:$A,Input_Raw!$DR:$DR),"")</f>
        <v/>
      </c>
      <c r="AC116" s="143">
        <f>IFERROR(_xlfn.XLOOKUP($D116,'Modelling New'!$D:$D,'Modelling New'!$J:$J),"")</f>
        <v>9.8233333333333324</v>
      </c>
      <c r="AD116" s="138">
        <f>IFERROR(_xlfn.XLOOKUP($D116,'Modelling New'!$D:$D,'Modelling New'!$T:$T)*1000,"")</f>
        <v>904894.00217495637</v>
      </c>
      <c r="AE116" s="142"/>
      <c r="AF116" s="142">
        <f>IFERROR(_xlfn.XLOOKUP($D116,'Modelling New'!$D:$D,'Modelling New'!$W:$W),"")</f>
        <v>0.53556699939332175</v>
      </c>
      <c r="AG116" s="142">
        <f>IFERROR(_xlfn.XLOOKUP($D116,'Modelling New'!$D:$D,'Modelling New'!$AE:$AE),"")</f>
        <v>0.96029999999999993</v>
      </c>
      <c r="AH116" s="142">
        <f>IFERROR(_xlfn.XLOOKUP($D116,'Modelling New'!$D:$D,'Modelling New'!$AF:$AF),"")</f>
        <v>0.995</v>
      </c>
      <c r="AI116" s="109" t="str">
        <f>IFERROR(_xlfn.XLOOKUP($A116,Input_Raw!$A:$A,Input_Raw!$DP:$DP),"")</f>
        <v/>
      </c>
      <c r="AJ116" s="108"/>
      <c r="AK116" s="108"/>
      <c r="AL116" s="108"/>
      <c r="AM116" s="108"/>
      <c r="AN116" s="132" t="str">
        <f>IFERROR(_xlfn.XLOOKUP($A116,Input_Raw!$A:$A,Input_Raw!$DL:$DL),"")</f>
        <v/>
      </c>
      <c r="AO116" s="142" t="str">
        <f>IFERROR((_xlfn.XLOOKUP($A116,'WTG Reactive Power'!$A:$A,'WTG Reactive Power'!$AW:$AW))/X116,"")</f>
        <v/>
      </c>
      <c r="AP116" s="142">
        <f>IFERROR(_xlfn.XLOOKUP($D116,'Modelling New'!$D:$D,'Modelling New'!$AK:$AK),"")</f>
        <v>0.05</v>
      </c>
      <c r="AQ116" s="142">
        <f>IFERROR(_xlfn.XLOOKUP($D116,'Modelling New'!$D:$D,'Modelling New'!$AL:$AL),"")</f>
        <v>0.05</v>
      </c>
      <c r="AR116" s="198">
        <f>IFERROR(_xlfn.XLOOKUP($D116,'Modelling New'!$D:$D,'Modelling New'!$N:$N),"")</f>
        <v>70.400000000000006</v>
      </c>
      <c r="AS116" s="198"/>
    </row>
    <row r="117" spans="1:45">
      <c r="A117" s="137">
        <f t="shared" si="13"/>
        <v>45860</v>
      </c>
      <c r="B117" s="138">
        <f>YEAR(Daily_KPI[[#This Row],[Date]])+IF(MONTH(Daily_KPI[[#This Row],[Date]])&gt;=4,1,0)</f>
        <v>2026</v>
      </c>
      <c r="C117" s="108">
        <f>YEAR(Daily_KPI[[#This Row],[Date]])</f>
        <v>2025</v>
      </c>
      <c r="D117" s="139">
        <f>Daily_KPI[[#This Row],[Date]]-DAY(Daily_KPI[[#This Row],[Date]])+1</f>
        <v>45839</v>
      </c>
      <c r="E117" s="108">
        <f t="shared" si="9"/>
        <v>31</v>
      </c>
      <c r="F117" s="109"/>
      <c r="G117" s="110"/>
      <c r="H117" s="110"/>
      <c r="I117" s="110"/>
      <c r="J117" s="110"/>
      <c r="K117" s="111"/>
      <c r="L117" s="110"/>
      <c r="M117" s="110" t="str">
        <f>IFERROR(_xlfn.XLOOKUP($A117,Input_Raw!$A:$A,Input_Raw!$CQ:$CQ),"")</f>
        <v/>
      </c>
      <c r="N117" s="110" t="str">
        <f>IFERROR(_xlfn.XLOOKUP($A117,Input_Raw!$A:$A,Input_Raw!$CR:$CR),"")</f>
        <v/>
      </c>
      <c r="O117" s="141" t="str">
        <f t="shared" si="10"/>
        <v/>
      </c>
      <c r="P117" s="141" t="str">
        <f>IFERROR(1-SUMIF(WTG_BD!$F:$F,$A117,WTG_BD!$AA:$AA)/($AA117+SUMIF(WTG_BD!$F:$F,$A117,WTG_BD!$AA:$AA)),"")</f>
        <v/>
      </c>
      <c r="Q117" s="141" t="str">
        <f>IFERROR(1-SUMIF(IGA_BD!$F:$F,$A117,IGA_BD!$W:$W)/($AA117+SUMIF(IGA_BD!$F:$F,$A117,IGA_BD!$W:$W)),"")</f>
        <v/>
      </c>
      <c r="R117" s="141" t="str">
        <f>IFERROR(1-SUMIF(Grid_BD!$F:$F,$A117,Grid_BD!$Y:$Y)/($AA117+SUMIF(Grid_BD!$F:$F,$A117,Grid_BD!$Y:$Y)),"")</f>
        <v/>
      </c>
      <c r="S117" s="108"/>
      <c r="T117" s="140"/>
      <c r="U117" s="141"/>
      <c r="V117" s="108"/>
      <c r="W117" s="142" t="str">
        <f t="shared" si="11"/>
        <v/>
      </c>
      <c r="X117" s="108" t="str">
        <f>IFERROR(_xlfn.XLOOKUP($A117,Input_Raw!$A:$A,Input_Raw!$CP:$CP)*1000,"")</f>
        <v/>
      </c>
      <c r="Y117" s="108" t="str">
        <f>IFERROR(_xlfn.XLOOKUP($A117,Input_Raw!$A:$A,Input_Raw!DJ:DJ)*1000,"")</f>
        <v/>
      </c>
      <c r="Z117" s="108" t="str">
        <f>IFERROR(_xlfn.XLOOKUP($A117,Input_Raw!$A:$A,Input_Raw!DK:DK)*1000,"")</f>
        <v/>
      </c>
      <c r="AA117" s="138" t="str">
        <f t="shared" si="12"/>
        <v/>
      </c>
      <c r="AB117" s="108" t="str">
        <f>IFERROR(_xlfn.XLOOKUP($A117,Input_Raw!$A:$A,Input_Raw!$DR:$DR),"")</f>
        <v/>
      </c>
      <c r="AC117" s="143">
        <f>IFERROR(_xlfn.XLOOKUP($D117,'Modelling New'!$D:$D,'Modelling New'!$J:$J),"")</f>
        <v>9.8233333333333324</v>
      </c>
      <c r="AD117" s="138">
        <f>IFERROR(_xlfn.XLOOKUP($D117,'Modelling New'!$D:$D,'Modelling New'!$T:$T)*1000,"")</f>
        <v>904894.00217495637</v>
      </c>
      <c r="AE117" s="142"/>
      <c r="AF117" s="142">
        <f>IFERROR(_xlfn.XLOOKUP($D117,'Modelling New'!$D:$D,'Modelling New'!$W:$W),"")</f>
        <v>0.53556699939332175</v>
      </c>
      <c r="AG117" s="142">
        <f>IFERROR(_xlfn.XLOOKUP($D117,'Modelling New'!$D:$D,'Modelling New'!$AE:$AE),"")</f>
        <v>0.96029999999999993</v>
      </c>
      <c r="AH117" s="142">
        <f>IFERROR(_xlfn.XLOOKUP($D117,'Modelling New'!$D:$D,'Modelling New'!$AF:$AF),"")</f>
        <v>0.995</v>
      </c>
      <c r="AI117" s="109" t="str">
        <f>IFERROR(_xlfn.XLOOKUP($A117,Input_Raw!$A:$A,Input_Raw!$DP:$DP),"")</f>
        <v/>
      </c>
      <c r="AJ117" s="108"/>
      <c r="AK117" s="108"/>
      <c r="AL117" s="108"/>
      <c r="AM117" s="108"/>
      <c r="AN117" s="132" t="str">
        <f>IFERROR(_xlfn.XLOOKUP($A117,Input_Raw!$A:$A,Input_Raw!$DL:$DL),"")</f>
        <v/>
      </c>
      <c r="AO117" s="142" t="str">
        <f>IFERROR((_xlfn.XLOOKUP($A117,'WTG Reactive Power'!$A:$A,'WTG Reactive Power'!$AW:$AW))/X117,"")</f>
        <v/>
      </c>
      <c r="AP117" s="142">
        <f>IFERROR(_xlfn.XLOOKUP($D117,'Modelling New'!$D:$D,'Modelling New'!$AK:$AK),"")</f>
        <v>0.05</v>
      </c>
      <c r="AQ117" s="142">
        <f>IFERROR(_xlfn.XLOOKUP($D117,'Modelling New'!$D:$D,'Modelling New'!$AL:$AL),"")</f>
        <v>0.05</v>
      </c>
      <c r="AR117" s="198">
        <f>IFERROR(_xlfn.XLOOKUP($D117,'Modelling New'!$D:$D,'Modelling New'!$N:$N),"")</f>
        <v>70.400000000000006</v>
      </c>
      <c r="AS117" s="198"/>
    </row>
    <row r="118" spans="1:45">
      <c r="A118" s="137">
        <f t="shared" si="13"/>
        <v>45861</v>
      </c>
      <c r="B118" s="138">
        <f>YEAR(Daily_KPI[[#This Row],[Date]])+IF(MONTH(Daily_KPI[[#This Row],[Date]])&gt;=4,1,0)</f>
        <v>2026</v>
      </c>
      <c r="C118" s="108">
        <f>YEAR(Daily_KPI[[#This Row],[Date]])</f>
        <v>2025</v>
      </c>
      <c r="D118" s="139">
        <f>Daily_KPI[[#This Row],[Date]]-DAY(Daily_KPI[[#This Row],[Date]])+1</f>
        <v>45839</v>
      </c>
      <c r="E118" s="108">
        <f t="shared" si="9"/>
        <v>31</v>
      </c>
      <c r="F118" s="109"/>
      <c r="G118" s="143"/>
      <c r="H118" s="143"/>
      <c r="I118" s="143"/>
      <c r="J118" s="143"/>
      <c r="K118" s="111"/>
      <c r="L118" s="110"/>
      <c r="M118" s="110" t="str">
        <f>IFERROR(_xlfn.XLOOKUP($A118,Input_Raw!$A:$A,Input_Raw!$CQ:$CQ),"")</f>
        <v/>
      </c>
      <c r="N118" s="110" t="str">
        <f>IFERROR(_xlfn.XLOOKUP($A118,Input_Raw!$A:$A,Input_Raw!$CR:$CR),"")</f>
        <v/>
      </c>
      <c r="O118" s="141" t="str">
        <f t="shared" si="10"/>
        <v/>
      </c>
      <c r="P118" s="141" t="str">
        <f>IFERROR(1-SUMIF(WTG_BD!$F:$F,$A118,WTG_BD!$AA:$AA)/($AA118+SUMIF(WTG_BD!$F:$F,$A118,WTG_BD!$AA:$AA)),"")</f>
        <v/>
      </c>
      <c r="Q118" s="141" t="str">
        <f>IFERROR(1-SUMIF(IGA_BD!$F:$F,$A118,IGA_BD!$W:$W)/($AA118+SUMIF(IGA_BD!$F:$F,$A118,IGA_BD!$W:$W)),"")</f>
        <v/>
      </c>
      <c r="R118" s="141" t="str">
        <f>IFERROR(1-SUMIF(Grid_BD!$F:$F,$A118,Grid_BD!$Y:$Y)/($AA118+SUMIF(Grid_BD!$F:$F,$A118,Grid_BD!$Y:$Y)),"")</f>
        <v/>
      </c>
      <c r="S118" s="108"/>
      <c r="T118" s="140"/>
      <c r="U118" s="141"/>
      <c r="V118" s="108"/>
      <c r="W118" s="142" t="str">
        <f t="shared" si="11"/>
        <v/>
      </c>
      <c r="X118" s="108" t="str">
        <f>IFERROR(_xlfn.XLOOKUP($A118,Input_Raw!$A:$A,Input_Raw!$CP:$CP)*1000,"")</f>
        <v/>
      </c>
      <c r="Y118" s="108" t="str">
        <f>IFERROR(_xlfn.XLOOKUP($A118,Input_Raw!$A:$A,Input_Raw!DJ:DJ)*1000,"")</f>
        <v/>
      </c>
      <c r="Z118" s="108" t="str">
        <f>IFERROR(_xlfn.XLOOKUP($A118,Input_Raw!$A:$A,Input_Raw!DK:DK)*1000,"")</f>
        <v/>
      </c>
      <c r="AA118" s="138" t="str">
        <f t="shared" si="12"/>
        <v/>
      </c>
      <c r="AB118" s="108" t="str">
        <f>IFERROR(_xlfn.XLOOKUP($A118,Input_Raw!$A:$A,Input_Raw!$DR:$DR),"")</f>
        <v/>
      </c>
      <c r="AC118" s="143">
        <f>IFERROR(_xlfn.XLOOKUP($D118,'Modelling New'!$D:$D,'Modelling New'!$J:$J),"")</f>
        <v>9.8233333333333324</v>
      </c>
      <c r="AD118" s="138">
        <f>IFERROR(_xlfn.XLOOKUP($D118,'Modelling New'!$D:$D,'Modelling New'!$T:$T)*1000,"")</f>
        <v>904894.00217495637</v>
      </c>
      <c r="AE118" s="142"/>
      <c r="AF118" s="142">
        <f>IFERROR(_xlfn.XLOOKUP($D118,'Modelling New'!$D:$D,'Modelling New'!$W:$W),"")</f>
        <v>0.53556699939332175</v>
      </c>
      <c r="AG118" s="142">
        <f>IFERROR(_xlfn.XLOOKUP($D118,'Modelling New'!$D:$D,'Modelling New'!$AE:$AE),"")</f>
        <v>0.96029999999999993</v>
      </c>
      <c r="AH118" s="142">
        <f>IFERROR(_xlfn.XLOOKUP($D118,'Modelling New'!$D:$D,'Modelling New'!$AF:$AF),"")</f>
        <v>0.995</v>
      </c>
      <c r="AI118" s="109" t="str">
        <f>IFERROR(_xlfn.XLOOKUP($A118,Input_Raw!$A:$A,Input_Raw!$DP:$DP),"")</f>
        <v/>
      </c>
      <c r="AJ118" s="108"/>
      <c r="AK118" s="108"/>
      <c r="AL118" s="108"/>
      <c r="AM118" s="108"/>
      <c r="AN118" s="132" t="str">
        <f>IFERROR(_xlfn.XLOOKUP($A118,Input_Raw!$A:$A,Input_Raw!$DL:$DL),"")</f>
        <v/>
      </c>
      <c r="AO118" s="142" t="str">
        <f>IFERROR((_xlfn.XLOOKUP($A118,'WTG Reactive Power'!$A:$A,'WTG Reactive Power'!$AW:$AW))/X118,"")</f>
        <v/>
      </c>
      <c r="AP118" s="142">
        <f>IFERROR(_xlfn.XLOOKUP($D118,'Modelling New'!$D:$D,'Modelling New'!$AK:$AK),"")</f>
        <v>0.05</v>
      </c>
      <c r="AQ118" s="142">
        <f>IFERROR(_xlfn.XLOOKUP($D118,'Modelling New'!$D:$D,'Modelling New'!$AL:$AL),"")</f>
        <v>0.05</v>
      </c>
      <c r="AR118" s="198">
        <f>IFERROR(_xlfn.XLOOKUP($D118,'Modelling New'!$D:$D,'Modelling New'!$N:$N),"")</f>
        <v>70.400000000000006</v>
      </c>
      <c r="AS118" s="198"/>
    </row>
    <row r="119" spans="1:45">
      <c r="A119" s="137">
        <f t="shared" si="13"/>
        <v>45862</v>
      </c>
      <c r="B119" s="138">
        <f>YEAR(Daily_KPI[[#This Row],[Date]])+IF(MONTH(Daily_KPI[[#This Row],[Date]])&gt;=4,1,0)</f>
        <v>2026</v>
      </c>
      <c r="C119" s="108">
        <f>YEAR(Daily_KPI[[#This Row],[Date]])</f>
        <v>2025</v>
      </c>
      <c r="D119" s="139">
        <f>Daily_KPI[[#This Row],[Date]]-DAY(Daily_KPI[[#This Row],[Date]])+1</f>
        <v>45839</v>
      </c>
      <c r="E119" s="108">
        <f t="shared" si="9"/>
        <v>31</v>
      </c>
      <c r="F119" s="109"/>
      <c r="G119" s="110"/>
      <c r="H119" s="110"/>
      <c r="I119" s="110"/>
      <c r="J119" s="110"/>
      <c r="K119" s="111"/>
      <c r="L119" s="110"/>
      <c r="M119" s="110" t="str">
        <f>IFERROR(_xlfn.XLOOKUP($A119,Input_Raw!$A:$A,Input_Raw!$CQ:$CQ),"")</f>
        <v/>
      </c>
      <c r="N119" s="110" t="str">
        <f>IFERROR(_xlfn.XLOOKUP($A119,Input_Raw!$A:$A,Input_Raw!$CR:$CR),"")</f>
        <v/>
      </c>
      <c r="O119" s="141" t="str">
        <f t="shared" si="10"/>
        <v/>
      </c>
      <c r="P119" s="141" t="str">
        <f>IFERROR(1-SUMIF(WTG_BD!$F:$F,$A119,WTG_BD!$AA:$AA)/($AA119+SUMIF(WTG_BD!$F:$F,$A119,WTG_BD!$AA:$AA)),"")</f>
        <v/>
      </c>
      <c r="Q119" s="141" t="str">
        <f>IFERROR(1-SUMIF(IGA_BD!$F:$F,$A119,IGA_BD!$W:$W)/($AA119+SUMIF(IGA_BD!$F:$F,$A119,IGA_BD!$W:$W)),"")</f>
        <v/>
      </c>
      <c r="R119" s="141" t="str">
        <f>IFERROR(1-SUMIF(Grid_BD!$F:$F,$A119,Grid_BD!$Y:$Y)/($AA119+SUMIF(Grid_BD!$F:$F,$A119,Grid_BD!$Y:$Y)),"")</f>
        <v/>
      </c>
      <c r="S119" s="108"/>
      <c r="T119" s="140"/>
      <c r="U119" s="141"/>
      <c r="V119" s="108"/>
      <c r="W119" s="142" t="str">
        <f t="shared" si="11"/>
        <v/>
      </c>
      <c r="X119" s="108" t="str">
        <f>IFERROR(_xlfn.XLOOKUP($A119,Input_Raw!$A:$A,Input_Raw!$CP:$CP)*1000,"")</f>
        <v/>
      </c>
      <c r="Y119" s="108" t="str">
        <f>IFERROR(_xlfn.XLOOKUP($A119,Input_Raw!$A:$A,Input_Raw!DJ:DJ)*1000,"")</f>
        <v/>
      </c>
      <c r="Z119" s="108" t="str">
        <f>IFERROR(_xlfn.XLOOKUP($A119,Input_Raw!$A:$A,Input_Raw!DK:DK)*1000,"")</f>
        <v/>
      </c>
      <c r="AA119" s="138" t="str">
        <f t="shared" si="12"/>
        <v/>
      </c>
      <c r="AB119" s="108" t="str">
        <f>IFERROR(_xlfn.XLOOKUP($A119,Input_Raw!$A:$A,Input_Raw!$DR:$DR),"")</f>
        <v/>
      </c>
      <c r="AC119" s="143">
        <f>IFERROR(_xlfn.XLOOKUP($D119,'Modelling New'!$D:$D,'Modelling New'!$J:$J),"")</f>
        <v>9.8233333333333324</v>
      </c>
      <c r="AD119" s="138">
        <f>IFERROR(_xlfn.XLOOKUP($D119,'Modelling New'!$D:$D,'Modelling New'!$T:$T)*1000,"")</f>
        <v>904894.00217495637</v>
      </c>
      <c r="AE119" s="142"/>
      <c r="AF119" s="142">
        <f>IFERROR(_xlfn.XLOOKUP($D119,'Modelling New'!$D:$D,'Modelling New'!$W:$W),"")</f>
        <v>0.53556699939332175</v>
      </c>
      <c r="AG119" s="142">
        <f>IFERROR(_xlfn.XLOOKUP($D119,'Modelling New'!$D:$D,'Modelling New'!$AE:$AE),"")</f>
        <v>0.96029999999999993</v>
      </c>
      <c r="AH119" s="142">
        <f>IFERROR(_xlfn.XLOOKUP($D119,'Modelling New'!$D:$D,'Modelling New'!$AF:$AF),"")</f>
        <v>0.995</v>
      </c>
      <c r="AI119" s="109" t="str">
        <f>IFERROR(_xlfn.XLOOKUP($A119,Input_Raw!$A:$A,Input_Raw!$DP:$DP),"")</f>
        <v/>
      </c>
      <c r="AJ119" s="108"/>
      <c r="AK119" s="108"/>
      <c r="AL119" s="108"/>
      <c r="AM119" s="108"/>
      <c r="AN119" s="132" t="str">
        <f>IFERROR(_xlfn.XLOOKUP($A119,Input_Raw!$A:$A,Input_Raw!$DL:$DL),"")</f>
        <v/>
      </c>
      <c r="AO119" s="142" t="str">
        <f>IFERROR((_xlfn.XLOOKUP($A119,'WTG Reactive Power'!$A:$A,'WTG Reactive Power'!$AW:$AW))/X119,"")</f>
        <v/>
      </c>
      <c r="AP119" s="142">
        <f>IFERROR(_xlfn.XLOOKUP($D119,'Modelling New'!$D:$D,'Modelling New'!$AK:$AK),"")</f>
        <v>0.05</v>
      </c>
      <c r="AQ119" s="142">
        <f>IFERROR(_xlfn.XLOOKUP($D119,'Modelling New'!$D:$D,'Modelling New'!$AL:$AL),"")</f>
        <v>0.05</v>
      </c>
      <c r="AR119" s="198">
        <f>IFERROR(_xlfn.XLOOKUP($D119,'Modelling New'!$D:$D,'Modelling New'!$N:$N),"")</f>
        <v>70.400000000000006</v>
      </c>
      <c r="AS119" s="198"/>
    </row>
    <row r="120" spans="1:45">
      <c r="A120" s="137">
        <f t="shared" si="13"/>
        <v>45863</v>
      </c>
      <c r="B120" s="138">
        <f>YEAR(Daily_KPI[[#This Row],[Date]])+IF(MONTH(Daily_KPI[[#This Row],[Date]])&gt;=4,1,0)</f>
        <v>2026</v>
      </c>
      <c r="C120" s="108">
        <f>YEAR(Daily_KPI[[#This Row],[Date]])</f>
        <v>2025</v>
      </c>
      <c r="D120" s="139">
        <f>Daily_KPI[[#This Row],[Date]]-DAY(Daily_KPI[[#This Row],[Date]])+1</f>
        <v>45839</v>
      </c>
      <c r="E120" s="108">
        <f t="shared" si="9"/>
        <v>31</v>
      </c>
      <c r="F120" s="109"/>
      <c r="G120" s="143"/>
      <c r="H120" s="143"/>
      <c r="I120" s="143"/>
      <c r="J120" s="143"/>
      <c r="K120" s="111"/>
      <c r="L120" s="110"/>
      <c r="M120" s="110" t="str">
        <f>IFERROR(_xlfn.XLOOKUP($A120,Input_Raw!$A:$A,Input_Raw!$CQ:$CQ),"")</f>
        <v/>
      </c>
      <c r="N120" s="110" t="str">
        <f>IFERROR(_xlfn.XLOOKUP($A120,Input_Raw!$A:$A,Input_Raw!$CR:$CR),"")</f>
        <v/>
      </c>
      <c r="O120" s="141" t="str">
        <f t="shared" si="10"/>
        <v/>
      </c>
      <c r="P120" s="141" t="str">
        <f>IFERROR(1-SUMIF(WTG_BD!$F:$F,$A120,WTG_BD!$AA:$AA)/($AA120+SUMIF(WTG_BD!$F:$F,$A120,WTG_BD!$AA:$AA)),"")</f>
        <v/>
      </c>
      <c r="Q120" s="141" t="str">
        <f>IFERROR(1-SUMIF(IGA_BD!$F:$F,$A120,IGA_BD!$W:$W)/($AA120+SUMIF(IGA_BD!$F:$F,$A120,IGA_BD!$W:$W)),"")</f>
        <v/>
      </c>
      <c r="R120" s="141" t="str">
        <f>IFERROR(1-SUMIF(Grid_BD!$F:$F,$A120,Grid_BD!$Y:$Y)/($AA120+SUMIF(Grid_BD!$F:$F,$A120,Grid_BD!$Y:$Y)),"")</f>
        <v/>
      </c>
      <c r="S120" s="108"/>
      <c r="T120" s="140"/>
      <c r="U120" s="141"/>
      <c r="V120" s="108"/>
      <c r="W120" s="142" t="str">
        <f t="shared" si="11"/>
        <v/>
      </c>
      <c r="X120" s="108" t="str">
        <f>IFERROR(_xlfn.XLOOKUP($A120,Input_Raw!$A:$A,Input_Raw!$CP:$CP)*1000,"")</f>
        <v/>
      </c>
      <c r="Y120" s="108" t="str">
        <f>IFERROR(_xlfn.XLOOKUP($A120,Input_Raw!$A:$A,Input_Raw!DJ:DJ)*1000,"")</f>
        <v/>
      </c>
      <c r="Z120" s="108" t="str">
        <f>IFERROR(_xlfn.XLOOKUP($A120,Input_Raw!$A:$A,Input_Raw!DK:DK)*1000,"")</f>
        <v/>
      </c>
      <c r="AA120" s="138" t="str">
        <f t="shared" si="12"/>
        <v/>
      </c>
      <c r="AB120" s="108" t="str">
        <f>IFERROR(_xlfn.XLOOKUP($A120,Input_Raw!$A:$A,Input_Raw!$DR:$DR),"")</f>
        <v/>
      </c>
      <c r="AC120" s="143">
        <f>IFERROR(_xlfn.XLOOKUP($D120,'Modelling New'!$D:$D,'Modelling New'!$J:$J),"")</f>
        <v>9.8233333333333324</v>
      </c>
      <c r="AD120" s="138">
        <f>IFERROR(_xlfn.XLOOKUP($D120,'Modelling New'!$D:$D,'Modelling New'!$T:$T)*1000,"")</f>
        <v>904894.00217495637</v>
      </c>
      <c r="AE120" s="142"/>
      <c r="AF120" s="142">
        <f>IFERROR(_xlfn.XLOOKUP($D120,'Modelling New'!$D:$D,'Modelling New'!$W:$W),"")</f>
        <v>0.53556699939332175</v>
      </c>
      <c r="AG120" s="142">
        <f>IFERROR(_xlfn.XLOOKUP($D120,'Modelling New'!$D:$D,'Modelling New'!$AE:$AE),"")</f>
        <v>0.96029999999999993</v>
      </c>
      <c r="AH120" s="142">
        <f>IFERROR(_xlfn.XLOOKUP($D120,'Modelling New'!$D:$D,'Modelling New'!$AF:$AF),"")</f>
        <v>0.995</v>
      </c>
      <c r="AI120" s="109" t="str">
        <f>IFERROR(_xlfn.XLOOKUP($A120,Input_Raw!$A:$A,Input_Raw!$DP:$DP),"")</f>
        <v/>
      </c>
      <c r="AJ120" s="108"/>
      <c r="AK120" s="108"/>
      <c r="AL120" s="108"/>
      <c r="AM120" s="108"/>
      <c r="AN120" s="132" t="str">
        <f>IFERROR(_xlfn.XLOOKUP($A120,Input_Raw!$A:$A,Input_Raw!$DL:$DL),"")</f>
        <v/>
      </c>
      <c r="AO120" s="142" t="str">
        <f>IFERROR((_xlfn.XLOOKUP($A120,'WTG Reactive Power'!$A:$A,'WTG Reactive Power'!$AW:$AW))/X120,"")</f>
        <v/>
      </c>
      <c r="AP120" s="142">
        <f>IFERROR(_xlfn.XLOOKUP($D120,'Modelling New'!$D:$D,'Modelling New'!$AK:$AK),"")</f>
        <v>0.05</v>
      </c>
      <c r="AQ120" s="142">
        <f>IFERROR(_xlfn.XLOOKUP($D120,'Modelling New'!$D:$D,'Modelling New'!$AL:$AL),"")</f>
        <v>0.05</v>
      </c>
      <c r="AR120" s="198">
        <f>IFERROR(_xlfn.XLOOKUP($D120,'Modelling New'!$D:$D,'Modelling New'!$N:$N),"")</f>
        <v>70.400000000000006</v>
      </c>
      <c r="AS120" s="198"/>
    </row>
    <row r="121" spans="1:45">
      <c r="A121" s="137">
        <f t="shared" si="13"/>
        <v>45864</v>
      </c>
      <c r="B121" s="138">
        <f>YEAR(Daily_KPI[[#This Row],[Date]])+IF(MONTH(Daily_KPI[[#This Row],[Date]])&gt;=4,1,0)</f>
        <v>2026</v>
      </c>
      <c r="C121" s="108">
        <f>YEAR(Daily_KPI[[#This Row],[Date]])</f>
        <v>2025</v>
      </c>
      <c r="D121" s="139">
        <f>Daily_KPI[[#This Row],[Date]]-DAY(Daily_KPI[[#This Row],[Date]])+1</f>
        <v>45839</v>
      </c>
      <c r="E121" s="108">
        <f t="shared" si="9"/>
        <v>31</v>
      </c>
      <c r="F121" s="109"/>
      <c r="G121" s="110"/>
      <c r="H121" s="110"/>
      <c r="I121" s="110"/>
      <c r="J121" s="110"/>
      <c r="K121" s="111"/>
      <c r="L121" s="110"/>
      <c r="M121" s="110" t="str">
        <f>IFERROR(_xlfn.XLOOKUP($A121,Input_Raw!$A:$A,Input_Raw!$CQ:$CQ),"")</f>
        <v/>
      </c>
      <c r="N121" s="110" t="str">
        <f>IFERROR(_xlfn.XLOOKUP($A121,Input_Raw!$A:$A,Input_Raw!$CR:$CR),"")</f>
        <v/>
      </c>
      <c r="O121" s="141" t="str">
        <f t="shared" si="10"/>
        <v/>
      </c>
      <c r="P121" s="141" t="str">
        <f>IFERROR(1-SUMIF(WTG_BD!$F:$F,$A121,WTG_BD!$AA:$AA)/($AA121+SUMIF(WTG_BD!$F:$F,$A121,WTG_BD!$AA:$AA)),"")</f>
        <v/>
      </c>
      <c r="Q121" s="141" t="str">
        <f>IFERROR(1-SUMIF(IGA_BD!$F:$F,$A121,IGA_BD!$W:$W)/($AA121+SUMIF(IGA_BD!$F:$F,$A121,IGA_BD!$W:$W)),"")</f>
        <v/>
      </c>
      <c r="R121" s="141" t="str">
        <f>IFERROR(1-SUMIF(Grid_BD!$F:$F,$A121,Grid_BD!$Y:$Y)/($AA121+SUMIF(Grid_BD!$F:$F,$A121,Grid_BD!$Y:$Y)),"")</f>
        <v/>
      </c>
      <c r="S121" s="108"/>
      <c r="T121" s="140"/>
      <c r="U121" s="141"/>
      <c r="V121" s="108"/>
      <c r="W121" s="142" t="str">
        <f t="shared" si="11"/>
        <v/>
      </c>
      <c r="X121" s="108" t="str">
        <f>IFERROR(_xlfn.XLOOKUP($A121,Input_Raw!$A:$A,Input_Raw!$CP:$CP)*1000,"")</f>
        <v/>
      </c>
      <c r="Y121" s="108" t="str">
        <f>IFERROR(_xlfn.XLOOKUP($A121,Input_Raw!$A:$A,Input_Raw!DJ:DJ)*1000,"")</f>
        <v/>
      </c>
      <c r="Z121" s="108" t="str">
        <f>IFERROR(_xlfn.XLOOKUP($A121,Input_Raw!$A:$A,Input_Raw!DK:DK)*1000,"")</f>
        <v/>
      </c>
      <c r="AA121" s="138" t="str">
        <f t="shared" si="12"/>
        <v/>
      </c>
      <c r="AB121" s="108" t="str">
        <f>IFERROR(_xlfn.XLOOKUP($A121,Input_Raw!$A:$A,Input_Raw!$DR:$DR),"")</f>
        <v/>
      </c>
      <c r="AC121" s="143">
        <f>IFERROR(_xlfn.XLOOKUP($D121,'Modelling New'!$D:$D,'Modelling New'!$J:$J),"")</f>
        <v>9.8233333333333324</v>
      </c>
      <c r="AD121" s="138">
        <f>IFERROR(_xlfn.XLOOKUP($D121,'Modelling New'!$D:$D,'Modelling New'!$T:$T)*1000,"")</f>
        <v>904894.00217495637</v>
      </c>
      <c r="AE121" s="142"/>
      <c r="AF121" s="142">
        <f>IFERROR(_xlfn.XLOOKUP($D121,'Modelling New'!$D:$D,'Modelling New'!$W:$W),"")</f>
        <v>0.53556699939332175</v>
      </c>
      <c r="AG121" s="142">
        <f>IFERROR(_xlfn.XLOOKUP($D121,'Modelling New'!$D:$D,'Modelling New'!$AE:$AE),"")</f>
        <v>0.96029999999999993</v>
      </c>
      <c r="AH121" s="142">
        <f>IFERROR(_xlfn.XLOOKUP($D121,'Modelling New'!$D:$D,'Modelling New'!$AF:$AF),"")</f>
        <v>0.995</v>
      </c>
      <c r="AI121" s="109" t="str">
        <f>IFERROR(_xlfn.XLOOKUP($A121,Input_Raw!$A:$A,Input_Raw!$DP:$DP),"")</f>
        <v/>
      </c>
      <c r="AJ121" s="108"/>
      <c r="AK121" s="108"/>
      <c r="AL121" s="108"/>
      <c r="AM121" s="108"/>
      <c r="AN121" s="132" t="str">
        <f>IFERROR(_xlfn.XLOOKUP($A121,Input_Raw!$A:$A,Input_Raw!$DL:$DL),"")</f>
        <v/>
      </c>
      <c r="AO121" s="142" t="str">
        <f>IFERROR((_xlfn.XLOOKUP($A121,'WTG Reactive Power'!$A:$A,'WTG Reactive Power'!$AW:$AW))/X121,"")</f>
        <v/>
      </c>
      <c r="AP121" s="142">
        <f>IFERROR(_xlfn.XLOOKUP($D121,'Modelling New'!$D:$D,'Modelling New'!$AK:$AK),"")</f>
        <v>0.05</v>
      </c>
      <c r="AQ121" s="142">
        <f>IFERROR(_xlfn.XLOOKUP($D121,'Modelling New'!$D:$D,'Modelling New'!$AL:$AL),"")</f>
        <v>0.05</v>
      </c>
      <c r="AR121" s="198">
        <f>IFERROR(_xlfn.XLOOKUP($D121,'Modelling New'!$D:$D,'Modelling New'!$N:$N),"")</f>
        <v>70.400000000000006</v>
      </c>
      <c r="AS121" s="198"/>
    </row>
    <row r="122" spans="1:45">
      <c r="A122" s="137">
        <f t="shared" si="13"/>
        <v>45865</v>
      </c>
      <c r="B122" s="138">
        <f>YEAR(Daily_KPI[[#This Row],[Date]])+IF(MONTH(Daily_KPI[[#This Row],[Date]])&gt;=4,1,0)</f>
        <v>2026</v>
      </c>
      <c r="C122" s="108">
        <f>YEAR(Daily_KPI[[#This Row],[Date]])</f>
        <v>2025</v>
      </c>
      <c r="D122" s="139">
        <f>Daily_KPI[[#This Row],[Date]]-DAY(Daily_KPI[[#This Row],[Date]])+1</f>
        <v>45839</v>
      </c>
      <c r="E122" s="108">
        <f t="shared" si="9"/>
        <v>31</v>
      </c>
      <c r="F122" s="109"/>
      <c r="G122" s="143"/>
      <c r="H122" s="143"/>
      <c r="I122" s="143"/>
      <c r="J122" s="143"/>
      <c r="K122" s="111"/>
      <c r="L122" s="110"/>
      <c r="M122" s="110" t="str">
        <f>IFERROR(_xlfn.XLOOKUP($A122,Input_Raw!$A:$A,Input_Raw!$CQ:$CQ),"")</f>
        <v/>
      </c>
      <c r="N122" s="110" t="str">
        <f>IFERROR(_xlfn.XLOOKUP($A122,Input_Raw!$A:$A,Input_Raw!$CR:$CR),"")</f>
        <v/>
      </c>
      <c r="O122" s="141" t="str">
        <f t="shared" si="10"/>
        <v/>
      </c>
      <c r="P122" s="141" t="str">
        <f>IFERROR(1-SUMIF(WTG_BD!$F:$F,$A122,WTG_BD!$AA:$AA)/($AA122+SUMIF(WTG_BD!$F:$F,$A122,WTG_BD!$AA:$AA)),"")</f>
        <v/>
      </c>
      <c r="Q122" s="141" t="str">
        <f>IFERROR(1-SUMIF(IGA_BD!$F:$F,$A122,IGA_BD!$W:$W)/($AA122+SUMIF(IGA_BD!$F:$F,$A122,IGA_BD!$W:$W)),"")</f>
        <v/>
      </c>
      <c r="R122" s="141" t="str">
        <f>IFERROR(1-SUMIF(Grid_BD!$F:$F,$A122,Grid_BD!$Y:$Y)/($AA122+SUMIF(Grid_BD!$F:$F,$A122,Grid_BD!$Y:$Y)),"")</f>
        <v/>
      </c>
      <c r="S122" s="108"/>
      <c r="T122" s="140"/>
      <c r="U122" s="141"/>
      <c r="V122" s="108"/>
      <c r="W122" s="142" t="str">
        <f t="shared" si="11"/>
        <v/>
      </c>
      <c r="X122" s="108" t="str">
        <f>IFERROR(_xlfn.XLOOKUP($A122,Input_Raw!$A:$A,Input_Raw!$CP:$CP)*1000,"")</f>
        <v/>
      </c>
      <c r="Y122" s="108" t="str">
        <f>IFERROR(_xlfn.XLOOKUP($A122,Input_Raw!$A:$A,Input_Raw!DJ:DJ)*1000,"")</f>
        <v/>
      </c>
      <c r="Z122" s="108" t="str">
        <f>IFERROR(_xlfn.XLOOKUP($A122,Input_Raw!$A:$A,Input_Raw!DK:DK)*1000,"")</f>
        <v/>
      </c>
      <c r="AA122" s="138" t="str">
        <f t="shared" si="12"/>
        <v/>
      </c>
      <c r="AB122" s="108" t="str">
        <f>IFERROR(_xlfn.XLOOKUP($A122,Input_Raw!$A:$A,Input_Raw!$DR:$DR),"")</f>
        <v/>
      </c>
      <c r="AC122" s="143">
        <f>IFERROR(_xlfn.XLOOKUP($D122,'Modelling New'!$D:$D,'Modelling New'!$J:$J),"")</f>
        <v>9.8233333333333324</v>
      </c>
      <c r="AD122" s="138">
        <f>IFERROR(_xlfn.XLOOKUP($D122,'Modelling New'!$D:$D,'Modelling New'!$T:$T)*1000,"")</f>
        <v>904894.00217495637</v>
      </c>
      <c r="AE122" s="142"/>
      <c r="AF122" s="142">
        <f>IFERROR(_xlfn.XLOOKUP($D122,'Modelling New'!$D:$D,'Modelling New'!$W:$W),"")</f>
        <v>0.53556699939332175</v>
      </c>
      <c r="AG122" s="142">
        <f>IFERROR(_xlfn.XLOOKUP($D122,'Modelling New'!$D:$D,'Modelling New'!$AE:$AE),"")</f>
        <v>0.96029999999999993</v>
      </c>
      <c r="AH122" s="142">
        <f>IFERROR(_xlfn.XLOOKUP($D122,'Modelling New'!$D:$D,'Modelling New'!$AF:$AF),"")</f>
        <v>0.995</v>
      </c>
      <c r="AI122" s="109" t="str">
        <f>IFERROR(_xlfn.XLOOKUP($A122,Input_Raw!$A:$A,Input_Raw!$DP:$DP),"")</f>
        <v/>
      </c>
      <c r="AJ122" s="108"/>
      <c r="AK122" s="108"/>
      <c r="AL122" s="108"/>
      <c r="AM122" s="108"/>
      <c r="AN122" s="132" t="str">
        <f>IFERROR(_xlfn.XLOOKUP($A122,Input_Raw!$A:$A,Input_Raw!$DL:$DL),"")</f>
        <v/>
      </c>
      <c r="AO122" s="142" t="str">
        <f>IFERROR((_xlfn.XLOOKUP($A122,'WTG Reactive Power'!$A:$A,'WTG Reactive Power'!$AW:$AW))/X122,"")</f>
        <v/>
      </c>
      <c r="AP122" s="142">
        <f>IFERROR(_xlfn.XLOOKUP($D122,'Modelling New'!$D:$D,'Modelling New'!$AK:$AK),"")</f>
        <v>0.05</v>
      </c>
      <c r="AQ122" s="142">
        <f>IFERROR(_xlfn.XLOOKUP($D122,'Modelling New'!$D:$D,'Modelling New'!$AL:$AL),"")</f>
        <v>0.05</v>
      </c>
      <c r="AR122" s="198">
        <f>IFERROR(_xlfn.XLOOKUP($D122,'Modelling New'!$D:$D,'Modelling New'!$N:$N),"")</f>
        <v>70.400000000000006</v>
      </c>
      <c r="AS122" s="198"/>
    </row>
    <row r="123" spans="1:45">
      <c r="A123" s="137">
        <f t="shared" si="13"/>
        <v>45866</v>
      </c>
      <c r="B123" s="138">
        <f>YEAR(Daily_KPI[[#This Row],[Date]])+IF(MONTH(Daily_KPI[[#This Row],[Date]])&gt;=4,1,0)</f>
        <v>2026</v>
      </c>
      <c r="C123" s="108">
        <f>YEAR(Daily_KPI[[#This Row],[Date]])</f>
        <v>2025</v>
      </c>
      <c r="D123" s="139">
        <f>Daily_KPI[[#This Row],[Date]]-DAY(Daily_KPI[[#This Row],[Date]])+1</f>
        <v>45839</v>
      </c>
      <c r="E123" s="108">
        <f t="shared" si="9"/>
        <v>31</v>
      </c>
      <c r="F123" s="109"/>
      <c r="G123" s="110"/>
      <c r="H123" s="110"/>
      <c r="I123" s="110"/>
      <c r="J123" s="110"/>
      <c r="K123" s="111"/>
      <c r="L123" s="110"/>
      <c r="M123" s="110" t="str">
        <f>IFERROR(_xlfn.XLOOKUP($A123,Input_Raw!$A:$A,Input_Raw!$CQ:$CQ),"")</f>
        <v/>
      </c>
      <c r="N123" s="110" t="str">
        <f>IFERROR(_xlfn.XLOOKUP($A123,Input_Raw!$A:$A,Input_Raw!$CR:$CR),"")</f>
        <v/>
      </c>
      <c r="O123" s="141" t="str">
        <f t="shared" si="10"/>
        <v/>
      </c>
      <c r="P123" s="141" t="str">
        <f>IFERROR(1-SUMIF(WTG_BD!$F:$F,$A123,WTG_BD!$AA:$AA)/($AA123+SUMIF(WTG_BD!$F:$F,$A123,WTG_BD!$AA:$AA)),"")</f>
        <v/>
      </c>
      <c r="Q123" s="141" t="str">
        <f>IFERROR(1-SUMIF(IGA_BD!$F:$F,$A123,IGA_BD!$W:$W)/($AA123+SUMIF(IGA_BD!$F:$F,$A123,IGA_BD!$W:$W)),"")</f>
        <v/>
      </c>
      <c r="R123" s="141" t="str">
        <f>IFERROR(1-SUMIF(Grid_BD!$F:$F,$A123,Grid_BD!$Y:$Y)/($AA123+SUMIF(Grid_BD!$F:$F,$A123,Grid_BD!$Y:$Y)),"")</f>
        <v/>
      </c>
      <c r="S123" s="108"/>
      <c r="T123" s="140"/>
      <c r="U123" s="141"/>
      <c r="V123" s="108"/>
      <c r="W123" s="142" t="str">
        <f t="shared" si="11"/>
        <v/>
      </c>
      <c r="X123" s="108" t="str">
        <f>IFERROR(_xlfn.XLOOKUP($A123,Input_Raw!$A:$A,Input_Raw!$CP:$CP)*1000,"")</f>
        <v/>
      </c>
      <c r="Y123" s="108" t="str">
        <f>IFERROR(_xlfn.XLOOKUP($A123,Input_Raw!$A:$A,Input_Raw!DJ:DJ)*1000,"")</f>
        <v/>
      </c>
      <c r="Z123" s="108" t="str">
        <f>IFERROR(_xlfn.XLOOKUP($A123,Input_Raw!$A:$A,Input_Raw!DK:DK)*1000,"")</f>
        <v/>
      </c>
      <c r="AA123" s="138" t="str">
        <f t="shared" si="12"/>
        <v/>
      </c>
      <c r="AB123" s="108" t="str">
        <f>IFERROR(_xlfn.XLOOKUP($A123,Input_Raw!$A:$A,Input_Raw!$DR:$DR),"")</f>
        <v/>
      </c>
      <c r="AC123" s="143">
        <f>IFERROR(_xlfn.XLOOKUP($D123,'Modelling New'!$D:$D,'Modelling New'!$J:$J),"")</f>
        <v>9.8233333333333324</v>
      </c>
      <c r="AD123" s="138">
        <f>IFERROR(_xlfn.XLOOKUP($D123,'Modelling New'!$D:$D,'Modelling New'!$T:$T)*1000,"")</f>
        <v>904894.00217495637</v>
      </c>
      <c r="AE123" s="142"/>
      <c r="AF123" s="142">
        <f>IFERROR(_xlfn.XLOOKUP($D123,'Modelling New'!$D:$D,'Modelling New'!$W:$W),"")</f>
        <v>0.53556699939332175</v>
      </c>
      <c r="AG123" s="142">
        <f>IFERROR(_xlfn.XLOOKUP($D123,'Modelling New'!$D:$D,'Modelling New'!$AE:$AE),"")</f>
        <v>0.96029999999999993</v>
      </c>
      <c r="AH123" s="142">
        <f>IFERROR(_xlfn.XLOOKUP($D123,'Modelling New'!$D:$D,'Modelling New'!$AF:$AF),"")</f>
        <v>0.995</v>
      </c>
      <c r="AI123" s="109" t="str">
        <f>IFERROR(_xlfn.XLOOKUP($A123,Input_Raw!$A:$A,Input_Raw!$DP:$DP),"")</f>
        <v/>
      </c>
      <c r="AJ123" s="108"/>
      <c r="AK123" s="108"/>
      <c r="AL123" s="108"/>
      <c r="AM123" s="108"/>
      <c r="AN123" s="132" t="str">
        <f>IFERROR(_xlfn.XLOOKUP($A123,Input_Raw!$A:$A,Input_Raw!$DL:$DL),"")</f>
        <v/>
      </c>
      <c r="AO123" s="142" t="str">
        <f>IFERROR((_xlfn.XLOOKUP($A123,'WTG Reactive Power'!$A:$A,'WTG Reactive Power'!$AW:$AW))/X123,"")</f>
        <v/>
      </c>
      <c r="AP123" s="142">
        <f>IFERROR(_xlfn.XLOOKUP($D123,'Modelling New'!$D:$D,'Modelling New'!$AK:$AK),"")</f>
        <v>0.05</v>
      </c>
      <c r="AQ123" s="142">
        <f>IFERROR(_xlfn.XLOOKUP($D123,'Modelling New'!$D:$D,'Modelling New'!$AL:$AL),"")</f>
        <v>0.05</v>
      </c>
      <c r="AR123" s="198">
        <f>IFERROR(_xlfn.XLOOKUP($D123,'Modelling New'!$D:$D,'Modelling New'!$N:$N),"")</f>
        <v>70.400000000000006</v>
      </c>
      <c r="AS123" s="198"/>
    </row>
    <row r="124" spans="1:45">
      <c r="A124" s="137">
        <f t="shared" si="13"/>
        <v>45867</v>
      </c>
      <c r="B124" s="138">
        <f>YEAR(Daily_KPI[[#This Row],[Date]])+IF(MONTH(Daily_KPI[[#This Row],[Date]])&gt;=4,1,0)</f>
        <v>2026</v>
      </c>
      <c r="C124" s="108">
        <f>YEAR(Daily_KPI[[#This Row],[Date]])</f>
        <v>2025</v>
      </c>
      <c r="D124" s="139">
        <f>Daily_KPI[[#This Row],[Date]]-DAY(Daily_KPI[[#This Row],[Date]])+1</f>
        <v>45839</v>
      </c>
      <c r="E124" s="108">
        <f t="shared" si="9"/>
        <v>31</v>
      </c>
      <c r="F124" s="109"/>
      <c r="G124" s="143"/>
      <c r="H124" s="143"/>
      <c r="I124" s="143"/>
      <c r="J124" s="143"/>
      <c r="K124" s="111"/>
      <c r="L124" s="110"/>
      <c r="M124" s="110" t="str">
        <f>IFERROR(_xlfn.XLOOKUP($A124,Input_Raw!$A:$A,Input_Raw!$CQ:$CQ),"")</f>
        <v/>
      </c>
      <c r="N124" s="110" t="str">
        <f>IFERROR(_xlfn.XLOOKUP($A124,Input_Raw!$A:$A,Input_Raw!$CR:$CR),"")</f>
        <v/>
      </c>
      <c r="O124" s="141" t="str">
        <f t="shared" si="10"/>
        <v/>
      </c>
      <c r="P124" s="141" t="str">
        <f>IFERROR(1-SUMIF(WTG_BD!$F:$F,$A124,WTG_BD!$AA:$AA)/($AA124+SUMIF(WTG_BD!$F:$F,$A124,WTG_BD!$AA:$AA)),"")</f>
        <v/>
      </c>
      <c r="Q124" s="141" t="str">
        <f>IFERROR(1-SUMIF(IGA_BD!$F:$F,$A124,IGA_BD!$W:$W)/($AA124+SUMIF(IGA_BD!$F:$F,$A124,IGA_BD!$W:$W)),"")</f>
        <v/>
      </c>
      <c r="R124" s="141" t="str">
        <f>IFERROR(1-SUMIF(Grid_BD!$F:$F,$A124,Grid_BD!$Y:$Y)/($AA124+SUMIF(Grid_BD!$F:$F,$A124,Grid_BD!$Y:$Y)),"")</f>
        <v/>
      </c>
      <c r="S124" s="108"/>
      <c r="T124" s="140"/>
      <c r="U124" s="141"/>
      <c r="V124" s="108"/>
      <c r="W124" s="142" t="str">
        <f t="shared" si="11"/>
        <v/>
      </c>
      <c r="X124" s="108" t="str">
        <f>IFERROR(_xlfn.XLOOKUP($A124,Input_Raw!$A:$A,Input_Raw!$CP:$CP)*1000,"")</f>
        <v/>
      </c>
      <c r="Y124" s="108" t="str">
        <f>IFERROR(_xlfn.XLOOKUP($A124,Input_Raw!$A:$A,Input_Raw!DJ:DJ)*1000,"")</f>
        <v/>
      </c>
      <c r="Z124" s="108" t="str">
        <f>IFERROR(_xlfn.XLOOKUP($A124,Input_Raw!$A:$A,Input_Raw!DK:DK)*1000,"")</f>
        <v/>
      </c>
      <c r="AA124" s="138" t="str">
        <f t="shared" si="12"/>
        <v/>
      </c>
      <c r="AB124" s="108" t="str">
        <f>IFERROR(_xlfn.XLOOKUP($A124,Input_Raw!$A:$A,Input_Raw!$DR:$DR),"")</f>
        <v/>
      </c>
      <c r="AC124" s="143">
        <f>IFERROR(_xlfn.XLOOKUP($D124,'Modelling New'!$D:$D,'Modelling New'!$J:$J),"")</f>
        <v>9.8233333333333324</v>
      </c>
      <c r="AD124" s="138">
        <f>IFERROR(_xlfn.XLOOKUP($D124,'Modelling New'!$D:$D,'Modelling New'!$T:$T)*1000,"")</f>
        <v>904894.00217495637</v>
      </c>
      <c r="AE124" s="142"/>
      <c r="AF124" s="142">
        <f>IFERROR(_xlfn.XLOOKUP($D124,'Modelling New'!$D:$D,'Modelling New'!$W:$W),"")</f>
        <v>0.53556699939332175</v>
      </c>
      <c r="AG124" s="142">
        <f>IFERROR(_xlfn.XLOOKUP($D124,'Modelling New'!$D:$D,'Modelling New'!$AE:$AE),"")</f>
        <v>0.96029999999999993</v>
      </c>
      <c r="AH124" s="142">
        <f>IFERROR(_xlfn.XLOOKUP($D124,'Modelling New'!$D:$D,'Modelling New'!$AF:$AF),"")</f>
        <v>0.995</v>
      </c>
      <c r="AI124" s="109" t="str">
        <f>IFERROR(_xlfn.XLOOKUP($A124,Input_Raw!$A:$A,Input_Raw!$DP:$DP),"")</f>
        <v/>
      </c>
      <c r="AJ124" s="108"/>
      <c r="AK124" s="108"/>
      <c r="AL124" s="108"/>
      <c r="AM124" s="108"/>
      <c r="AN124" s="132" t="str">
        <f>IFERROR(_xlfn.XLOOKUP($A124,Input_Raw!$A:$A,Input_Raw!$DL:$DL),"")</f>
        <v/>
      </c>
      <c r="AO124" s="142" t="str">
        <f>IFERROR((_xlfn.XLOOKUP($A124,'WTG Reactive Power'!$A:$A,'WTG Reactive Power'!$AW:$AW))/X124,"")</f>
        <v/>
      </c>
      <c r="AP124" s="142">
        <f>IFERROR(_xlfn.XLOOKUP($D124,'Modelling New'!$D:$D,'Modelling New'!$AK:$AK),"")</f>
        <v>0.05</v>
      </c>
      <c r="AQ124" s="142">
        <f>IFERROR(_xlfn.XLOOKUP($D124,'Modelling New'!$D:$D,'Modelling New'!$AL:$AL),"")</f>
        <v>0.05</v>
      </c>
      <c r="AR124" s="198">
        <f>IFERROR(_xlfn.XLOOKUP($D124,'Modelling New'!$D:$D,'Modelling New'!$N:$N),"")</f>
        <v>70.400000000000006</v>
      </c>
      <c r="AS124" s="198"/>
    </row>
    <row r="125" spans="1:45">
      <c r="A125" s="137">
        <f t="shared" si="13"/>
        <v>45868</v>
      </c>
      <c r="B125" s="138">
        <f>YEAR(Daily_KPI[[#This Row],[Date]])+IF(MONTH(Daily_KPI[[#This Row],[Date]])&gt;=4,1,0)</f>
        <v>2026</v>
      </c>
      <c r="C125" s="108">
        <f>YEAR(Daily_KPI[[#This Row],[Date]])</f>
        <v>2025</v>
      </c>
      <c r="D125" s="139">
        <f>Daily_KPI[[#This Row],[Date]]-DAY(Daily_KPI[[#This Row],[Date]])+1</f>
        <v>45839</v>
      </c>
      <c r="E125" s="108">
        <f t="shared" ref="E125:E188" si="14">DAY(EOMONTH(A125,0))</f>
        <v>31</v>
      </c>
      <c r="F125" s="109"/>
      <c r="G125" s="110"/>
      <c r="H125" s="110"/>
      <c r="I125" s="110"/>
      <c r="J125" s="110"/>
      <c r="K125" s="111"/>
      <c r="L125" s="110"/>
      <c r="M125" s="110" t="str">
        <f>IFERROR(_xlfn.XLOOKUP($A125,Input_Raw!$A:$A,Input_Raw!$CQ:$CQ),"")</f>
        <v/>
      </c>
      <c r="N125" s="110" t="str">
        <f>IFERROR(_xlfn.XLOOKUP($A125,Input_Raw!$A:$A,Input_Raw!$CR:$CR),"")</f>
        <v/>
      </c>
      <c r="O125" s="141" t="str">
        <f t="shared" ref="O125:O188" si="15">IFERROR(P125*Q125,"")</f>
        <v/>
      </c>
      <c r="P125" s="141" t="str">
        <f>IFERROR(1-SUMIF(WTG_BD!$F:$F,$A125,WTG_BD!$AA:$AA)/($AA125+SUMIF(WTG_BD!$F:$F,$A125,WTG_BD!$AA:$AA)),"")</f>
        <v/>
      </c>
      <c r="Q125" s="141" t="str">
        <f>IFERROR(1-SUMIF(IGA_BD!$F:$F,$A125,IGA_BD!$W:$W)/($AA125+SUMIF(IGA_BD!$F:$F,$A125,IGA_BD!$W:$W)),"")</f>
        <v/>
      </c>
      <c r="R125" s="141" t="str">
        <f>IFERROR(1-SUMIF(Grid_BD!$F:$F,$A125,Grid_BD!$Y:$Y)/($AA125+SUMIF(Grid_BD!$F:$F,$A125,Grid_BD!$Y:$Y)),"")</f>
        <v/>
      </c>
      <c r="S125" s="108"/>
      <c r="T125" s="140"/>
      <c r="U125" s="141"/>
      <c r="V125" s="108"/>
      <c r="W125" s="142" t="str">
        <f t="shared" ref="W125:W188" si="16">IFERROR(X125/(24*AB125*1000),"")</f>
        <v/>
      </c>
      <c r="X125" s="108" t="str">
        <f>IFERROR(_xlfn.XLOOKUP($A125,Input_Raw!$A:$A,Input_Raw!$CP:$CP)*1000,"")</f>
        <v/>
      </c>
      <c r="Y125" s="108" t="str">
        <f>IFERROR(_xlfn.XLOOKUP($A125,Input_Raw!$A:$A,Input_Raw!DJ:DJ)*1000,"")</f>
        <v/>
      </c>
      <c r="Z125" s="108" t="str">
        <f>IFERROR(_xlfn.XLOOKUP($A125,Input_Raw!$A:$A,Input_Raw!DK:DK)*1000,"")</f>
        <v/>
      </c>
      <c r="AA125" s="138" t="str">
        <f t="shared" ref="AA125:AA188" si="17">IFERROR(Y125-Z125,"")</f>
        <v/>
      </c>
      <c r="AB125" s="108" t="str">
        <f>IFERROR(_xlfn.XLOOKUP($A125,Input_Raw!$A:$A,Input_Raw!$DR:$DR),"")</f>
        <v/>
      </c>
      <c r="AC125" s="143">
        <f>IFERROR(_xlfn.XLOOKUP($D125,'Modelling New'!$D:$D,'Modelling New'!$J:$J),"")</f>
        <v>9.8233333333333324</v>
      </c>
      <c r="AD125" s="138">
        <f>IFERROR(_xlfn.XLOOKUP($D125,'Modelling New'!$D:$D,'Modelling New'!$T:$T)*1000,"")</f>
        <v>904894.00217495637</v>
      </c>
      <c r="AE125" s="142"/>
      <c r="AF125" s="142">
        <f>IFERROR(_xlfn.XLOOKUP($D125,'Modelling New'!$D:$D,'Modelling New'!$W:$W),"")</f>
        <v>0.53556699939332175</v>
      </c>
      <c r="AG125" s="142">
        <f>IFERROR(_xlfn.XLOOKUP($D125,'Modelling New'!$D:$D,'Modelling New'!$AE:$AE),"")</f>
        <v>0.96029999999999993</v>
      </c>
      <c r="AH125" s="142">
        <f>IFERROR(_xlfn.XLOOKUP($D125,'Modelling New'!$D:$D,'Modelling New'!$AF:$AF),"")</f>
        <v>0.995</v>
      </c>
      <c r="AI125" s="109" t="str">
        <f>IFERROR(_xlfn.XLOOKUP($A125,Input_Raw!$A:$A,Input_Raw!$DP:$DP),"")</f>
        <v/>
      </c>
      <c r="AJ125" s="108"/>
      <c r="AK125" s="108"/>
      <c r="AL125" s="108"/>
      <c r="AM125" s="108"/>
      <c r="AN125" s="132" t="str">
        <f>IFERROR(_xlfn.XLOOKUP($A125,Input_Raw!$A:$A,Input_Raw!$DL:$DL),"")</f>
        <v/>
      </c>
      <c r="AO125" s="142" t="str">
        <f>IFERROR((_xlfn.XLOOKUP($A125,'WTG Reactive Power'!$A:$A,'WTG Reactive Power'!$AW:$AW))/X125,"")</f>
        <v/>
      </c>
      <c r="AP125" s="142">
        <f>IFERROR(_xlfn.XLOOKUP($D125,'Modelling New'!$D:$D,'Modelling New'!$AK:$AK),"")</f>
        <v>0.05</v>
      </c>
      <c r="AQ125" s="142">
        <f>IFERROR(_xlfn.XLOOKUP($D125,'Modelling New'!$D:$D,'Modelling New'!$AL:$AL),"")</f>
        <v>0.05</v>
      </c>
      <c r="AR125" s="198">
        <f>IFERROR(_xlfn.XLOOKUP($D125,'Modelling New'!$D:$D,'Modelling New'!$N:$N),"")</f>
        <v>70.400000000000006</v>
      </c>
      <c r="AS125" s="198"/>
    </row>
    <row r="126" spans="1:45">
      <c r="A126" s="137">
        <f t="shared" si="13"/>
        <v>45869</v>
      </c>
      <c r="B126" s="138">
        <f>YEAR(Daily_KPI[[#This Row],[Date]])+IF(MONTH(Daily_KPI[[#This Row],[Date]])&gt;=4,1,0)</f>
        <v>2026</v>
      </c>
      <c r="C126" s="108">
        <f>YEAR(Daily_KPI[[#This Row],[Date]])</f>
        <v>2025</v>
      </c>
      <c r="D126" s="139">
        <f>Daily_KPI[[#This Row],[Date]]-DAY(Daily_KPI[[#This Row],[Date]])+1</f>
        <v>45839</v>
      </c>
      <c r="E126" s="108">
        <f t="shared" si="14"/>
        <v>31</v>
      </c>
      <c r="F126" s="109"/>
      <c r="G126" s="143"/>
      <c r="H126" s="143"/>
      <c r="I126" s="143"/>
      <c r="J126" s="143"/>
      <c r="K126" s="111"/>
      <c r="L126" s="110"/>
      <c r="M126" s="110" t="str">
        <f>IFERROR(_xlfn.XLOOKUP($A126,Input_Raw!$A:$A,Input_Raw!$CQ:$CQ),"")</f>
        <v/>
      </c>
      <c r="N126" s="110" t="str">
        <f>IFERROR(_xlfn.XLOOKUP($A126,Input_Raw!$A:$A,Input_Raw!$CR:$CR),"")</f>
        <v/>
      </c>
      <c r="O126" s="141" t="str">
        <f t="shared" si="15"/>
        <v/>
      </c>
      <c r="P126" s="141" t="str">
        <f>IFERROR(1-SUMIF(WTG_BD!$F:$F,$A126,WTG_BD!$AA:$AA)/($AA126+SUMIF(WTG_BD!$F:$F,$A126,WTG_BD!$AA:$AA)),"")</f>
        <v/>
      </c>
      <c r="Q126" s="141" t="str">
        <f>IFERROR(1-SUMIF(IGA_BD!$F:$F,$A126,IGA_BD!$W:$W)/($AA126+SUMIF(IGA_BD!$F:$F,$A126,IGA_BD!$W:$W)),"")</f>
        <v/>
      </c>
      <c r="R126" s="141" t="str">
        <f>IFERROR(1-SUMIF(Grid_BD!$F:$F,$A126,Grid_BD!$Y:$Y)/($AA126+SUMIF(Grid_BD!$F:$F,$A126,Grid_BD!$Y:$Y)),"")</f>
        <v/>
      </c>
      <c r="S126" s="108"/>
      <c r="T126" s="140"/>
      <c r="U126" s="141"/>
      <c r="V126" s="108"/>
      <c r="W126" s="142" t="str">
        <f t="shared" si="16"/>
        <v/>
      </c>
      <c r="X126" s="108" t="str">
        <f>IFERROR(_xlfn.XLOOKUP($A126,Input_Raw!$A:$A,Input_Raw!$CP:$CP)*1000,"")</f>
        <v/>
      </c>
      <c r="Y126" s="108" t="str">
        <f>IFERROR(_xlfn.XLOOKUP($A126,Input_Raw!$A:$A,Input_Raw!DJ:DJ)*1000,"")</f>
        <v/>
      </c>
      <c r="Z126" s="108" t="str">
        <f>IFERROR(_xlfn.XLOOKUP($A126,Input_Raw!$A:$A,Input_Raw!DK:DK)*1000,"")</f>
        <v/>
      </c>
      <c r="AA126" s="138" t="str">
        <f t="shared" si="17"/>
        <v/>
      </c>
      <c r="AB126" s="108" t="str">
        <f>IFERROR(_xlfn.XLOOKUP($A126,Input_Raw!$A:$A,Input_Raw!$DR:$DR),"")</f>
        <v/>
      </c>
      <c r="AC126" s="143">
        <f>IFERROR(_xlfn.XLOOKUP($D126,'Modelling New'!$D:$D,'Modelling New'!$J:$J),"")</f>
        <v>9.8233333333333324</v>
      </c>
      <c r="AD126" s="138">
        <f>IFERROR(_xlfn.XLOOKUP($D126,'Modelling New'!$D:$D,'Modelling New'!$T:$T)*1000,"")</f>
        <v>904894.00217495637</v>
      </c>
      <c r="AE126" s="142"/>
      <c r="AF126" s="142">
        <f>IFERROR(_xlfn.XLOOKUP($D126,'Modelling New'!$D:$D,'Modelling New'!$W:$W),"")</f>
        <v>0.53556699939332175</v>
      </c>
      <c r="AG126" s="142">
        <f>IFERROR(_xlfn.XLOOKUP($D126,'Modelling New'!$D:$D,'Modelling New'!$AE:$AE),"")</f>
        <v>0.96029999999999993</v>
      </c>
      <c r="AH126" s="142">
        <f>IFERROR(_xlfn.XLOOKUP($D126,'Modelling New'!$D:$D,'Modelling New'!$AF:$AF),"")</f>
        <v>0.995</v>
      </c>
      <c r="AI126" s="109" t="str">
        <f>IFERROR(_xlfn.XLOOKUP($A126,Input_Raw!$A:$A,Input_Raw!$DP:$DP),"")</f>
        <v/>
      </c>
      <c r="AJ126" s="108"/>
      <c r="AK126" s="108"/>
      <c r="AL126" s="108"/>
      <c r="AM126" s="108"/>
      <c r="AN126" s="132" t="str">
        <f>IFERROR(_xlfn.XLOOKUP($A126,Input_Raw!$A:$A,Input_Raw!$DL:$DL),"")</f>
        <v/>
      </c>
      <c r="AO126" s="142" t="str">
        <f>IFERROR((_xlfn.XLOOKUP($A126,'WTG Reactive Power'!$A:$A,'WTG Reactive Power'!$AW:$AW))/X126,"")</f>
        <v/>
      </c>
      <c r="AP126" s="142">
        <f>IFERROR(_xlfn.XLOOKUP($D126,'Modelling New'!$D:$D,'Modelling New'!$AK:$AK),"")</f>
        <v>0.05</v>
      </c>
      <c r="AQ126" s="142">
        <f>IFERROR(_xlfn.XLOOKUP($D126,'Modelling New'!$D:$D,'Modelling New'!$AL:$AL),"")</f>
        <v>0.05</v>
      </c>
      <c r="AR126" s="198">
        <f>IFERROR(_xlfn.XLOOKUP($D126,'Modelling New'!$D:$D,'Modelling New'!$N:$N),"")</f>
        <v>70.400000000000006</v>
      </c>
      <c r="AS126" s="198"/>
    </row>
    <row r="127" spans="1:45">
      <c r="A127" s="137">
        <f t="shared" ref="A127:A190" si="18">A126+1</f>
        <v>45870</v>
      </c>
      <c r="B127" s="138">
        <f>YEAR(Daily_KPI[[#This Row],[Date]])+IF(MONTH(Daily_KPI[[#This Row],[Date]])&gt;=4,1,0)</f>
        <v>2026</v>
      </c>
      <c r="C127" s="108">
        <f>YEAR(Daily_KPI[[#This Row],[Date]])</f>
        <v>2025</v>
      </c>
      <c r="D127" s="139">
        <f>Daily_KPI[[#This Row],[Date]]-DAY(Daily_KPI[[#This Row],[Date]])+1</f>
        <v>45870</v>
      </c>
      <c r="E127" s="108">
        <f t="shared" si="14"/>
        <v>31</v>
      </c>
      <c r="F127" s="109"/>
      <c r="G127" s="110"/>
      <c r="H127" s="110"/>
      <c r="I127" s="110"/>
      <c r="J127" s="110"/>
      <c r="K127" s="111"/>
      <c r="L127" s="110"/>
      <c r="M127" s="110" t="str">
        <f>IFERROR(_xlfn.XLOOKUP($A127,Input_Raw!$A:$A,Input_Raw!$CQ:$CQ),"")</f>
        <v/>
      </c>
      <c r="N127" s="110" t="str">
        <f>IFERROR(_xlfn.XLOOKUP($A127,Input_Raw!$A:$A,Input_Raw!$CR:$CR),"")</f>
        <v/>
      </c>
      <c r="O127" s="141" t="str">
        <f t="shared" si="15"/>
        <v/>
      </c>
      <c r="P127" s="141" t="str">
        <f>IFERROR(1-SUMIF(WTG_BD!$F:$F,$A127,WTG_BD!$AA:$AA)/($AA127+SUMIF(WTG_BD!$F:$F,$A127,WTG_BD!$AA:$AA)),"")</f>
        <v/>
      </c>
      <c r="Q127" s="141" t="str">
        <f>IFERROR(1-SUMIF(IGA_BD!$F:$F,$A127,IGA_BD!$W:$W)/($AA127+SUMIF(IGA_BD!$F:$F,$A127,IGA_BD!$W:$W)),"")</f>
        <v/>
      </c>
      <c r="R127" s="141" t="str">
        <f>IFERROR(1-SUMIF(Grid_BD!$F:$F,$A127,Grid_BD!$Y:$Y)/($AA127+SUMIF(Grid_BD!$F:$F,$A127,Grid_BD!$Y:$Y)),"")</f>
        <v/>
      </c>
      <c r="S127" s="108"/>
      <c r="T127" s="140"/>
      <c r="U127" s="141"/>
      <c r="V127" s="108"/>
      <c r="W127" s="142" t="str">
        <f t="shared" si="16"/>
        <v/>
      </c>
      <c r="X127" s="108" t="str">
        <f>IFERROR(_xlfn.XLOOKUP($A127,Input_Raw!$A:$A,Input_Raw!$CP:$CP)*1000,"")</f>
        <v/>
      </c>
      <c r="Y127" s="108" t="str">
        <f>IFERROR(_xlfn.XLOOKUP($A127,Input_Raw!$A:$A,Input_Raw!DJ:DJ)*1000,"")</f>
        <v/>
      </c>
      <c r="Z127" s="108" t="str">
        <f>IFERROR(_xlfn.XLOOKUP($A127,Input_Raw!$A:$A,Input_Raw!DK:DK)*1000,"")</f>
        <v/>
      </c>
      <c r="AA127" s="138" t="str">
        <f t="shared" si="17"/>
        <v/>
      </c>
      <c r="AB127" s="108" t="str">
        <f>IFERROR(_xlfn.XLOOKUP($A127,Input_Raw!$A:$A,Input_Raw!$DR:$DR),"")</f>
        <v/>
      </c>
      <c r="AC127" s="143">
        <f>IFERROR(_xlfn.XLOOKUP($D127,'Modelling New'!$D:$D,'Modelling New'!$J:$J),"")</f>
        <v>9.1</v>
      </c>
      <c r="AD127" s="138">
        <f>IFERROR(_xlfn.XLOOKUP($D127,'Modelling New'!$D:$D,'Modelling New'!$T:$T)*1000,"")</f>
        <v>1057470.497769533</v>
      </c>
      <c r="AE127" s="142"/>
      <c r="AF127" s="142">
        <f>IFERROR(_xlfn.XLOOKUP($D127,'Modelling New'!$D:$D,'Modelling New'!$W:$W),"")</f>
        <v>0.62587032301700574</v>
      </c>
      <c r="AG127" s="142">
        <f>IFERROR(_xlfn.XLOOKUP($D127,'Modelling New'!$D:$D,'Modelling New'!$AE:$AE),"")</f>
        <v>0.96029999999999993</v>
      </c>
      <c r="AH127" s="142">
        <f>IFERROR(_xlfn.XLOOKUP($D127,'Modelling New'!$D:$D,'Modelling New'!$AF:$AF),"")</f>
        <v>0.995</v>
      </c>
      <c r="AI127" s="109" t="str">
        <f>IFERROR(_xlfn.XLOOKUP($A127,Input_Raw!$A:$A,Input_Raw!$DP:$DP),"")</f>
        <v/>
      </c>
      <c r="AJ127" s="108"/>
      <c r="AK127" s="108"/>
      <c r="AL127" s="108"/>
      <c r="AM127" s="108"/>
      <c r="AN127" s="132" t="str">
        <f>IFERROR(_xlfn.XLOOKUP($A127,Input_Raw!$A:$A,Input_Raw!$DL:$DL),"")</f>
        <v/>
      </c>
      <c r="AO127" s="142" t="str">
        <f>IFERROR((_xlfn.XLOOKUP($A127,'WTG Reactive Power'!$A:$A,'WTG Reactive Power'!$AW:$AW))/X127,"")</f>
        <v/>
      </c>
      <c r="AP127" s="142">
        <f>IFERROR(_xlfn.XLOOKUP($D127,'Modelling New'!$D:$D,'Modelling New'!$AK:$AK),"")</f>
        <v>0.05</v>
      </c>
      <c r="AQ127" s="142">
        <f>IFERROR(_xlfn.XLOOKUP($D127,'Modelling New'!$D:$D,'Modelling New'!$AL:$AL),"")</f>
        <v>0.05</v>
      </c>
      <c r="AR127" s="198">
        <f>IFERROR(_xlfn.XLOOKUP($D127,'Modelling New'!$D:$D,'Modelling New'!$N:$N),"")</f>
        <v>70.400000000000006</v>
      </c>
      <c r="AS127" s="198"/>
    </row>
    <row r="128" spans="1:45">
      <c r="A128" s="137">
        <f t="shared" si="18"/>
        <v>45871</v>
      </c>
      <c r="B128" s="138">
        <f>YEAR(Daily_KPI[[#This Row],[Date]])+IF(MONTH(Daily_KPI[[#This Row],[Date]])&gt;=4,1,0)</f>
        <v>2026</v>
      </c>
      <c r="C128" s="108">
        <f>YEAR(Daily_KPI[[#This Row],[Date]])</f>
        <v>2025</v>
      </c>
      <c r="D128" s="139">
        <f>Daily_KPI[[#This Row],[Date]]-DAY(Daily_KPI[[#This Row],[Date]])+1</f>
        <v>45870</v>
      </c>
      <c r="E128" s="108">
        <f t="shared" si="14"/>
        <v>31</v>
      </c>
      <c r="F128" s="109"/>
      <c r="G128" s="143"/>
      <c r="H128" s="143"/>
      <c r="I128" s="143"/>
      <c r="J128" s="143"/>
      <c r="K128" s="111"/>
      <c r="L128" s="110"/>
      <c r="M128" s="110" t="str">
        <f>IFERROR(_xlfn.XLOOKUP($A128,Input_Raw!$A:$A,Input_Raw!$CQ:$CQ),"")</f>
        <v/>
      </c>
      <c r="N128" s="110" t="str">
        <f>IFERROR(_xlfn.XLOOKUP($A128,Input_Raw!$A:$A,Input_Raw!$CR:$CR),"")</f>
        <v/>
      </c>
      <c r="O128" s="141" t="str">
        <f t="shared" si="15"/>
        <v/>
      </c>
      <c r="P128" s="141" t="str">
        <f>IFERROR(1-SUMIF(WTG_BD!$F:$F,$A128,WTG_BD!$AA:$AA)/($AA128+SUMIF(WTG_BD!$F:$F,$A128,WTG_BD!$AA:$AA)),"")</f>
        <v/>
      </c>
      <c r="Q128" s="141" t="str">
        <f>IFERROR(1-SUMIF(IGA_BD!$F:$F,$A128,IGA_BD!$W:$W)/($AA128+SUMIF(IGA_BD!$F:$F,$A128,IGA_BD!$W:$W)),"")</f>
        <v/>
      </c>
      <c r="R128" s="141" t="str">
        <f>IFERROR(1-SUMIF(Grid_BD!$F:$F,$A128,Grid_BD!$Y:$Y)/($AA128+SUMIF(Grid_BD!$F:$F,$A128,Grid_BD!$Y:$Y)),"")</f>
        <v/>
      </c>
      <c r="S128" s="108"/>
      <c r="T128" s="140"/>
      <c r="U128" s="141"/>
      <c r="V128" s="108"/>
      <c r="W128" s="142" t="str">
        <f t="shared" si="16"/>
        <v/>
      </c>
      <c r="X128" s="108" t="str">
        <f>IFERROR(_xlfn.XLOOKUP($A128,Input_Raw!$A:$A,Input_Raw!$CP:$CP)*1000,"")</f>
        <v/>
      </c>
      <c r="Y128" s="108" t="str">
        <f>IFERROR(_xlfn.XLOOKUP($A128,Input_Raw!$A:$A,Input_Raw!DJ:DJ)*1000,"")</f>
        <v/>
      </c>
      <c r="Z128" s="108" t="str">
        <f>IFERROR(_xlfn.XLOOKUP($A128,Input_Raw!$A:$A,Input_Raw!DK:DK)*1000,"")</f>
        <v/>
      </c>
      <c r="AA128" s="138" t="str">
        <f t="shared" si="17"/>
        <v/>
      </c>
      <c r="AB128" s="108" t="str">
        <f>IFERROR(_xlfn.XLOOKUP($A128,Input_Raw!$A:$A,Input_Raw!$DR:$DR),"")</f>
        <v/>
      </c>
      <c r="AC128" s="143">
        <f>IFERROR(_xlfn.XLOOKUP($D128,'Modelling New'!$D:$D,'Modelling New'!$J:$J),"")</f>
        <v>9.1</v>
      </c>
      <c r="AD128" s="138">
        <f>IFERROR(_xlfn.XLOOKUP($D128,'Modelling New'!$D:$D,'Modelling New'!$T:$T)*1000,"")</f>
        <v>1057470.497769533</v>
      </c>
      <c r="AE128" s="142"/>
      <c r="AF128" s="142">
        <f>IFERROR(_xlfn.XLOOKUP($D128,'Modelling New'!$D:$D,'Modelling New'!$W:$W),"")</f>
        <v>0.62587032301700574</v>
      </c>
      <c r="AG128" s="142">
        <f>IFERROR(_xlfn.XLOOKUP($D128,'Modelling New'!$D:$D,'Modelling New'!$AE:$AE),"")</f>
        <v>0.96029999999999993</v>
      </c>
      <c r="AH128" s="142">
        <f>IFERROR(_xlfn.XLOOKUP($D128,'Modelling New'!$D:$D,'Modelling New'!$AF:$AF),"")</f>
        <v>0.995</v>
      </c>
      <c r="AI128" s="109" t="str">
        <f>IFERROR(_xlfn.XLOOKUP($A128,Input_Raw!$A:$A,Input_Raw!$DP:$DP),"")</f>
        <v/>
      </c>
      <c r="AJ128" s="108"/>
      <c r="AK128" s="108"/>
      <c r="AL128" s="108"/>
      <c r="AM128" s="108"/>
      <c r="AN128" s="132" t="str">
        <f>IFERROR(_xlfn.XLOOKUP($A128,Input_Raw!$A:$A,Input_Raw!$DL:$DL),"")</f>
        <v/>
      </c>
      <c r="AO128" s="142" t="str">
        <f>IFERROR((_xlfn.XLOOKUP($A128,'WTG Reactive Power'!$A:$A,'WTG Reactive Power'!$AW:$AW))/X128,"")</f>
        <v/>
      </c>
      <c r="AP128" s="142">
        <f>IFERROR(_xlfn.XLOOKUP($D128,'Modelling New'!$D:$D,'Modelling New'!$AK:$AK),"")</f>
        <v>0.05</v>
      </c>
      <c r="AQ128" s="142">
        <f>IFERROR(_xlfn.XLOOKUP($D128,'Modelling New'!$D:$D,'Modelling New'!$AL:$AL),"")</f>
        <v>0.05</v>
      </c>
      <c r="AR128" s="198">
        <f>IFERROR(_xlfn.XLOOKUP($D128,'Modelling New'!$D:$D,'Modelling New'!$N:$N),"")</f>
        <v>70.400000000000006</v>
      </c>
      <c r="AS128" s="198"/>
    </row>
    <row r="129" spans="1:45">
      <c r="A129" s="137">
        <f t="shared" si="18"/>
        <v>45872</v>
      </c>
      <c r="B129" s="138">
        <f>YEAR(Daily_KPI[[#This Row],[Date]])+IF(MONTH(Daily_KPI[[#This Row],[Date]])&gt;=4,1,0)</f>
        <v>2026</v>
      </c>
      <c r="C129" s="108">
        <f>YEAR(Daily_KPI[[#This Row],[Date]])</f>
        <v>2025</v>
      </c>
      <c r="D129" s="139">
        <f>Daily_KPI[[#This Row],[Date]]-DAY(Daily_KPI[[#This Row],[Date]])+1</f>
        <v>45870</v>
      </c>
      <c r="E129" s="108">
        <f t="shared" si="14"/>
        <v>31</v>
      </c>
      <c r="F129" s="109"/>
      <c r="G129" s="110"/>
      <c r="H129" s="110"/>
      <c r="I129" s="110"/>
      <c r="J129" s="110"/>
      <c r="K129" s="111"/>
      <c r="L129" s="110"/>
      <c r="M129" s="110" t="str">
        <f>IFERROR(_xlfn.XLOOKUP($A129,Input_Raw!$A:$A,Input_Raw!$CQ:$CQ),"")</f>
        <v/>
      </c>
      <c r="N129" s="110" t="str">
        <f>IFERROR(_xlfn.XLOOKUP($A129,Input_Raw!$A:$A,Input_Raw!$CR:$CR),"")</f>
        <v/>
      </c>
      <c r="O129" s="141" t="str">
        <f t="shared" si="15"/>
        <v/>
      </c>
      <c r="P129" s="141" t="str">
        <f>IFERROR(1-SUMIF(WTG_BD!$F:$F,$A129,WTG_BD!$AA:$AA)/($AA129+SUMIF(WTG_BD!$F:$F,$A129,WTG_BD!$AA:$AA)),"")</f>
        <v/>
      </c>
      <c r="Q129" s="141" t="str">
        <f>IFERROR(1-SUMIF(IGA_BD!$F:$F,$A129,IGA_BD!$W:$W)/($AA129+SUMIF(IGA_BD!$F:$F,$A129,IGA_BD!$W:$W)),"")</f>
        <v/>
      </c>
      <c r="R129" s="141" t="str">
        <f>IFERROR(1-SUMIF(Grid_BD!$F:$F,$A129,Grid_BD!$Y:$Y)/($AA129+SUMIF(Grid_BD!$F:$F,$A129,Grid_BD!$Y:$Y)),"")</f>
        <v/>
      </c>
      <c r="S129" s="108"/>
      <c r="T129" s="140"/>
      <c r="U129" s="141"/>
      <c r="V129" s="108"/>
      <c r="W129" s="142" t="str">
        <f t="shared" si="16"/>
        <v/>
      </c>
      <c r="X129" s="108" t="str">
        <f>IFERROR(_xlfn.XLOOKUP($A129,Input_Raw!$A:$A,Input_Raw!$CP:$CP)*1000,"")</f>
        <v/>
      </c>
      <c r="Y129" s="108" t="str">
        <f>IFERROR(_xlfn.XLOOKUP($A129,Input_Raw!$A:$A,Input_Raw!DJ:DJ)*1000,"")</f>
        <v/>
      </c>
      <c r="Z129" s="108" t="str">
        <f>IFERROR(_xlfn.XLOOKUP($A129,Input_Raw!$A:$A,Input_Raw!DK:DK)*1000,"")</f>
        <v/>
      </c>
      <c r="AA129" s="138" t="str">
        <f t="shared" si="17"/>
        <v/>
      </c>
      <c r="AB129" s="108" t="str">
        <f>IFERROR(_xlfn.XLOOKUP($A129,Input_Raw!$A:$A,Input_Raw!$DR:$DR),"")</f>
        <v/>
      </c>
      <c r="AC129" s="143">
        <f>IFERROR(_xlfn.XLOOKUP($D129,'Modelling New'!$D:$D,'Modelling New'!$J:$J),"")</f>
        <v>9.1</v>
      </c>
      <c r="AD129" s="138">
        <f>IFERROR(_xlfn.XLOOKUP($D129,'Modelling New'!$D:$D,'Modelling New'!$T:$T)*1000,"")</f>
        <v>1057470.497769533</v>
      </c>
      <c r="AE129" s="142"/>
      <c r="AF129" s="142">
        <f>IFERROR(_xlfn.XLOOKUP($D129,'Modelling New'!$D:$D,'Modelling New'!$W:$W),"")</f>
        <v>0.62587032301700574</v>
      </c>
      <c r="AG129" s="142">
        <f>IFERROR(_xlfn.XLOOKUP($D129,'Modelling New'!$D:$D,'Modelling New'!$AE:$AE),"")</f>
        <v>0.96029999999999993</v>
      </c>
      <c r="AH129" s="142">
        <f>IFERROR(_xlfn.XLOOKUP($D129,'Modelling New'!$D:$D,'Modelling New'!$AF:$AF),"")</f>
        <v>0.995</v>
      </c>
      <c r="AI129" s="109" t="str">
        <f>IFERROR(_xlfn.XLOOKUP($A129,Input_Raw!$A:$A,Input_Raw!$DP:$DP),"")</f>
        <v/>
      </c>
      <c r="AJ129" s="108"/>
      <c r="AK129" s="108"/>
      <c r="AL129" s="108"/>
      <c r="AM129" s="108"/>
      <c r="AN129" s="132" t="str">
        <f>IFERROR(_xlfn.XLOOKUP($A129,Input_Raw!$A:$A,Input_Raw!$DL:$DL),"")</f>
        <v/>
      </c>
      <c r="AO129" s="142" t="str">
        <f>IFERROR((_xlfn.XLOOKUP($A129,'WTG Reactive Power'!$A:$A,'WTG Reactive Power'!$AW:$AW))/X129,"")</f>
        <v/>
      </c>
      <c r="AP129" s="142">
        <f>IFERROR(_xlfn.XLOOKUP($D129,'Modelling New'!$D:$D,'Modelling New'!$AK:$AK),"")</f>
        <v>0.05</v>
      </c>
      <c r="AQ129" s="142">
        <f>IFERROR(_xlfn.XLOOKUP($D129,'Modelling New'!$D:$D,'Modelling New'!$AL:$AL),"")</f>
        <v>0.05</v>
      </c>
      <c r="AR129" s="198">
        <f>IFERROR(_xlfn.XLOOKUP($D129,'Modelling New'!$D:$D,'Modelling New'!$N:$N),"")</f>
        <v>70.400000000000006</v>
      </c>
      <c r="AS129" s="198"/>
    </row>
    <row r="130" spans="1:45">
      <c r="A130" s="137">
        <f t="shared" si="18"/>
        <v>45873</v>
      </c>
      <c r="B130" s="138">
        <f>YEAR(Daily_KPI[[#This Row],[Date]])+IF(MONTH(Daily_KPI[[#This Row],[Date]])&gt;=4,1,0)</f>
        <v>2026</v>
      </c>
      <c r="C130" s="108">
        <f>YEAR(Daily_KPI[[#This Row],[Date]])</f>
        <v>2025</v>
      </c>
      <c r="D130" s="139">
        <f>Daily_KPI[[#This Row],[Date]]-DAY(Daily_KPI[[#This Row],[Date]])+1</f>
        <v>45870</v>
      </c>
      <c r="E130" s="108">
        <f t="shared" si="14"/>
        <v>31</v>
      </c>
      <c r="F130" s="109"/>
      <c r="G130" s="143"/>
      <c r="H130" s="143"/>
      <c r="I130" s="143"/>
      <c r="J130" s="143"/>
      <c r="K130" s="111"/>
      <c r="L130" s="110"/>
      <c r="M130" s="110" t="str">
        <f>IFERROR(_xlfn.XLOOKUP($A130,Input_Raw!$A:$A,Input_Raw!$CQ:$CQ),"")</f>
        <v/>
      </c>
      <c r="N130" s="110" t="str">
        <f>IFERROR(_xlfn.XLOOKUP($A130,Input_Raw!$A:$A,Input_Raw!$CR:$CR),"")</f>
        <v/>
      </c>
      <c r="O130" s="141" t="str">
        <f t="shared" si="15"/>
        <v/>
      </c>
      <c r="P130" s="141" t="str">
        <f>IFERROR(1-SUMIF(WTG_BD!$F:$F,$A130,WTG_BD!$AA:$AA)/($AA130+SUMIF(WTG_BD!$F:$F,$A130,WTG_BD!$AA:$AA)),"")</f>
        <v/>
      </c>
      <c r="Q130" s="141" t="str">
        <f>IFERROR(1-SUMIF(IGA_BD!$F:$F,$A130,IGA_BD!$W:$W)/($AA130+SUMIF(IGA_BD!$F:$F,$A130,IGA_BD!$W:$W)),"")</f>
        <v/>
      </c>
      <c r="R130" s="141" t="str">
        <f>IFERROR(1-SUMIF(Grid_BD!$F:$F,$A130,Grid_BD!$Y:$Y)/($AA130+SUMIF(Grid_BD!$F:$F,$A130,Grid_BD!$Y:$Y)),"")</f>
        <v/>
      </c>
      <c r="S130" s="108"/>
      <c r="T130" s="140"/>
      <c r="U130" s="141"/>
      <c r="V130" s="108"/>
      <c r="W130" s="142" t="str">
        <f t="shared" si="16"/>
        <v/>
      </c>
      <c r="X130" s="108" t="str">
        <f>IFERROR(_xlfn.XLOOKUP($A130,Input_Raw!$A:$A,Input_Raw!$CP:$CP)*1000,"")</f>
        <v/>
      </c>
      <c r="Y130" s="108" t="str">
        <f>IFERROR(_xlfn.XLOOKUP($A130,Input_Raw!$A:$A,Input_Raw!DJ:DJ)*1000,"")</f>
        <v/>
      </c>
      <c r="Z130" s="108" t="str">
        <f>IFERROR(_xlfn.XLOOKUP($A130,Input_Raw!$A:$A,Input_Raw!DK:DK)*1000,"")</f>
        <v/>
      </c>
      <c r="AA130" s="138" t="str">
        <f t="shared" si="17"/>
        <v/>
      </c>
      <c r="AB130" s="108" t="str">
        <f>IFERROR(_xlfn.XLOOKUP($A130,Input_Raw!$A:$A,Input_Raw!$DR:$DR),"")</f>
        <v/>
      </c>
      <c r="AC130" s="143">
        <f>IFERROR(_xlfn.XLOOKUP($D130,'Modelling New'!$D:$D,'Modelling New'!$J:$J),"")</f>
        <v>9.1</v>
      </c>
      <c r="AD130" s="138">
        <f>IFERROR(_xlfn.XLOOKUP($D130,'Modelling New'!$D:$D,'Modelling New'!$T:$T)*1000,"")</f>
        <v>1057470.497769533</v>
      </c>
      <c r="AE130" s="142"/>
      <c r="AF130" s="142">
        <f>IFERROR(_xlfn.XLOOKUP($D130,'Modelling New'!$D:$D,'Modelling New'!$W:$W),"")</f>
        <v>0.62587032301700574</v>
      </c>
      <c r="AG130" s="142">
        <f>IFERROR(_xlfn.XLOOKUP($D130,'Modelling New'!$D:$D,'Modelling New'!$AE:$AE),"")</f>
        <v>0.96029999999999993</v>
      </c>
      <c r="AH130" s="142">
        <f>IFERROR(_xlfn.XLOOKUP($D130,'Modelling New'!$D:$D,'Modelling New'!$AF:$AF),"")</f>
        <v>0.995</v>
      </c>
      <c r="AI130" s="109" t="str">
        <f>IFERROR(_xlfn.XLOOKUP($A130,Input_Raw!$A:$A,Input_Raw!$DP:$DP),"")</f>
        <v/>
      </c>
      <c r="AJ130" s="108"/>
      <c r="AK130" s="108"/>
      <c r="AL130" s="108"/>
      <c r="AM130" s="108"/>
      <c r="AN130" s="132" t="str">
        <f>IFERROR(_xlfn.XLOOKUP($A130,Input_Raw!$A:$A,Input_Raw!$DL:$DL),"")</f>
        <v/>
      </c>
      <c r="AO130" s="142" t="str">
        <f>IFERROR((_xlfn.XLOOKUP($A130,'WTG Reactive Power'!$A:$A,'WTG Reactive Power'!$AW:$AW))/X130,"")</f>
        <v/>
      </c>
      <c r="AP130" s="142">
        <f>IFERROR(_xlfn.XLOOKUP($D130,'Modelling New'!$D:$D,'Modelling New'!$AK:$AK),"")</f>
        <v>0.05</v>
      </c>
      <c r="AQ130" s="142">
        <f>IFERROR(_xlfn.XLOOKUP($D130,'Modelling New'!$D:$D,'Modelling New'!$AL:$AL),"")</f>
        <v>0.05</v>
      </c>
      <c r="AR130" s="198">
        <f>IFERROR(_xlfn.XLOOKUP($D130,'Modelling New'!$D:$D,'Modelling New'!$N:$N),"")</f>
        <v>70.400000000000006</v>
      </c>
      <c r="AS130" s="198"/>
    </row>
    <row r="131" spans="1:45">
      <c r="A131" s="137">
        <f t="shared" si="18"/>
        <v>45874</v>
      </c>
      <c r="B131" s="138">
        <f>YEAR(Daily_KPI[[#This Row],[Date]])+IF(MONTH(Daily_KPI[[#This Row],[Date]])&gt;=4,1,0)</f>
        <v>2026</v>
      </c>
      <c r="C131" s="108">
        <f>YEAR(Daily_KPI[[#This Row],[Date]])</f>
        <v>2025</v>
      </c>
      <c r="D131" s="139">
        <f>Daily_KPI[[#This Row],[Date]]-DAY(Daily_KPI[[#This Row],[Date]])+1</f>
        <v>45870</v>
      </c>
      <c r="E131" s="108">
        <f t="shared" si="14"/>
        <v>31</v>
      </c>
      <c r="F131" s="109"/>
      <c r="G131" s="110"/>
      <c r="H131" s="110"/>
      <c r="I131" s="110"/>
      <c r="J131" s="110"/>
      <c r="K131" s="111"/>
      <c r="L131" s="110"/>
      <c r="M131" s="110" t="str">
        <f>IFERROR(_xlfn.XLOOKUP($A131,Input_Raw!$A:$A,Input_Raw!$CQ:$CQ),"")</f>
        <v/>
      </c>
      <c r="N131" s="110" t="str">
        <f>IFERROR(_xlfn.XLOOKUP($A131,Input_Raw!$A:$A,Input_Raw!$CR:$CR),"")</f>
        <v/>
      </c>
      <c r="O131" s="141" t="str">
        <f t="shared" si="15"/>
        <v/>
      </c>
      <c r="P131" s="141" t="str">
        <f>IFERROR(1-SUMIF(WTG_BD!$F:$F,$A131,WTG_BD!$AA:$AA)/($AA131+SUMIF(WTG_BD!$F:$F,$A131,WTG_BD!$AA:$AA)),"")</f>
        <v/>
      </c>
      <c r="Q131" s="141" t="str">
        <f>IFERROR(1-SUMIF(IGA_BD!$F:$F,$A131,IGA_BD!$W:$W)/($AA131+SUMIF(IGA_BD!$F:$F,$A131,IGA_BD!$W:$W)),"")</f>
        <v/>
      </c>
      <c r="R131" s="141" t="str">
        <f>IFERROR(1-SUMIF(Grid_BD!$F:$F,$A131,Grid_BD!$Y:$Y)/($AA131+SUMIF(Grid_BD!$F:$F,$A131,Grid_BD!$Y:$Y)),"")</f>
        <v/>
      </c>
      <c r="S131" s="108"/>
      <c r="T131" s="140"/>
      <c r="U131" s="141"/>
      <c r="V131" s="108"/>
      <c r="W131" s="142" t="str">
        <f t="shared" si="16"/>
        <v/>
      </c>
      <c r="X131" s="108" t="str">
        <f>IFERROR(_xlfn.XLOOKUP($A131,Input_Raw!$A:$A,Input_Raw!$CP:$CP)*1000,"")</f>
        <v/>
      </c>
      <c r="Y131" s="108" t="str">
        <f>IFERROR(_xlfn.XLOOKUP($A131,Input_Raw!$A:$A,Input_Raw!DJ:DJ)*1000,"")</f>
        <v/>
      </c>
      <c r="Z131" s="108" t="str">
        <f>IFERROR(_xlfn.XLOOKUP($A131,Input_Raw!$A:$A,Input_Raw!DK:DK)*1000,"")</f>
        <v/>
      </c>
      <c r="AA131" s="138" t="str">
        <f t="shared" si="17"/>
        <v/>
      </c>
      <c r="AB131" s="108" t="str">
        <f>IFERROR(_xlfn.XLOOKUP($A131,Input_Raw!$A:$A,Input_Raw!$DR:$DR),"")</f>
        <v/>
      </c>
      <c r="AC131" s="143">
        <f>IFERROR(_xlfn.XLOOKUP($D131,'Modelling New'!$D:$D,'Modelling New'!$J:$J),"")</f>
        <v>9.1</v>
      </c>
      <c r="AD131" s="138">
        <f>IFERROR(_xlfn.XLOOKUP($D131,'Modelling New'!$D:$D,'Modelling New'!$T:$T)*1000,"")</f>
        <v>1057470.497769533</v>
      </c>
      <c r="AE131" s="142"/>
      <c r="AF131" s="142">
        <f>IFERROR(_xlfn.XLOOKUP($D131,'Modelling New'!$D:$D,'Modelling New'!$W:$W),"")</f>
        <v>0.62587032301700574</v>
      </c>
      <c r="AG131" s="142">
        <f>IFERROR(_xlfn.XLOOKUP($D131,'Modelling New'!$D:$D,'Modelling New'!$AE:$AE),"")</f>
        <v>0.96029999999999993</v>
      </c>
      <c r="AH131" s="142">
        <f>IFERROR(_xlfn.XLOOKUP($D131,'Modelling New'!$D:$D,'Modelling New'!$AF:$AF),"")</f>
        <v>0.995</v>
      </c>
      <c r="AI131" s="109" t="str">
        <f>IFERROR(_xlfn.XLOOKUP($A131,Input_Raw!$A:$A,Input_Raw!$DP:$DP),"")</f>
        <v/>
      </c>
      <c r="AJ131" s="108"/>
      <c r="AK131" s="108"/>
      <c r="AL131" s="108"/>
      <c r="AM131" s="108"/>
      <c r="AN131" s="132" t="str">
        <f>IFERROR(_xlfn.XLOOKUP($A131,Input_Raw!$A:$A,Input_Raw!$DL:$DL),"")</f>
        <v/>
      </c>
      <c r="AO131" s="142" t="str">
        <f>IFERROR((_xlfn.XLOOKUP($A131,'WTG Reactive Power'!$A:$A,'WTG Reactive Power'!$AW:$AW))/X131,"")</f>
        <v/>
      </c>
      <c r="AP131" s="142">
        <f>IFERROR(_xlfn.XLOOKUP($D131,'Modelling New'!$D:$D,'Modelling New'!$AK:$AK),"")</f>
        <v>0.05</v>
      </c>
      <c r="AQ131" s="142">
        <f>IFERROR(_xlfn.XLOOKUP($D131,'Modelling New'!$D:$D,'Modelling New'!$AL:$AL),"")</f>
        <v>0.05</v>
      </c>
      <c r="AR131" s="198">
        <f>IFERROR(_xlfn.XLOOKUP($D131,'Modelling New'!$D:$D,'Modelling New'!$N:$N),"")</f>
        <v>70.400000000000006</v>
      </c>
      <c r="AS131" s="198"/>
    </row>
    <row r="132" spans="1:45">
      <c r="A132" s="137">
        <f t="shared" si="18"/>
        <v>45875</v>
      </c>
      <c r="B132" s="138">
        <f>YEAR(Daily_KPI[[#This Row],[Date]])+IF(MONTH(Daily_KPI[[#This Row],[Date]])&gt;=4,1,0)</f>
        <v>2026</v>
      </c>
      <c r="C132" s="108">
        <f>YEAR(Daily_KPI[[#This Row],[Date]])</f>
        <v>2025</v>
      </c>
      <c r="D132" s="139">
        <f>Daily_KPI[[#This Row],[Date]]-DAY(Daily_KPI[[#This Row],[Date]])+1</f>
        <v>45870</v>
      </c>
      <c r="E132" s="108">
        <f t="shared" si="14"/>
        <v>31</v>
      </c>
      <c r="F132" s="109"/>
      <c r="G132" s="143"/>
      <c r="H132" s="143"/>
      <c r="I132" s="143"/>
      <c r="J132" s="143"/>
      <c r="K132" s="111"/>
      <c r="L132" s="110"/>
      <c r="M132" s="110" t="str">
        <f>IFERROR(_xlfn.XLOOKUP($A132,Input_Raw!$A:$A,Input_Raw!$CQ:$CQ),"")</f>
        <v/>
      </c>
      <c r="N132" s="110" t="str">
        <f>IFERROR(_xlfn.XLOOKUP($A132,Input_Raw!$A:$A,Input_Raw!$CR:$CR),"")</f>
        <v/>
      </c>
      <c r="O132" s="141" t="str">
        <f t="shared" si="15"/>
        <v/>
      </c>
      <c r="P132" s="141" t="str">
        <f>IFERROR(1-SUMIF(WTG_BD!$F:$F,$A132,WTG_BD!$AA:$AA)/($AA132+SUMIF(WTG_BD!$F:$F,$A132,WTG_BD!$AA:$AA)),"")</f>
        <v/>
      </c>
      <c r="Q132" s="141" t="str">
        <f>IFERROR(1-SUMIF(IGA_BD!$F:$F,$A132,IGA_BD!$W:$W)/($AA132+SUMIF(IGA_BD!$F:$F,$A132,IGA_BD!$W:$W)),"")</f>
        <v/>
      </c>
      <c r="R132" s="141" t="str">
        <f>IFERROR(1-SUMIF(Grid_BD!$F:$F,$A132,Grid_BD!$Y:$Y)/($AA132+SUMIF(Grid_BD!$F:$F,$A132,Grid_BD!$Y:$Y)),"")</f>
        <v/>
      </c>
      <c r="S132" s="108"/>
      <c r="T132" s="140"/>
      <c r="U132" s="141"/>
      <c r="V132" s="108"/>
      <c r="W132" s="142" t="str">
        <f t="shared" si="16"/>
        <v/>
      </c>
      <c r="X132" s="108" t="str">
        <f>IFERROR(_xlfn.XLOOKUP($A132,Input_Raw!$A:$A,Input_Raw!$CP:$CP)*1000,"")</f>
        <v/>
      </c>
      <c r="Y132" s="108" t="str">
        <f>IFERROR(_xlfn.XLOOKUP($A132,Input_Raw!$A:$A,Input_Raw!DJ:DJ)*1000,"")</f>
        <v/>
      </c>
      <c r="Z132" s="108" t="str">
        <f>IFERROR(_xlfn.XLOOKUP($A132,Input_Raw!$A:$A,Input_Raw!DK:DK)*1000,"")</f>
        <v/>
      </c>
      <c r="AA132" s="138" t="str">
        <f t="shared" si="17"/>
        <v/>
      </c>
      <c r="AB132" s="108" t="str">
        <f>IFERROR(_xlfn.XLOOKUP($A132,Input_Raw!$A:$A,Input_Raw!$DR:$DR),"")</f>
        <v/>
      </c>
      <c r="AC132" s="143">
        <f>IFERROR(_xlfn.XLOOKUP($D132,'Modelling New'!$D:$D,'Modelling New'!$J:$J),"")</f>
        <v>9.1</v>
      </c>
      <c r="AD132" s="138">
        <f>IFERROR(_xlfn.XLOOKUP($D132,'Modelling New'!$D:$D,'Modelling New'!$T:$T)*1000,"")</f>
        <v>1057470.497769533</v>
      </c>
      <c r="AE132" s="142"/>
      <c r="AF132" s="142">
        <f>IFERROR(_xlfn.XLOOKUP($D132,'Modelling New'!$D:$D,'Modelling New'!$W:$W),"")</f>
        <v>0.62587032301700574</v>
      </c>
      <c r="AG132" s="142">
        <f>IFERROR(_xlfn.XLOOKUP($D132,'Modelling New'!$D:$D,'Modelling New'!$AE:$AE),"")</f>
        <v>0.96029999999999993</v>
      </c>
      <c r="AH132" s="142">
        <f>IFERROR(_xlfn.XLOOKUP($D132,'Modelling New'!$D:$D,'Modelling New'!$AF:$AF),"")</f>
        <v>0.995</v>
      </c>
      <c r="AI132" s="109" t="str">
        <f>IFERROR(_xlfn.XLOOKUP($A132,Input_Raw!$A:$A,Input_Raw!$DP:$DP),"")</f>
        <v/>
      </c>
      <c r="AJ132" s="108"/>
      <c r="AK132" s="108"/>
      <c r="AL132" s="108"/>
      <c r="AM132" s="108"/>
      <c r="AN132" s="132" t="str">
        <f>IFERROR(_xlfn.XLOOKUP($A132,Input_Raw!$A:$A,Input_Raw!$DL:$DL),"")</f>
        <v/>
      </c>
      <c r="AO132" s="142" t="str">
        <f>IFERROR((_xlfn.XLOOKUP($A132,'WTG Reactive Power'!$A:$A,'WTG Reactive Power'!$AW:$AW))/X132,"")</f>
        <v/>
      </c>
      <c r="AP132" s="142">
        <f>IFERROR(_xlfn.XLOOKUP($D132,'Modelling New'!$D:$D,'Modelling New'!$AK:$AK),"")</f>
        <v>0.05</v>
      </c>
      <c r="AQ132" s="142">
        <f>IFERROR(_xlfn.XLOOKUP($D132,'Modelling New'!$D:$D,'Modelling New'!$AL:$AL),"")</f>
        <v>0.05</v>
      </c>
      <c r="AR132" s="198">
        <f>IFERROR(_xlfn.XLOOKUP($D132,'Modelling New'!$D:$D,'Modelling New'!$N:$N),"")</f>
        <v>70.400000000000006</v>
      </c>
      <c r="AS132" s="198"/>
    </row>
    <row r="133" spans="1:45">
      <c r="A133" s="137">
        <f t="shared" si="18"/>
        <v>45876</v>
      </c>
      <c r="B133" s="138">
        <f>YEAR(Daily_KPI[[#This Row],[Date]])+IF(MONTH(Daily_KPI[[#This Row],[Date]])&gt;=4,1,0)</f>
        <v>2026</v>
      </c>
      <c r="C133" s="108">
        <f>YEAR(Daily_KPI[[#This Row],[Date]])</f>
        <v>2025</v>
      </c>
      <c r="D133" s="139">
        <f>Daily_KPI[[#This Row],[Date]]-DAY(Daily_KPI[[#This Row],[Date]])+1</f>
        <v>45870</v>
      </c>
      <c r="E133" s="108">
        <f t="shared" si="14"/>
        <v>31</v>
      </c>
      <c r="F133" s="109"/>
      <c r="G133" s="110"/>
      <c r="H133" s="110"/>
      <c r="I133" s="110"/>
      <c r="J133" s="110"/>
      <c r="K133" s="111"/>
      <c r="L133" s="110"/>
      <c r="M133" s="110" t="str">
        <f>IFERROR(_xlfn.XLOOKUP($A133,Input_Raw!$A:$A,Input_Raw!$CQ:$CQ),"")</f>
        <v/>
      </c>
      <c r="N133" s="110" t="str">
        <f>IFERROR(_xlfn.XLOOKUP($A133,Input_Raw!$A:$A,Input_Raw!$CR:$CR),"")</f>
        <v/>
      </c>
      <c r="O133" s="141" t="str">
        <f t="shared" si="15"/>
        <v/>
      </c>
      <c r="P133" s="141" t="str">
        <f>IFERROR(1-SUMIF(WTG_BD!$F:$F,$A133,WTG_BD!$AA:$AA)/($AA133+SUMIF(WTG_BD!$F:$F,$A133,WTG_BD!$AA:$AA)),"")</f>
        <v/>
      </c>
      <c r="Q133" s="141" t="str">
        <f>IFERROR(1-SUMIF(IGA_BD!$F:$F,$A133,IGA_BD!$W:$W)/($AA133+SUMIF(IGA_BD!$F:$F,$A133,IGA_BD!$W:$W)),"")</f>
        <v/>
      </c>
      <c r="R133" s="141" t="str">
        <f>IFERROR(1-SUMIF(Grid_BD!$F:$F,$A133,Grid_BD!$Y:$Y)/($AA133+SUMIF(Grid_BD!$F:$F,$A133,Grid_BD!$Y:$Y)),"")</f>
        <v/>
      </c>
      <c r="S133" s="108"/>
      <c r="T133" s="140"/>
      <c r="U133" s="141"/>
      <c r="V133" s="108"/>
      <c r="W133" s="142" t="str">
        <f t="shared" si="16"/>
        <v/>
      </c>
      <c r="X133" s="108" t="str">
        <f>IFERROR(_xlfn.XLOOKUP($A133,Input_Raw!$A:$A,Input_Raw!$CP:$CP)*1000,"")</f>
        <v/>
      </c>
      <c r="Y133" s="108" t="str">
        <f>IFERROR(_xlfn.XLOOKUP($A133,Input_Raw!$A:$A,Input_Raw!DJ:DJ)*1000,"")</f>
        <v/>
      </c>
      <c r="Z133" s="108" t="str">
        <f>IFERROR(_xlfn.XLOOKUP($A133,Input_Raw!$A:$A,Input_Raw!DK:DK)*1000,"")</f>
        <v/>
      </c>
      <c r="AA133" s="138" t="str">
        <f t="shared" si="17"/>
        <v/>
      </c>
      <c r="AB133" s="108" t="str">
        <f>IFERROR(_xlfn.XLOOKUP($A133,Input_Raw!$A:$A,Input_Raw!$DR:$DR),"")</f>
        <v/>
      </c>
      <c r="AC133" s="143">
        <f>IFERROR(_xlfn.XLOOKUP($D133,'Modelling New'!$D:$D,'Modelling New'!$J:$J),"")</f>
        <v>9.1</v>
      </c>
      <c r="AD133" s="138">
        <f>IFERROR(_xlfn.XLOOKUP($D133,'Modelling New'!$D:$D,'Modelling New'!$T:$T)*1000,"")</f>
        <v>1057470.497769533</v>
      </c>
      <c r="AE133" s="142"/>
      <c r="AF133" s="142">
        <f>IFERROR(_xlfn.XLOOKUP($D133,'Modelling New'!$D:$D,'Modelling New'!$W:$W),"")</f>
        <v>0.62587032301700574</v>
      </c>
      <c r="AG133" s="142">
        <f>IFERROR(_xlfn.XLOOKUP($D133,'Modelling New'!$D:$D,'Modelling New'!$AE:$AE),"")</f>
        <v>0.96029999999999993</v>
      </c>
      <c r="AH133" s="142">
        <f>IFERROR(_xlfn.XLOOKUP($D133,'Modelling New'!$D:$D,'Modelling New'!$AF:$AF),"")</f>
        <v>0.995</v>
      </c>
      <c r="AI133" s="109" t="str">
        <f>IFERROR(_xlfn.XLOOKUP($A133,Input_Raw!$A:$A,Input_Raw!$DP:$DP),"")</f>
        <v/>
      </c>
      <c r="AJ133" s="108"/>
      <c r="AK133" s="108"/>
      <c r="AL133" s="108"/>
      <c r="AM133" s="108"/>
      <c r="AN133" s="132" t="str">
        <f>IFERROR(_xlfn.XLOOKUP($A133,Input_Raw!$A:$A,Input_Raw!$DL:$DL),"")</f>
        <v/>
      </c>
      <c r="AO133" s="142" t="str">
        <f>IFERROR((_xlfn.XLOOKUP($A133,'WTG Reactive Power'!$A:$A,'WTG Reactive Power'!$AW:$AW))/X133,"")</f>
        <v/>
      </c>
      <c r="AP133" s="142">
        <f>IFERROR(_xlfn.XLOOKUP($D133,'Modelling New'!$D:$D,'Modelling New'!$AK:$AK),"")</f>
        <v>0.05</v>
      </c>
      <c r="AQ133" s="142">
        <f>IFERROR(_xlfn.XLOOKUP($D133,'Modelling New'!$D:$D,'Modelling New'!$AL:$AL),"")</f>
        <v>0.05</v>
      </c>
      <c r="AR133" s="198">
        <f>IFERROR(_xlfn.XLOOKUP($D133,'Modelling New'!$D:$D,'Modelling New'!$N:$N),"")</f>
        <v>70.400000000000006</v>
      </c>
      <c r="AS133" s="198"/>
    </row>
    <row r="134" spans="1:45">
      <c r="A134" s="137">
        <f t="shared" si="18"/>
        <v>45877</v>
      </c>
      <c r="B134" s="138">
        <f>YEAR(Daily_KPI[[#This Row],[Date]])+IF(MONTH(Daily_KPI[[#This Row],[Date]])&gt;=4,1,0)</f>
        <v>2026</v>
      </c>
      <c r="C134" s="108">
        <f>YEAR(Daily_KPI[[#This Row],[Date]])</f>
        <v>2025</v>
      </c>
      <c r="D134" s="139">
        <f>Daily_KPI[[#This Row],[Date]]-DAY(Daily_KPI[[#This Row],[Date]])+1</f>
        <v>45870</v>
      </c>
      <c r="E134" s="108">
        <f t="shared" si="14"/>
        <v>31</v>
      </c>
      <c r="F134" s="109"/>
      <c r="G134" s="143"/>
      <c r="H134" s="143"/>
      <c r="I134" s="143"/>
      <c r="J134" s="143"/>
      <c r="K134" s="111"/>
      <c r="L134" s="110"/>
      <c r="M134" s="110" t="str">
        <f>IFERROR(_xlfn.XLOOKUP($A134,Input_Raw!$A:$A,Input_Raw!$CQ:$CQ),"")</f>
        <v/>
      </c>
      <c r="N134" s="110" t="str">
        <f>IFERROR(_xlfn.XLOOKUP($A134,Input_Raw!$A:$A,Input_Raw!$CR:$CR),"")</f>
        <v/>
      </c>
      <c r="O134" s="141" t="str">
        <f t="shared" si="15"/>
        <v/>
      </c>
      <c r="P134" s="141" t="str">
        <f>IFERROR(1-SUMIF(WTG_BD!$F:$F,$A134,WTG_BD!$AA:$AA)/($AA134+SUMIF(WTG_BD!$F:$F,$A134,WTG_BD!$AA:$AA)),"")</f>
        <v/>
      </c>
      <c r="Q134" s="141" t="str">
        <f>IFERROR(1-SUMIF(IGA_BD!$F:$F,$A134,IGA_BD!$W:$W)/($AA134+SUMIF(IGA_BD!$F:$F,$A134,IGA_BD!$W:$W)),"")</f>
        <v/>
      </c>
      <c r="R134" s="141" t="str">
        <f>IFERROR(1-SUMIF(Grid_BD!$F:$F,$A134,Grid_BD!$Y:$Y)/($AA134+SUMIF(Grid_BD!$F:$F,$A134,Grid_BD!$Y:$Y)),"")</f>
        <v/>
      </c>
      <c r="S134" s="108"/>
      <c r="T134" s="140"/>
      <c r="U134" s="141"/>
      <c r="V134" s="108"/>
      <c r="W134" s="142" t="str">
        <f t="shared" si="16"/>
        <v/>
      </c>
      <c r="X134" s="108" t="str">
        <f>IFERROR(_xlfn.XLOOKUP($A134,Input_Raw!$A:$A,Input_Raw!$CP:$CP)*1000,"")</f>
        <v/>
      </c>
      <c r="Y134" s="108" t="str">
        <f>IFERROR(_xlfn.XLOOKUP($A134,Input_Raw!$A:$A,Input_Raw!DJ:DJ)*1000,"")</f>
        <v/>
      </c>
      <c r="Z134" s="108" t="str">
        <f>IFERROR(_xlfn.XLOOKUP($A134,Input_Raw!$A:$A,Input_Raw!DK:DK)*1000,"")</f>
        <v/>
      </c>
      <c r="AA134" s="138" t="str">
        <f t="shared" si="17"/>
        <v/>
      </c>
      <c r="AB134" s="108" t="str">
        <f>IFERROR(_xlfn.XLOOKUP($A134,Input_Raw!$A:$A,Input_Raw!$DR:$DR),"")</f>
        <v/>
      </c>
      <c r="AC134" s="143">
        <f>IFERROR(_xlfn.XLOOKUP($D134,'Modelling New'!$D:$D,'Modelling New'!$J:$J),"")</f>
        <v>9.1</v>
      </c>
      <c r="AD134" s="138">
        <f>IFERROR(_xlfn.XLOOKUP($D134,'Modelling New'!$D:$D,'Modelling New'!$T:$T)*1000,"")</f>
        <v>1057470.497769533</v>
      </c>
      <c r="AE134" s="142"/>
      <c r="AF134" s="142">
        <f>IFERROR(_xlfn.XLOOKUP($D134,'Modelling New'!$D:$D,'Modelling New'!$W:$W),"")</f>
        <v>0.62587032301700574</v>
      </c>
      <c r="AG134" s="142">
        <f>IFERROR(_xlfn.XLOOKUP($D134,'Modelling New'!$D:$D,'Modelling New'!$AE:$AE),"")</f>
        <v>0.96029999999999993</v>
      </c>
      <c r="AH134" s="142">
        <f>IFERROR(_xlfn.XLOOKUP($D134,'Modelling New'!$D:$D,'Modelling New'!$AF:$AF),"")</f>
        <v>0.995</v>
      </c>
      <c r="AI134" s="109" t="str">
        <f>IFERROR(_xlfn.XLOOKUP($A134,Input_Raw!$A:$A,Input_Raw!$DP:$DP),"")</f>
        <v/>
      </c>
      <c r="AJ134" s="108"/>
      <c r="AK134" s="108"/>
      <c r="AL134" s="108"/>
      <c r="AM134" s="108"/>
      <c r="AN134" s="132" t="str">
        <f>IFERROR(_xlfn.XLOOKUP($A134,Input_Raw!$A:$A,Input_Raw!$DL:$DL),"")</f>
        <v/>
      </c>
      <c r="AO134" s="142" t="str">
        <f>IFERROR((_xlfn.XLOOKUP($A134,'WTG Reactive Power'!$A:$A,'WTG Reactive Power'!$AW:$AW))/X134,"")</f>
        <v/>
      </c>
      <c r="AP134" s="142">
        <f>IFERROR(_xlfn.XLOOKUP($D134,'Modelling New'!$D:$D,'Modelling New'!$AK:$AK),"")</f>
        <v>0.05</v>
      </c>
      <c r="AQ134" s="142">
        <f>IFERROR(_xlfn.XLOOKUP($D134,'Modelling New'!$D:$D,'Modelling New'!$AL:$AL),"")</f>
        <v>0.05</v>
      </c>
      <c r="AR134" s="198">
        <f>IFERROR(_xlfn.XLOOKUP($D134,'Modelling New'!$D:$D,'Modelling New'!$N:$N),"")</f>
        <v>70.400000000000006</v>
      </c>
      <c r="AS134" s="198"/>
    </row>
    <row r="135" spans="1:45">
      <c r="A135" s="137">
        <f t="shared" si="18"/>
        <v>45878</v>
      </c>
      <c r="B135" s="138">
        <f>YEAR(Daily_KPI[[#This Row],[Date]])+IF(MONTH(Daily_KPI[[#This Row],[Date]])&gt;=4,1,0)</f>
        <v>2026</v>
      </c>
      <c r="C135" s="108">
        <f>YEAR(Daily_KPI[[#This Row],[Date]])</f>
        <v>2025</v>
      </c>
      <c r="D135" s="139">
        <f>Daily_KPI[[#This Row],[Date]]-DAY(Daily_KPI[[#This Row],[Date]])+1</f>
        <v>45870</v>
      </c>
      <c r="E135" s="108">
        <f t="shared" si="14"/>
        <v>31</v>
      </c>
      <c r="F135" s="109"/>
      <c r="G135" s="110"/>
      <c r="H135" s="110"/>
      <c r="I135" s="110"/>
      <c r="J135" s="110"/>
      <c r="K135" s="111"/>
      <c r="L135" s="110"/>
      <c r="M135" s="110" t="str">
        <f>IFERROR(_xlfn.XLOOKUP($A135,Input_Raw!$A:$A,Input_Raw!$CQ:$CQ),"")</f>
        <v/>
      </c>
      <c r="N135" s="110" t="str">
        <f>IFERROR(_xlfn.XLOOKUP($A135,Input_Raw!$A:$A,Input_Raw!$CR:$CR),"")</f>
        <v/>
      </c>
      <c r="O135" s="141" t="str">
        <f t="shared" si="15"/>
        <v/>
      </c>
      <c r="P135" s="141" t="str">
        <f>IFERROR(1-SUMIF(WTG_BD!$F:$F,$A135,WTG_BD!$AA:$AA)/($AA135+SUMIF(WTG_BD!$F:$F,$A135,WTG_BD!$AA:$AA)),"")</f>
        <v/>
      </c>
      <c r="Q135" s="141" t="str">
        <f>IFERROR(1-SUMIF(IGA_BD!$F:$F,$A135,IGA_BD!$W:$W)/($AA135+SUMIF(IGA_BD!$F:$F,$A135,IGA_BD!$W:$W)),"")</f>
        <v/>
      </c>
      <c r="R135" s="141" t="str">
        <f>IFERROR(1-SUMIF(Grid_BD!$F:$F,$A135,Grid_BD!$Y:$Y)/($AA135+SUMIF(Grid_BD!$F:$F,$A135,Grid_BD!$Y:$Y)),"")</f>
        <v/>
      </c>
      <c r="S135" s="108"/>
      <c r="T135" s="140"/>
      <c r="U135" s="141"/>
      <c r="V135" s="108"/>
      <c r="W135" s="142" t="str">
        <f t="shared" si="16"/>
        <v/>
      </c>
      <c r="X135" s="108" t="str">
        <f>IFERROR(_xlfn.XLOOKUP($A135,Input_Raw!$A:$A,Input_Raw!$CP:$CP)*1000,"")</f>
        <v/>
      </c>
      <c r="Y135" s="108" t="str">
        <f>IFERROR(_xlfn.XLOOKUP($A135,Input_Raw!$A:$A,Input_Raw!DJ:DJ)*1000,"")</f>
        <v/>
      </c>
      <c r="Z135" s="108" t="str">
        <f>IFERROR(_xlfn.XLOOKUP($A135,Input_Raw!$A:$A,Input_Raw!DK:DK)*1000,"")</f>
        <v/>
      </c>
      <c r="AA135" s="138" t="str">
        <f t="shared" si="17"/>
        <v/>
      </c>
      <c r="AB135" s="108" t="str">
        <f>IFERROR(_xlfn.XLOOKUP($A135,Input_Raw!$A:$A,Input_Raw!$DR:$DR),"")</f>
        <v/>
      </c>
      <c r="AC135" s="143">
        <f>IFERROR(_xlfn.XLOOKUP($D135,'Modelling New'!$D:$D,'Modelling New'!$J:$J),"")</f>
        <v>9.1</v>
      </c>
      <c r="AD135" s="138">
        <f>IFERROR(_xlfn.XLOOKUP($D135,'Modelling New'!$D:$D,'Modelling New'!$T:$T)*1000,"")</f>
        <v>1057470.497769533</v>
      </c>
      <c r="AE135" s="142"/>
      <c r="AF135" s="142">
        <f>IFERROR(_xlfn.XLOOKUP($D135,'Modelling New'!$D:$D,'Modelling New'!$W:$W),"")</f>
        <v>0.62587032301700574</v>
      </c>
      <c r="AG135" s="142">
        <f>IFERROR(_xlfn.XLOOKUP($D135,'Modelling New'!$D:$D,'Modelling New'!$AE:$AE),"")</f>
        <v>0.96029999999999993</v>
      </c>
      <c r="AH135" s="142">
        <f>IFERROR(_xlfn.XLOOKUP($D135,'Modelling New'!$D:$D,'Modelling New'!$AF:$AF),"")</f>
        <v>0.995</v>
      </c>
      <c r="AI135" s="109" t="str">
        <f>IFERROR(_xlfn.XLOOKUP($A135,Input_Raw!$A:$A,Input_Raw!$DP:$DP),"")</f>
        <v/>
      </c>
      <c r="AJ135" s="108"/>
      <c r="AK135" s="108"/>
      <c r="AL135" s="108"/>
      <c r="AM135" s="108"/>
      <c r="AN135" s="132" t="str">
        <f>IFERROR(_xlfn.XLOOKUP($A135,Input_Raw!$A:$A,Input_Raw!$DL:$DL),"")</f>
        <v/>
      </c>
      <c r="AO135" s="142" t="str">
        <f>IFERROR((_xlfn.XLOOKUP($A135,'WTG Reactive Power'!$A:$A,'WTG Reactive Power'!$AW:$AW))/X135,"")</f>
        <v/>
      </c>
      <c r="AP135" s="142">
        <f>IFERROR(_xlfn.XLOOKUP($D135,'Modelling New'!$D:$D,'Modelling New'!$AK:$AK),"")</f>
        <v>0.05</v>
      </c>
      <c r="AQ135" s="142">
        <f>IFERROR(_xlfn.XLOOKUP($D135,'Modelling New'!$D:$D,'Modelling New'!$AL:$AL),"")</f>
        <v>0.05</v>
      </c>
      <c r="AR135" s="198">
        <f>IFERROR(_xlfn.XLOOKUP($D135,'Modelling New'!$D:$D,'Modelling New'!$N:$N),"")</f>
        <v>70.400000000000006</v>
      </c>
      <c r="AS135" s="198"/>
    </row>
    <row r="136" spans="1:45">
      <c r="A136" s="137">
        <f t="shared" si="18"/>
        <v>45879</v>
      </c>
      <c r="B136" s="138">
        <f>YEAR(Daily_KPI[[#This Row],[Date]])+IF(MONTH(Daily_KPI[[#This Row],[Date]])&gt;=4,1,0)</f>
        <v>2026</v>
      </c>
      <c r="C136" s="108">
        <f>YEAR(Daily_KPI[[#This Row],[Date]])</f>
        <v>2025</v>
      </c>
      <c r="D136" s="139">
        <f>Daily_KPI[[#This Row],[Date]]-DAY(Daily_KPI[[#This Row],[Date]])+1</f>
        <v>45870</v>
      </c>
      <c r="E136" s="108">
        <f t="shared" si="14"/>
        <v>31</v>
      </c>
      <c r="F136" s="109"/>
      <c r="G136" s="143"/>
      <c r="H136" s="143"/>
      <c r="I136" s="143"/>
      <c r="J136" s="143"/>
      <c r="K136" s="111"/>
      <c r="L136" s="110"/>
      <c r="M136" s="110" t="str">
        <f>IFERROR(_xlfn.XLOOKUP($A136,Input_Raw!$A:$A,Input_Raw!$CQ:$CQ),"")</f>
        <v/>
      </c>
      <c r="N136" s="110" t="str">
        <f>IFERROR(_xlfn.XLOOKUP($A136,Input_Raw!$A:$A,Input_Raw!$CR:$CR),"")</f>
        <v/>
      </c>
      <c r="O136" s="141" t="str">
        <f t="shared" si="15"/>
        <v/>
      </c>
      <c r="P136" s="141" t="str">
        <f>IFERROR(1-SUMIF(WTG_BD!$F:$F,$A136,WTG_BD!$AA:$AA)/($AA136+SUMIF(WTG_BD!$F:$F,$A136,WTG_BD!$AA:$AA)),"")</f>
        <v/>
      </c>
      <c r="Q136" s="141" t="str">
        <f>IFERROR(1-SUMIF(IGA_BD!$F:$F,$A136,IGA_BD!$W:$W)/($AA136+SUMIF(IGA_BD!$F:$F,$A136,IGA_BD!$W:$W)),"")</f>
        <v/>
      </c>
      <c r="R136" s="141" t="str">
        <f>IFERROR(1-SUMIF(Grid_BD!$F:$F,$A136,Grid_BD!$Y:$Y)/($AA136+SUMIF(Grid_BD!$F:$F,$A136,Grid_BD!$Y:$Y)),"")</f>
        <v/>
      </c>
      <c r="S136" s="108"/>
      <c r="T136" s="140"/>
      <c r="U136" s="141"/>
      <c r="V136" s="108"/>
      <c r="W136" s="142" t="str">
        <f t="shared" si="16"/>
        <v/>
      </c>
      <c r="X136" s="108" t="str">
        <f>IFERROR(_xlfn.XLOOKUP($A136,Input_Raw!$A:$A,Input_Raw!$CP:$CP)*1000,"")</f>
        <v/>
      </c>
      <c r="Y136" s="108" t="str">
        <f>IFERROR(_xlfn.XLOOKUP($A136,Input_Raw!$A:$A,Input_Raw!DJ:DJ)*1000,"")</f>
        <v/>
      </c>
      <c r="Z136" s="108" t="str">
        <f>IFERROR(_xlfn.XLOOKUP($A136,Input_Raw!$A:$A,Input_Raw!DK:DK)*1000,"")</f>
        <v/>
      </c>
      <c r="AA136" s="138" t="str">
        <f t="shared" si="17"/>
        <v/>
      </c>
      <c r="AB136" s="108" t="str">
        <f>IFERROR(_xlfn.XLOOKUP($A136,Input_Raw!$A:$A,Input_Raw!$DR:$DR),"")</f>
        <v/>
      </c>
      <c r="AC136" s="143">
        <f>IFERROR(_xlfn.XLOOKUP($D136,'Modelling New'!$D:$D,'Modelling New'!$J:$J),"")</f>
        <v>9.1</v>
      </c>
      <c r="AD136" s="138">
        <f>IFERROR(_xlfn.XLOOKUP($D136,'Modelling New'!$D:$D,'Modelling New'!$T:$T)*1000,"")</f>
        <v>1057470.497769533</v>
      </c>
      <c r="AE136" s="142"/>
      <c r="AF136" s="142">
        <f>IFERROR(_xlfn.XLOOKUP($D136,'Modelling New'!$D:$D,'Modelling New'!$W:$W),"")</f>
        <v>0.62587032301700574</v>
      </c>
      <c r="AG136" s="142">
        <f>IFERROR(_xlfn.XLOOKUP($D136,'Modelling New'!$D:$D,'Modelling New'!$AE:$AE),"")</f>
        <v>0.96029999999999993</v>
      </c>
      <c r="AH136" s="142">
        <f>IFERROR(_xlfn.XLOOKUP($D136,'Modelling New'!$D:$D,'Modelling New'!$AF:$AF),"")</f>
        <v>0.995</v>
      </c>
      <c r="AI136" s="109" t="str">
        <f>IFERROR(_xlfn.XLOOKUP($A136,Input_Raw!$A:$A,Input_Raw!$DP:$DP),"")</f>
        <v/>
      </c>
      <c r="AJ136" s="108"/>
      <c r="AK136" s="108"/>
      <c r="AL136" s="108"/>
      <c r="AM136" s="108"/>
      <c r="AN136" s="132" t="str">
        <f>IFERROR(_xlfn.XLOOKUP($A136,Input_Raw!$A:$A,Input_Raw!$DL:$DL),"")</f>
        <v/>
      </c>
      <c r="AO136" s="142" t="str">
        <f>IFERROR((_xlfn.XLOOKUP($A136,'WTG Reactive Power'!$A:$A,'WTG Reactive Power'!$AW:$AW))/X136,"")</f>
        <v/>
      </c>
      <c r="AP136" s="142">
        <f>IFERROR(_xlfn.XLOOKUP($D136,'Modelling New'!$D:$D,'Modelling New'!$AK:$AK),"")</f>
        <v>0.05</v>
      </c>
      <c r="AQ136" s="142">
        <f>IFERROR(_xlfn.XLOOKUP($D136,'Modelling New'!$D:$D,'Modelling New'!$AL:$AL),"")</f>
        <v>0.05</v>
      </c>
      <c r="AR136" s="198">
        <f>IFERROR(_xlfn.XLOOKUP($D136,'Modelling New'!$D:$D,'Modelling New'!$N:$N),"")</f>
        <v>70.400000000000006</v>
      </c>
      <c r="AS136" s="198"/>
    </row>
    <row r="137" spans="1:45">
      <c r="A137" s="137">
        <f t="shared" si="18"/>
        <v>45880</v>
      </c>
      <c r="B137" s="138">
        <f>YEAR(Daily_KPI[[#This Row],[Date]])+IF(MONTH(Daily_KPI[[#This Row],[Date]])&gt;=4,1,0)</f>
        <v>2026</v>
      </c>
      <c r="C137" s="108">
        <f>YEAR(Daily_KPI[[#This Row],[Date]])</f>
        <v>2025</v>
      </c>
      <c r="D137" s="139">
        <f>Daily_KPI[[#This Row],[Date]]-DAY(Daily_KPI[[#This Row],[Date]])+1</f>
        <v>45870</v>
      </c>
      <c r="E137" s="108">
        <f t="shared" si="14"/>
        <v>31</v>
      </c>
      <c r="F137" s="109"/>
      <c r="G137" s="110"/>
      <c r="H137" s="110"/>
      <c r="I137" s="110"/>
      <c r="J137" s="110"/>
      <c r="K137" s="111"/>
      <c r="L137" s="110"/>
      <c r="M137" s="110" t="str">
        <f>IFERROR(_xlfn.XLOOKUP($A137,Input_Raw!$A:$A,Input_Raw!$CQ:$CQ),"")</f>
        <v/>
      </c>
      <c r="N137" s="110" t="str">
        <f>IFERROR(_xlfn.XLOOKUP($A137,Input_Raw!$A:$A,Input_Raw!$CR:$CR),"")</f>
        <v/>
      </c>
      <c r="O137" s="141" t="str">
        <f t="shared" si="15"/>
        <v/>
      </c>
      <c r="P137" s="141" t="str">
        <f>IFERROR(1-SUMIF(WTG_BD!$F:$F,$A137,WTG_BD!$AA:$AA)/($AA137+SUMIF(WTG_BD!$F:$F,$A137,WTG_BD!$AA:$AA)),"")</f>
        <v/>
      </c>
      <c r="Q137" s="141" t="str">
        <f>IFERROR(1-SUMIF(IGA_BD!$F:$F,$A137,IGA_BD!$W:$W)/($AA137+SUMIF(IGA_BD!$F:$F,$A137,IGA_BD!$W:$W)),"")</f>
        <v/>
      </c>
      <c r="R137" s="141" t="str">
        <f>IFERROR(1-SUMIF(Grid_BD!$F:$F,$A137,Grid_BD!$Y:$Y)/($AA137+SUMIF(Grid_BD!$F:$F,$A137,Grid_BD!$Y:$Y)),"")</f>
        <v/>
      </c>
      <c r="S137" s="108"/>
      <c r="T137" s="140"/>
      <c r="U137" s="141"/>
      <c r="V137" s="108"/>
      <c r="W137" s="142" t="str">
        <f t="shared" si="16"/>
        <v/>
      </c>
      <c r="X137" s="108" t="str">
        <f>IFERROR(_xlfn.XLOOKUP($A137,Input_Raw!$A:$A,Input_Raw!$CP:$CP)*1000,"")</f>
        <v/>
      </c>
      <c r="Y137" s="108" t="str">
        <f>IFERROR(_xlfn.XLOOKUP($A137,Input_Raw!$A:$A,Input_Raw!DJ:DJ)*1000,"")</f>
        <v/>
      </c>
      <c r="Z137" s="108" t="str">
        <f>IFERROR(_xlfn.XLOOKUP($A137,Input_Raw!$A:$A,Input_Raw!DK:DK)*1000,"")</f>
        <v/>
      </c>
      <c r="AA137" s="138" t="str">
        <f t="shared" si="17"/>
        <v/>
      </c>
      <c r="AB137" s="108" t="str">
        <f>IFERROR(_xlfn.XLOOKUP($A137,Input_Raw!$A:$A,Input_Raw!$DR:$DR),"")</f>
        <v/>
      </c>
      <c r="AC137" s="143">
        <f>IFERROR(_xlfn.XLOOKUP($D137,'Modelling New'!$D:$D,'Modelling New'!$J:$J),"")</f>
        <v>9.1</v>
      </c>
      <c r="AD137" s="138">
        <f>IFERROR(_xlfn.XLOOKUP($D137,'Modelling New'!$D:$D,'Modelling New'!$T:$T)*1000,"")</f>
        <v>1057470.497769533</v>
      </c>
      <c r="AE137" s="142"/>
      <c r="AF137" s="142">
        <f>IFERROR(_xlfn.XLOOKUP($D137,'Modelling New'!$D:$D,'Modelling New'!$W:$W),"")</f>
        <v>0.62587032301700574</v>
      </c>
      <c r="AG137" s="142">
        <f>IFERROR(_xlfn.XLOOKUP($D137,'Modelling New'!$D:$D,'Modelling New'!$AE:$AE),"")</f>
        <v>0.96029999999999993</v>
      </c>
      <c r="AH137" s="142">
        <f>IFERROR(_xlfn.XLOOKUP($D137,'Modelling New'!$D:$D,'Modelling New'!$AF:$AF),"")</f>
        <v>0.995</v>
      </c>
      <c r="AI137" s="109" t="str">
        <f>IFERROR(_xlfn.XLOOKUP($A137,Input_Raw!$A:$A,Input_Raw!$DP:$DP),"")</f>
        <v/>
      </c>
      <c r="AJ137" s="108"/>
      <c r="AK137" s="108"/>
      <c r="AL137" s="108"/>
      <c r="AM137" s="108"/>
      <c r="AN137" s="132" t="str">
        <f>IFERROR(_xlfn.XLOOKUP($A137,Input_Raw!$A:$A,Input_Raw!$DL:$DL),"")</f>
        <v/>
      </c>
      <c r="AO137" s="142" t="str">
        <f>IFERROR((_xlfn.XLOOKUP($A137,'WTG Reactive Power'!$A:$A,'WTG Reactive Power'!$AW:$AW))/X137,"")</f>
        <v/>
      </c>
      <c r="AP137" s="142">
        <f>IFERROR(_xlfn.XLOOKUP($D137,'Modelling New'!$D:$D,'Modelling New'!$AK:$AK),"")</f>
        <v>0.05</v>
      </c>
      <c r="AQ137" s="142">
        <f>IFERROR(_xlfn.XLOOKUP($D137,'Modelling New'!$D:$D,'Modelling New'!$AL:$AL),"")</f>
        <v>0.05</v>
      </c>
      <c r="AR137" s="198">
        <f>IFERROR(_xlfn.XLOOKUP($D137,'Modelling New'!$D:$D,'Modelling New'!$N:$N),"")</f>
        <v>70.400000000000006</v>
      </c>
      <c r="AS137" s="198"/>
    </row>
    <row r="138" spans="1:45">
      <c r="A138" s="137">
        <f t="shared" si="18"/>
        <v>45881</v>
      </c>
      <c r="B138" s="138">
        <f>YEAR(Daily_KPI[[#This Row],[Date]])+IF(MONTH(Daily_KPI[[#This Row],[Date]])&gt;=4,1,0)</f>
        <v>2026</v>
      </c>
      <c r="C138" s="108">
        <f>YEAR(Daily_KPI[[#This Row],[Date]])</f>
        <v>2025</v>
      </c>
      <c r="D138" s="139">
        <f>Daily_KPI[[#This Row],[Date]]-DAY(Daily_KPI[[#This Row],[Date]])+1</f>
        <v>45870</v>
      </c>
      <c r="E138" s="108">
        <f t="shared" si="14"/>
        <v>31</v>
      </c>
      <c r="F138" s="109"/>
      <c r="G138" s="143"/>
      <c r="H138" s="143"/>
      <c r="I138" s="143"/>
      <c r="J138" s="143"/>
      <c r="K138" s="111"/>
      <c r="L138" s="110"/>
      <c r="M138" s="110" t="str">
        <f>IFERROR(_xlfn.XLOOKUP($A138,Input_Raw!$A:$A,Input_Raw!$CQ:$CQ),"")</f>
        <v/>
      </c>
      <c r="N138" s="110" t="str">
        <f>IFERROR(_xlfn.XLOOKUP($A138,Input_Raw!$A:$A,Input_Raw!$CR:$CR),"")</f>
        <v/>
      </c>
      <c r="O138" s="141" t="str">
        <f t="shared" si="15"/>
        <v/>
      </c>
      <c r="P138" s="141" t="str">
        <f>IFERROR(1-SUMIF(WTG_BD!$F:$F,$A138,WTG_BD!$AA:$AA)/($AA138+SUMIF(WTG_BD!$F:$F,$A138,WTG_BD!$AA:$AA)),"")</f>
        <v/>
      </c>
      <c r="Q138" s="141" t="str">
        <f>IFERROR(1-SUMIF(IGA_BD!$F:$F,$A138,IGA_BD!$W:$W)/($AA138+SUMIF(IGA_BD!$F:$F,$A138,IGA_BD!$W:$W)),"")</f>
        <v/>
      </c>
      <c r="R138" s="141" t="str">
        <f>IFERROR(1-SUMIF(Grid_BD!$F:$F,$A138,Grid_BD!$Y:$Y)/($AA138+SUMIF(Grid_BD!$F:$F,$A138,Grid_BD!$Y:$Y)),"")</f>
        <v/>
      </c>
      <c r="S138" s="108"/>
      <c r="T138" s="140"/>
      <c r="U138" s="141"/>
      <c r="V138" s="108"/>
      <c r="W138" s="142" t="str">
        <f t="shared" si="16"/>
        <v/>
      </c>
      <c r="X138" s="108" t="str">
        <f>IFERROR(_xlfn.XLOOKUP($A138,Input_Raw!$A:$A,Input_Raw!$CP:$CP)*1000,"")</f>
        <v/>
      </c>
      <c r="Y138" s="108" t="str">
        <f>IFERROR(_xlfn.XLOOKUP($A138,Input_Raw!$A:$A,Input_Raw!DJ:DJ)*1000,"")</f>
        <v/>
      </c>
      <c r="Z138" s="108" t="str">
        <f>IFERROR(_xlfn.XLOOKUP($A138,Input_Raw!$A:$A,Input_Raw!DK:DK)*1000,"")</f>
        <v/>
      </c>
      <c r="AA138" s="138" t="str">
        <f t="shared" si="17"/>
        <v/>
      </c>
      <c r="AB138" s="108" t="str">
        <f>IFERROR(_xlfn.XLOOKUP($A138,Input_Raw!$A:$A,Input_Raw!$DR:$DR),"")</f>
        <v/>
      </c>
      <c r="AC138" s="143">
        <f>IFERROR(_xlfn.XLOOKUP($D138,'Modelling New'!$D:$D,'Modelling New'!$J:$J),"")</f>
        <v>9.1</v>
      </c>
      <c r="AD138" s="138">
        <f>IFERROR(_xlfn.XLOOKUP($D138,'Modelling New'!$D:$D,'Modelling New'!$T:$T)*1000,"")</f>
        <v>1057470.497769533</v>
      </c>
      <c r="AE138" s="142"/>
      <c r="AF138" s="142">
        <f>IFERROR(_xlfn.XLOOKUP($D138,'Modelling New'!$D:$D,'Modelling New'!$W:$W),"")</f>
        <v>0.62587032301700574</v>
      </c>
      <c r="AG138" s="142">
        <f>IFERROR(_xlfn.XLOOKUP($D138,'Modelling New'!$D:$D,'Modelling New'!$AE:$AE),"")</f>
        <v>0.96029999999999993</v>
      </c>
      <c r="AH138" s="142">
        <f>IFERROR(_xlfn.XLOOKUP($D138,'Modelling New'!$D:$D,'Modelling New'!$AF:$AF),"")</f>
        <v>0.995</v>
      </c>
      <c r="AI138" s="109" t="str">
        <f>IFERROR(_xlfn.XLOOKUP($A138,Input_Raw!$A:$A,Input_Raw!$DP:$DP),"")</f>
        <v/>
      </c>
      <c r="AJ138" s="108"/>
      <c r="AK138" s="108"/>
      <c r="AL138" s="108"/>
      <c r="AM138" s="108"/>
      <c r="AN138" s="132" t="str">
        <f>IFERROR(_xlfn.XLOOKUP($A138,Input_Raw!$A:$A,Input_Raw!$DL:$DL),"")</f>
        <v/>
      </c>
      <c r="AO138" s="142" t="str">
        <f>IFERROR((_xlfn.XLOOKUP($A138,'WTG Reactive Power'!$A:$A,'WTG Reactive Power'!$AW:$AW))/X138,"")</f>
        <v/>
      </c>
      <c r="AP138" s="142">
        <f>IFERROR(_xlfn.XLOOKUP($D138,'Modelling New'!$D:$D,'Modelling New'!$AK:$AK),"")</f>
        <v>0.05</v>
      </c>
      <c r="AQ138" s="142">
        <f>IFERROR(_xlfn.XLOOKUP($D138,'Modelling New'!$D:$D,'Modelling New'!$AL:$AL),"")</f>
        <v>0.05</v>
      </c>
      <c r="AR138" s="198">
        <f>IFERROR(_xlfn.XLOOKUP($D138,'Modelling New'!$D:$D,'Modelling New'!$N:$N),"")</f>
        <v>70.400000000000006</v>
      </c>
      <c r="AS138" s="198"/>
    </row>
    <row r="139" spans="1:45">
      <c r="A139" s="137">
        <f t="shared" si="18"/>
        <v>45882</v>
      </c>
      <c r="B139" s="138">
        <f>YEAR(Daily_KPI[[#This Row],[Date]])+IF(MONTH(Daily_KPI[[#This Row],[Date]])&gt;=4,1,0)</f>
        <v>2026</v>
      </c>
      <c r="C139" s="108">
        <f>YEAR(Daily_KPI[[#This Row],[Date]])</f>
        <v>2025</v>
      </c>
      <c r="D139" s="139">
        <f>Daily_KPI[[#This Row],[Date]]-DAY(Daily_KPI[[#This Row],[Date]])+1</f>
        <v>45870</v>
      </c>
      <c r="E139" s="108">
        <f t="shared" si="14"/>
        <v>31</v>
      </c>
      <c r="F139" s="109"/>
      <c r="G139" s="110"/>
      <c r="H139" s="110"/>
      <c r="I139" s="110"/>
      <c r="J139" s="110"/>
      <c r="K139" s="111"/>
      <c r="L139" s="110"/>
      <c r="M139" s="110" t="str">
        <f>IFERROR(_xlfn.XLOOKUP($A139,Input_Raw!$A:$A,Input_Raw!$CQ:$CQ),"")</f>
        <v/>
      </c>
      <c r="N139" s="110" t="str">
        <f>IFERROR(_xlfn.XLOOKUP($A139,Input_Raw!$A:$A,Input_Raw!$CR:$CR),"")</f>
        <v/>
      </c>
      <c r="O139" s="141" t="str">
        <f t="shared" si="15"/>
        <v/>
      </c>
      <c r="P139" s="141" t="str">
        <f>IFERROR(1-SUMIF(WTG_BD!$F:$F,$A139,WTG_BD!$AA:$AA)/($AA139+SUMIF(WTG_BD!$F:$F,$A139,WTG_BD!$AA:$AA)),"")</f>
        <v/>
      </c>
      <c r="Q139" s="141" t="str">
        <f>IFERROR(1-SUMIF(IGA_BD!$F:$F,$A139,IGA_BD!$W:$W)/($AA139+SUMIF(IGA_BD!$F:$F,$A139,IGA_BD!$W:$W)),"")</f>
        <v/>
      </c>
      <c r="R139" s="141" t="str">
        <f>IFERROR(1-SUMIF(Grid_BD!$F:$F,$A139,Grid_BD!$Y:$Y)/($AA139+SUMIF(Grid_BD!$F:$F,$A139,Grid_BD!$Y:$Y)),"")</f>
        <v/>
      </c>
      <c r="S139" s="108"/>
      <c r="T139" s="140"/>
      <c r="U139" s="141"/>
      <c r="V139" s="108"/>
      <c r="W139" s="142" t="str">
        <f t="shared" si="16"/>
        <v/>
      </c>
      <c r="X139" s="108" t="str">
        <f>IFERROR(_xlfn.XLOOKUP($A139,Input_Raw!$A:$A,Input_Raw!$CP:$CP)*1000,"")</f>
        <v/>
      </c>
      <c r="Y139" s="108" t="str">
        <f>IFERROR(_xlfn.XLOOKUP($A139,Input_Raw!$A:$A,Input_Raw!DJ:DJ)*1000,"")</f>
        <v/>
      </c>
      <c r="Z139" s="108" t="str">
        <f>IFERROR(_xlfn.XLOOKUP($A139,Input_Raw!$A:$A,Input_Raw!DK:DK)*1000,"")</f>
        <v/>
      </c>
      <c r="AA139" s="138" t="str">
        <f t="shared" si="17"/>
        <v/>
      </c>
      <c r="AB139" s="108" t="str">
        <f>IFERROR(_xlfn.XLOOKUP($A139,Input_Raw!$A:$A,Input_Raw!$DR:$DR),"")</f>
        <v/>
      </c>
      <c r="AC139" s="143">
        <f>IFERROR(_xlfn.XLOOKUP($D139,'Modelling New'!$D:$D,'Modelling New'!$J:$J),"")</f>
        <v>9.1</v>
      </c>
      <c r="AD139" s="138">
        <f>IFERROR(_xlfn.XLOOKUP($D139,'Modelling New'!$D:$D,'Modelling New'!$T:$T)*1000,"")</f>
        <v>1057470.497769533</v>
      </c>
      <c r="AE139" s="142"/>
      <c r="AF139" s="142">
        <f>IFERROR(_xlfn.XLOOKUP($D139,'Modelling New'!$D:$D,'Modelling New'!$W:$W),"")</f>
        <v>0.62587032301700574</v>
      </c>
      <c r="AG139" s="142">
        <f>IFERROR(_xlfn.XLOOKUP($D139,'Modelling New'!$D:$D,'Modelling New'!$AE:$AE),"")</f>
        <v>0.96029999999999993</v>
      </c>
      <c r="AH139" s="142">
        <f>IFERROR(_xlfn.XLOOKUP($D139,'Modelling New'!$D:$D,'Modelling New'!$AF:$AF),"")</f>
        <v>0.995</v>
      </c>
      <c r="AI139" s="109" t="str">
        <f>IFERROR(_xlfn.XLOOKUP($A139,Input_Raw!$A:$A,Input_Raw!$DP:$DP),"")</f>
        <v/>
      </c>
      <c r="AJ139" s="108"/>
      <c r="AK139" s="108"/>
      <c r="AL139" s="108"/>
      <c r="AM139" s="108"/>
      <c r="AN139" s="132" t="str">
        <f>IFERROR(_xlfn.XLOOKUP($A139,Input_Raw!$A:$A,Input_Raw!$DL:$DL),"")</f>
        <v/>
      </c>
      <c r="AO139" s="142" t="str">
        <f>IFERROR((_xlfn.XLOOKUP($A139,'WTG Reactive Power'!$A:$A,'WTG Reactive Power'!$AW:$AW))/X139,"")</f>
        <v/>
      </c>
      <c r="AP139" s="142">
        <f>IFERROR(_xlfn.XLOOKUP($D139,'Modelling New'!$D:$D,'Modelling New'!$AK:$AK),"")</f>
        <v>0.05</v>
      </c>
      <c r="AQ139" s="142">
        <f>IFERROR(_xlfn.XLOOKUP($D139,'Modelling New'!$D:$D,'Modelling New'!$AL:$AL),"")</f>
        <v>0.05</v>
      </c>
      <c r="AR139" s="198">
        <f>IFERROR(_xlfn.XLOOKUP($D139,'Modelling New'!$D:$D,'Modelling New'!$N:$N),"")</f>
        <v>70.400000000000006</v>
      </c>
      <c r="AS139" s="198"/>
    </row>
    <row r="140" spans="1:45">
      <c r="A140" s="137">
        <f t="shared" si="18"/>
        <v>45883</v>
      </c>
      <c r="B140" s="138">
        <f>YEAR(Daily_KPI[[#This Row],[Date]])+IF(MONTH(Daily_KPI[[#This Row],[Date]])&gt;=4,1,0)</f>
        <v>2026</v>
      </c>
      <c r="C140" s="108">
        <f>YEAR(Daily_KPI[[#This Row],[Date]])</f>
        <v>2025</v>
      </c>
      <c r="D140" s="139">
        <f>Daily_KPI[[#This Row],[Date]]-DAY(Daily_KPI[[#This Row],[Date]])+1</f>
        <v>45870</v>
      </c>
      <c r="E140" s="108">
        <f t="shared" si="14"/>
        <v>31</v>
      </c>
      <c r="F140" s="109"/>
      <c r="G140" s="143"/>
      <c r="H140" s="143"/>
      <c r="I140" s="143"/>
      <c r="J140" s="143"/>
      <c r="K140" s="111"/>
      <c r="L140" s="110"/>
      <c r="M140" s="110" t="str">
        <f>IFERROR(_xlfn.XLOOKUP($A140,Input_Raw!$A:$A,Input_Raw!$CQ:$CQ),"")</f>
        <v/>
      </c>
      <c r="N140" s="110" t="str">
        <f>IFERROR(_xlfn.XLOOKUP($A140,Input_Raw!$A:$A,Input_Raw!$CR:$CR),"")</f>
        <v/>
      </c>
      <c r="O140" s="141" t="str">
        <f t="shared" si="15"/>
        <v/>
      </c>
      <c r="P140" s="141" t="str">
        <f>IFERROR(1-SUMIF(WTG_BD!$F:$F,$A140,WTG_BD!$AA:$AA)/($AA140+SUMIF(WTG_BD!$F:$F,$A140,WTG_BD!$AA:$AA)),"")</f>
        <v/>
      </c>
      <c r="Q140" s="141" t="str">
        <f>IFERROR(1-SUMIF(IGA_BD!$F:$F,$A140,IGA_BD!$W:$W)/($AA140+SUMIF(IGA_BD!$F:$F,$A140,IGA_BD!$W:$W)),"")</f>
        <v/>
      </c>
      <c r="R140" s="141" t="str">
        <f>IFERROR(1-SUMIF(Grid_BD!$F:$F,$A140,Grid_BD!$Y:$Y)/($AA140+SUMIF(Grid_BD!$F:$F,$A140,Grid_BD!$Y:$Y)),"")</f>
        <v/>
      </c>
      <c r="S140" s="108"/>
      <c r="T140" s="140"/>
      <c r="U140" s="141"/>
      <c r="V140" s="108"/>
      <c r="W140" s="142" t="str">
        <f t="shared" si="16"/>
        <v/>
      </c>
      <c r="X140" s="108" t="str">
        <f>IFERROR(_xlfn.XLOOKUP($A140,Input_Raw!$A:$A,Input_Raw!$CP:$CP)*1000,"")</f>
        <v/>
      </c>
      <c r="Y140" s="108" t="str">
        <f>IFERROR(_xlfn.XLOOKUP($A140,Input_Raw!$A:$A,Input_Raw!DJ:DJ)*1000,"")</f>
        <v/>
      </c>
      <c r="Z140" s="108" t="str">
        <f>IFERROR(_xlfn.XLOOKUP($A140,Input_Raw!$A:$A,Input_Raw!DK:DK)*1000,"")</f>
        <v/>
      </c>
      <c r="AA140" s="138" t="str">
        <f t="shared" si="17"/>
        <v/>
      </c>
      <c r="AB140" s="108" t="str">
        <f>IFERROR(_xlfn.XLOOKUP($A140,Input_Raw!$A:$A,Input_Raw!$DR:$DR),"")</f>
        <v/>
      </c>
      <c r="AC140" s="143">
        <f>IFERROR(_xlfn.XLOOKUP($D140,'Modelling New'!$D:$D,'Modelling New'!$J:$J),"")</f>
        <v>9.1</v>
      </c>
      <c r="AD140" s="138">
        <f>IFERROR(_xlfn.XLOOKUP($D140,'Modelling New'!$D:$D,'Modelling New'!$T:$T)*1000,"")</f>
        <v>1057470.497769533</v>
      </c>
      <c r="AE140" s="142"/>
      <c r="AF140" s="142">
        <f>IFERROR(_xlfn.XLOOKUP($D140,'Modelling New'!$D:$D,'Modelling New'!$W:$W),"")</f>
        <v>0.62587032301700574</v>
      </c>
      <c r="AG140" s="142">
        <f>IFERROR(_xlfn.XLOOKUP($D140,'Modelling New'!$D:$D,'Modelling New'!$AE:$AE),"")</f>
        <v>0.96029999999999993</v>
      </c>
      <c r="AH140" s="142">
        <f>IFERROR(_xlfn.XLOOKUP($D140,'Modelling New'!$D:$D,'Modelling New'!$AF:$AF),"")</f>
        <v>0.995</v>
      </c>
      <c r="AI140" s="109" t="str">
        <f>IFERROR(_xlfn.XLOOKUP($A140,Input_Raw!$A:$A,Input_Raw!$DP:$DP),"")</f>
        <v/>
      </c>
      <c r="AJ140" s="108"/>
      <c r="AK140" s="108"/>
      <c r="AL140" s="108"/>
      <c r="AM140" s="108"/>
      <c r="AN140" s="132" t="str">
        <f>IFERROR(_xlfn.XLOOKUP($A140,Input_Raw!$A:$A,Input_Raw!$DL:$DL),"")</f>
        <v/>
      </c>
      <c r="AO140" s="142" t="str">
        <f>IFERROR((_xlfn.XLOOKUP($A140,'WTG Reactive Power'!$A:$A,'WTG Reactive Power'!$AW:$AW))/X140,"")</f>
        <v/>
      </c>
      <c r="AP140" s="142">
        <f>IFERROR(_xlfn.XLOOKUP($D140,'Modelling New'!$D:$D,'Modelling New'!$AK:$AK),"")</f>
        <v>0.05</v>
      </c>
      <c r="AQ140" s="142">
        <f>IFERROR(_xlfn.XLOOKUP($D140,'Modelling New'!$D:$D,'Modelling New'!$AL:$AL),"")</f>
        <v>0.05</v>
      </c>
      <c r="AR140" s="198">
        <f>IFERROR(_xlfn.XLOOKUP($D140,'Modelling New'!$D:$D,'Modelling New'!$N:$N),"")</f>
        <v>70.400000000000006</v>
      </c>
      <c r="AS140" s="198"/>
    </row>
    <row r="141" spans="1:45">
      <c r="A141" s="137">
        <f t="shared" si="18"/>
        <v>45884</v>
      </c>
      <c r="B141" s="138">
        <f>YEAR(Daily_KPI[[#This Row],[Date]])+IF(MONTH(Daily_KPI[[#This Row],[Date]])&gt;=4,1,0)</f>
        <v>2026</v>
      </c>
      <c r="C141" s="108">
        <f>YEAR(Daily_KPI[[#This Row],[Date]])</f>
        <v>2025</v>
      </c>
      <c r="D141" s="139">
        <f>Daily_KPI[[#This Row],[Date]]-DAY(Daily_KPI[[#This Row],[Date]])+1</f>
        <v>45870</v>
      </c>
      <c r="E141" s="108">
        <f t="shared" si="14"/>
        <v>31</v>
      </c>
      <c r="F141" s="109"/>
      <c r="G141" s="110"/>
      <c r="H141" s="110"/>
      <c r="I141" s="110"/>
      <c r="J141" s="110"/>
      <c r="K141" s="111"/>
      <c r="L141" s="110"/>
      <c r="M141" s="110" t="str">
        <f>IFERROR(_xlfn.XLOOKUP($A141,Input_Raw!$A:$A,Input_Raw!$CQ:$CQ),"")</f>
        <v/>
      </c>
      <c r="N141" s="110" t="str">
        <f>IFERROR(_xlfn.XLOOKUP($A141,Input_Raw!$A:$A,Input_Raw!$CR:$CR),"")</f>
        <v/>
      </c>
      <c r="O141" s="141" t="str">
        <f t="shared" si="15"/>
        <v/>
      </c>
      <c r="P141" s="141" t="str">
        <f>IFERROR(1-SUMIF(WTG_BD!$F:$F,$A141,WTG_BD!$AA:$AA)/($AA141+SUMIF(WTG_BD!$F:$F,$A141,WTG_BD!$AA:$AA)),"")</f>
        <v/>
      </c>
      <c r="Q141" s="141" t="str">
        <f>IFERROR(1-SUMIF(IGA_BD!$F:$F,$A141,IGA_BD!$W:$W)/($AA141+SUMIF(IGA_BD!$F:$F,$A141,IGA_BD!$W:$W)),"")</f>
        <v/>
      </c>
      <c r="R141" s="141" t="str">
        <f>IFERROR(1-SUMIF(Grid_BD!$F:$F,$A141,Grid_BD!$Y:$Y)/($AA141+SUMIF(Grid_BD!$F:$F,$A141,Grid_BD!$Y:$Y)),"")</f>
        <v/>
      </c>
      <c r="S141" s="108"/>
      <c r="T141" s="140"/>
      <c r="U141" s="141"/>
      <c r="V141" s="108"/>
      <c r="W141" s="142" t="str">
        <f t="shared" si="16"/>
        <v/>
      </c>
      <c r="X141" s="108" t="str">
        <f>IFERROR(_xlfn.XLOOKUP($A141,Input_Raw!$A:$A,Input_Raw!$CP:$CP)*1000,"")</f>
        <v/>
      </c>
      <c r="Y141" s="108" t="str">
        <f>IFERROR(_xlfn.XLOOKUP($A141,Input_Raw!$A:$A,Input_Raw!DJ:DJ)*1000,"")</f>
        <v/>
      </c>
      <c r="Z141" s="108" t="str">
        <f>IFERROR(_xlfn.XLOOKUP($A141,Input_Raw!$A:$A,Input_Raw!DK:DK)*1000,"")</f>
        <v/>
      </c>
      <c r="AA141" s="138" t="str">
        <f t="shared" si="17"/>
        <v/>
      </c>
      <c r="AB141" s="108" t="str">
        <f>IFERROR(_xlfn.XLOOKUP($A141,Input_Raw!$A:$A,Input_Raw!$DR:$DR),"")</f>
        <v/>
      </c>
      <c r="AC141" s="143">
        <f>IFERROR(_xlfn.XLOOKUP($D141,'Modelling New'!$D:$D,'Modelling New'!$J:$J),"")</f>
        <v>9.1</v>
      </c>
      <c r="AD141" s="138">
        <f>IFERROR(_xlfn.XLOOKUP($D141,'Modelling New'!$D:$D,'Modelling New'!$T:$T)*1000,"")</f>
        <v>1057470.497769533</v>
      </c>
      <c r="AE141" s="142"/>
      <c r="AF141" s="142">
        <f>IFERROR(_xlfn.XLOOKUP($D141,'Modelling New'!$D:$D,'Modelling New'!$W:$W),"")</f>
        <v>0.62587032301700574</v>
      </c>
      <c r="AG141" s="142">
        <f>IFERROR(_xlfn.XLOOKUP($D141,'Modelling New'!$D:$D,'Modelling New'!$AE:$AE),"")</f>
        <v>0.96029999999999993</v>
      </c>
      <c r="AH141" s="142">
        <f>IFERROR(_xlfn.XLOOKUP($D141,'Modelling New'!$D:$D,'Modelling New'!$AF:$AF),"")</f>
        <v>0.995</v>
      </c>
      <c r="AI141" s="109" t="str">
        <f>IFERROR(_xlfn.XLOOKUP($A141,Input_Raw!$A:$A,Input_Raw!$DP:$DP),"")</f>
        <v/>
      </c>
      <c r="AJ141" s="108"/>
      <c r="AK141" s="108"/>
      <c r="AL141" s="108"/>
      <c r="AM141" s="108"/>
      <c r="AN141" s="132" t="str">
        <f>IFERROR(_xlfn.XLOOKUP($A141,Input_Raw!$A:$A,Input_Raw!$DL:$DL),"")</f>
        <v/>
      </c>
      <c r="AO141" s="142" t="str">
        <f>IFERROR((_xlfn.XLOOKUP($A141,'WTG Reactive Power'!$A:$A,'WTG Reactive Power'!$AW:$AW))/X141,"")</f>
        <v/>
      </c>
      <c r="AP141" s="142">
        <f>IFERROR(_xlfn.XLOOKUP($D141,'Modelling New'!$D:$D,'Modelling New'!$AK:$AK),"")</f>
        <v>0.05</v>
      </c>
      <c r="AQ141" s="142">
        <f>IFERROR(_xlfn.XLOOKUP($D141,'Modelling New'!$D:$D,'Modelling New'!$AL:$AL),"")</f>
        <v>0.05</v>
      </c>
      <c r="AR141" s="198">
        <f>IFERROR(_xlfn.XLOOKUP($D141,'Modelling New'!$D:$D,'Modelling New'!$N:$N),"")</f>
        <v>70.400000000000006</v>
      </c>
      <c r="AS141" s="198"/>
    </row>
    <row r="142" spans="1:45">
      <c r="A142" s="137">
        <f t="shared" si="18"/>
        <v>45885</v>
      </c>
      <c r="B142" s="138">
        <f>YEAR(Daily_KPI[[#This Row],[Date]])+IF(MONTH(Daily_KPI[[#This Row],[Date]])&gt;=4,1,0)</f>
        <v>2026</v>
      </c>
      <c r="C142" s="108">
        <f>YEAR(Daily_KPI[[#This Row],[Date]])</f>
        <v>2025</v>
      </c>
      <c r="D142" s="139">
        <f>Daily_KPI[[#This Row],[Date]]-DAY(Daily_KPI[[#This Row],[Date]])+1</f>
        <v>45870</v>
      </c>
      <c r="E142" s="108">
        <f t="shared" si="14"/>
        <v>31</v>
      </c>
      <c r="F142" s="109"/>
      <c r="G142" s="143"/>
      <c r="H142" s="143"/>
      <c r="I142" s="143"/>
      <c r="J142" s="143"/>
      <c r="K142" s="111"/>
      <c r="L142" s="110"/>
      <c r="M142" s="110" t="str">
        <f>IFERROR(_xlfn.XLOOKUP($A142,Input_Raw!$A:$A,Input_Raw!$CQ:$CQ),"")</f>
        <v/>
      </c>
      <c r="N142" s="110" t="str">
        <f>IFERROR(_xlfn.XLOOKUP($A142,Input_Raw!$A:$A,Input_Raw!$CR:$CR),"")</f>
        <v/>
      </c>
      <c r="O142" s="141" t="str">
        <f t="shared" si="15"/>
        <v/>
      </c>
      <c r="P142" s="141" t="str">
        <f>IFERROR(1-SUMIF(WTG_BD!$F:$F,$A142,WTG_BD!$AA:$AA)/($AA142+SUMIF(WTG_BD!$F:$F,$A142,WTG_BD!$AA:$AA)),"")</f>
        <v/>
      </c>
      <c r="Q142" s="141" t="str">
        <f>IFERROR(1-SUMIF(IGA_BD!$F:$F,$A142,IGA_BD!$W:$W)/($AA142+SUMIF(IGA_BD!$F:$F,$A142,IGA_BD!$W:$W)),"")</f>
        <v/>
      </c>
      <c r="R142" s="141" t="str">
        <f>IFERROR(1-SUMIF(Grid_BD!$F:$F,$A142,Grid_BD!$Y:$Y)/($AA142+SUMIF(Grid_BD!$F:$F,$A142,Grid_BD!$Y:$Y)),"")</f>
        <v/>
      </c>
      <c r="S142" s="108"/>
      <c r="T142" s="140"/>
      <c r="U142" s="141"/>
      <c r="V142" s="108"/>
      <c r="W142" s="142" t="str">
        <f t="shared" si="16"/>
        <v/>
      </c>
      <c r="X142" s="108" t="str">
        <f>IFERROR(_xlfn.XLOOKUP($A142,Input_Raw!$A:$A,Input_Raw!$CP:$CP)*1000,"")</f>
        <v/>
      </c>
      <c r="Y142" s="108" t="str">
        <f>IFERROR(_xlfn.XLOOKUP($A142,Input_Raw!$A:$A,Input_Raw!DJ:DJ)*1000,"")</f>
        <v/>
      </c>
      <c r="Z142" s="108" t="str">
        <f>IFERROR(_xlfn.XLOOKUP($A142,Input_Raw!$A:$A,Input_Raw!DK:DK)*1000,"")</f>
        <v/>
      </c>
      <c r="AA142" s="138" t="str">
        <f t="shared" si="17"/>
        <v/>
      </c>
      <c r="AB142" s="108" t="str">
        <f>IFERROR(_xlfn.XLOOKUP($A142,Input_Raw!$A:$A,Input_Raw!$DR:$DR),"")</f>
        <v/>
      </c>
      <c r="AC142" s="143">
        <f>IFERROR(_xlfn.XLOOKUP($D142,'Modelling New'!$D:$D,'Modelling New'!$J:$J),"")</f>
        <v>9.1</v>
      </c>
      <c r="AD142" s="138">
        <f>IFERROR(_xlfn.XLOOKUP($D142,'Modelling New'!$D:$D,'Modelling New'!$T:$T)*1000,"")</f>
        <v>1057470.497769533</v>
      </c>
      <c r="AE142" s="142"/>
      <c r="AF142" s="142">
        <f>IFERROR(_xlfn.XLOOKUP($D142,'Modelling New'!$D:$D,'Modelling New'!$W:$W),"")</f>
        <v>0.62587032301700574</v>
      </c>
      <c r="AG142" s="142">
        <f>IFERROR(_xlfn.XLOOKUP($D142,'Modelling New'!$D:$D,'Modelling New'!$AE:$AE),"")</f>
        <v>0.96029999999999993</v>
      </c>
      <c r="AH142" s="142">
        <f>IFERROR(_xlfn.XLOOKUP($D142,'Modelling New'!$D:$D,'Modelling New'!$AF:$AF),"")</f>
        <v>0.995</v>
      </c>
      <c r="AI142" s="109" t="str">
        <f>IFERROR(_xlfn.XLOOKUP($A142,Input_Raw!$A:$A,Input_Raw!$DP:$DP),"")</f>
        <v/>
      </c>
      <c r="AJ142" s="108"/>
      <c r="AK142" s="108"/>
      <c r="AL142" s="108"/>
      <c r="AM142" s="108"/>
      <c r="AN142" s="132" t="str">
        <f>IFERROR(_xlfn.XLOOKUP($A142,Input_Raw!$A:$A,Input_Raw!$DL:$DL),"")</f>
        <v/>
      </c>
      <c r="AO142" s="142" t="str">
        <f>IFERROR((_xlfn.XLOOKUP($A142,'WTG Reactive Power'!$A:$A,'WTG Reactive Power'!$AW:$AW))/X142,"")</f>
        <v/>
      </c>
      <c r="AP142" s="142">
        <f>IFERROR(_xlfn.XLOOKUP($D142,'Modelling New'!$D:$D,'Modelling New'!$AK:$AK),"")</f>
        <v>0.05</v>
      </c>
      <c r="AQ142" s="142">
        <f>IFERROR(_xlfn.XLOOKUP($D142,'Modelling New'!$D:$D,'Modelling New'!$AL:$AL),"")</f>
        <v>0.05</v>
      </c>
      <c r="AR142" s="198">
        <f>IFERROR(_xlfn.XLOOKUP($D142,'Modelling New'!$D:$D,'Modelling New'!$N:$N),"")</f>
        <v>70.400000000000006</v>
      </c>
      <c r="AS142" s="198"/>
    </row>
    <row r="143" spans="1:45">
      <c r="A143" s="137">
        <f t="shared" si="18"/>
        <v>45886</v>
      </c>
      <c r="B143" s="138">
        <f>YEAR(Daily_KPI[[#This Row],[Date]])+IF(MONTH(Daily_KPI[[#This Row],[Date]])&gt;=4,1,0)</f>
        <v>2026</v>
      </c>
      <c r="C143" s="108">
        <f>YEAR(Daily_KPI[[#This Row],[Date]])</f>
        <v>2025</v>
      </c>
      <c r="D143" s="139">
        <f>Daily_KPI[[#This Row],[Date]]-DAY(Daily_KPI[[#This Row],[Date]])+1</f>
        <v>45870</v>
      </c>
      <c r="E143" s="108">
        <f t="shared" si="14"/>
        <v>31</v>
      </c>
      <c r="F143" s="109"/>
      <c r="G143" s="110"/>
      <c r="H143" s="110"/>
      <c r="I143" s="110"/>
      <c r="J143" s="110"/>
      <c r="K143" s="111"/>
      <c r="L143" s="110"/>
      <c r="M143" s="110" t="str">
        <f>IFERROR(_xlfn.XLOOKUP($A143,Input_Raw!$A:$A,Input_Raw!$CQ:$CQ),"")</f>
        <v/>
      </c>
      <c r="N143" s="110" t="str">
        <f>IFERROR(_xlfn.XLOOKUP($A143,Input_Raw!$A:$A,Input_Raw!$CR:$CR),"")</f>
        <v/>
      </c>
      <c r="O143" s="141" t="str">
        <f t="shared" si="15"/>
        <v/>
      </c>
      <c r="P143" s="141" t="str">
        <f>IFERROR(1-SUMIF(WTG_BD!$F:$F,$A143,WTG_BD!$AA:$AA)/($AA143+SUMIF(WTG_BD!$F:$F,$A143,WTG_BD!$AA:$AA)),"")</f>
        <v/>
      </c>
      <c r="Q143" s="141" t="str">
        <f>IFERROR(1-SUMIF(IGA_BD!$F:$F,$A143,IGA_BD!$W:$W)/($AA143+SUMIF(IGA_BD!$F:$F,$A143,IGA_BD!$W:$W)),"")</f>
        <v/>
      </c>
      <c r="R143" s="141" t="str">
        <f>IFERROR(1-SUMIF(Grid_BD!$F:$F,$A143,Grid_BD!$Y:$Y)/($AA143+SUMIF(Grid_BD!$F:$F,$A143,Grid_BD!$Y:$Y)),"")</f>
        <v/>
      </c>
      <c r="S143" s="108"/>
      <c r="T143" s="140"/>
      <c r="U143" s="141"/>
      <c r="V143" s="108"/>
      <c r="W143" s="142" t="str">
        <f t="shared" si="16"/>
        <v/>
      </c>
      <c r="X143" s="108" t="str">
        <f>IFERROR(_xlfn.XLOOKUP($A143,Input_Raw!$A:$A,Input_Raw!$CP:$CP)*1000,"")</f>
        <v/>
      </c>
      <c r="Y143" s="108" t="str">
        <f>IFERROR(_xlfn.XLOOKUP($A143,Input_Raw!$A:$A,Input_Raw!DJ:DJ)*1000,"")</f>
        <v/>
      </c>
      <c r="Z143" s="108" t="str">
        <f>IFERROR(_xlfn.XLOOKUP($A143,Input_Raw!$A:$A,Input_Raw!DK:DK)*1000,"")</f>
        <v/>
      </c>
      <c r="AA143" s="138" t="str">
        <f t="shared" si="17"/>
        <v/>
      </c>
      <c r="AB143" s="108" t="str">
        <f>IFERROR(_xlfn.XLOOKUP($A143,Input_Raw!$A:$A,Input_Raw!$DR:$DR),"")</f>
        <v/>
      </c>
      <c r="AC143" s="143">
        <f>IFERROR(_xlfn.XLOOKUP($D143,'Modelling New'!$D:$D,'Modelling New'!$J:$J),"")</f>
        <v>9.1</v>
      </c>
      <c r="AD143" s="138">
        <f>IFERROR(_xlfn.XLOOKUP($D143,'Modelling New'!$D:$D,'Modelling New'!$T:$T)*1000,"")</f>
        <v>1057470.497769533</v>
      </c>
      <c r="AE143" s="142"/>
      <c r="AF143" s="142">
        <f>IFERROR(_xlfn.XLOOKUP($D143,'Modelling New'!$D:$D,'Modelling New'!$W:$W),"")</f>
        <v>0.62587032301700574</v>
      </c>
      <c r="AG143" s="142">
        <f>IFERROR(_xlfn.XLOOKUP($D143,'Modelling New'!$D:$D,'Modelling New'!$AE:$AE),"")</f>
        <v>0.96029999999999993</v>
      </c>
      <c r="AH143" s="142">
        <f>IFERROR(_xlfn.XLOOKUP($D143,'Modelling New'!$D:$D,'Modelling New'!$AF:$AF),"")</f>
        <v>0.995</v>
      </c>
      <c r="AI143" s="109" t="str">
        <f>IFERROR(_xlfn.XLOOKUP($A143,Input_Raw!$A:$A,Input_Raw!$DP:$DP),"")</f>
        <v/>
      </c>
      <c r="AJ143" s="108"/>
      <c r="AK143" s="108"/>
      <c r="AL143" s="108"/>
      <c r="AM143" s="108"/>
      <c r="AN143" s="132" t="str">
        <f>IFERROR(_xlfn.XLOOKUP($A143,Input_Raw!$A:$A,Input_Raw!$DL:$DL),"")</f>
        <v/>
      </c>
      <c r="AO143" s="142" t="str">
        <f>IFERROR((_xlfn.XLOOKUP($A143,'WTG Reactive Power'!$A:$A,'WTG Reactive Power'!$AW:$AW))/X143,"")</f>
        <v/>
      </c>
      <c r="AP143" s="142">
        <f>IFERROR(_xlfn.XLOOKUP($D143,'Modelling New'!$D:$D,'Modelling New'!$AK:$AK),"")</f>
        <v>0.05</v>
      </c>
      <c r="AQ143" s="142">
        <f>IFERROR(_xlfn.XLOOKUP($D143,'Modelling New'!$D:$D,'Modelling New'!$AL:$AL),"")</f>
        <v>0.05</v>
      </c>
      <c r="AR143" s="198">
        <f>IFERROR(_xlfn.XLOOKUP($D143,'Modelling New'!$D:$D,'Modelling New'!$N:$N),"")</f>
        <v>70.400000000000006</v>
      </c>
      <c r="AS143" s="198"/>
    </row>
    <row r="144" spans="1:45">
      <c r="A144" s="137">
        <f t="shared" si="18"/>
        <v>45887</v>
      </c>
      <c r="B144" s="138">
        <f>YEAR(Daily_KPI[[#This Row],[Date]])+IF(MONTH(Daily_KPI[[#This Row],[Date]])&gt;=4,1,0)</f>
        <v>2026</v>
      </c>
      <c r="C144" s="108">
        <f>YEAR(Daily_KPI[[#This Row],[Date]])</f>
        <v>2025</v>
      </c>
      <c r="D144" s="139">
        <f>Daily_KPI[[#This Row],[Date]]-DAY(Daily_KPI[[#This Row],[Date]])+1</f>
        <v>45870</v>
      </c>
      <c r="E144" s="108">
        <f t="shared" si="14"/>
        <v>31</v>
      </c>
      <c r="F144" s="109"/>
      <c r="G144" s="143"/>
      <c r="H144" s="143"/>
      <c r="I144" s="143"/>
      <c r="J144" s="143"/>
      <c r="K144" s="111"/>
      <c r="L144" s="110"/>
      <c r="M144" s="110" t="str">
        <f>IFERROR(_xlfn.XLOOKUP($A144,Input_Raw!$A:$A,Input_Raw!$CQ:$CQ),"")</f>
        <v/>
      </c>
      <c r="N144" s="110" t="str">
        <f>IFERROR(_xlfn.XLOOKUP($A144,Input_Raw!$A:$A,Input_Raw!$CR:$CR),"")</f>
        <v/>
      </c>
      <c r="O144" s="141" t="str">
        <f t="shared" si="15"/>
        <v/>
      </c>
      <c r="P144" s="141" t="str">
        <f>IFERROR(1-SUMIF(WTG_BD!$F:$F,$A144,WTG_BD!$AA:$AA)/($AA144+SUMIF(WTG_BD!$F:$F,$A144,WTG_BD!$AA:$AA)),"")</f>
        <v/>
      </c>
      <c r="Q144" s="141" t="str">
        <f>IFERROR(1-SUMIF(IGA_BD!$F:$F,$A144,IGA_BD!$W:$W)/($AA144+SUMIF(IGA_BD!$F:$F,$A144,IGA_BD!$W:$W)),"")</f>
        <v/>
      </c>
      <c r="R144" s="141" t="str">
        <f>IFERROR(1-SUMIF(Grid_BD!$F:$F,$A144,Grid_BD!$Y:$Y)/($AA144+SUMIF(Grid_BD!$F:$F,$A144,Grid_BD!$Y:$Y)),"")</f>
        <v/>
      </c>
      <c r="S144" s="108"/>
      <c r="T144" s="140"/>
      <c r="U144" s="141"/>
      <c r="V144" s="108"/>
      <c r="W144" s="142" t="str">
        <f t="shared" si="16"/>
        <v/>
      </c>
      <c r="X144" s="108" t="str">
        <f>IFERROR(_xlfn.XLOOKUP($A144,Input_Raw!$A:$A,Input_Raw!$CP:$CP)*1000,"")</f>
        <v/>
      </c>
      <c r="Y144" s="108" t="str">
        <f>IFERROR(_xlfn.XLOOKUP($A144,Input_Raw!$A:$A,Input_Raw!DJ:DJ)*1000,"")</f>
        <v/>
      </c>
      <c r="Z144" s="108" t="str">
        <f>IFERROR(_xlfn.XLOOKUP($A144,Input_Raw!$A:$A,Input_Raw!DK:DK)*1000,"")</f>
        <v/>
      </c>
      <c r="AA144" s="138" t="str">
        <f t="shared" si="17"/>
        <v/>
      </c>
      <c r="AB144" s="108" t="str">
        <f>IFERROR(_xlfn.XLOOKUP($A144,Input_Raw!$A:$A,Input_Raw!$DR:$DR),"")</f>
        <v/>
      </c>
      <c r="AC144" s="143">
        <f>IFERROR(_xlfn.XLOOKUP($D144,'Modelling New'!$D:$D,'Modelling New'!$J:$J),"")</f>
        <v>9.1</v>
      </c>
      <c r="AD144" s="138">
        <f>IFERROR(_xlfn.XLOOKUP($D144,'Modelling New'!$D:$D,'Modelling New'!$T:$T)*1000,"")</f>
        <v>1057470.497769533</v>
      </c>
      <c r="AE144" s="142"/>
      <c r="AF144" s="142">
        <f>IFERROR(_xlfn.XLOOKUP($D144,'Modelling New'!$D:$D,'Modelling New'!$W:$W),"")</f>
        <v>0.62587032301700574</v>
      </c>
      <c r="AG144" s="142">
        <f>IFERROR(_xlfn.XLOOKUP($D144,'Modelling New'!$D:$D,'Modelling New'!$AE:$AE),"")</f>
        <v>0.96029999999999993</v>
      </c>
      <c r="AH144" s="142">
        <f>IFERROR(_xlfn.XLOOKUP($D144,'Modelling New'!$D:$D,'Modelling New'!$AF:$AF),"")</f>
        <v>0.995</v>
      </c>
      <c r="AI144" s="109" t="str">
        <f>IFERROR(_xlfn.XLOOKUP($A144,Input_Raw!$A:$A,Input_Raw!$DP:$DP),"")</f>
        <v/>
      </c>
      <c r="AJ144" s="108"/>
      <c r="AK144" s="108"/>
      <c r="AL144" s="108"/>
      <c r="AM144" s="108"/>
      <c r="AN144" s="132" t="str">
        <f>IFERROR(_xlfn.XLOOKUP($A144,Input_Raw!$A:$A,Input_Raw!$DL:$DL),"")</f>
        <v/>
      </c>
      <c r="AO144" s="142" t="str">
        <f>IFERROR((_xlfn.XLOOKUP($A144,'WTG Reactive Power'!$A:$A,'WTG Reactive Power'!$AW:$AW))/X144,"")</f>
        <v/>
      </c>
      <c r="AP144" s="142">
        <f>IFERROR(_xlfn.XLOOKUP($D144,'Modelling New'!$D:$D,'Modelling New'!$AK:$AK),"")</f>
        <v>0.05</v>
      </c>
      <c r="AQ144" s="142">
        <f>IFERROR(_xlfn.XLOOKUP($D144,'Modelling New'!$D:$D,'Modelling New'!$AL:$AL),"")</f>
        <v>0.05</v>
      </c>
      <c r="AR144" s="198">
        <f>IFERROR(_xlfn.XLOOKUP($D144,'Modelling New'!$D:$D,'Modelling New'!$N:$N),"")</f>
        <v>70.400000000000006</v>
      </c>
      <c r="AS144" s="198"/>
    </row>
    <row r="145" spans="1:45">
      <c r="A145" s="137">
        <f t="shared" si="18"/>
        <v>45888</v>
      </c>
      <c r="B145" s="138">
        <f>YEAR(Daily_KPI[[#This Row],[Date]])+IF(MONTH(Daily_KPI[[#This Row],[Date]])&gt;=4,1,0)</f>
        <v>2026</v>
      </c>
      <c r="C145" s="108">
        <f>YEAR(Daily_KPI[[#This Row],[Date]])</f>
        <v>2025</v>
      </c>
      <c r="D145" s="139">
        <f>Daily_KPI[[#This Row],[Date]]-DAY(Daily_KPI[[#This Row],[Date]])+1</f>
        <v>45870</v>
      </c>
      <c r="E145" s="108">
        <f t="shared" si="14"/>
        <v>31</v>
      </c>
      <c r="F145" s="109"/>
      <c r="G145" s="110"/>
      <c r="H145" s="110"/>
      <c r="I145" s="110"/>
      <c r="J145" s="110"/>
      <c r="K145" s="111"/>
      <c r="L145" s="110"/>
      <c r="M145" s="110" t="str">
        <f>IFERROR(_xlfn.XLOOKUP($A145,Input_Raw!$A:$A,Input_Raw!$CQ:$CQ),"")</f>
        <v/>
      </c>
      <c r="N145" s="110" t="str">
        <f>IFERROR(_xlfn.XLOOKUP($A145,Input_Raw!$A:$A,Input_Raw!$CR:$CR),"")</f>
        <v/>
      </c>
      <c r="O145" s="141" t="str">
        <f t="shared" si="15"/>
        <v/>
      </c>
      <c r="P145" s="141" t="str">
        <f>IFERROR(1-SUMIF(WTG_BD!$F:$F,$A145,WTG_BD!$AA:$AA)/($AA145+SUMIF(WTG_BD!$F:$F,$A145,WTG_BD!$AA:$AA)),"")</f>
        <v/>
      </c>
      <c r="Q145" s="141" t="str">
        <f>IFERROR(1-SUMIF(IGA_BD!$F:$F,$A145,IGA_BD!$W:$W)/($AA145+SUMIF(IGA_BD!$F:$F,$A145,IGA_BD!$W:$W)),"")</f>
        <v/>
      </c>
      <c r="R145" s="141" t="str">
        <f>IFERROR(1-SUMIF(Grid_BD!$F:$F,$A145,Grid_BD!$Y:$Y)/($AA145+SUMIF(Grid_BD!$F:$F,$A145,Grid_BD!$Y:$Y)),"")</f>
        <v/>
      </c>
      <c r="S145" s="108"/>
      <c r="T145" s="140"/>
      <c r="U145" s="141"/>
      <c r="V145" s="108"/>
      <c r="W145" s="142" t="str">
        <f t="shared" si="16"/>
        <v/>
      </c>
      <c r="X145" s="108" t="str">
        <f>IFERROR(_xlfn.XLOOKUP($A145,Input_Raw!$A:$A,Input_Raw!$CP:$CP)*1000,"")</f>
        <v/>
      </c>
      <c r="Y145" s="108" t="str">
        <f>IFERROR(_xlfn.XLOOKUP($A145,Input_Raw!$A:$A,Input_Raw!DJ:DJ)*1000,"")</f>
        <v/>
      </c>
      <c r="Z145" s="108" t="str">
        <f>IFERROR(_xlfn.XLOOKUP($A145,Input_Raw!$A:$A,Input_Raw!DK:DK)*1000,"")</f>
        <v/>
      </c>
      <c r="AA145" s="138" t="str">
        <f t="shared" si="17"/>
        <v/>
      </c>
      <c r="AB145" s="108" t="str">
        <f>IFERROR(_xlfn.XLOOKUP($A145,Input_Raw!$A:$A,Input_Raw!$DR:$DR),"")</f>
        <v/>
      </c>
      <c r="AC145" s="143">
        <f>IFERROR(_xlfn.XLOOKUP($D145,'Modelling New'!$D:$D,'Modelling New'!$J:$J),"")</f>
        <v>9.1</v>
      </c>
      <c r="AD145" s="138">
        <f>IFERROR(_xlfn.XLOOKUP($D145,'Modelling New'!$D:$D,'Modelling New'!$T:$T)*1000,"")</f>
        <v>1057470.497769533</v>
      </c>
      <c r="AE145" s="142"/>
      <c r="AF145" s="142">
        <f>IFERROR(_xlfn.XLOOKUP($D145,'Modelling New'!$D:$D,'Modelling New'!$W:$W),"")</f>
        <v>0.62587032301700574</v>
      </c>
      <c r="AG145" s="142">
        <f>IFERROR(_xlfn.XLOOKUP($D145,'Modelling New'!$D:$D,'Modelling New'!$AE:$AE),"")</f>
        <v>0.96029999999999993</v>
      </c>
      <c r="AH145" s="142">
        <f>IFERROR(_xlfn.XLOOKUP($D145,'Modelling New'!$D:$D,'Modelling New'!$AF:$AF),"")</f>
        <v>0.995</v>
      </c>
      <c r="AI145" s="109" t="str">
        <f>IFERROR(_xlfn.XLOOKUP($A145,Input_Raw!$A:$A,Input_Raw!$DP:$DP),"")</f>
        <v/>
      </c>
      <c r="AJ145" s="108"/>
      <c r="AK145" s="108"/>
      <c r="AL145" s="108"/>
      <c r="AM145" s="108"/>
      <c r="AN145" s="132" t="str">
        <f>IFERROR(_xlfn.XLOOKUP($A145,Input_Raw!$A:$A,Input_Raw!$DL:$DL),"")</f>
        <v/>
      </c>
      <c r="AO145" s="142" t="str">
        <f>IFERROR((_xlfn.XLOOKUP($A145,'WTG Reactive Power'!$A:$A,'WTG Reactive Power'!$AW:$AW))/X145,"")</f>
        <v/>
      </c>
      <c r="AP145" s="142">
        <f>IFERROR(_xlfn.XLOOKUP($D145,'Modelling New'!$D:$D,'Modelling New'!$AK:$AK),"")</f>
        <v>0.05</v>
      </c>
      <c r="AQ145" s="142">
        <f>IFERROR(_xlfn.XLOOKUP($D145,'Modelling New'!$D:$D,'Modelling New'!$AL:$AL),"")</f>
        <v>0.05</v>
      </c>
      <c r="AR145" s="198">
        <f>IFERROR(_xlfn.XLOOKUP($D145,'Modelling New'!$D:$D,'Modelling New'!$N:$N),"")</f>
        <v>70.400000000000006</v>
      </c>
      <c r="AS145" s="198"/>
    </row>
    <row r="146" spans="1:45">
      <c r="A146" s="137">
        <f t="shared" si="18"/>
        <v>45889</v>
      </c>
      <c r="B146" s="138">
        <f>YEAR(Daily_KPI[[#This Row],[Date]])+IF(MONTH(Daily_KPI[[#This Row],[Date]])&gt;=4,1,0)</f>
        <v>2026</v>
      </c>
      <c r="C146" s="108">
        <f>YEAR(Daily_KPI[[#This Row],[Date]])</f>
        <v>2025</v>
      </c>
      <c r="D146" s="139">
        <f>Daily_KPI[[#This Row],[Date]]-DAY(Daily_KPI[[#This Row],[Date]])+1</f>
        <v>45870</v>
      </c>
      <c r="E146" s="108">
        <f t="shared" si="14"/>
        <v>31</v>
      </c>
      <c r="F146" s="109"/>
      <c r="G146" s="143"/>
      <c r="H146" s="143"/>
      <c r="I146" s="143"/>
      <c r="J146" s="143"/>
      <c r="K146" s="111"/>
      <c r="L146" s="110"/>
      <c r="M146" s="110" t="str">
        <f>IFERROR(_xlfn.XLOOKUP($A146,Input_Raw!$A:$A,Input_Raw!$CQ:$CQ),"")</f>
        <v/>
      </c>
      <c r="N146" s="110" t="str">
        <f>IFERROR(_xlfn.XLOOKUP($A146,Input_Raw!$A:$A,Input_Raw!$CR:$CR),"")</f>
        <v/>
      </c>
      <c r="O146" s="141" t="str">
        <f t="shared" si="15"/>
        <v/>
      </c>
      <c r="P146" s="141" t="str">
        <f>IFERROR(1-SUMIF(WTG_BD!$F:$F,$A146,WTG_BD!$AA:$AA)/($AA146+SUMIF(WTG_BD!$F:$F,$A146,WTG_BD!$AA:$AA)),"")</f>
        <v/>
      </c>
      <c r="Q146" s="141" t="str">
        <f>IFERROR(1-SUMIF(IGA_BD!$F:$F,$A146,IGA_BD!$W:$W)/($AA146+SUMIF(IGA_BD!$F:$F,$A146,IGA_BD!$W:$W)),"")</f>
        <v/>
      </c>
      <c r="R146" s="141" t="str">
        <f>IFERROR(1-SUMIF(Grid_BD!$F:$F,$A146,Grid_BD!$Y:$Y)/($AA146+SUMIF(Grid_BD!$F:$F,$A146,Grid_BD!$Y:$Y)),"")</f>
        <v/>
      </c>
      <c r="S146" s="108"/>
      <c r="T146" s="140"/>
      <c r="U146" s="141"/>
      <c r="V146" s="108"/>
      <c r="W146" s="142" t="str">
        <f t="shared" si="16"/>
        <v/>
      </c>
      <c r="X146" s="108" t="str">
        <f>IFERROR(_xlfn.XLOOKUP($A146,Input_Raw!$A:$A,Input_Raw!$CP:$CP)*1000,"")</f>
        <v/>
      </c>
      <c r="Y146" s="108" t="str">
        <f>IFERROR(_xlfn.XLOOKUP($A146,Input_Raw!$A:$A,Input_Raw!DJ:DJ)*1000,"")</f>
        <v/>
      </c>
      <c r="Z146" s="108" t="str">
        <f>IFERROR(_xlfn.XLOOKUP($A146,Input_Raw!$A:$A,Input_Raw!DK:DK)*1000,"")</f>
        <v/>
      </c>
      <c r="AA146" s="138" t="str">
        <f t="shared" si="17"/>
        <v/>
      </c>
      <c r="AB146" s="108" t="str">
        <f>IFERROR(_xlfn.XLOOKUP($A146,Input_Raw!$A:$A,Input_Raw!$DR:$DR),"")</f>
        <v/>
      </c>
      <c r="AC146" s="143">
        <f>IFERROR(_xlfn.XLOOKUP($D146,'Modelling New'!$D:$D,'Modelling New'!$J:$J),"")</f>
        <v>9.1</v>
      </c>
      <c r="AD146" s="138">
        <f>IFERROR(_xlfn.XLOOKUP($D146,'Modelling New'!$D:$D,'Modelling New'!$T:$T)*1000,"")</f>
        <v>1057470.497769533</v>
      </c>
      <c r="AE146" s="142"/>
      <c r="AF146" s="142">
        <f>IFERROR(_xlfn.XLOOKUP($D146,'Modelling New'!$D:$D,'Modelling New'!$W:$W),"")</f>
        <v>0.62587032301700574</v>
      </c>
      <c r="AG146" s="142">
        <f>IFERROR(_xlfn.XLOOKUP($D146,'Modelling New'!$D:$D,'Modelling New'!$AE:$AE),"")</f>
        <v>0.96029999999999993</v>
      </c>
      <c r="AH146" s="142">
        <f>IFERROR(_xlfn.XLOOKUP($D146,'Modelling New'!$D:$D,'Modelling New'!$AF:$AF),"")</f>
        <v>0.995</v>
      </c>
      <c r="AI146" s="109" t="str">
        <f>IFERROR(_xlfn.XLOOKUP($A146,Input_Raw!$A:$A,Input_Raw!$DP:$DP),"")</f>
        <v/>
      </c>
      <c r="AJ146" s="108"/>
      <c r="AK146" s="108"/>
      <c r="AL146" s="108"/>
      <c r="AM146" s="108"/>
      <c r="AN146" s="132" t="str">
        <f>IFERROR(_xlfn.XLOOKUP($A146,Input_Raw!$A:$A,Input_Raw!$DL:$DL),"")</f>
        <v/>
      </c>
      <c r="AO146" s="142" t="str">
        <f>IFERROR((_xlfn.XLOOKUP($A146,'WTG Reactive Power'!$A:$A,'WTG Reactive Power'!$AW:$AW))/X146,"")</f>
        <v/>
      </c>
      <c r="AP146" s="142">
        <f>IFERROR(_xlfn.XLOOKUP($D146,'Modelling New'!$D:$D,'Modelling New'!$AK:$AK),"")</f>
        <v>0.05</v>
      </c>
      <c r="AQ146" s="142">
        <f>IFERROR(_xlfn.XLOOKUP($D146,'Modelling New'!$D:$D,'Modelling New'!$AL:$AL),"")</f>
        <v>0.05</v>
      </c>
      <c r="AR146" s="198">
        <f>IFERROR(_xlfn.XLOOKUP($D146,'Modelling New'!$D:$D,'Modelling New'!$N:$N),"")</f>
        <v>70.400000000000006</v>
      </c>
      <c r="AS146" s="198"/>
    </row>
    <row r="147" spans="1:45">
      <c r="A147" s="137">
        <f t="shared" si="18"/>
        <v>45890</v>
      </c>
      <c r="B147" s="138">
        <f>YEAR(Daily_KPI[[#This Row],[Date]])+IF(MONTH(Daily_KPI[[#This Row],[Date]])&gt;=4,1,0)</f>
        <v>2026</v>
      </c>
      <c r="C147" s="108">
        <f>YEAR(Daily_KPI[[#This Row],[Date]])</f>
        <v>2025</v>
      </c>
      <c r="D147" s="139">
        <f>Daily_KPI[[#This Row],[Date]]-DAY(Daily_KPI[[#This Row],[Date]])+1</f>
        <v>45870</v>
      </c>
      <c r="E147" s="108">
        <f t="shared" si="14"/>
        <v>31</v>
      </c>
      <c r="F147" s="109"/>
      <c r="G147" s="110"/>
      <c r="H147" s="110"/>
      <c r="I147" s="110"/>
      <c r="J147" s="110"/>
      <c r="K147" s="111"/>
      <c r="L147" s="110"/>
      <c r="M147" s="110" t="str">
        <f>IFERROR(_xlfn.XLOOKUP($A147,Input_Raw!$A:$A,Input_Raw!$CQ:$CQ),"")</f>
        <v/>
      </c>
      <c r="N147" s="110" t="str">
        <f>IFERROR(_xlfn.XLOOKUP($A147,Input_Raw!$A:$A,Input_Raw!$CR:$CR),"")</f>
        <v/>
      </c>
      <c r="O147" s="141" t="str">
        <f t="shared" si="15"/>
        <v/>
      </c>
      <c r="P147" s="141" t="str">
        <f>IFERROR(1-SUMIF(WTG_BD!$F:$F,$A147,WTG_BD!$AA:$AA)/($AA147+SUMIF(WTG_BD!$F:$F,$A147,WTG_BD!$AA:$AA)),"")</f>
        <v/>
      </c>
      <c r="Q147" s="141" t="str">
        <f>IFERROR(1-SUMIF(IGA_BD!$F:$F,$A147,IGA_BD!$W:$W)/($AA147+SUMIF(IGA_BD!$F:$F,$A147,IGA_BD!$W:$W)),"")</f>
        <v/>
      </c>
      <c r="R147" s="141" t="str">
        <f>IFERROR(1-SUMIF(Grid_BD!$F:$F,$A147,Grid_BD!$Y:$Y)/($AA147+SUMIF(Grid_BD!$F:$F,$A147,Grid_BD!$Y:$Y)),"")</f>
        <v/>
      </c>
      <c r="S147" s="108"/>
      <c r="T147" s="140"/>
      <c r="U147" s="141"/>
      <c r="V147" s="108"/>
      <c r="W147" s="142" t="str">
        <f t="shared" si="16"/>
        <v/>
      </c>
      <c r="X147" s="108" t="str">
        <f>IFERROR(_xlfn.XLOOKUP($A147,Input_Raw!$A:$A,Input_Raw!$CP:$CP)*1000,"")</f>
        <v/>
      </c>
      <c r="Y147" s="108" t="str">
        <f>IFERROR(_xlfn.XLOOKUP($A147,Input_Raw!$A:$A,Input_Raw!DJ:DJ)*1000,"")</f>
        <v/>
      </c>
      <c r="Z147" s="108" t="str">
        <f>IFERROR(_xlfn.XLOOKUP($A147,Input_Raw!$A:$A,Input_Raw!DK:DK)*1000,"")</f>
        <v/>
      </c>
      <c r="AA147" s="138" t="str">
        <f t="shared" si="17"/>
        <v/>
      </c>
      <c r="AB147" s="108" t="str">
        <f>IFERROR(_xlfn.XLOOKUP($A147,Input_Raw!$A:$A,Input_Raw!$DR:$DR),"")</f>
        <v/>
      </c>
      <c r="AC147" s="143">
        <f>IFERROR(_xlfn.XLOOKUP($D147,'Modelling New'!$D:$D,'Modelling New'!$J:$J),"")</f>
        <v>9.1</v>
      </c>
      <c r="AD147" s="138">
        <f>IFERROR(_xlfn.XLOOKUP($D147,'Modelling New'!$D:$D,'Modelling New'!$T:$T)*1000,"")</f>
        <v>1057470.497769533</v>
      </c>
      <c r="AE147" s="142"/>
      <c r="AF147" s="142">
        <f>IFERROR(_xlfn.XLOOKUP($D147,'Modelling New'!$D:$D,'Modelling New'!$W:$W),"")</f>
        <v>0.62587032301700574</v>
      </c>
      <c r="AG147" s="142">
        <f>IFERROR(_xlfn.XLOOKUP($D147,'Modelling New'!$D:$D,'Modelling New'!$AE:$AE),"")</f>
        <v>0.96029999999999993</v>
      </c>
      <c r="AH147" s="142">
        <f>IFERROR(_xlfn.XLOOKUP($D147,'Modelling New'!$D:$D,'Modelling New'!$AF:$AF),"")</f>
        <v>0.995</v>
      </c>
      <c r="AI147" s="109" t="str">
        <f>IFERROR(_xlfn.XLOOKUP($A147,Input_Raw!$A:$A,Input_Raw!$DP:$DP),"")</f>
        <v/>
      </c>
      <c r="AJ147" s="108"/>
      <c r="AK147" s="108"/>
      <c r="AL147" s="108"/>
      <c r="AM147" s="108"/>
      <c r="AN147" s="132" t="str">
        <f>IFERROR(_xlfn.XLOOKUP($A147,Input_Raw!$A:$A,Input_Raw!$DL:$DL),"")</f>
        <v/>
      </c>
      <c r="AO147" s="142" t="str">
        <f>IFERROR((_xlfn.XLOOKUP($A147,'WTG Reactive Power'!$A:$A,'WTG Reactive Power'!$AW:$AW))/X147,"")</f>
        <v/>
      </c>
      <c r="AP147" s="142">
        <f>IFERROR(_xlfn.XLOOKUP($D147,'Modelling New'!$D:$D,'Modelling New'!$AK:$AK),"")</f>
        <v>0.05</v>
      </c>
      <c r="AQ147" s="142">
        <f>IFERROR(_xlfn.XLOOKUP($D147,'Modelling New'!$D:$D,'Modelling New'!$AL:$AL),"")</f>
        <v>0.05</v>
      </c>
      <c r="AR147" s="198">
        <f>IFERROR(_xlfn.XLOOKUP($D147,'Modelling New'!$D:$D,'Modelling New'!$N:$N),"")</f>
        <v>70.400000000000006</v>
      </c>
      <c r="AS147" s="198"/>
    </row>
    <row r="148" spans="1:45">
      <c r="A148" s="137">
        <f t="shared" si="18"/>
        <v>45891</v>
      </c>
      <c r="B148" s="138">
        <f>YEAR(Daily_KPI[[#This Row],[Date]])+IF(MONTH(Daily_KPI[[#This Row],[Date]])&gt;=4,1,0)</f>
        <v>2026</v>
      </c>
      <c r="C148" s="108">
        <f>YEAR(Daily_KPI[[#This Row],[Date]])</f>
        <v>2025</v>
      </c>
      <c r="D148" s="139">
        <f>Daily_KPI[[#This Row],[Date]]-DAY(Daily_KPI[[#This Row],[Date]])+1</f>
        <v>45870</v>
      </c>
      <c r="E148" s="108">
        <f t="shared" si="14"/>
        <v>31</v>
      </c>
      <c r="F148" s="109"/>
      <c r="G148" s="143"/>
      <c r="H148" s="143"/>
      <c r="I148" s="143"/>
      <c r="J148" s="143"/>
      <c r="K148" s="111"/>
      <c r="L148" s="110"/>
      <c r="M148" s="110" t="str">
        <f>IFERROR(_xlfn.XLOOKUP($A148,Input_Raw!$A:$A,Input_Raw!$CQ:$CQ),"")</f>
        <v/>
      </c>
      <c r="N148" s="110" t="str">
        <f>IFERROR(_xlfn.XLOOKUP($A148,Input_Raw!$A:$A,Input_Raw!$CR:$CR),"")</f>
        <v/>
      </c>
      <c r="O148" s="141" t="str">
        <f t="shared" si="15"/>
        <v/>
      </c>
      <c r="P148" s="141" t="str">
        <f>IFERROR(1-SUMIF(WTG_BD!$F:$F,$A148,WTG_BD!$AA:$AA)/($AA148+SUMIF(WTG_BD!$F:$F,$A148,WTG_BD!$AA:$AA)),"")</f>
        <v/>
      </c>
      <c r="Q148" s="141" t="str">
        <f>IFERROR(1-SUMIF(IGA_BD!$F:$F,$A148,IGA_BD!$W:$W)/($AA148+SUMIF(IGA_BD!$F:$F,$A148,IGA_BD!$W:$W)),"")</f>
        <v/>
      </c>
      <c r="R148" s="141" t="str">
        <f>IFERROR(1-SUMIF(Grid_BD!$F:$F,$A148,Grid_BD!$Y:$Y)/($AA148+SUMIF(Grid_BD!$F:$F,$A148,Grid_BD!$Y:$Y)),"")</f>
        <v/>
      </c>
      <c r="S148" s="108"/>
      <c r="T148" s="140"/>
      <c r="U148" s="141"/>
      <c r="V148" s="108"/>
      <c r="W148" s="142" t="str">
        <f t="shared" si="16"/>
        <v/>
      </c>
      <c r="X148" s="108" t="str">
        <f>IFERROR(_xlfn.XLOOKUP($A148,Input_Raw!$A:$A,Input_Raw!$CP:$CP)*1000,"")</f>
        <v/>
      </c>
      <c r="Y148" s="108" t="str">
        <f>IFERROR(_xlfn.XLOOKUP($A148,Input_Raw!$A:$A,Input_Raw!DJ:DJ)*1000,"")</f>
        <v/>
      </c>
      <c r="Z148" s="108" t="str">
        <f>IFERROR(_xlfn.XLOOKUP($A148,Input_Raw!$A:$A,Input_Raw!DK:DK)*1000,"")</f>
        <v/>
      </c>
      <c r="AA148" s="138" t="str">
        <f t="shared" si="17"/>
        <v/>
      </c>
      <c r="AB148" s="108" t="str">
        <f>IFERROR(_xlfn.XLOOKUP($A148,Input_Raw!$A:$A,Input_Raw!$DR:$DR),"")</f>
        <v/>
      </c>
      <c r="AC148" s="143">
        <f>IFERROR(_xlfn.XLOOKUP($D148,'Modelling New'!$D:$D,'Modelling New'!$J:$J),"")</f>
        <v>9.1</v>
      </c>
      <c r="AD148" s="138">
        <f>IFERROR(_xlfn.XLOOKUP($D148,'Modelling New'!$D:$D,'Modelling New'!$T:$T)*1000,"")</f>
        <v>1057470.497769533</v>
      </c>
      <c r="AE148" s="142"/>
      <c r="AF148" s="142">
        <f>IFERROR(_xlfn.XLOOKUP($D148,'Modelling New'!$D:$D,'Modelling New'!$W:$W),"")</f>
        <v>0.62587032301700574</v>
      </c>
      <c r="AG148" s="142">
        <f>IFERROR(_xlfn.XLOOKUP($D148,'Modelling New'!$D:$D,'Modelling New'!$AE:$AE),"")</f>
        <v>0.96029999999999993</v>
      </c>
      <c r="AH148" s="142">
        <f>IFERROR(_xlfn.XLOOKUP($D148,'Modelling New'!$D:$D,'Modelling New'!$AF:$AF),"")</f>
        <v>0.995</v>
      </c>
      <c r="AI148" s="109" t="str">
        <f>IFERROR(_xlfn.XLOOKUP($A148,Input_Raw!$A:$A,Input_Raw!$DP:$DP),"")</f>
        <v/>
      </c>
      <c r="AJ148" s="108"/>
      <c r="AK148" s="108"/>
      <c r="AL148" s="108"/>
      <c r="AM148" s="108"/>
      <c r="AN148" s="132" t="str">
        <f>IFERROR(_xlfn.XLOOKUP($A148,Input_Raw!$A:$A,Input_Raw!$DL:$DL),"")</f>
        <v/>
      </c>
      <c r="AO148" s="142" t="str">
        <f>IFERROR((_xlfn.XLOOKUP($A148,'WTG Reactive Power'!$A:$A,'WTG Reactive Power'!$AW:$AW))/X148,"")</f>
        <v/>
      </c>
      <c r="AP148" s="142">
        <f>IFERROR(_xlfn.XLOOKUP($D148,'Modelling New'!$D:$D,'Modelling New'!$AK:$AK),"")</f>
        <v>0.05</v>
      </c>
      <c r="AQ148" s="142">
        <f>IFERROR(_xlfn.XLOOKUP($D148,'Modelling New'!$D:$D,'Modelling New'!$AL:$AL),"")</f>
        <v>0.05</v>
      </c>
      <c r="AR148" s="198">
        <f>IFERROR(_xlfn.XLOOKUP($D148,'Modelling New'!$D:$D,'Modelling New'!$N:$N),"")</f>
        <v>70.400000000000006</v>
      </c>
      <c r="AS148" s="198"/>
    </row>
    <row r="149" spans="1:45">
      <c r="A149" s="137">
        <f t="shared" si="18"/>
        <v>45892</v>
      </c>
      <c r="B149" s="138">
        <f>YEAR(Daily_KPI[[#This Row],[Date]])+IF(MONTH(Daily_KPI[[#This Row],[Date]])&gt;=4,1,0)</f>
        <v>2026</v>
      </c>
      <c r="C149" s="108">
        <f>YEAR(Daily_KPI[[#This Row],[Date]])</f>
        <v>2025</v>
      </c>
      <c r="D149" s="139">
        <f>Daily_KPI[[#This Row],[Date]]-DAY(Daily_KPI[[#This Row],[Date]])+1</f>
        <v>45870</v>
      </c>
      <c r="E149" s="108">
        <f t="shared" si="14"/>
        <v>31</v>
      </c>
      <c r="F149" s="109"/>
      <c r="G149" s="110"/>
      <c r="H149" s="110"/>
      <c r="I149" s="110"/>
      <c r="J149" s="110"/>
      <c r="K149" s="111"/>
      <c r="L149" s="110"/>
      <c r="M149" s="110" t="str">
        <f>IFERROR(_xlfn.XLOOKUP($A149,Input_Raw!$A:$A,Input_Raw!$CQ:$CQ),"")</f>
        <v/>
      </c>
      <c r="N149" s="110" t="str">
        <f>IFERROR(_xlfn.XLOOKUP($A149,Input_Raw!$A:$A,Input_Raw!$CR:$CR),"")</f>
        <v/>
      </c>
      <c r="O149" s="141" t="str">
        <f t="shared" si="15"/>
        <v/>
      </c>
      <c r="P149" s="141" t="str">
        <f>IFERROR(1-SUMIF(WTG_BD!$F:$F,$A149,WTG_BD!$AA:$AA)/($AA149+SUMIF(WTG_BD!$F:$F,$A149,WTG_BD!$AA:$AA)),"")</f>
        <v/>
      </c>
      <c r="Q149" s="141" t="str">
        <f>IFERROR(1-SUMIF(IGA_BD!$F:$F,$A149,IGA_BD!$W:$W)/($AA149+SUMIF(IGA_BD!$F:$F,$A149,IGA_BD!$W:$W)),"")</f>
        <v/>
      </c>
      <c r="R149" s="141" t="str">
        <f>IFERROR(1-SUMIF(Grid_BD!$F:$F,$A149,Grid_BD!$Y:$Y)/($AA149+SUMIF(Grid_BD!$F:$F,$A149,Grid_BD!$Y:$Y)),"")</f>
        <v/>
      </c>
      <c r="S149" s="108"/>
      <c r="T149" s="140"/>
      <c r="U149" s="141"/>
      <c r="V149" s="108"/>
      <c r="W149" s="142" t="str">
        <f t="shared" si="16"/>
        <v/>
      </c>
      <c r="X149" s="108" t="str">
        <f>IFERROR(_xlfn.XLOOKUP($A149,Input_Raw!$A:$A,Input_Raw!$CP:$CP)*1000,"")</f>
        <v/>
      </c>
      <c r="Y149" s="108" t="str">
        <f>IFERROR(_xlfn.XLOOKUP($A149,Input_Raw!$A:$A,Input_Raw!DJ:DJ)*1000,"")</f>
        <v/>
      </c>
      <c r="Z149" s="108" t="str">
        <f>IFERROR(_xlfn.XLOOKUP($A149,Input_Raw!$A:$A,Input_Raw!DK:DK)*1000,"")</f>
        <v/>
      </c>
      <c r="AA149" s="138" t="str">
        <f t="shared" si="17"/>
        <v/>
      </c>
      <c r="AB149" s="108" t="str">
        <f>IFERROR(_xlfn.XLOOKUP($A149,Input_Raw!$A:$A,Input_Raw!$DR:$DR),"")</f>
        <v/>
      </c>
      <c r="AC149" s="143">
        <f>IFERROR(_xlfn.XLOOKUP($D149,'Modelling New'!$D:$D,'Modelling New'!$J:$J),"")</f>
        <v>9.1</v>
      </c>
      <c r="AD149" s="138">
        <f>IFERROR(_xlfn.XLOOKUP($D149,'Modelling New'!$D:$D,'Modelling New'!$T:$T)*1000,"")</f>
        <v>1057470.497769533</v>
      </c>
      <c r="AE149" s="142"/>
      <c r="AF149" s="142">
        <f>IFERROR(_xlfn.XLOOKUP($D149,'Modelling New'!$D:$D,'Modelling New'!$W:$W),"")</f>
        <v>0.62587032301700574</v>
      </c>
      <c r="AG149" s="142">
        <f>IFERROR(_xlfn.XLOOKUP($D149,'Modelling New'!$D:$D,'Modelling New'!$AE:$AE),"")</f>
        <v>0.96029999999999993</v>
      </c>
      <c r="AH149" s="142">
        <f>IFERROR(_xlfn.XLOOKUP($D149,'Modelling New'!$D:$D,'Modelling New'!$AF:$AF),"")</f>
        <v>0.995</v>
      </c>
      <c r="AI149" s="109" t="str">
        <f>IFERROR(_xlfn.XLOOKUP($A149,Input_Raw!$A:$A,Input_Raw!$DP:$DP),"")</f>
        <v/>
      </c>
      <c r="AJ149" s="108"/>
      <c r="AK149" s="108"/>
      <c r="AL149" s="108"/>
      <c r="AM149" s="108"/>
      <c r="AN149" s="132" t="str">
        <f>IFERROR(_xlfn.XLOOKUP($A149,Input_Raw!$A:$A,Input_Raw!$DL:$DL),"")</f>
        <v/>
      </c>
      <c r="AO149" s="142" t="str">
        <f>IFERROR((_xlfn.XLOOKUP($A149,'WTG Reactive Power'!$A:$A,'WTG Reactive Power'!$AW:$AW))/X149,"")</f>
        <v/>
      </c>
      <c r="AP149" s="142">
        <f>IFERROR(_xlfn.XLOOKUP($D149,'Modelling New'!$D:$D,'Modelling New'!$AK:$AK),"")</f>
        <v>0.05</v>
      </c>
      <c r="AQ149" s="142">
        <f>IFERROR(_xlfn.XLOOKUP($D149,'Modelling New'!$D:$D,'Modelling New'!$AL:$AL),"")</f>
        <v>0.05</v>
      </c>
      <c r="AR149" s="198">
        <f>IFERROR(_xlfn.XLOOKUP($D149,'Modelling New'!$D:$D,'Modelling New'!$N:$N),"")</f>
        <v>70.400000000000006</v>
      </c>
      <c r="AS149" s="198"/>
    </row>
    <row r="150" spans="1:45">
      <c r="A150" s="137">
        <f t="shared" si="18"/>
        <v>45893</v>
      </c>
      <c r="B150" s="138">
        <f>YEAR(Daily_KPI[[#This Row],[Date]])+IF(MONTH(Daily_KPI[[#This Row],[Date]])&gt;=4,1,0)</f>
        <v>2026</v>
      </c>
      <c r="C150" s="108">
        <f>YEAR(Daily_KPI[[#This Row],[Date]])</f>
        <v>2025</v>
      </c>
      <c r="D150" s="139">
        <f>Daily_KPI[[#This Row],[Date]]-DAY(Daily_KPI[[#This Row],[Date]])+1</f>
        <v>45870</v>
      </c>
      <c r="E150" s="108">
        <f t="shared" si="14"/>
        <v>31</v>
      </c>
      <c r="F150" s="109"/>
      <c r="G150" s="143"/>
      <c r="H150" s="143"/>
      <c r="I150" s="143"/>
      <c r="J150" s="143"/>
      <c r="K150" s="111"/>
      <c r="L150" s="110"/>
      <c r="M150" s="110" t="str">
        <f>IFERROR(_xlfn.XLOOKUP($A150,Input_Raw!$A:$A,Input_Raw!$CQ:$CQ),"")</f>
        <v/>
      </c>
      <c r="N150" s="110" t="str">
        <f>IFERROR(_xlfn.XLOOKUP($A150,Input_Raw!$A:$A,Input_Raw!$CR:$CR),"")</f>
        <v/>
      </c>
      <c r="O150" s="141" t="str">
        <f t="shared" si="15"/>
        <v/>
      </c>
      <c r="P150" s="141" t="str">
        <f>IFERROR(1-SUMIF(WTG_BD!$F:$F,$A150,WTG_BD!$AA:$AA)/($AA150+SUMIF(WTG_BD!$F:$F,$A150,WTG_BD!$AA:$AA)),"")</f>
        <v/>
      </c>
      <c r="Q150" s="141" t="str">
        <f>IFERROR(1-SUMIF(IGA_BD!$F:$F,$A150,IGA_BD!$W:$W)/($AA150+SUMIF(IGA_BD!$F:$F,$A150,IGA_BD!$W:$W)),"")</f>
        <v/>
      </c>
      <c r="R150" s="141" t="str">
        <f>IFERROR(1-SUMIF(Grid_BD!$F:$F,$A150,Grid_BD!$Y:$Y)/($AA150+SUMIF(Grid_BD!$F:$F,$A150,Grid_BD!$Y:$Y)),"")</f>
        <v/>
      </c>
      <c r="S150" s="108"/>
      <c r="T150" s="140"/>
      <c r="U150" s="141"/>
      <c r="V150" s="108"/>
      <c r="W150" s="142" t="str">
        <f t="shared" si="16"/>
        <v/>
      </c>
      <c r="X150" s="108" t="str">
        <f>IFERROR(_xlfn.XLOOKUP($A150,Input_Raw!$A:$A,Input_Raw!$CP:$CP)*1000,"")</f>
        <v/>
      </c>
      <c r="Y150" s="108" t="str">
        <f>IFERROR(_xlfn.XLOOKUP($A150,Input_Raw!$A:$A,Input_Raw!DJ:DJ)*1000,"")</f>
        <v/>
      </c>
      <c r="Z150" s="108" t="str">
        <f>IFERROR(_xlfn.XLOOKUP($A150,Input_Raw!$A:$A,Input_Raw!DK:DK)*1000,"")</f>
        <v/>
      </c>
      <c r="AA150" s="138" t="str">
        <f t="shared" si="17"/>
        <v/>
      </c>
      <c r="AB150" s="108" t="str">
        <f>IFERROR(_xlfn.XLOOKUP($A150,Input_Raw!$A:$A,Input_Raw!$DR:$DR),"")</f>
        <v/>
      </c>
      <c r="AC150" s="143">
        <f>IFERROR(_xlfn.XLOOKUP($D150,'Modelling New'!$D:$D,'Modelling New'!$J:$J),"")</f>
        <v>9.1</v>
      </c>
      <c r="AD150" s="138">
        <f>IFERROR(_xlfn.XLOOKUP($D150,'Modelling New'!$D:$D,'Modelling New'!$T:$T)*1000,"")</f>
        <v>1057470.497769533</v>
      </c>
      <c r="AE150" s="142"/>
      <c r="AF150" s="142">
        <f>IFERROR(_xlfn.XLOOKUP($D150,'Modelling New'!$D:$D,'Modelling New'!$W:$W),"")</f>
        <v>0.62587032301700574</v>
      </c>
      <c r="AG150" s="142">
        <f>IFERROR(_xlfn.XLOOKUP($D150,'Modelling New'!$D:$D,'Modelling New'!$AE:$AE),"")</f>
        <v>0.96029999999999993</v>
      </c>
      <c r="AH150" s="142">
        <f>IFERROR(_xlfn.XLOOKUP($D150,'Modelling New'!$D:$D,'Modelling New'!$AF:$AF),"")</f>
        <v>0.995</v>
      </c>
      <c r="AI150" s="109" t="str">
        <f>IFERROR(_xlfn.XLOOKUP($A150,Input_Raw!$A:$A,Input_Raw!$DP:$DP),"")</f>
        <v/>
      </c>
      <c r="AJ150" s="108"/>
      <c r="AK150" s="108"/>
      <c r="AL150" s="108"/>
      <c r="AM150" s="108"/>
      <c r="AN150" s="132" t="str">
        <f>IFERROR(_xlfn.XLOOKUP($A150,Input_Raw!$A:$A,Input_Raw!$DL:$DL),"")</f>
        <v/>
      </c>
      <c r="AO150" s="142" t="str">
        <f>IFERROR((_xlfn.XLOOKUP($A150,'WTG Reactive Power'!$A:$A,'WTG Reactive Power'!$AW:$AW))/X150,"")</f>
        <v/>
      </c>
      <c r="AP150" s="142">
        <f>IFERROR(_xlfn.XLOOKUP($D150,'Modelling New'!$D:$D,'Modelling New'!$AK:$AK),"")</f>
        <v>0.05</v>
      </c>
      <c r="AQ150" s="142">
        <f>IFERROR(_xlfn.XLOOKUP($D150,'Modelling New'!$D:$D,'Modelling New'!$AL:$AL),"")</f>
        <v>0.05</v>
      </c>
      <c r="AR150" s="198">
        <f>IFERROR(_xlfn.XLOOKUP($D150,'Modelling New'!$D:$D,'Modelling New'!$N:$N),"")</f>
        <v>70.400000000000006</v>
      </c>
      <c r="AS150" s="198"/>
    </row>
    <row r="151" spans="1:45">
      <c r="A151" s="137">
        <f t="shared" si="18"/>
        <v>45894</v>
      </c>
      <c r="B151" s="138">
        <f>YEAR(Daily_KPI[[#This Row],[Date]])+IF(MONTH(Daily_KPI[[#This Row],[Date]])&gt;=4,1,0)</f>
        <v>2026</v>
      </c>
      <c r="C151" s="108">
        <f>YEAR(Daily_KPI[[#This Row],[Date]])</f>
        <v>2025</v>
      </c>
      <c r="D151" s="139">
        <f>Daily_KPI[[#This Row],[Date]]-DAY(Daily_KPI[[#This Row],[Date]])+1</f>
        <v>45870</v>
      </c>
      <c r="E151" s="108">
        <f t="shared" si="14"/>
        <v>31</v>
      </c>
      <c r="F151" s="109"/>
      <c r="G151" s="110"/>
      <c r="H151" s="110"/>
      <c r="I151" s="110"/>
      <c r="J151" s="110"/>
      <c r="K151" s="111"/>
      <c r="L151" s="110"/>
      <c r="M151" s="110" t="str">
        <f>IFERROR(_xlfn.XLOOKUP($A151,Input_Raw!$A:$A,Input_Raw!$CQ:$CQ),"")</f>
        <v/>
      </c>
      <c r="N151" s="110" t="str">
        <f>IFERROR(_xlfn.XLOOKUP($A151,Input_Raw!$A:$A,Input_Raw!$CR:$CR),"")</f>
        <v/>
      </c>
      <c r="O151" s="141" t="str">
        <f t="shared" si="15"/>
        <v/>
      </c>
      <c r="P151" s="141" t="str">
        <f>IFERROR(1-SUMIF(WTG_BD!$F:$F,$A151,WTG_BD!$AA:$AA)/($AA151+SUMIF(WTG_BD!$F:$F,$A151,WTG_BD!$AA:$AA)),"")</f>
        <v/>
      </c>
      <c r="Q151" s="141" t="str">
        <f>IFERROR(1-SUMIF(IGA_BD!$F:$F,$A151,IGA_BD!$W:$W)/($AA151+SUMIF(IGA_BD!$F:$F,$A151,IGA_BD!$W:$W)),"")</f>
        <v/>
      </c>
      <c r="R151" s="141" t="str">
        <f>IFERROR(1-SUMIF(Grid_BD!$F:$F,$A151,Grid_BD!$Y:$Y)/($AA151+SUMIF(Grid_BD!$F:$F,$A151,Grid_BD!$Y:$Y)),"")</f>
        <v/>
      </c>
      <c r="S151" s="108"/>
      <c r="T151" s="140"/>
      <c r="U151" s="141"/>
      <c r="V151" s="108"/>
      <c r="W151" s="142" t="str">
        <f t="shared" si="16"/>
        <v/>
      </c>
      <c r="X151" s="108" t="str">
        <f>IFERROR(_xlfn.XLOOKUP($A151,Input_Raw!$A:$A,Input_Raw!$CP:$CP)*1000,"")</f>
        <v/>
      </c>
      <c r="Y151" s="108" t="str">
        <f>IFERROR(_xlfn.XLOOKUP($A151,Input_Raw!$A:$A,Input_Raw!DJ:DJ)*1000,"")</f>
        <v/>
      </c>
      <c r="Z151" s="108" t="str">
        <f>IFERROR(_xlfn.XLOOKUP($A151,Input_Raw!$A:$A,Input_Raw!DK:DK)*1000,"")</f>
        <v/>
      </c>
      <c r="AA151" s="138" t="str">
        <f t="shared" si="17"/>
        <v/>
      </c>
      <c r="AB151" s="108" t="str">
        <f>IFERROR(_xlfn.XLOOKUP($A151,Input_Raw!$A:$A,Input_Raw!$DR:$DR),"")</f>
        <v/>
      </c>
      <c r="AC151" s="143">
        <f>IFERROR(_xlfn.XLOOKUP($D151,'Modelling New'!$D:$D,'Modelling New'!$J:$J),"")</f>
        <v>9.1</v>
      </c>
      <c r="AD151" s="138">
        <f>IFERROR(_xlfn.XLOOKUP($D151,'Modelling New'!$D:$D,'Modelling New'!$T:$T)*1000,"")</f>
        <v>1057470.497769533</v>
      </c>
      <c r="AE151" s="142"/>
      <c r="AF151" s="142">
        <f>IFERROR(_xlfn.XLOOKUP($D151,'Modelling New'!$D:$D,'Modelling New'!$W:$W),"")</f>
        <v>0.62587032301700574</v>
      </c>
      <c r="AG151" s="142">
        <f>IFERROR(_xlfn.XLOOKUP($D151,'Modelling New'!$D:$D,'Modelling New'!$AE:$AE),"")</f>
        <v>0.96029999999999993</v>
      </c>
      <c r="AH151" s="142">
        <f>IFERROR(_xlfn.XLOOKUP($D151,'Modelling New'!$D:$D,'Modelling New'!$AF:$AF),"")</f>
        <v>0.995</v>
      </c>
      <c r="AI151" s="109" t="str">
        <f>IFERROR(_xlfn.XLOOKUP($A151,Input_Raw!$A:$A,Input_Raw!$DP:$DP),"")</f>
        <v/>
      </c>
      <c r="AJ151" s="108"/>
      <c r="AK151" s="108"/>
      <c r="AL151" s="108"/>
      <c r="AM151" s="108"/>
      <c r="AN151" s="132" t="str">
        <f>IFERROR(_xlfn.XLOOKUP($A151,Input_Raw!$A:$A,Input_Raw!$DL:$DL),"")</f>
        <v/>
      </c>
      <c r="AO151" s="142" t="str">
        <f>IFERROR((_xlfn.XLOOKUP($A151,'WTG Reactive Power'!$A:$A,'WTG Reactive Power'!$AW:$AW))/X151,"")</f>
        <v/>
      </c>
      <c r="AP151" s="142">
        <f>IFERROR(_xlfn.XLOOKUP($D151,'Modelling New'!$D:$D,'Modelling New'!$AK:$AK),"")</f>
        <v>0.05</v>
      </c>
      <c r="AQ151" s="142">
        <f>IFERROR(_xlfn.XLOOKUP($D151,'Modelling New'!$D:$D,'Modelling New'!$AL:$AL),"")</f>
        <v>0.05</v>
      </c>
      <c r="AR151" s="198">
        <f>IFERROR(_xlfn.XLOOKUP($D151,'Modelling New'!$D:$D,'Modelling New'!$N:$N),"")</f>
        <v>70.400000000000006</v>
      </c>
      <c r="AS151" s="198"/>
    </row>
    <row r="152" spans="1:45">
      <c r="A152" s="137">
        <f t="shared" si="18"/>
        <v>45895</v>
      </c>
      <c r="B152" s="138">
        <f>YEAR(Daily_KPI[[#This Row],[Date]])+IF(MONTH(Daily_KPI[[#This Row],[Date]])&gt;=4,1,0)</f>
        <v>2026</v>
      </c>
      <c r="C152" s="108">
        <f>YEAR(Daily_KPI[[#This Row],[Date]])</f>
        <v>2025</v>
      </c>
      <c r="D152" s="139">
        <f>Daily_KPI[[#This Row],[Date]]-DAY(Daily_KPI[[#This Row],[Date]])+1</f>
        <v>45870</v>
      </c>
      <c r="E152" s="108">
        <f t="shared" si="14"/>
        <v>31</v>
      </c>
      <c r="F152" s="109"/>
      <c r="G152" s="143"/>
      <c r="H152" s="143"/>
      <c r="I152" s="143"/>
      <c r="J152" s="143"/>
      <c r="K152" s="111"/>
      <c r="L152" s="110"/>
      <c r="M152" s="110" t="str">
        <f>IFERROR(_xlfn.XLOOKUP($A152,Input_Raw!$A:$A,Input_Raw!$CQ:$CQ),"")</f>
        <v/>
      </c>
      <c r="N152" s="110" t="str">
        <f>IFERROR(_xlfn.XLOOKUP($A152,Input_Raw!$A:$A,Input_Raw!$CR:$CR),"")</f>
        <v/>
      </c>
      <c r="O152" s="141" t="str">
        <f t="shared" si="15"/>
        <v/>
      </c>
      <c r="P152" s="141" t="str">
        <f>IFERROR(1-SUMIF(WTG_BD!$F:$F,$A152,WTG_BD!$AA:$AA)/($AA152+SUMIF(WTG_BD!$F:$F,$A152,WTG_BD!$AA:$AA)),"")</f>
        <v/>
      </c>
      <c r="Q152" s="141" t="str">
        <f>IFERROR(1-SUMIF(IGA_BD!$F:$F,$A152,IGA_BD!$W:$W)/($AA152+SUMIF(IGA_BD!$F:$F,$A152,IGA_BD!$W:$W)),"")</f>
        <v/>
      </c>
      <c r="R152" s="141" t="str">
        <f>IFERROR(1-SUMIF(Grid_BD!$F:$F,$A152,Grid_BD!$Y:$Y)/($AA152+SUMIF(Grid_BD!$F:$F,$A152,Grid_BD!$Y:$Y)),"")</f>
        <v/>
      </c>
      <c r="S152" s="108"/>
      <c r="T152" s="140"/>
      <c r="U152" s="141"/>
      <c r="V152" s="108"/>
      <c r="W152" s="142" t="str">
        <f t="shared" si="16"/>
        <v/>
      </c>
      <c r="X152" s="108" t="str">
        <f>IFERROR(_xlfn.XLOOKUP($A152,Input_Raw!$A:$A,Input_Raw!$CP:$CP)*1000,"")</f>
        <v/>
      </c>
      <c r="Y152" s="108" t="str">
        <f>IFERROR(_xlfn.XLOOKUP($A152,Input_Raw!$A:$A,Input_Raw!DJ:DJ)*1000,"")</f>
        <v/>
      </c>
      <c r="Z152" s="108" t="str">
        <f>IFERROR(_xlfn.XLOOKUP($A152,Input_Raw!$A:$A,Input_Raw!DK:DK)*1000,"")</f>
        <v/>
      </c>
      <c r="AA152" s="138" t="str">
        <f t="shared" si="17"/>
        <v/>
      </c>
      <c r="AB152" s="108" t="str">
        <f>IFERROR(_xlfn.XLOOKUP($A152,Input_Raw!$A:$A,Input_Raw!$DR:$DR),"")</f>
        <v/>
      </c>
      <c r="AC152" s="143">
        <f>IFERROR(_xlfn.XLOOKUP($D152,'Modelling New'!$D:$D,'Modelling New'!$J:$J),"")</f>
        <v>9.1</v>
      </c>
      <c r="AD152" s="138">
        <f>IFERROR(_xlfn.XLOOKUP($D152,'Modelling New'!$D:$D,'Modelling New'!$T:$T)*1000,"")</f>
        <v>1057470.497769533</v>
      </c>
      <c r="AE152" s="142"/>
      <c r="AF152" s="142">
        <f>IFERROR(_xlfn.XLOOKUP($D152,'Modelling New'!$D:$D,'Modelling New'!$W:$W),"")</f>
        <v>0.62587032301700574</v>
      </c>
      <c r="AG152" s="142">
        <f>IFERROR(_xlfn.XLOOKUP($D152,'Modelling New'!$D:$D,'Modelling New'!$AE:$AE),"")</f>
        <v>0.96029999999999993</v>
      </c>
      <c r="AH152" s="142">
        <f>IFERROR(_xlfn.XLOOKUP($D152,'Modelling New'!$D:$D,'Modelling New'!$AF:$AF),"")</f>
        <v>0.995</v>
      </c>
      <c r="AI152" s="109" t="str">
        <f>IFERROR(_xlfn.XLOOKUP($A152,Input_Raw!$A:$A,Input_Raw!$DP:$DP),"")</f>
        <v/>
      </c>
      <c r="AJ152" s="108"/>
      <c r="AK152" s="108"/>
      <c r="AL152" s="108"/>
      <c r="AM152" s="108"/>
      <c r="AN152" s="132" t="str">
        <f>IFERROR(_xlfn.XLOOKUP($A152,Input_Raw!$A:$A,Input_Raw!$DL:$DL),"")</f>
        <v/>
      </c>
      <c r="AO152" s="142" t="str">
        <f>IFERROR((_xlfn.XLOOKUP($A152,'WTG Reactive Power'!$A:$A,'WTG Reactive Power'!$AW:$AW))/X152,"")</f>
        <v/>
      </c>
      <c r="AP152" s="142">
        <f>IFERROR(_xlfn.XLOOKUP($D152,'Modelling New'!$D:$D,'Modelling New'!$AK:$AK),"")</f>
        <v>0.05</v>
      </c>
      <c r="AQ152" s="142">
        <f>IFERROR(_xlfn.XLOOKUP($D152,'Modelling New'!$D:$D,'Modelling New'!$AL:$AL),"")</f>
        <v>0.05</v>
      </c>
      <c r="AR152" s="198">
        <f>IFERROR(_xlfn.XLOOKUP($D152,'Modelling New'!$D:$D,'Modelling New'!$N:$N),"")</f>
        <v>70.400000000000006</v>
      </c>
      <c r="AS152" s="198"/>
    </row>
    <row r="153" spans="1:45">
      <c r="A153" s="137">
        <f t="shared" si="18"/>
        <v>45896</v>
      </c>
      <c r="B153" s="138">
        <f>YEAR(Daily_KPI[[#This Row],[Date]])+IF(MONTH(Daily_KPI[[#This Row],[Date]])&gt;=4,1,0)</f>
        <v>2026</v>
      </c>
      <c r="C153" s="108">
        <f>YEAR(Daily_KPI[[#This Row],[Date]])</f>
        <v>2025</v>
      </c>
      <c r="D153" s="139">
        <f>Daily_KPI[[#This Row],[Date]]-DAY(Daily_KPI[[#This Row],[Date]])+1</f>
        <v>45870</v>
      </c>
      <c r="E153" s="108">
        <f t="shared" si="14"/>
        <v>31</v>
      </c>
      <c r="F153" s="109"/>
      <c r="G153" s="110"/>
      <c r="H153" s="110"/>
      <c r="I153" s="110"/>
      <c r="J153" s="110"/>
      <c r="K153" s="111"/>
      <c r="L153" s="110"/>
      <c r="M153" s="110" t="str">
        <f>IFERROR(_xlfn.XLOOKUP($A153,Input_Raw!$A:$A,Input_Raw!$CQ:$CQ),"")</f>
        <v/>
      </c>
      <c r="N153" s="110" t="str">
        <f>IFERROR(_xlfn.XLOOKUP($A153,Input_Raw!$A:$A,Input_Raw!$CR:$CR),"")</f>
        <v/>
      </c>
      <c r="O153" s="141" t="str">
        <f t="shared" si="15"/>
        <v/>
      </c>
      <c r="P153" s="141" t="str">
        <f>IFERROR(1-SUMIF(WTG_BD!$F:$F,$A153,WTG_BD!$AA:$AA)/($AA153+SUMIF(WTG_BD!$F:$F,$A153,WTG_BD!$AA:$AA)),"")</f>
        <v/>
      </c>
      <c r="Q153" s="141" t="str">
        <f>IFERROR(1-SUMIF(IGA_BD!$F:$F,$A153,IGA_BD!$W:$W)/($AA153+SUMIF(IGA_BD!$F:$F,$A153,IGA_BD!$W:$W)),"")</f>
        <v/>
      </c>
      <c r="R153" s="141" t="str">
        <f>IFERROR(1-SUMIF(Grid_BD!$F:$F,$A153,Grid_BD!$Y:$Y)/($AA153+SUMIF(Grid_BD!$F:$F,$A153,Grid_BD!$Y:$Y)),"")</f>
        <v/>
      </c>
      <c r="S153" s="108"/>
      <c r="T153" s="140"/>
      <c r="U153" s="141"/>
      <c r="V153" s="108"/>
      <c r="W153" s="142" t="str">
        <f t="shared" si="16"/>
        <v/>
      </c>
      <c r="X153" s="108" t="str">
        <f>IFERROR(_xlfn.XLOOKUP($A153,Input_Raw!$A:$A,Input_Raw!$CP:$CP)*1000,"")</f>
        <v/>
      </c>
      <c r="Y153" s="108" t="str">
        <f>IFERROR(_xlfn.XLOOKUP($A153,Input_Raw!$A:$A,Input_Raw!DJ:DJ)*1000,"")</f>
        <v/>
      </c>
      <c r="Z153" s="108" t="str">
        <f>IFERROR(_xlfn.XLOOKUP($A153,Input_Raw!$A:$A,Input_Raw!DK:DK)*1000,"")</f>
        <v/>
      </c>
      <c r="AA153" s="138" t="str">
        <f t="shared" si="17"/>
        <v/>
      </c>
      <c r="AB153" s="108" t="str">
        <f>IFERROR(_xlfn.XLOOKUP($A153,Input_Raw!$A:$A,Input_Raw!$DR:$DR),"")</f>
        <v/>
      </c>
      <c r="AC153" s="143">
        <f>IFERROR(_xlfn.XLOOKUP($D153,'Modelling New'!$D:$D,'Modelling New'!$J:$J),"")</f>
        <v>9.1</v>
      </c>
      <c r="AD153" s="138">
        <f>IFERROR(_xlfn.XLOOKUP($D153,'Modelling New'!$D:$D,'Modelling New'!$T:$T)*1000,"")</f>
        <v>1057470.497769533</v>
      </c>
      <c r="AE153" s="142"/>
      <c r="AF153" s="142">
        <f>IFERROR(_xlfn.XLOOKUP($D153,'Modelling New'!$D:$D,'Modelling New'!$W:$W),"")</f>
        <v>0.62587032301700574</v>
      </c>
      <c r="AG153" s="142">
        <f>IFERROR(_xlfn.XLOOKUP($D153,'Modelling New'!$D:$D,'Modelling New'!$AE:$AE),"")</f>
        <v>0.96029999999999993</v>
      </c>
      <c r="AH153" s="142">
        <f>IFERROR(_xlfn.XLOOKUP($D153,'Modelling New'!$D:$D,'Modelling New'!$AF:$AF),"")</f>
        <v>0.995</v>
      </c>
      <c r="AI153" s="109" t="str">
        <f>IFERROR(_xlfn.XLOOKUP($A153,Input_Raw!$A:$A,Input_Raw!$DP:$DP),"")</f>
        <v/>
      </c>
      <c r="AJ153" s="108"/>
      <c r="AK153" s="108"/>
      <c r="AL153" s="108"/>
      <c r="AM153" s="108"/>
      <c r="AN153" s="132" t="str">
        <f>IFERROR(_xlfn.XLOOKUP($A153,Input_Raw!$A:$A,Input_Raw!$DL:$DL),"")</f>
        <v/>
      </c>
      <c r="AO153" s="142" t="str">
        <f>IFERROR((_xlfn.XLOOKUP($A153,'WTG Reactive Power'!$A:$A,'WTG Reactive Power'!$AW:$AW))/X153,"")</f>
        <v/>
      </c>
      <c r="AP153" s="142">
        <f>IFERROR(_xlfn.XLOOKUP($D153,'Modelling New'!$D:$D,'Modelling New'!$AK:$AK),"")</f>
        <v>0.05</v>
      </c>
      <c r="AQ153" s="142">
        <f>IFERROR(_xlfn.XLOOKUP($D153,'Modelling New'!$D:$D,'Modelling New'!$AL:$AL),"")</f>
        <v>0.05</v>
      </c>
      <c r="AR153" s="198">
        <f>IFERROR(_xlfn.XLOOKUP($D153,'Modelling New'!$D:$D,'Modelling New'!$N:$N),"")</f>
        <v>70.400000000000006</v>
      </c>
      <c r="AS153" s="198"/>
    </row>
    <row r="154" spans="1:45">
      <c r="A154" s="137">
        <f t="shared" si="18"/>
        <v>45897</v>
      </c>
      <c r="B154" s="138">
        <f>YEAR(Daily_KPI[[#This Row],[Date]])+IF(MONTH(Daily_KPI[[#This Row],[Date]])&gt;=4,1,0)</f>
        <v>2026</v>
      </c>
      <c r="C154" s="108">
        <f>YEAR(Daily_KPI[[#This Row],[Date]])</f>
        <v>2025</v>
      </c>
      <c r="D154" s="139">
        <f>Daily_KPI[[#This Row],[Date]]-DAY(Daily_KPI[[#This Row],[Date]])+1</f>
        <v>45870</v>
      </c>
      <c r="E154" s="108">
        <f t="shared" si="14"/>
        <v>31</v>
      </c>
      <c r="F154" s="109"/>
      <c r="G154" s="143"/>
      <c r="H154" s="143"/>
      <c r="I154" s="143"/>
      <c r="J154" s="143"/>
      <c r="K154" s="111"/>
      <c r="L154" s="110"/>
      <c r="M154" s="110" t="str">
        <f>IFERROR(_xlfn.XLOOKUP($A154,Input_Raw!$A:$A,Input_Raw!$CQ:$CQ),"")</f>
        <v/>
      </c>
      <c r="N154" s="110" t="str">
        <f>IFERROR(_xlfn.XLOOKUP($A154,Input_Raw!$A:$A,Input_Raw!$CR:$CR),"")</f>
        <v/>
      </c>
      <c r="O154" s="141" t="str">
        <f t="shared" si="15"/>
        <v/>
      </c>
      <c r="P154" s="141" t="str">
        <f>IFERROR(1-SUMIF(WTG_BD!$F:$F,$A154,WTG_BD!$AA:$AA)/($AA154+SUMIF(WTG_BD!$F:$F,$A154,WTG_BD!$AA:$AA)),"")</f>
        <v/>
      </c>
      <c r="Q154" s="141" t="str">
        <f>IFERROR(1-SUMIF(IGA_BD!$F:$F,$A154,IGA_BD!$W:$W)/($AA154+SUMIF(IGA_BD!$F:$F,$A154,IGA_BD!$W:$W)),"")</f>
        <v/>
      </c>
      <c r="R154" s="141" t="str">
        <f>IFERROR(1-SUMIF(Grid_BD!$F:$F,$A154,Grid_BD!$Y:$Y)/($AA154+SUMIF(Grid_BD!$F:$F,$A154,Grid_BD!$Y:$Y)),"")</f>
        <v/>
      </c>
      <c r="S154" s="108"/>
      <c r="T154" s="140"/>
      <c r="U154" s="141"/>
      <c r="V154" s="108"/>
      <c r="W154" s="142" t="str">
        <f t="shared" si="16"/>
        <v/>
      </c>
      <c r="X154" s="108" t="str">
        <f>IFERROR(_xlfn.XLOOKUP($A154,Input_Raw!$A:$A,Input_Raw!$CP:$CP)*1000,"")</f>
        <v/>
      </c>
      <c r="Y154" s="108" t="str">
        <f>IFERROR(_xlfn.XLOOKUP($A154,Input_Raw!$A:$A,Input_Raw!DJ:DJ)*1000,"")</f>
        <v/>
      </c>
      <c r="Z154" s="108" t="str">
        <f>IFERROR(_xlfn.XLOOKUP($A154,Input_Raw!$A:$A,Input_Raw!DK:DK)*1000,"")</f>
        <v/>
      </c>
      <c r="AA154" s="138" t="str">
        <f t="shared" si="17"/>
        <v/>
      </c>
      <c r="AB154" s="108" t="str">
        <f>IFERROR(_xlfn.XLOOKUP($A154,Input_Raw!$A:$A,Input_Raw!$DR:$DR),"")</f>
        <v/>
      </c>
      <c r="AC154" s="143">
        <f>IFERROR(_xlfn.XLOOKUP($D154,'Modelling New'!$D:$D,'Modelling New'!$J:$J),"")</f>
        <v>9.1</v>
      </c>
      <c r="AD154" s="138">
        <f>IFERROR(_xlfn.XLOOKUP($D154,'Modelling New'!$D:$D,'Modelling New'!$T:$T)*1000,"")</f>
        <v>1057470.497769533</v>
      </c>
      <c r="AE154" s="142"/>
      <c r="AF154" s="142">
        <f>IFERROR(_xlfn.XLOOKUP($D154,'Modelling New'!$D:$D,'Modelling New'!$W:$W),"")</f>
        <v>0.62587032301700574</v>
      </c>
      <c r="AG154" s="142">
        <f>IFERROR(_xlfn.XLOOKUP($D154,'Modelling New'!$D:$D,'Modelling New'!$AE:$AE),"")</f>
        <v>0.96029999999999993</v>
      </c>
      <c r="AH154" s="142">
        <f>IFERROR(_xlfn.XLOOKUP($D154,'Modelling New'!$D:$D,'Modelling New'!$AF:$AF),"")</f>
        <v>0.995</v>
      </c>
      <c r="AI154" s="109" t="str">
        <f>IFERROR(_xlfn.XLOOKUP($A154,Input_Raw!$A:$A,Input_Raw!$DP:$DP),"")</f>
        <v/>
      </c>
      <c r="AJ154" s="108"/>
      <c r="AK154" s="108"/>
      <c r="AL154" s="108"/>
      <c r="AM154" s="108"/>
      <c r="AN154" s="132" t="str">
        <f>IFERROR(_xlfn.XLOOKUP($A154,Input_Raw!$A:$A,Input_Raw!$DL:$DL),"")</f>
        <v/>
      </c>
      <c r="AO154" s="142" t="str">
        <f>IFERROR((_xlfn.XLOOKUP($A154,'WTG Reactive Power'!$A:$A,'WTG Reactive Power'!$AW:$AW))/X154,"")</f>
        <v/>
      </c>
      <c r="AP154" s="142">
        <f>IFERROR(_xlfn.XLOOKUP($D154,'Modelling New'!$D:$D,'Modelling New'!$AK:$AK),"")</f>
        <v>0.05</v>
      </c>
      <c r="AQ154" s="142">
        <f>IFERROR(_xlfn.XLOOKUP($D154,'Modelling New'!$D:$D,'Modelling New'!$AL:$AL),"")</f>
        <v>0.05</v>
      </c>
      <c r="AR154" s="198">
        <f>IFERROR(_xlfn.XLOOKUP($D154,'Modelling New'!$D:$D,'Modelling New'!$N:$N),"")</f>
        <v>70.400000000000006</v>
      </c>
      <c r="AS154" s="198"/>
    </row>
    <row r="155" spans="1:45">
      <c r="A155" s="137">
        <f t="shared" si="18"/>
        <v>45898</v>
      </c>
      <c r="B155" s="138">
        <f>YEAR(Daily_KPI[[#This Row],[Date]])+IF(MONTH(Daily_KPI[[#This Row],[Date]])&gt;=4,1,0)</f>
        <v>2026</v>
      </c>
      <c r="C155" s="108">
        <f>YEAR(Daily_KPI[[#This Row],[Date]])</f>
        <v>2025</v>
      </c>
      <c r="D155" s="139">
        <f>Daily_KPI[[#This Row],[Date]]-DAY(Daily_KPI[[#This Row],[Date]])+1</f>
        <v>45870</v>
      </c>
      <c r="E155" s="108">
        <f t="shared" si="14"/>
        <v>31</v>
      </c>
      <c r="F155" s="109"/>
      <c r="G155" s="110"/>
      <c r="H155" s="110"/>
      <c r="I155" s="110"/>
      <c r="J155" s="110"/>
      <c r="K155" s="111"/>
      <c r="L155" s="110"/>
      <c r="M155" s="110" t="str">
        <f>IFERROR(_xlfn.XLOOKUP($A155,Input_Raw!$A:$A,Input_Raw!$CQ:$CQ),"")</f>
        <v/>
      </c>
      <c r="N155" s="110" t="str">
        <f>IFERROR(_xlfn.XLOOKUP($A155,Input_Raw!$A:$A,Input_Raw!$CR:$CR),"")</f>
        <v/>
      </c>
      <c r="O155" s="141" t="str">
        <f t="shared" si="15"/>
        <v/>
      </c>
      <c r="P155" s="141" t="str">
        <f>IFERROR(1-SUMIF(WTG_BD!$F:$F,$A155,WTG_BD!$AA:$AA)/($AA155+SUMIF(WTG_BD!$F:$F,$A155,WTG_BD!$AA:$AA)),"")</f>
        <v/>
      </c>
      <c r="Q155" s="141" t="str">
        <f>IFERROR(1-SUMIF(IGA_BD!$F:$F,$A155,IGA_BD!$W:$W)/($AA155+SUMIF(IGA_BD!$F:$F,$A155,IGA_BD!$W:$W)),"")</f>
        <v/>
      </c>
      <c r="R155" s="141" t="str">
        <f>IFERROR(1-SUMIF(Grid_BD!$F:$F,$A155,Grid_BD!$Y:$Y)/($AA155+SUMIF(Grid_BD!$F:$F,$A155,Grid_BD!$Y:$Y)),"")</f>
        <v/>
      </c>
      <c r="S155" s="108"/>
      <c r="T155" s="140"/>
      <c r="U155" s="141"/>
      <c r="V155" s="108"/>
      <c r="W155" s="142" t="str">
        <f t="shared" si="16"/>
        <v/>
      </c>
      <c r="X155" s="108" t="str">
        <f>IFERROR(_xlfn.XLOOKUP($A155,Input_Raw!$A:$A,Input_Raw!$CP:$CP)*1000,"")</f>
        <v/>
      </c>
      <c r="Y155" s="108" t="str">
        <f>IFERROR(_xlfn.XLOOKUP($A155,Input_Raw!$A:$A,Input_Raw!DJ:DJ)*1000,"")</f>
        <v/>
      </c>
      <c r="Z155" s="108" t="str">
        <f>IFERROR(_xlfn.XLOOKUP($A155,Input_Raw!$A:$A,Input_Raw!DK:DK)*1000,"")</f>
        <v/>
      </c>
      <c r="AA155" s="138" t="str">
        <f t="shared" si="17"/>
        <v/>
      </c>
      <c r="AB155" s="108" t="str">
        <f>IFERROR(_xlfn.XLOOKUP($A155,Input_Raw!$A:$A,Input_Raw!$DR:$DR),"")</f>
        <v/>
      </c>
      <c r="AC155" s="143">
        <f>IFERROR(_xlfn.XLOOKUP($D155,'Modelling New'!$D:$D,'Modelling New'!$J:$J),"")</f>
        <v>9.1</v>
      </c>
      <c r="AD155" s="138">
        <f>IFERROR(_xlfn.XLOOKUP($D155,'Modelling New'!$D:$D,'Modelling New'!$T:$T)*1000,"")</f>
        <v>1057470.497769533</v>
      </c>
      <c r="AE155" s="142"/>
      <c r="AF155" s="142">
        <f>IFERROR(_xlfn.XLOOKUP($D155,'Modelling New'!$D:$D,'Modelling New'!$W:$W),"")</f>
        <v>0.62587032301700574</v>
      </c>
      <c r="AG155" s="142">
        <f>IFERROR(_xlfn.XLOOKUP($D155,'Modelling New'!$D:$D,'Modelling New'!$AE:$AE),"")</f>
        <v>0.96029999999999993</v>
      </c>
      <c r="AH155" s="142">
        <f>IFERROR(_xlfn.XLOOKUP($D155,'Modelling New'!$D:$D,'Modelling New'!$AF:$AF),"")</f>
        <v>0.995</v>
      </c>
      <c r="AI155" s="109" t="str">
        <f>IFERROR(_xlfn.XLOOKUP($A155,Input_Raw!$A:$A,Input_Raw!$DP:$DP),"")</f>
        <v/>
      </c>
      <c r="AJ155" s="108"/>
      <c r="AK155" s="108"/>
      <c r="AL155" s="108"/>
      <c r="AM155" s="108"/>
      <c r="AN155" s="132" t="str">
        <f>IFERROR(_xlfn.XLOOKUP($A155,Input_Raw!$A:$A,Input_Raw!$DL:$DL),"")</f>
        <v/>
      </c>
      <c r="AO155" s="142" t="str">
        <f>IFERROR((_xlfn.XLOOKUP($A155,'WTG Reactive Power'!$A:$A,'WTG Reactive Power'!$AW:$AW))/X155,"")</f>
        <v/>
      </c>
      <c r="AP155" s="142">
        <f>IFERROR(_xlfn.XLOOKUP($D155,'Modelling New'!$D:$D,'Modelling New'!$AK:$AK),"")</f>
        <v>0.05</v>
      </c>
      <c r="AQ155" s="142">
        <f>IFERROR(_xlfn.XLOOKUP($D155,'Modelling New'!$D:$D,'Modelling New'!$AL:$AL),"")</f>
        <v>0.05</v>
      </c>
      <c r="AR155" s="198">
        <f>IFERROR(_xlfn.XLOOKUP($D155,'Modelling New'!$D:$D,'Modelling New'!$N:$N),"")</f>
        <v>70.400000000000006</v>
      </c>
      <c r="AS155" s="198"/>
    </row>
    <row r="156" spans="1:45">
      <c r="A156" s="137">
        <f t="shared" si="18"/>
        <v>45899</v>
      </c>
      <c r="B156" s="138">
        <f>YEAR(Daily_KPI[[#This Row],[Date]])+IF(MONTH(Daily_KPI[[#This Row],[Date]])&gt;=4,1,0)</f>
        <v>2026</v>
      </c>
      <c r="C156" s="108">
        <f>YEAR(Daily_KPI[[#This Row],[Date]])</f>
        <v>2025</v>
      </c>
      <c r="D156" s="139">
        <f>Daily_KPI[[#This Row],[Date]]-DAY(Daily_KPI[[#This Row],[Date]])+1</f>
        <v>45870</v>
      </c>
      <c r="E156" s="108">
        <f t="shared" si="14"/>
        <v>31</v>
      </c>
      <c r="F156" s="109"/>
      <c r="G156" s="143"/>
      <c r="H156" s="143"/>
      <c r="I156" s="143"/>
      <c r="J156" s="143"/>
      <c r="K156" s="111"/>
      <c r="L156" s="110"/>
      <c r="M156" s="110" t="str">
        <f>IFERROR(_xlfn.XLOOKUP($A156,Input_Raw!$A:$A,Input_Raw!$CQ:$CQ),"")</f>
        <v/>
      </c>
      <c r="N156" s="110" t="str">
        <f>IFERROR(_xlfn.XLOOKUP($A156,Input_Raw!$A:$A,Input_Raw!$CR:$CR),"")</f>
        <v/>
      </c>
      <c r="O156" s="141" t="str">
        <f t="shared" si="15"/>
        <v/>
      </c>
      <c r="P156" s="141" t="str">
        <f>IFERROR(1-SUMIF(WTG_BD!$F:$F,$A156,WTG_BD!$AA:$AA)/($AA156+SUMIF(WTG_BD!$F:$F,$A156,WTG_BD!$AA:$AA)),"")</f>
        <v/>
      </c>
      <c r="Q156" s="141" t="str">
        <f>IFERROR(1-SUMIF(IGA_BD!$F:$F,$A156,IGA_BD!$W:$W)/($AA156+SUMIF(IGA_BD!$F:$F,$A156,IGA_BD!$W:$W)),"")</f>
        <v/>
      </c>
      <c r="R156" s="141" t="str">
        <f>IFERROR(1-SUMIF(Grid_BD!$F:$F,$A156,Grid_BD!$Y:$Y)/($AA156+SUMIF(Grid_BD!$F:$F,$A156,Grid_BD!$Y:$Y)),"")</f>
        <v/>
      </c>
      <c r="S156" s="108"/>
      <c r="T156" s="140"/>
      <c r="U156" s="141"/>
      <c r="V156" s="108"/>
      <c r="W156" s="142" t="str">
        <f t="shared" si="16"/>
        <v/>
      </c>
      <c r="X156" s="108" t="str">
        <f>IFERROR(_xlfn.XLOOKUP($A156,Input_Raw!$A:$A,Input_Raw!$CP:$CP)*1000,"")</f>
        <v/>
      </c>
      <c r="Y156" s="108" t="str">
        <f>IFERROR(_xlfn.XLOOKUP($A156,Input_Raw!$A:$A,Input_Raw!DJ:DJ)*1000,"")</f>
        <v/>
      </c>
      <c r="Z156" s="108" t="str">
        <f>IFERROR(_xlfn.XLOOKUP($A156,Input_Raw!$A:$A,Input_Raw!DK:DK)*1000,"")</f>
        <v/>
      </c>
      <c r="AA156" s="138" t="str">
        <f t="shared" si="17"/>
        <v/>
      </c>
      <c r="AB156" s="108" t="str">
        <f>IFERROR(_xlfn.XLOOKUP($A156,Input_Raw!$A:$A,Input_Raw!$DR:$DR),"")</f>
        <v/>
      </c>
      <c r="AC156" s="143">
        <f>IFERROR(_xlfn.XLOOKUP($D156,'Modelling New'!$D:$D,'Modelling New'!$J:$J),"")</f>
        <v>9.1</v>
      </c>
      <c r="AD156" s="138">
        <f>IFERROR(_xlfn.XLOOKUP($D156,'Modelling New'!$D:$D,'Modelling New'!$T:$T)*1000,"")</f>
        <v>1057470.497769533</v>
      </c>
      <c r="AE156" s="142"/>
      <c r="AF156" s="142">
        <f>IFERROR(_xlfn.XLOOKUP($D156,'Modelling New'!$D:$D,'Modelling New'!$W:$W),"")</f>
        <v>0.62587032301700574</v>
      </c>
      <c r="AG156" s="142">
        <f>IFERROR(_xlfn.XLOOKUP($D156,'Modelling New'!$D:$D,'Modelling New'!$AE:$AE),"")</f>
        <v>0.96029999999999993</v>
      </c>
      <c r="AH156" s="142">
        <f>IFERROR(_xlfn.XLOOKUP($D156,'Modelling New'!$D:$D,'Modelling New'!$AF:$AF),"")</f>
        <v>0.995</v>
      </c>
      <c r="AI156" s="109" t="str">
        <f>IFERROR(_xlfn.XLOOKUP($A156,Input_Raw!$A:$A,Input_Raw!$DP:$DP),"")</f>
        <v/>
      </c>
      <c r="AJ156" s="108"/>
      <c r="AK156" s="108"/>
      <c r="AL156" s="108"/>
      <c r="AM156" s="108"/>
      <c r="AN156" s="132" t="str">
        <f>IFERROR(_xlfn.XLOOKUP($A156,Input_Raw!$A:$A,Input_Raw!$DL:$DL),"")</f>
        <v/>
      </c>
      <c r="AO156" s="142" t="str">
        <f>IFERROR((_xlfn.XLOOKUP($A156,'WTG Reactive Power'!$A:$A,'WTG Reactive Power'!$AW:$AW))/X156,"")</f>
        <v/>
      </c>
      <c r="AP156" s="142">
        <f>IFERROR(_xlfn.XLOOKUP($D156,'Modelling New'!$D:$D,'Modelling New'!$AK:$AK),"")</f>
        <v>0.05</v>
      </c>
      <c r="AQ156" s="142">
        <f>IFERROR(_xlfn.XLOOKUP($D156,'Modelling New'!$D:$D,'Modelling New'!$AL:$AL),"")</f>
        <v>0.05</v>
      </c>
      <c r="AR156" s="198">
        <f>IFERROR(_xlfn.XLOOKUP($D156,'Modelling New'!$D:$D,'Modelling New'!$N:$N),"")</f>
        <v>70.400000000000006</v>
      </c>
      <c r="AS156" s="198"/>
    </row>
    <row r="157" spans="1:45">
      <c r="A157" s="137">
        <f t="shared" si="18"/>
        <v>45900</v>
      </c>
      <c r="B157" s="138">
        <f>YEAR(Daily_KPI[[#This Row],[Date]])+IF(MONTH(Daily_KPI[[#This Row],[Date]])&gt;=4,1,0)</f>
        <v>2026</v>
      </c>
      <c r="C157" s="108">
        <f>YEAR(Daily_KPI[[#This Row],[Date]])</f>
        <v>2025</v>
      </c>
      <c r="D157" s="139">
        <f>Daily_KPI[[#This Row],[Date]]-DAY(Daily_KPI[[#This Row],[Date]])+1</f>
        <v>45870</v>
      </c>
      <c r="E157" s="108">
        <f t="shared" si="14"/>
        <v>31</v>
      </c>
      <c r="F157" s="109"/>
      <c r="G157" s="110"/>
      <c r="H157" s="110"/>
      <c r="I157" s="110"/>
      <c r="J157" s="110"/>
      <c r="K157" s="111"/>
      <c r="L157" s="110"/>
      <c r="M157" s="110" t="str">
        <f>IFERROR(_xlfn.XLOOKUP($A157,Input_Raw!$A:$A,Input_Raw!$CQ:$CQ),"")</f>
        <v/>
      </c>
      <c r="N157" s="110" t="str">
        <f>IFERROR(_xlfn.XLOOKUP($A157,Input_Raw!$A:$A,Input_Raw!$CR:$CR),"")</f>
        <v/>
      </c>
      <c r="O157" s="141" t="str">
        <f t="shared" si="15"/>
        <v/>
      </c>
      <c r="P157" s="141" t="str">
        <f>IFERROR(1-SUMIF(WTG_BD!$F:$F,$A157,WTG_BD!$AA:$AA)/($AA157+SUMIF(WTG_BD!$F:$F,$A157,WTG_BD!$AA:$AA)),"")</f>
        <v/>
      </c>
      <c r="Q157" s="141" t="str">
        <f>IFERROR(1-SUMIF(IGA_BD!$F:$F,$A157,IGA_BD!$W:$W)/($AA157+SUMIF(IGA_BD!$F:$F,$A157,IGA_BD!$W:$W)),"")</f>
        <v/>
      </c>
      <c r="R157" s="141" t="str">
        <f>IFERROR(1-SUMIF(Grid_BD!$F:$F,$A157,Grid_BD!$Y:$Y)/($AA157+SUMIF(Grid_BD!$F:$F,$A157,Grid_BD!$Y:$Y)),"")</f>
        <v/>
      </c>
      <c r="S157" s="108"/>
      <c r="T157" s="140"/>
      <c r="U157" s="141"/>
      <c r="V157" s="108"/>
      <c r="W157" s="142" t="str">
        <f t="shared" si="16"/>
        <v/>
      </c>
      <c r="X157" s="108" t="str">
        <f>IFERROR(_xlfn.XLOOKUP($A157,Input_Raw!$A:$A,Input_Raw!$CP:$CP)*1000,"")</f>
        <v/>
      </c>
      <c r="Y157" s="108" t="str">
        <f>IFERROR(_xlfn.XLOOKUP($A157,Input_Raw!$A:$A,Input_Raw!DJ:DJ)*1000,"")</f>
        <v/>
      </c>
      <c r="Z157" s="108" t="str">
        <f>IFERROR(_xlfn.XLOOKUP($A157,Input_Raw!$A:$A,Input_Raw!DK:DK)*1000,"")</f>
        <v/>
      </c>
      <c r="AA157" s="138" t="str">
        <f t="shared" si="17"/>
        <v/>
      </c>
      <c r="AB157" s="108" t="str">
        <f>IFERROR(_xlfn.XLOOKUP($A157,Input_Raw!$A:$A,Input_Raw!$DR:$DR),"")</f>
        <v/>
      </c>
      <c r="AC157" s="143">
        <f>IFERROR(_xlfn.XLOOKUP($D157,'Modelling New'!$D:$D,'Modelling New'!$J:$J),"")</f>
        <v>9.1</v>
      </c>
      <c r="AD157" s="138">
        <f>IFERROR(_xlfn.XLOOKUP($D157,'Modelling New'!$D:$D,'Modelling New'!$T:$T)*1000,"")</f>
        <v>1057470.497769533</v>
      </c>
      <c r="AE157" s="142"/>
      <c r="AF157" s="142">
        <f>IFERROR(_xlfn.XLOOKUP($D157,'Modelling New'!$D:$D,'Modelling New'!$W:$W),"")</f>
        <v>0.62587032301700574</v>
      </c>
      <c r="AG157" s="142">
        <f>IFERROR(_xlfn.XLOOKUP($D157,'Modelling New'!$D:$D,'Modelling New'!$AE:$AE),"")</f>
        <v>0.96029999999999993</v>
      </c>
      <c r="AH157" s="142">
        <f>IFERROR(_xlfn.XLOOKUP($D157,'Modelling New'!$D:$D,'Modelling New'!$AF:$AF),"")</f>
        <v>0.995</v>
      </c>
      <c r="AI157" s="109" t="str">
        <f>IFERROR(_xlfn.XLOOKUP($A157,Input_Raw!$A:$A,Input_Raw!$DP:$DP),"")</f>
        <v/>
      </c>
      <c r="AJ157" s="108"/>
      <c r="AK157" s="108"/>
      <c r="AL157" s="108"/>
      <c r="AM157" s="108"/>
      <c r="AN157" s="132" t="str">
        <f>IFERROR(_xlfn.XLOOKUP($A157,Input_Raw!$A:$A,Input_Raw!$DL:$DL),"")</f>
        <v/>
      </c>
      <c r="AO157" s="142" t="str">
        <f>IFERROR((_xlfn.XLOOKUP($A157,'WTG Reactive Power'!$A:$A,'WTG Reactive Power'!$AW:$AW))/X157,"")</f>
        <v/>
      </c>
      <c r="AP157" s="142">
        <f>IFERROR(_xlfn.XLOOKUP($D157,'Modelling New'!$D:$D,'Modelling New'!$AK:$AK),"")</f>
        <v>0.05</v>
      </c>
      <c r="AQ157" s="142">
        <f>IFERROR(_xlfn.XLOOKUP($D157,'Modelling New'!$D:$D,'Modelling New'!$AL:$AL),"")</f>
        <v>0.05</v>
      </c>
      <c r="AR157" s="198">
        <f>IFERROR(_xlfn.XLOOKUP($D157,'Modelling New'!$D:$D,'Modelling New'!$N:$N),"")</f>
        <v>70.400000000000006</v>
      </c>
      <c r="AS157" s="198"/>
    </row>
    <row r="158" spans="1:45">
      <c r="A158" s="137">
        <f t="shared" si="18"/>
        <v>45901</v>
      </c>
      <c r="B158" s="138">
        <f>YEAR(Daily_KPI[[#This Row],[Date]])+IF(MONTH(Daily_KPI[[#This Row],[Date]])&gt;=4,1,0)</f>
        <v>2026</v>
      </c>
      <c r="C158" s="108">
        <f>YEAR(Daily_KPI[[#This Row],[Date]])</f>
        <v>2025</v>
      </c>
      <c r="D158" s="139">
        <f>Daily_KPI[[#This Row],[Date]]-DAY(Daily_KPI[[#This Row],[Date]])+1</f>
        <v>45901</v>
      </c>
      <c r="E158" s="108">
        <f t="shared" si="14"/>
        <v>30</v>
      </c>
      <c r="F158" s="109"/>
      <c r="G158" s="143"/>
      <c r="H158" s="143"/>
      <c r="I158" s="143"/>
      <c r="J158" s="143"/>
      <c r="K158" s="111"/>
      <c r="L158" s="110"/>
      <c r="M158" s="110" t="str">
        <f>IFERROR(_xlfn.XLOOKUP($A158,Input_Raw!$A:$A,Input_Raw!$CQ:$CQ),"")</f>
        <v/>
      </c>
      <c r="N158" s="110" t="str">
        <f>IFERROR(_xlfn.XLOOKUP($A158,Input_Raw!$A:$A,Input_Raw!$CR:$CR),"")</f>
        <v/>
      </c>
      <c r="O158" s="141" t="str">
        <f t="shared" si="15"/>
        <v/>
      </c>
      <c r="P158" s="141" t="str">
        <f>IFERROR(1-SUMIF(WTG_BD!$F:$F,$A158,WTG_BD!$AA:$AA)/($AA158+SUMIF(WTG_BD!$F:$F,$A158,WTG_BD!$AA:$AA)),"")</f>
        <v/>
      </c>
      <c r="Q158" s="141" t="str">
        <f>IFERROR(1-SUMIF(IGA_BD!$F:$F,$A158,IGA_BD!$W:$W)/($AA158+SUMIF(IGA_BD!$F:$F,$A158,IGA_BD!$W:$W)),"")</f>
        <v/>
      </c>
      <c r="R158" s="141" t="str">
        <f>IFERROR(1-SUMIF(Grid_BD!$F:$F,$A158,Grid_BD!$Y:$Y)/($AA158+SUMIF(Grid_BD!$F:$F,$A158,Grid_BD!$Y:$Y)),"")</f>
        <v/>
      </c>
      <c r="S158" s="108"/>
      <c r="T158" s="140"/>
      <c r="U158" s="141"/>
      <c r="V158" s="108"/>
      <c r="W158" s="142" t="str">
        <f t="shared" si="16"/>
        <v/>
      </c>
      <c r="X158" s="108" t="str">
        <f>IFERROR(_xlfn.XLOOKUP($A158,Input_Raw!$A:$A,Input_Raw!$CP:$CP)*1000,"")</f>
        <v/>
      </c>
      <c r="Y158" s="108" t="str">
        <f>IFERROR(_xlfn.XLOOKUP($A158,Input_Raw!$A:$A,Input_Raw!DJ:DJ)*1000,"")</f>
        <v/>
      </c>
      <c r="Z158" s="108" t="str">
        <f>IFERROR(_xlfn.XLOOKUP($A158,Input_Raw!$A:$A,Input_Raw!DK:DK)*1000,"")</f>
        <v/>
      </c>
      <c r="AA158" s="138" t="str">
        <f t="shared" si="17"/>
        <v/>
      </c>
      <c r="AB158" s="108" t="str">
        <f>IFERROR(_xlfn.XLOOKUP($A158,Input_Raw!$A:$A,Input_Raw!$DR:$DR),"")</f>
        <v/>
      </c>
      <c r="AC158" s="143">
        <f>IFERROR(_xlfn.XLOOKUP($D158,'Modelling New'!$D:$D,'Modelling New'!$J:$J),"")</f>
        <v>5.56</v>
      </c>
      <c r="AD158" s="138">
        <f>IFERROR(_xlfn.XLOOKUP($D158,'Modelling New'!$D:$D,'Modelling New'!$T:$T)*1000,"")</f>
        <v>373388.45693317999</v>
      </c>
      <c r="AE158" s="142"/>
      <c r="AF158" s="142">
        <f>IFERROR(_xlfn.XLOOKUP($D158,'Modelling New'!$D:$D,'Modelling New'!$W:$W),"")</f>
        <v>0.22099222119624762</v>
      </c>
      <c r="AG158" s="142">
        <f>IFERROR(_xlfn.XLOOKUP($D158,'Modelling New'!$D:$D,'Modelling New'!$AE:$AE),"")</f>
        <v>0.96029999999999993</v>
      </c>
      <c r="AH158" s="142">
        <f>IFERROR(_xlfn.XLOOKUP($D158,'Modelling New'!$D:$D,'Modelling New'!$AF:$AF),"")</f>
        <v>0.995</v>
      </c>
      <c r="AI158" s="109" t="str">
        <f>IFERROR(_xlfn.XLOOKUP($A158,Input_Raw!$A:$A,Input_Raw!$DP:$DP),"")</f>
        <v/>
      </c>
      <c r="AJ158" s="108"/>
      <c r="AK158" s="108"/>
      <c r="AL158" s="108"/>
      <c r="AM158" s="108"/>
      <c r="AN158" s="132" t="str">
        <f>IFERROR(_xlfn.XLOOKUP($A158,Input_Raw!$A:$A,Input_Raw!$DL:$DL),"")</f>
        <v/>
      </c>
      <c r="AO158" s="142" t="str">
        <f>IFERROR((_xlfn.XLOOKUP($A158,'WTG Reactive Power'!$A:$A,'WTG Reactive Power'!$AW:$AW))/X158,"")</f>
        <v/>
      </c>
      <c r="AP158" s="142">
        <f>IFERROR(_xlfn.XLOOKUP($D158,'Modelling New'!$D:$D,'Modelling New'!$AK:$AK),"")</f>
        <v>0.05</v>
      </c>
      <c r="AQ158" s="142">
        <f>IFERROR(_xlfn.XLOOKUP($D158,'Modelling New'!$D:$D,'Modelling New'!$AL:$AL),"")</f>
        <v>0.05</v>
      </c>
      <c r="AR158" s="198">
        <f>IFERROR(_xlfn.XLOOKUP($D158,'Modelling New'!$D:$D,'Modelling New'!$N:$N),"")</f>
        <v>70.400000000000006</v>
      </c>
      <c r="AS158" s="198"/>
    </row>
    <row r="159" spans="1:45">
      <c r="A159" s="137">
        <f t="shared" si="18"/>
        <v>45902</v>
      </c>
      <c r="B159" s="138">
        <f>YEAR(Daily_KPI[[#This Row],[Date]])+IF(MONTH(Daily_KPI[[#This Row],[Date]])&gt;=4,1,0)</f>
        <v>2026</v>
      </c>
      <c r="C159" s="108">
        <f>YEAR(Daily_KPI[[#This Row],[Date]])</f>
        <v>2025</v>
      </c>
      <c r="D159" s="139">
        <f>Daily_KPI[[#This Row],[Date]]-DAY(Daily_KPI[[#This Row],[Date]])+1</f>
        <v>45901</v>
      </c>
      <c r="E159" s="108">
        <f t="shared" si="14"/>
        <v>30</v>
      </c>
      <c r="F159" s="109"/>
      <c r="G159" s="110"/>
      <c r="H159" s="110"/>
      <c r="I159" s="110"/>
      <c r="J159" s="110"/>
      <c r="K159" s="111"/>
      <c r="L159" s="110"/>
      <c r="M159" s="110" t="str">
        <f>IFERROR(_xlfn.XLOOKUP($A159,Input_Raw!$A:$A,Input_Raw!$CQ:$CQ),"")</f>
        <v/>
      </c>
      <c r="N159" s="110" t="str">
        <f>IFERROR(_xlfn.XLOOKUP($A159,Input_Raw!$A:$A,Input_Raw!$CR:$CR),"")</f>
        <v/>
      </c>
      <c r="O159" s="141" t="str">
        <f t="shared" si="15"/>
        <v/>
      </c>
      <c r="P159" s="141" t="str">
        <f>IFERROR(1-SUMIF(WTG_BD!$F:$F,$A159,WTG_BD!$AA:$AA)/($AA159+SUMIF(WTG_BD!$F:$F,$A159,WTG_BD!$AA:$AA)),"")</f>
        <v/>
      </c>
      <c r="Q159" s="141" t="str">
        <f>IFERROR(1-SUMIF(IGA_BD!$F:$F,$A159,IGA_BD!$W:$W)/($AA159+SUMIF(IGA_BD!$F:$F,$A159,IGA_BD!$W:$W)),"")</f>
        <v/>
      </c>
      <c r="R159" s="141" t="str">
        <f>IFERROR(1-SUMIF(Grid_BD!$F:$F,$A159,Grid_BD!$Y:$Y)/($AA159+SUMIF(Grid_BD!$F:$F,$A159,Grid_BD!$Y:$Y)),"")</f>
        <v/>
      </c>
      <c r="S159" s="108"/>
      <c r="T159" s="140"/>
      <c r="U159" s="141"/>
      <c r="V159" s="108"/>
      <c r="W159" s="142" t="str">
        <f t="shared" si="16"/>
        <v/>
      </c>
      <c r="X159" s="108" t="str">
        <f>IFERROR(_xlfn.XLOOKUP($A159,Input_Raw!$A:$A,Input_Raw!$CP:$CP)*1000,"")</f>
        <v/>
      </c>
      <c r="Y159" s="108" t="str">
        <f>IFERROR(_xlfn.XLOOKUP($A159,Input_Raw!$A:$A,Input_Raw!DJ:DJ)*1000,"")</f>
        <v/>
      </c>
      <c r="Z159" s="108" t="str">
        <f>IFERROR(_xlfn.XLOOKUP($A159,Input_Raw!$A:$A,Input_Raw!DK:DK)*1000,"")</f>
        <v/>
      </c>
      <c r="AA159" s="138" t="str">
        <f t="shared" si="17"/>
        <v/>
      </c>
      <c r="AB159" s="108" t="str">
        <f>IFERROR(_xlfn.XLOOKUP($A159,Input_Raw!$A:$A,Input_Raw!$DR:$DR),"")</f>
        <v/>
      </c>
      <c r="AC159" s="143">
        <f>IFERROR(_xlfn.XLOOKUP($D159,'Modelling New'!$D:$D,'Modelling New'!$J:$J),"")</f>
        <v>5.56</v>
      </c>
      <c r="AD159" s="138">
        <f>IFERROR(_xlfn.XLOOKUP($D159,'Modelling New'!$D:$D,'Modelling New'!$T:$T)*1000,"")</f>
        <v>373388.45693317999</v>
      </c>
      <c r="AE159" s="142"/>
      <c r="AF159" s="142">
        <f>IFERROR(_xlfn.XLOOKUP($D159,'Modelling New'!$D:$D,'Modelling New'!$W:$W),"")</f>
        <v>0.22099222119624762</v>
      </c>
      <c r="AG159" s="142">
        <f>IFERROR(_xlfn.XLOOKUP($D159,'Modelling New'!$D:$D,'Modelling New'!$AE:$AE),"")</f>
        <v>0.96029999999999993</v>
      </c>
      <c r="AH159" s="142">
        <f>IFERROR(_xlfn.XLOOKUP($D159,'Modelling New'!$D:$D,'Modelling New'!$AF:$AF),"")</f>
        <v>0.995</v>
      </c>
      <c r="AI159" s="109" t="str">
        <f>IFERROR(_xlfn.XLOOKUP($A159,Input_Raw!$A:$A,Input_Raw!$DP:$DP),"")</f>
        <v/>
      </c>
      <c r="AJ159" s="108"/>
      <c r="AK159" s="108"/>
      <c r="AL159" s="108"/>
      <c r="AM159" s="108"/>
      <c r="AN159" s="132" t="str">
        <f>IFERROR(_xlfn.XLOOKUP($A159,Input_Raw!$A:$A,Input_Raw!$DL:$DL),"")</f>
        <v/>
      </c>
      <c r="AO159" s="142" t="str">
        <f>IFERROR((_xlfn.XLOOKUP($A159,'WTG Reactive Power'!$A:$A,'WTG Reactive Power'!$AW:$AW))/X159,"")</f>
        <v/>
      </c>
      <c r="AP159" s="142">
        <f>IFERROR(_xlfn.XLOOKUP($D159,'Modelling New'!$D:$D,'Modelling New'!$AK:$AK),"")</f>
        <v>0.05</v>
      </c>
      <c r="AQ159" s="142">
        <f>IFERROR(_xlfn.XLOOKUP($D159,'Modelling New'!$D:$D,'Modelling New'!$AL:$AL),"")</f>
        <v>0.05</v>
      </c>
      <c r="AR159" s="198">
        <f>IFERROR(_xlfn.XLOOKUP($D159,'Modelling New'!$D:$D,'Modelling New'!$N:$N),"")</f>
        <v>70.400000000000006</v>
      </c>
      <c r="AS159" s="198"/>
    </row>
    <row r="160" spans="1:45">
      <c r="A160" s="137">
        <f t="shared" si="18"/>
        <v>45903</v>
      </c>
      <c r="B160" s="138">
        <f>YEAR(Daily_KPI[[#This Row],[Date]])+IF(MONTH(Daily_KPI[[#This Row],[Date]])&gt;=4,1,0)</f>
        <v>2026</v>
      </c>
      <c r="C160" s="108">
        <f>YEAR(Daily_KPI[[#This Row],[Date]])</f>
        <v>2025</v>
      </c>
      <c r="D160" s="139">
        <f>Daily_KPI[[#This Row],[Date]]-DAY(Daily_KPI[[#This Row],[Date]])+1</f>
        <v>45901</v>
      </c>
      <c r="E160" s="108">
        <f t="shared" si="14"/>
        <v>30</v>
      </c>
      <c r="F160" s="109"/>
      <c r="G160" s="143"/>
      <c r="H160" s="143"/>
      <c r="I160" s="143"/>
      <c r="J160" s="143"/>
      <c r="K160" s="111"/>
      <c r="L160" s="110"/>
      <c r="M160" s="110" t="str">
        <f>IFERROR(_xlfn.XLOOKUP($A160,Input_Raw!$A:$A,Input_Raw!$CQ:$CQ),"")</f>
        <v/>
      </c>
      <c r="N160" s="110" t="str">
        <f>IFERROR(_xlfn.XLOOKUP($A160,Input_Raw!$A:$A,Input_Raw!$CR:$CR),"")</f>
        <v/>
      </c>
      <c r="O160" s="141" t="str">
        <f t="shared" si="15"/>
        <v/>
      </c>
      <c r="P160" s="141" t="str">
        <f>IFERROR(1-SUMIF(WTG_BD!$F:$F,$A160,WTG_BD!$AA:$AA)/($AA160+SUMIF(WTG_BD!$F:$F,$A160,WTG_BD!$AA:$AA)),"")</f>
        <v/>
      </c>
      <c r="Q160" s="141" t="str">
        <f>IFERROR(1-SUMIF(IGA_BD!$F:$F,$A160,IGA_BD!$W:$W)/($AA160+SUMIF(IGA_BD!$F:$F,$A160,IGA_BD!$W:$W)),"")</f>
        <v/>
      </c>
      <c r="R160" s="141" t="str">
        <f>IFERROR(1-SUMIF(Grid_BD!$F:$F,$A160,Grid_BD!$Y:$Y)/($AA160+SUMIF(Grid_BD!$F:$F,$A160,Grid_BD!$Y:$Y)),"")</f>
        <v/>
      </c>
      <c r="S160" s="108"/>
      <c r="T160" s="140"/>
      <c r="U160" s="141"/>
      <c r="V160" s="108"/>
      <c r="W160" s="142" t="str">
        <f t="shared" si="16"/>
        <v/>
      </c>
      <c r="X160" s="108" t="str">
        <f>IFERROR(_xlfn.XLOOKUP($A160,Input_Raw!$A:$A,Input_Raw!$CP:$CP)*1000,"")</f>
        <v/>
      </c>
      <c r="Y160" s="108" t="str">
        <f>IFERROR(_xlfn.XLOOKUP($A160,Input_Raw!$A:$A,Input_Raw!DJ:DJ)*1000,"")</f>
        <v/>
      </c>
      <c r="Z160" s="108" t="str">
        <f>IFERROR(_xlfn.XLOOKUP($A160,Input_Raw!$A:$A,Input_Raw!DK:DK)*1000,"")</f>
        <v/>
      </c>
      <c r="AA160" s="138" t="str">
        <f t="shared" si="17"/>
        <v/>
      </c>
      <c r="AB160" s="108" t="str">
        <f>IFERROR(_xlfn.XLOOKUP($A160,Input_Raw!$A:$A,Input_Raw!$DR:$DR),"")</f>
        <v/>
      </c>
      <c r="AC160" s="143">
        <f>IFERROR(_xlfn.XLOOKUP($D160,'Modelling New'!$D:$D,'Modelling New'!$J:$J),"")</f>
        <v>5.56</v>
      </c>
      <c r="AD160" s="138">
        <f>IFERROR(_xlfn.XLOOKUP($D160,'Modelling New'!$D:$D,'Modelling New'!$T:$T)*1000,"")</f>
        <v>373388.45693317999</v>
      </c>
      <c r="AE160" s="142"/>
      <c r="AF160" s="142">
        <f>IFERROR(_xlfn.XLOOKUP($D160,'Modelling New'!$D:$D,'Modelling New'!$W:$W),"")</f>
        <v>0.22099222119624762</v>
      </c>
      <c r="AG160" s="142">
        <f>IFERROR(_xlfn.XLOOKUP($D160,'Modelling New'!$D:$D,'Modelling New'!$AE:$AE),"")</f>
        <v>0.96029999999999993</v>
      </c>
      <c r="AH160" s="142">
        <f>IFERROR(_xlfn.XLOOKUP($D160,'Modelling New'!$D:$D,'Modelling New'!$AF:$AF),"")</f>
        <v>0.995</v>
      </c>
      <c r="AI160" s="109" t="str">
        <f>IFERROR(_xlfn.XLOOKUP($A160,Input_Raw!$A:$A,Input_Raw!$DP:$DP),"")</f>
        <v/>
      </c>
      <c r="AJ160" s="108"/>
      <c r="AK160" s="108"/>
      <c r="AL160" s="108"/>
      <c r="AM160" s="108"/>
      <c r="AN160" s="132" t="str">
        <f>IFERROR(_xlfn.XLOOKUP($A160,Input_Raw!$A:$A,Input_Raw!$DL:$DL),"")</f>
        <v/>
      </c>
      <c r="AO160" s="142" t="str">
        <f>IFERROR((_xlfn.XLOOKUP($A160,'WTG Reactive Power'!$A:$A,'WTG Reactive Power'!$AW:$AW))/X160,"")</f>
        <v/>
      </c>
      <c r="AP160" s="142">
        <f>IFERROR(_xlfn.XLOOKUP($D160,'Modelling New'!$D:$D,'Modelling New'!$AK:$AK),"")</f>
        <v>0.05</v>
      </c>
      <c r="AQ160" s="142">
        <f>IFERROR(_xlfn.XLOOKUP($D160,'Modelling New'!$D:$D,'Modelling New'!$AL:$AL),"")</f>
        <v>0.05</v>
      </c>
      <c r="AR160" s="198">
        <f>IFERROR(_xlfn.XLOOKUP($D160,'Modelling New'!$D:$D,'Modelling New'!$N:$N),"")</f>
        <v>70.400000000000006</v>
      </c>
      <c r="AS160" s="198"/>
    </row>
    <row r="161" spans="1:45">
      <c r="A161" s="137">
        <f t="shared" si="18"/>
        <v>45904</v>
      </c>
      <c r="B161" s="138">
        <f>YEAR(Daily_KPI[[#This Row],[Date]])+IF(MONTH(Daily_KPI[[#This Row],[Date]])&gt;=4,1,0)</f>
        <v>2026</v>
      </c>
      <c r="C161" s="108">
        <f>YEAR(Daily_KPI[[#This Row],[Date]])</f>
        <v>2025</v>
      </c>
      <c r="D161" s="139">
        <f>Daily_KPI[[#This Row],[Date]]-DAY(Daily_KPI[[#This Row],[Date]])+1</f>
        <v>45901</v>
      </c>
      <c r="E161" s="108">
        <f t="shared" si="14"/>
        <v>30</v>
      </c>
      <c r="F161" s="109"/>
      <c r="G161" s="110"/>
      <c r="H161" s="110"/>
      <c r="I161" s="110"/>
      <c r="J161" s="110"/>
      <c r="K161" s="111"/>
      <c r="L161" s="110"/>
      <c r="M161" s="110" t="str">
        <f>IFERROR(_xlfn.XLOOKUP($A161,Input_Raw!$A:$A,Input_Raw!$CQ:$CQ),"")</f>
        <v/>
      </c>
      <c r="N161" s="110" t="str">
        <f>IFERROR(_xlfn.XLOOKUP($A161,Input_Raw!$A:$A,Input_Raw!$CR:$CR),"")</f>
        <v/>
      </c>
      <c r="O161" s="141" t="str">
        <f t="shared" si="15"/>
        <v/>
      </c>
      <c r="P161" s="141" t="str">
        <f>IFERROR(1-SUMIF(WTG_BD!$F:$F,$A161,WTG_BD!$AA:$AA)/($AA161+SUMIF(WTG_BD!$F:$F,$A161,WTG_BD!$AA:$AA)),"")</f>
        <v/>
      </c>
      <c r="Q161" s="141" t="str">
        <f>IFERROR(1-SUMIF(IGA_BD!$F:$F,$A161,IGA_BD!$W:$W)/($AA161+SUMIF(IGA_BD!$F:$F,$A161,IGA_BD!$W:$W)),"")</f>
        <v/>
      </c>
      <c r="R161" s="141" t="str">
        <f>IFERROR(1-SUMIF(Grid_BD!$F:$F,$A161,Grid_BD!$Y:$Y)/($AA161+SUMIF(Grid_BD!$F:$F,$A161,Grid_BD!$Y:$Y)),"")</f>
        <v/>
      </c>
      <c r="S161" s="108"/>
      <c r="T161" s="140"/>
      <c r="U161" s="141"/>
      <c r="V161" s="108"/>
      <c r="W161" s="142" t="str">
        <f t="shared" si="16"/>
        <v/>
      </c>
      <c r="X161" s="108" t="str">
        <f>IFERROR(_xlfn.XLOOKUP($A161,Input_Raw!$A:$A,Input_Raw!$CP:$CP)*1000,"")</f>
        <v/>
      </c>
      <c r="Y161" s="108" t="str">
        <f>IFERROR(_xlfn.XLOOKUP($A161,Input_Raw!$A:$A,Input_Raw!DJ:DJ)*1000,"")</f>
        <v/>
      </c>
      <c r="Z161" s="108" t="str">
        <f>IFERROR(_xlfn.XLOOKUP($A161,Input_Raw!$A:$A,Input_Raw!DK:DK)*1000,"")</f>
        <v/>
      </c>
      <c r="AA161" s="138" t="str">
        <f t="shared" si="17"/>
        <v/>
      </c>
      <c r="AB161" s="108" t="str">
        <f>IFERROR(_xlfn.XLOOKUP($A161,Input_Raw!$A:$A,Input_Raw!$DR:$DR),"")</f>
        <v/>
      </c>
      <c r="AC161" s="143">
        <f>IFERROR(_xlfn.XLOOKUP($D161,'Modelling New'!$D:$D,'Modelling New'!$J:$J),"")</f>
        <v>5.56</v>
      </c>
      <c r="AD161" s="138">
        <f>IFERROR(_xlfn.XLOOKUP($D161,'Modelling New'!$D:$D,'Modelling New'!$T:$T)*1000,"")</f>
        <v>373388.45693317999</v>
      </c>
      <c r="AE161" s="142"/>
      <c r="AF161" s="142">
        <f>IFERROR(_xlfn.XLOOKUP($D161,'Modelling New'!$D:$D,'Modelling New'!$W:$W),"")</f>
        <v>0.22099222119624762</v>
      </c>
      <c r="AG161" s="142">
        <f>IFERROR(_xlfn.XLOOKUP($D161,'Modelling New'!$D:$D,'Modelling New'!$AE:$AE),"")</f>
        <v>0.96029999999999993</v>
      </c>
      <c r="AH161" s="142">
        <f>IFERROR(_xlfn.XLOOKUP($D161,'Modelling New'!$D:$D,'Modelling New'!$AF:$AF),"")</f>
        <v>0.995</v>
      </c>
      <c r="AI161" s="109" t="str">
        <f>IFERROR(_xlfn.XLOOKUP($A161,Input_Raw!$A:$A,Input_Raw!$DP:$DP),"")</f>
        <v/>
      </c>
      <c r="AJ161" s="108"/>
      <c r="AK161" s="108"/>
      <c r="AL161" s="108"/>
      <c r="AM161" s="108"/>
      <c r="AN161" s="132" t="str">
        <f>IFERROR(_xlfn.XLOOKUP($A161,Input_Raw!$A:$A,Input_Raw!$DL:$DL),"")</f>
        <v/>
      </c>
      <c r="AO161" s="142" t="str">
        <f>IFERROR((_xlfn.XLOOKUP($A161,'WTG Reactive Power'!$A:$A,'WTG Reactive Power'!$AW:$AW))/X161,"")</f>
        <v/>
      </c>
      <c r="AP161" s="142">
        <f>IFERROR(_xlfn.XLOOKUP($D161,'Modelling New'!$D:$D,'Modelling New'!$AK:$AK),"")</f>
        <v>0.05</v>
      </c>
      <c r="AQ161" s="142">
        <f>IFERROR(_xlfn.XLOOKUP($D161,'Modelling New'!$D:$D,'Modelling New'!$AL:$AL),"")</f>
        <v>0.05</v>
      </c>
      <c r="AR161" s="198">
        <f>IFERROR(_xlfn.XLOOKUP($D161,'Modelling New'!$D:$D,'Modelling New'!$N:$N),"")</f>
        <v>70.400000000000006</v>
      </c>
      <c r="AS161" s="198"/>
    </row>
    <row r="162" spans="1:45">
      <c r="A162" s="137">
        <f t="shared" si="18"/>
        <v>45905</v>
      </c>
      <c r="B162" s="138">
        <f>YEAR(Daily_KPI[[#This Row],[Date]])+IF(MONTH(Daily_KPI[[#This Row],[Date]])&gt;=4,1,0)</f>
        <v>2026</v>
      </c>
      <c r="C162" s="108">
        <f>YEAR(Daily_KPI[[#This Row],[Date]])</f>
        <v>2025</v>
      </c>
      <c r="D162" s="139">
        <f>Daily_KPI[[#This Row],[Date]]-DAY(Daily_KPI[[#This Row],[Date]])+1</f>
        <v>45901</v>
      </c>
      <c r="E162" s="108">
        <f t="shared" si="14"/>
        <v>30</v>
      </c>
      <c r="F162" s="109"/>
      <c r="G162" s="143"/>
      <c r="H162" s="143"/>
      <c r="I162" s="143"/>
      <c r="J162" s="143"/>
      <c r="K162" s="111"/>
      <c r="L162" s="110"/>
      <c r="M162" s="110" t="str">
        <f>IFERROR(_xlfn.XLOOKUP($A162,Input_Raw!$A:$A,Input_Raw!$CQ:$CQ),"")</f>
        <v/>
      </c>
      <c r="N162" s="110" t="str">
        <f>IFERROR(_xlfn.XLOOKUP($A162,Input_Raw!$A:$A,Input_Raw!$CR:$CR),"")</f>
        <v/>
      </c>
      <c r="O162" s="141" t="str">
        <f t="shared" si="15"/>
        <v/>
      </c>
      <c r="P162" s="141" t="str">
        <f>IFERROR(1-SUMIF(WTG_BD!$F:$F,$A162,WTG_BD!$AA:$AA)/($AA162+SUMIF(WTG_BD!$F:$F,$A162,WTG_BD!$AA:$AA)),"")</f>
        <v/>
      </c>
      <c r="Q162" s="141" t="str">
        <f>IFERROR(1-SUMIF(IGA_BD!$F:$F,$A162,IGA_BD!$W:$W)/($AA162+SUMIF(IGA_BD!$F:$F,$A162,IGA_BD!$W:$W)),"")</f>
        <v/>
      </c>
      <c r="R162" s="141" t="str">
        <f>IFERROR(1-SUMIF(Grid_BD!$F:$F,$A162,Grid_BD!$Y:$Y)/($AA162+SUMIF(Grid_BD!$F:$F,$A162,Grid_BD!$Y:$Y)),"")</f>
        <v/>
      </c>
      <c r="S162" s="108"/>
      <c r="T162" s="140"/>
      <c r="U162" s="141"/>
      <c r="V162" s="108"/>
      <c r="W162" s="142" t="str">
        <f t="shared" si="16"/>
        <v/>
      </c>
      <c r="X162" s="108" t="str">
        <f>IFERROR(_xlfn.XLOOKUP($A162,Input_Raw!$A:$A,Input_Raw!$CP:$CP)*1000,"")</f>
        <v/>
      </c>
      <c r="Y162" s="108" t="str">
        <f>IFERROR(_xlfn.XLOOKUP($A162,Input_Raw!$A:$A,Input_Raw!DJ:DJ)*1000,"")</f>
        <v/>
      </c>
      <c r="Z162" s="108" t="str">
        <f>IFERROR(_xlfn.XLOOKUP($A162,Input_Raw!$A:$A,Input_Raw!DK:DK)*1000,"")</f>
        <v/>
      </c>
      <c r="AA162" s="138" t="str">
        <f t="shared" si="17"/>
        <v/>
      </c>
      <c r="AB162" s="108" t="str">
        <f>IFERROR(_xlfn.XLOOKUP($A162,Input_Raw!$A:$A,Input_Raw!$DR:$DR),"")</f>
        <v/>
      </c>
      <c r="AC162" s="143">
        <f>IFERROR(_xlfn.XLOOKUP($D162,'Modelling New'!$D:$D,'Modelling New'!$J:$J),"")</f>
        <v>5.56</v>
      </c>
      <c r="AD162" s="138">
        <f>IFERROR(_xlfn.XLOOKUP($D162,'Modelling New'!$D:$D,'Modelling New'!$T:$T)*1000,"")</f>
        <v>373388.45693317999</v>
      </c>
      <c r="AE162" s="142"/>
      <c r="AF162" s="142">
        <f>IFERROR(_xlfn.XLOOKUP($D162,'Modelling New'!$D:$D,'Modelling New'!$W:$W),"")</f>
        <v>0.22099222119624762</v>
      </c>
      <c r="AG162" s="142">
        <f>IFERROR(_xlfn.XLOOKUP($D162,'Modelling New'!$D:$D,'Modelling New'!$AE:$AE),"")</f>
        <v>0.96029999999999993</v>
      </c>
      <c r="AH162" s="142">
        <f>IFERROR(_xlfn.XLOOKUP($D162,'Modelling New'!$D:$D,'Modelling New'!$AF:$AF),"")</f>
        <v>0.995</v>
      </c>
      <c r="AI162" s="109" t="str">
        <f>IFERROR(_xlfn.XLOOKUP($A162,Input_Raw!$A:$A,Input_Raw!$DP:$DP),"")</f>
        <v/>
      </c>
      <c r="AJ162" s="108"/>
      <c r="AK162" s="108"/>
      <c r="AL162" s="108"/>
      <c r="AM162" s="108"/>
      <c r="AN162" s="132" t="str">
        <f>IFERROR(_xlfn.XLOOKUP($A162,Input_Raw!$A:$A,Input_Raw!$DL:$DL),"")</f>
        <v/>
      </c>
      <c r="AO162" s="142" t="str">
        <f>IFERROR((_xlfn.XLOOKUP($A162,'WTG Reactive Power'!$A:$A,'WTG Reactive Power'!$AW:$AW))/X162,"")</f>
        <v/>
      </c>
      <c r="AP162" s="142">
        <f>IFERROR(_xlfn.XLOOKUP($D162,'Modelling New'!$D:$D,'Modelling New'!$AK:$AK),"")</f>
        <v>0.05</v>
      </c>
      <c r="AQ162" s="142">
        <f>IFERROR(_xlfn.XLOOKUP($D162,'Modelling New'!$D:$D,'Modelling New'!$AL:$AL),"")</f>
        <v>0.05</v>
      </c>
      <c r="AR162" s="198">
        <f>IFERROR(_xlfn.XLOOKUP($D162,'Modelling New'!$D:$D,'Modelling New'!$N:$N),"")</f>
        <v>70.400000000000006</v>
      </c>
      <c r="AS162" s="198"/>
    </row>
    <row r="163" spans="1:45">
      <c r="A163" s="137">
        <f t="shared" si="18"/>
        <v>45906</v>
      </c>
      <c r="B163" s="138">
        <f>YEAR(Daily_KPI[[#This Row],[Date]])+IF(MONTH(Daily_KPI[[#This Row],[Date]])&gt;=4,1,0)</f>
        <v>2026</v>
      </c>
      <c r="C163" s="108">
        <f>YEAR(Daily_KPI[[#This Row],[Date]])</f>
        <v>2025</v>
      </c>
      <c r="D163" s="139">
        <f>Daily_KPI[[#This Row],[Date]]-DAY(Daily_KPI[[#This Row],[Date]])+1</f>
        <v>45901</v>
      </c>
      <c r="E163" s="108">
        <f t="shared" si="14"/>
        <v>30</v>
      </c>
      <c r="F163" s="109"/>
      <c r="G163" s="110"/>
      <c r="H163" s="110"/>
      <c r="I163" s="110"/>
      <c r="J163" s="110"/>
      <c r="K163" s="111"/>
      <c r="L163" s="110"/>
      <c r="M163" s="110" t="str">
        <f>IFERROR(_xlfn.XLOOKUP($A163,Input_Raw!$A:$A,Input_Raw!$CQ:$CQ),"")</f>
        <v/>
      </c>
      <c r="N163" s="110" t="str">
        <f>IFERROR(_xlfn.XLOOKUP($A163,Input_Raw!$A:$A,Input_Raw!$CR:$CR),"")</f>
        <v/>
      </c>
      <c r="O163" s="141" t="str">
        <f t="shared" si="15"/>
        <v/>
      </c>
      <c r="P163" s="141" t="str">
        <f>IFERROR(1-SUMIF(WTG_BD!$F:$F,$A163,WTG_BD!$AA:$AA)/($AA163+SUMIF(WTG_BD!$F:$F,$A163,WTG_BD!$AA:$AA)),"")</f>
        <v/>
      </c>
      <c r="Q163" s="141" t="str">
        <f>IFERROR(1-SUMIF(IGA_BD!$F:$F,$A163,IGA_BD!$W:$W)/($AA163+SUMIF(IGA_BD!$F:$F,$A163,IGA_BD!$W:$W)),"")</f>
        <v/>
      </c>
      <c r="R163" s="141" t="str">
        <f>IFERROR(1-SUMIF(Grid_BD!$F:$F,$A163,Grid_BD!$Y:$Y)/($AA163+SUMIF(Grid_BD!$F:$F,$A163,Grid_BD!$Y:$Y)),"")</f>
        <v/>
      </c>
      <c r="S163" s="108"/>
      <c r="T163" s="140"/>
      <c r="U163" s="141"/>
      <c r="V163" s="108"/>
      <c r="W163" s="142" t="str">
        <f t="shared" si="16"/>
        <v/>
      </c>
      <c r="X163" s="108" t="str">
        <f>IFERROR(_xlfn.XLOOKUP($A163,Input_Raw!$A:$A,Input_Raw!$CP:$CP)*1000,"")</f>
        <v/>
      </c>
      <c r="Y163" s="108" t="str">
        <f>IFERROR(_xlfn.XLOOKUP($A163,Input_Raw!$A:$A,Input_Raw!DJ:DJ)*1000,"")</f>
        <v/>
      </c>
      <c r="Z163" s="108" t="str">
        <f>IFERROR(_xlfn.XLOOKUP($A163,Input_Raw!$A:$A,Input_Raw!DK:DK)*1000,"")</f>
        <v/>
      </c>
      <c r="AA163" s="138" t="str">
        <f t="shared" si="17"/>
        <v/>
      </c>
      <c r="AB163" s="108" t="str">
        <f>IFERROR(_xlfn.XLOOKUP($A163,Input_Raw!$A:$A,Input_Raw!$DR:$DR),"")</f>
        <v/>
      </c>
      <c r="AC163" s="143">
        <f>IFERROR(_xlfn.XLOOKUP($D163,'Modelling New'!$D:$D,'Modelling New'!$J:$J),"")</f>
        <v>5.56</v>
      </c>
      <c r="AD163" s="138">
        <f>IFERROR(_xlfn.XLOOKUP($D163,'Modelling New'!$D:$D,'Modelling New'!$T:$T)*1000,"")</f>
        <v>373388.45693317999</v>
      </c>
      <c r="AE163" s="142"/>
      <c r="AF163" s="142">
        <f>IFERROR(_xlfn.XLOOKUP($D163,'Modelling New'!$D:$D,'Modelling New'!$W:$W),"")</f>
        <v>0.22099222119624762</v>
      </c>
      <c r="AG163" s="142">
        <f>IFERROR(_xlfn.XLOOKUP($D163,'Modelling New'!$D:$D,'Modelling New'!$AE:$AE),"")</f>
        <v>0.96029999999999993</v>
      </c>
      <c r="AH163" s="142">
        <f>IFERROR(_xlfn.XLOOKUP($D163,'Modelling New'!$D:$D,'Modelling New'!$AF:$AF),"")</f>
        <v>0.995</v>
      </c>
      <c r="AI163" s="109" t="str">
        <f>IFERROR(_xlfn.XLOOKUP($A163,Input_Raw!$A:$A,Input_Raw!$DP:$DP),"")</f>
        <v/>
      </c>
      <c r="AJ163" s="108"/>
      <c r="AK163" s="108"/>
      <c r="AL163" s="108"/>
      <c r="AM163" s="108"/>
      <c r="AN163" s="132" t="str">
        <f>IFERROR(_xlfn.XLOOKUP($A163,Input_Raw!$A:$A,Input_Raw!$DL:$DL),"")</f>
        <v/>
      </c>
      <c r="AO163" s="142" t="str">
        <f>IFERROR((_xlfn.XLOOKUP($A163,'WTG Reactive Power'!$A:$A,'WTG Reactive Power'!$AW:$AW))/X163,"")</f>
        <v/>
      </c>
      <c r="AP163" s="142">
        <f>IFERROR(_xlfn.XLOOKUP($D163,'Modelling New'!$D:$D,'Modelling New'!$AK:$AK),"")</f>
        <v>0.05</v>
      </c>
      <c r="AQ163" s="142">
        <f>IFERROR(_xlfn.XLOOKUP($D163,'Modelling New'!$D:$D,'Modelling New'!$AL:$AL),"")</f>
        <v>0.05</v>
      </c>
      <c r="AR163" s="198">
        <f>IFERROR(_xlfn.XLOOKUP($D163,'Modelling New'!$D:$D,'Modelling New'!$N:$N),"")</f>
        <v>70.400000000000006</v>
      </c>
      <c r="AS163" s="198"/>
    </row>
    <row r="164" spans="1:45">
      <c r="A164" s="137">
        <f t="shared" si="18"/>
        <v>45907</v>
      </c>
      <c r="B164" s="138">
        <f>YEAR(Daily_KPI[[#This Row],[Date]])+IF(MONTH(Daily_KPI[[#This Row],[Date]])&gt;=4,1,0)</f>
        <v>2026</v>
      </c>
      <c r="C164" s="108">
        <f>YEAR(Daily_KPI[[#This Row],[Date]])</f>
        <v>2025</v>
      </c>
      <c r="D164" s="139">
        <f>Daily_KPI[[#This Row],[Date]]-DAY(Daily_KPI[[#This Row],[Date]])+1</f>
        <v>45901</v>
      </c>
      <c r="E164" s="108">
        <f t="shared" si="14"/>
        <v>30</v>
      </c>
      <c r="F164" s="109"/>
      <c r="G164" s="143"/>
      <c r="H164" s="143"/>
      <c r="I164" s="143"/>
      <c r="J164" s="143"/>
      <c r="K164" s="111"/>
      <c r="L164" s="110"/>
      <c r="M164" s="110" t="str">
        <f>IFERROR(_xlfn.XLOOKUP($A164,Input_Raw!$A:$A,Input_Raw!$CQ:$CQ),"")</f>
        <v/>
      </c>
      <c r="N164" s="110" t="str">
        <f>IFERROR(_xlfn.XLOOKUP($A164,Input_Raw!$A:$A,Input_Raw!$CR:$CR),"")</f>
        <v/>
      </c>
      <c r="O164" s="141" t="str">
        <f t="shared" si="15"/>
        <v/>
      </c>
      <c r="P164" s="141" t="str">
        <f>IFERROR(1-SUMIF(WTG_BD!$F:$F,$A164,WTG_BD!$AA:$AA)/($AA164+SUMIF(WTG_BD!$F:$F,$A164,WTG_BD!$AA:$AA)),"")</f>
        <v/>
      </c>
      <c r="Q164" s="141" t="str">
        <f>IFERROR(1-SUMIF(IGA_BD!$F:$F,$A164,IGA_BD!$W:$W)/($AA164+SUMIF(IGA_BD!$F:$F,$A164,IGA_BD!$W:$W)),"")</f>
        <v/>
      </c>
      <c r="R164" s="141" t="str">
        <f>IFERROR(1-SUMIF(Grid_BD!$F:$F,$A164,Grid_BD!$Y:$Y)/($AA164+SUMIF(Grid_BD!$F:$F,$A164,Grid_BD!$Y:$Y)),"")</f>
        <v/>
      </c>
      <c r="S164" s="108"/>
      <c r="T164" s="140"/>
      <c r="U164" s="141"/>
      <c r="V164" s="108"/>
      <c r="W164" s="142" t="str">
        <f t="shared" si="16"/>
        <v/>
      </c>
      <c r="X164" s="108" t="str">
        <f>IFERROR(_xlfn.XLOOKUP($A164,Input_Raw!$A:$A,Input_Raw!$CP:$CP)*1000,"")</f>
        <v/>
      </c>
      <c r="Y164" s="108" t="str">
        <f>IFERROR(_xlfn.XLOOKUP($A164,Input_Raw!$A:$A,Input_Raw!DJ:DJ)*1000,"")</f>
        <v/>
      </c>
      <c r="Z164" s="108" t="str">
        <f>IFERROR(_xlfn.XLOOKUP($A164,Input_Raw!$A:$A,Input_Raw!DK:DK)*1000,"")</f>
        <v/>
      </c>
      <c r="AA164" s="138" t="str">
        <f t="shared" si="17"/>
        <v/>
      </c>
      <c r="AB164" s="108" t="str">
        <f>IFERROR(_xlfn.XLOOKUP($A164,Input_Raw!$A:$A,Input_Raw!$DR:$DR),"")</f>
        <v/>
      </c>
      <c r="AC164" s="143">
        <f>IFERROR(_xlfn.XLOOKUP($D164,'Modelling New'!$D:$D,'Modelling New'!$J:$J),"")</f>
        <v>5.56</v>
      </c>
      <c r="AD164" s="138">
        <f>IFERROR(_xlfn.XLOOKUP($D164,'Modelling New'!$D:$D,'Modelling New'!$T:$T)*1000,"")</f>
        <v>373388.45693317999</v>
      </c>
      <c r="AE164" s="142"/>
      <c r="AF164" s="142">
        <f>IFERROR(_xlfn.XLOOKUP($D164,'Modelling New'!$D:$D,'Modelling New'!$W:$W),"")</f>
        <v>0.22099222119624762</v>
      </c>
      <c r="AG164" s="142">
        <f>IFERROR(_xlfn.XLOOKUP($D164,'Modelling New'!$D:$D,'Modelling New'!$AE:$AE),"")</f>
        <v>0.96029999999999993</v>
      </c>
      <c r="AH164" s="142">
        <f>IFERROR(_xlfn.XLOOKUP($D164,'Modelling New'!$D:$D,'Modelling New'!$AF:$AF),"")</f>
        <v>0.995</v>
      </c>
      <c r="AI164" s="109" t="str">
        <f>IFERROR(_xlfn.XLOOKUP($A164,Input_Raw!$A:$A,Input_Raw!$DP:$DP),"")</f>
        <v/>
      </c>
      <c r="AJ164" s="108"/>
      <c r="AK164" s="108"/>
      <c r="AL164" s="108"/>
      <c r="AM164" s="108"/>
      <c r="AN164" s="132" t="str">
        <f>IFERROR(_xlfn.XLOOKUP($A164,Input_Raw!$A:$A,Input_Raw!$DL:$DL),"")</f>
        <v/>
      </c>
      <c r="AO164" s="142" t="str">
        <f>IFERROR((_xlfn.XLOOKUP($A164,'WTG Reactive Power'!$A:$A,'WTG Reactive Power'!$AW:$AW))/X164,"")</f>
        <v/>
      </c>
      <c r="AP164" s="142">
        <f>IFERROR(_xlfn.XLOOKUP($D164,'Modelling New'!$D:$D,'Modelling New'!$AK:$AK),"")</f>
        <v>0.05</v>
      </c>
      <c r="AQ164" s="142">
        <f>IFERROR(_xlfn.XLOOKUP($D164,'Modelling New'!$D:$D,'Modelling New'!$AL:$AL),"")</f>
        <v>0.05</v>
      </c>
      <c r="AR164" s="198">
        <f>IFERROR(_xlfn.XLOOKUP($D164,'Modelling New'!$D:$D,'Modelling New'!$N:$N),"")</f>
        <v>70.400000000000006</v>
      </c>
      <c r="AS164" s="198"/>
    </row>
    <row r="165" spans="1:45">
      <c r="A165" s="137">
        <f t="shared" si="18"/>
        <v>45908</v>
      </c>
      <c r="B165" s="138">
        <f>YEAR(Daily_KPI[[#This Row],[Date]])+IF(MONTH(Daily_KPI[[#This Row],[Date]])&gt;=4,1,0)</f>
        <v>2026</v>
      </c>
      <c r="C165" s="108">
        <f>YEAR(Daily_KPI[[#This Row],[Date]])</f>
        <v>2025</v>
      </c>
      <c r="D165" s="139">
        <f>Daily_KPI[[#This Row],[Date]]-DAY(Daily_KPI[[#This Row],[Date]])+1</f>
        <v>45901</v>
      </c>
      <c r="E165" s="108">
        <f t="shared" si="14"/>
        <v>30</v>
      </c>
      <c r="F165" s="109"/>
      <c r="G165" s="110"/>
      <c r="H165" s="110"/>
      <c r="I165" s="110"/>
      <c r="J165" s="110"/>
      <c r="K165" s="111"/>
      <c r="L165" s="110"/>
      <c r="M165" s="110" t="str">
        <f>IFERROR(_xlfn.XLOOKUP($A165,Input_Raw!$A:$A,Input_Raw!$CQ:$CQ),"")</f>
        <v/>
      </c>
      <c r="N165" s="110" t="str">
        <f>IFERROR(_xlfn.XLOOKUP($A165,Input_Raw!$A:$A,Input_Raw!$CR:$CR),"")</f>
        <v/>
      </c>
      <c r="O165" s="141" t="str">
        <f t="shared" si="15"/>
        <v/>
      </c>
      <c r="P165" s="141" t="str">
        <f>IFERROR(1-SUMIF(WTG_BD!$F:$F,$A165,WTG_BD!$AA:$AA)/($AA165+SUMIF(WTG_BD!$F:$F,$A165,WTG_BD!$AA:$AA)),"")</f>
        <v/>
      </c>
      <c r="Q165" s="141" t="str">
        <f>IFERROR(1-SUMIF(IGA_BD!$F:$F,$A165,IGA_BD!$W:$W)/($AA165+SUMIF(IGA_BD!$F:$F,$A165,IGA_BD!$W:$W)),"")</f>
        <v/>
      </c>
      <c r="R165" s="141" t="str">
        <f>IFERROR(1-SUMIF(Grid_BD!$F:$F,$A165,Grid_BD!$Y:$Y)/($AA165+SUMIF(Grid_BD!$F:$F,$A165,Grid_BD!$Y:$Y)),"")</f>
        <v/>
      </c>
      <c r="S165" s="108"/>
      <c r="T165" s="140"/>
      <c r="U165" s="141"/>
      <c r="V165" s="108"/>
      <c r="W165" s="142" t="str">
        <f t="shared" si="16"/>
        <v/>
      </c>
      <c r="X165" s="108" t="str">
        <f>IFERROR(_xlfn.XLOOKUP($A165,Input_Raw!$A:$A,Input_Raw!$CP:$CP)*1000,"")</f>
        <v/>
      </c>
      <c r="Y165" s="108" t="str">
        <f>IFERROR(_xlfn.XLOOKUP($A165,Input_Raw!$A:$A,Input_Raw!DJ:DJ)*1000,"")</f>
        <v/>
      </c>
      <c r="Z165" s="108" t="str">
        <f>IFERROR(_xlfn.XLOOKUP($A165,Input_Raw!$A:$A,Input_Raw!DK:DK)*1000,"")</f>
        <v/>
      </c>
      <c r="AA165" s="138" t="str">
        <f t="shared" si="17"/>
        <v/>
      </c>
      <c r="AB165" s="108" t="str">
        <f>IFERROR(_xlfn.XLOOKUP($A165,Input_Raw!$A:$A,Input_Raw!$DR:$DR),"")</f>
        <v/>
      </c>
      <c r="AC165" s="143">
        <f>IFERROR(_xlfn.XLOOKUP($D165,'Modelling New'!$D:$D,'Modelling New'!$J:$J),"")</f>
        <v>5.56</v>
      </c>
      <c r="AD165" s="138">
        <f>IFERROR(_xlfn.XLOOKUP($D165,'Modelling New'!$D:$D,'Modelling New'!$T:$T)*1000,"")</f>
        <v>373388.45693317999</v>
      </c>
      <c r="AE165" s="142"/>
      <c r="AF165" s="142">
        <f>IFERROR(_xlfn.XLOOKUP($D165,'Modelling New'!$D:$D,'Modelling New'!$W:$W),"")</f>
        <v>0.22099222119624762</v>
      </c>
      <c r="AG165" s="142">
        <f>IFERROR(_xlfn.XLOOKUP($D165,'Modelling New'!$D:$D,'Modelling New'!$AE:$AE),"")</f>
        <v>0.96029999999999993</v>
      </c>
      <c r="AH165" s="142">
        <f>IFERROR(_xlfn.XLOOKUP($D165,'Modelling New'!$D:$D,'Modelling New'!$AF:$AF),"")</f>
        <v>0.995</v>
      </c>
      <c r="AI165" s="109" t="str">
        <f>IFERROR(_xlfn.XLOOKUP($A165,Input_Raw!$A:$A,Input_Raw!$DP:$DP),"")</f>
        <v/>
      </c>
      <c r="AJ165" s="108"/>
      <c r="AK165" s="108"/>
      <c r="AL165" s="108"/>
      <c r="AM165" s="108"/>
      <c r="AN165" s="132" t="str">
        <f>IFERROR(_xlfn.XLOOKUP($A165,Input_Raw!$A:$A,Input_Raw!$DL:$DL),"")</f>
        <v/>
      </c>
      <c r="AO165" s="142" t="str">
        <f>IFERROR((_xlfn.XLOOKUP($A165,'WTG Reactive Power'!$A:$A,'WTG Reactive Power'!$AW:$AW))/X165,"")</f>
        <v/>
      </c>
      <c r="AP165" s="142">
        <f>IFERROR(_xlfn.XLOOKUP($D165,'Modelling New'!$D:$D,'Modelling New'!$AK:$AK),"")</f>
        <v>0.05</v>
      </c>
      <c r="AQ165" s="142">
        <f>IFERROR(_xlfn.XLOOKUP($D165,'Modelling New'!$D:$D,'Modelling New'!$AL:$AL),"")</f>
        <v>0.05</v>
      </c>
      <c r="AR165" s="198">
        <f>IFERROR(_xlfn.XLOOKUP($D165,'Modelling New'!$D:$D,'Modelling New'!$N:$N),"")</f>
        <v>70.400000000000006</v>
      </c>
      <c r="AS165" s="198"/>
    </row>
    <row r="166" spans="1:45">
      <c r="A166" s="137">
        <f t="shared" si="18"/>
        <v>45909</v>
      </c>
      <c r="B166" s="138">
        <f>YEAR(Daily_KPI[[#This Row],[Date]])+IF(MONTH(Daily_KPI[[#This Row],[Date]])&gt;=4,1,0)</f>
        <v>2026</v>
      </c>
      <c r="C166" s="108">
        <f>YEAR(Daily_KPI[[#This Row],[Date]])</f>
        <v>2025</v>
      </c>
      <c r="D166" s="139">
        <f>Daily_KPI[[#This Row],[Date]]-DAY(Daily_KPI[[#This Row],[Date]])+1</f>
        <v>45901</v>
      </c>
      <c r="E166" s="108">
        <f t="shared" si="14"/>
        <v>30</v>
      </c>
      <c r="F166" s="109"/>
      <c r="G166" s="143"/>
      <c r="H166" s="143"/>
      <c r="I166" s="143"/>
      <c r="J166" s="143"/>
      <c r="K166" s="111"/>
      <c r="L166" s="110"/>
      <c r="M166" s="110" t="str">
        <f>IFERROR(_xlfn.XLOOKUP($A166,Input_Raw!$A:$A,Input_Raw!$CQ:$CQ),"")</f>
        <v/>
      </c>
      <c r="N166" s="110" t="str">
        <f>IFERROR(_xlfn.XLOOKUP($A166,Input_Raw!$A:$A,Input_Raw!$CR:$CR),"")</f>
        <v/>
      </c>
      <c r="O166" s="141" t="str">
        <f t="shared" si="15"/>
        <v/>
      </c>
      <c r="P166" s="141" t="str">
        <f>IFERROR(1-SUMIF(WTG_BD!$F:$F,$A166,WTG_BD!$AA:$AA)/($AA166+SUMIF(WTG_BD!$F:$F,$A166,WTG_BD!$AA:$AA)),"")</f>
        <v/>
      </c>
      <c r="Q166" s="141" t="str">
        <f>IFERROR(1-SUMIF(IGA_BD!$F:$F,$A166,IGA_BD!$W:$W)/($AA166+SUMIF(IGA_BD!$F:$F,$A166,IGA_BD!$W:$W)),"")</f>
        <v/>
      </c>
      <c r="R166" s="141" t="str">
        <f>IFERROR(1-SUMIF(Grid_BD!$F:$F,$A166,Grid_BD!$Y:$Y)/($AA166+SUMIF(Grid_BD!$F:$F,$A166,Grid_BD!$Y:$Y)),"")</f>
        <v/>
      </c>
      <c r="S166" s="108"/>
      <c r="T166" s="140"/>
      <c r="U166" s="141"/>
      <c r="V166" s="108"/>
      <c r="W166" s="142" t="str">
        <f t="shared" si="16"/>
        <v/>
      </c>
      <c r="X166" s="108" t="str">
        <f>IFERROR(_xlfn.XLOOKUP($A166,Input_Raw!$A:$A,Input_Raw!$CP:$CP)*1000,"")</f>
        <v/>
      </c>
      <c r="Y166" s="108" t="str">
        <f>IFERROR(_xlfn.XLOOKUP($A166,Input_Raw!$A:$A,Input_Raw!DJ:DJ)*1000,"")</f>
        <v/>
      </c>
      <c r="Z166" s="108" t="str">
        <f>IFERROR(_xlfn.XLOOKUP($A166,Input_Raw!$A:$A,Input_Raw!DK:DK)*1000,"")</f>
        <v/>
      </c>
      <c r="AA166" s="138" t="str">
        <f t="shared" si="17"/>
        <v/>
      </c>
      <c r="AB166" s="108" t="str">
        <f>IFERROR(_xlfn.XLOOKUP($A166,Input_Raw!$A:$A,Input_Raw!$DR:$DR),"")</f>
        <v/>
      </c>
      <c r="AC166" s="143">
        <f>IFERROR(_xlfn.XLOOKUP($D166,'Modelling New'!$D:$D,'Modelling New'!$J:$J),"")</f>
        <v>5.56</v>
      </c>
      <c r="AD166" s="138">
        <f>IFERROR(_xlfn.XLOOKUP($D166,'Modelling New'!$D:$D,'Modelling New'!$T:$T)*1000,"")</f>
        <v>373388.45693317999</v>
      </c>
      <c r="AE166" s="142"/>
      <c r="AF166" s="142">
        <f>IFERROR(_xlfn.XLOOKUP($D166,'Modelling New'!$D:$D,'Modelling New'!$W:$W),"")</f>
        <v>0.22099222119624762</v>
      </c>
      <c r="AG166" s="142">
        <f>IFERROR(_xlfn.XLOOKUP($D166,'Modelling New'!$D:$D,'Modelling New'!$AE:$AE),"")</f>
        <v>0.96029999999999993</v>
      </c>
      <c r="AH166" s="142">
        <f>IFERROR(_xlfn.XLOOKUP($D166,'Modelling New'!$D:$D,'Modelling New'!$AF:$AF),"")</f>
        <v>0.995</v>
      </c>
      <c r="AI166" s="109" t="str">
        <f>IFERROR(_xlfn.XLOOKUP($A166,Input_Raw!$A:$A,Input_Raw!$DP:$DP),"")</f>
        <v/>
      </c>
      <c r="AJ166" s="108"/>
      <c r="AK166" s="108"/>
      <c r="AL166" s="108"/>
      <c r="AM166" s="108"/>
      <c r="AN166" s="132" t="str">
        <f>IFERROR(_xlfn.XLOOKUP($A166,Input_Raw!$A:$A,Input_Raw!$DL:$DL),"")</f>
        <v/>
      </c>
      <c r="AO166" s="142" t="str">
        <f>IFERROR((_xlfn.XLOOKUP($A166,'WTG Reactive Power'!$A:$A,'WTG Reactive Power'!$AW:$AW))/X166,"")</f>
        <v/>
      </c>
      <c r="AP166" s="142">
        <f>IFERROR(_xlfn.XLOOKUP($D166,'Modelling New'!$D:$D,'Modelling New'!$AK:$AK),"")</f>
        <v>0.05</v>
      </c>
      <c r="AQ166" s="142">
        <f>IFERROR(_xlfn.XLOOKUP($D166,'Modelling New'!$D:$D,'Modelling New'!$AL:$AL),"")</f>
        <v>0.05</v>
      </c>
      <c r="AR166" s="198">
        <f>IFERROR(_xlfn.XLOOKUP($D166,'Modelling New'!$D:$D,'Modelling New'!$N:$N),"")</f>
        <v>70.400000000000006</v>
      </c>
      <c r="AS166" s="198"/>
    </row>
    <row r="167" spans="1:45">
      <c r="A167" s="137">
        <f t="shared" si="18"/>
        <v>45910</v>
      </c>
      <c r="B167" s="138">
        <f>YEAR(Daily_KPI[[#This Row],[Date]])+IF(MONTH(Daily_KPI[[#This Row],[Date]])&gt;=4,1,0)</f>
        <v>2026</v>
      </c>
      <c r="C167" s="108">
        <f>YEAR(Daily_KPI[[#This Row],[Date]])</f>
        <v>2025</v>
      </c>
      <c r="D167" s="139">
        <f>Daily_KPI[[#This Row],[Date]]-DAY(Daily_KPI[[#This Row],[Date]])+1</f>
        <v>45901</v>
      </c>
      <c r="E167" s="108">
        <f t="shared" si="14"/>
        <v>30</v>
      </c>
      <c r="F167" s="109"/>
      <c r="G167" s="110"/>
      <c r="H167" s="110"/>
      <c r="I167" s="110"/>
      <c r="J167" s="110"/>
      <c r="K167" s="111"/>
      <c r="L167" s="110"/>
      <c r="M167" s="110" t="str">
        <f>IFERROR(_xlfn.XLOOKUP($A167,Input_Raw!$A:$A,Input_Raw!$CQ:$CQ),"")</f>
        <v/>
      </c>
      <c r="N167" s="110" t="str">
        <f>IFERROR(_xlfn.XLOOKUP($A167,Input_Raw!$A:$A,Input_Raw!$CR:$CR),"")</f>
        <v/>
      </c>
      <c r="O167" s="141" t="str">
        <f t="shared" si="15"/>
        <v/>
      </c>
      <c r="P167" s="141" t="str">
        <f>IFERROR(1-SUMIF(WTG_BD!$F:$F,$A167,WTG_BD!$AA:$AA)/($AA167+SUMIF(WTG_BD!$F:$F,$A167,WTG_BD!$AA:$AA)),"")</f>
        <v/>
      </c>
      <c r="Q167" s="141" t="str">
        <f>IFERROR(1-SUMIF(IGA_BD!$F:$F,$A167,IGA_BD!$W:$W)/($AA167+SUMIF(IGA_BD!$F:$F,$A167,IGA_BD!$W:$W)),"")</f>
        <v/>
      </c>
      <c r="R167" s="141" t="str">
        <f>IFERROR(1-SUMIF(Grid_BD!$F:$F,$A167,Grid_BD!$Y:$Y)/($AA167+SUMIF(Grid_BD!$F:$F,$A167,Grid_BD!$Y:$Y)),"")</f>
        <v/>
      </c>
      <c r="S167" s="108"/>
      <c r="T167" s="140"/>
      <c r="U167" s="141"/>
      <c r="V167" s="108"/>
      <c r="W167" s="142" t="str">
        <f t="shared" si="16"/>
        <v/>
      </c>
      <c r="X167" s="108" t="str">
        <f>IFERROR(_xlfn.XLOOKUP($A167,Input_Raw!$A:$A,Input_Raw!$CP:$CP)*1000,"")</f>
        <v/>
      </c>
      <c r="Y167" s="108" t="str">
        <f>IFERROR(_xlfn.XLOOKUP($A167,Input_Raw!$A:$A,Input_Raw!DJ:DJ)*1000,"")</f>
        <v/>
      </c>
      <c r="Z167" s="108" t="str">
        <f>IFERROR(_xlfn.XLOOKUP($A167,Input_Raw!$A:$A,Input_Raw!DK:DK)*1000,"")</f>
        <v/>
      </c>
      <c r="AA167" s="138" t="str">
        <f t="shared" si="17"/>
        <v/>
      </c>
      <c r="AB167" s="108" t="str">
        <f>IFERROR(_xlfn.XLOOKUP($A167,Input_Raw!$A:$A,Input_Raw!$DR:$DR),"")</f>
        <v/>
      </c>
      <c r="AC167" s="143">
        <f>IFERROR(_xlfn.XLOOKUP($D167,'Modelling New'!$D:$D,'Modelling New'!$J:$J),"")</f>
        <v>5.56</v>
      </c>
      <c r="AD167" s="138">
        <f>IFERROR(_xlfn.XLOOKUP($D167,'Modelling New'!$D:$D,'Modelling New'!$T:$T)*1000,"")</f>
        <v>373388.45693317999</v>
      </c>
      <c r="AE167" s="142"/>
      <c r="AF167" s="142">
        <f>IFERROR(_xlfn.XLOOKUP($D167,'Modelling New'!$D:$D,'Modelling New'!$W:$W),"")</f>
        <v>0.22099222119624762</v>
      </c>
      <c r="AG167" s="142">
        <f>IFERROR(_xlfn.XLOOKUP($D167,'Modelling New'!$D:$D,'Modelling New'!$AE:$AE),"")</f>
        <v>0.96029999999999993</v>
      </c>
      <c r="AH167" s="142">
        <f>IFERROR(_xlfn.XLOOKUP($D167,'Modelling New'!$D:$D,'Modelling New'!$AF:$AF),"")</f>
        <v>0.995</v>
      </c>
      <c r="AI167" s="109" t="str">
        <f>IFERROR(_xlfn.XLOOKUP($A167,Input_Raw!$A:$A,Input_Raw!$DP:$DP),"")</f>
        <v/>
      </c>
      <c r="AJ167" s="108"/>
      <c r="AK167" s="108"/>
      <c r="AL167" s="108"/>
      <c r="AM167" s="108"/>
      <c r="AN167" s="132" t="str">
        <f>IFERROR(_xlfn.XLOOKUP($A167,Input_Raw!$A:$A,Input_Raw!$DL:$DL),"")</f>
        <v/>
      </c>
      <c r="AO167" s="142" t="str">
        <f>IFERROR((_xlfn.XLOOKUP($A167,'WTG Reactive Power'!$A:$A,'WTG Reactive Power'!$AW:$AW))/X167,"")</f>
        <v/>
      </c>
      <c r="AP167" s="142">
        <f>IFERROR(_xlfn.XLOOKUP($D167,'Modelling New'!$D:$D,'Modelling New'!$AK:$AK),"")</f>
        <v>0.05</v>
      </c>
      <c r="AQ167" s="142">
        <f>IFERROR(_xlfn.XLOOKUP($D167,'Modelling New'!$D:$D,'Modelling New'!$AL:$AL),"")</f>
        <v>0.05</v>
      </c>
      <c r="AR167" s="198">
        <f>IFERROR(_xlfn.XLOOKUP($D167,'Modelling New'!$D:$D,'Modelling New'!$N:$N),"")</f>
        <v>70.400000000000006</v>
      </c>
      <c r="AS167" s="198"/>
    </row>
    <row r="168" spans="1:45">
      <c r="A168" s="137">
        <f t="shared" si="18"/>
        <v>45911</v>
      </c>
      <c r="B168" s="138">
        <f>YEAR(Daily_KPI[[#This Row],[Date]])+IF(MONTH(Daily_KPI[[#This Row],[Date]])&gt;=4,1,0)</f>
        <v>2026</v>
      </c>
      <c r="C168" s="108">
        <f>YEAR(Daily_KPI[[#This Row],[Date]])</f>
        <v>2025</v>
      </c>
      <c r="D168" s="139">
        <f>Daily_KPI[[#This Row],[Date]]-DAY(Daily_KPI[[#This Row],[Date]])+1</f>
        <v>45901</v>
      </c>
      <c r="E168" s="108">
        <f t="shared" si="14"/>
        <v>30</v>
      </c>
      <c r="F168" s="109"/>
      <c r="G168" s="143"/>
      <c r="H168" s="143"/>
      <c r="I168" s="143"/>
      <c r="J168" s="143"/>
      <c r="K168" s="111"/>
      <c r="L168" s="110"/>
      <c r="M168" s="110" t="str">
        <f>IFERROR(_xlfn.XLOOKUP($A168,Input_Raw!$A:$A,Input_Raw!$CQ:$CQ),"")</f>
        <v/>
      </c>
      <c r="N168" s="110" t="str">
        <f>IFERROR(_xlfn.XLOOKUP($A168,Input_Raw!$A:$A,Input_Raw!$CR:$CR),"")</f>
        <v/>
      </c>
      <c r="O168" s="141" t="str">
        <f t="shared" si="15"/>
        <v/>
      </c>
      <c r="P168" s="141" t="str">
        <f>IFERROR(1-SUMIF(WTG_BD!$F:$F,$A168,WTG_BD!$AA:$AA)/($AA168+SUMIF(WTG_BD!$F:$F,$A168,WTG_BD!$AA:$AA)),"")</f>
        <v/>
      </c>
      <c r="Q168" s="141" t="str">
        <f>IFERROR(1-SUMIF(IGA_BD!$F:$F,$A168,IGA_BD!$W:$W)/($AA168+SUMIF(IGA_BD!$F:$F,$A168,IGA_BD!$W:$W)),"")</f>
        <v/>
      </c>
      <c r="R168" s="141" t="str">
        <f>IFERROR(1-SUMIF(Grid_BD!$F:$F,$A168,Grid_BD!$Y:$Y)/($AA168+SUMIF(Grid_BD!$F:$F,$A168,Grid_BD!$Y:$Y)),"")</f>
        <v/>
      </c>
      <c r="S168" s="108"/>
      <c r="T168" s="140"/>
      <c r="U168" s="141"/>
      <c r="V168" s="108"/>
      <c r="W168" s="142" t="str">
        <f t="shared" si="16"/>
        <v/>
      </c>
      <c r="X168" s="108" t="str">
        <f>IFERROR(_xlfn.XLOOKUP($A168,Input_Raw!$A:$A,Input_Raw!$CP:$CP)*1000,"")</f>
        <v/>
      </c>
      <c r="Y168" s="108" t="str">
        <f>IFERROR(_xlfn.XLOOKUP($A168,Input_Raw!$A:$A,Input_Raw!DJ:DJ)*1000,"")</f>
        <v/>
      </c>
      <c r="Z168" s="108" t="str">
        <f>IFERROR(_xlfn.XLOOKUP($A168,Input_Raw!$A:$A,Input_Raw!DK:DK)*1000,"")</f>
        <v/>
      </c>
      <c r="AA168" s="138" t="str">
        <f t="shared" si="17"/>
        <v/>
      </c>
      <c r="AB168" s="108" t="str">
        <f>IFERROR(_xlfn.XLOOKUP($A168,Input_Raw!$A:$A,Input_Raw!$DR:$DR),"")</f>
        <v/>
      </c>
      <c r="AC168" s="143">
        <f>IFERROR(_xlfn.XLOOKUP($D168,'Modelling New'!$D:$D,'Modelling New'!$J:$J),"")</f>
        <v>5.56</v>
      </c>
      <c r="AD168" s="138">
        <f>IFERROR(_xlfn.XLOOKUP($D168,'Modelling New'!$D:$D,'Modelling New'!$T:$T)*1000,"")</f>
        <v>373388.45693317999</v>
      </c>
      <c r="AE168" s="142"/>
      <c r="AF168" s="142">
        <f>IFERROR(_xlfn.XLOOKUP($D168,'Modelling New'!$D:$D,'Modelling New'!$W:$W),"")</f>
        <v>0.22099222119624762</v>
      </c>
      <c r="AG168" s="142">
        <f>IFERROR(_xlfn.XLOOKUP($D168,'Modelling New'!$D:$D,'Modelling New'!$AE:$AE),"")</f>
        <v>0.96029999999999993</v>
      </c>
      <c r="AH168" s="142">
        <f>IFERROR(_xlfn.XLOOKUP($D168,'Modelling New'!$D:$D,'Modelling New'!$AF:$AF),"")</f>
        <v>0.995</v>
      </c>
      <c r="AI168" s="109" t="str">
        <f>IFERROR(_xlfn.XLOOKUP($A168,Input_Raw!$A:$A,Input_Raw!$DP:$DP),"")</f>
        <v/>
      </c>
      <c r="AJ168" s="108"/>
      <c r="AK168" s="108"/>
      <c r="AL168" s="108"/>
      <c r="AM168" s="108"/>
      <c r="AN168" s="132" t="str">
        <f>IFERROR(_xlfn.XLOOKUP($A168,Input_Raw!$A:$A,Input_Raw!$DL:$DL),"")</f>
        <v/>
      </c>
      <c r="AO168" s="142" t="str">
        <f>IFERROR((_xlfn.XLOOKUP($A168,'WTG Reactive Power'!$A:$A,'WTG Reactive Power'!$AW:$AW))/X168,"")</f>
        <v/>
      </c>
      <c r="AP168" s="142">
        <f>IFERROR(_xlfn.XLOOKUP($D168,'Modelling New'!$D:$D,'Modelling New'!$AK:$AK),"")</f>
        <v>0.05</v>
      </c>
      <c r="AQ168" s="142">
        <f>IFERROR(_xlfn.XLOOKUP($D168,'Modelling New'!$D:$D,'Modelling New'!$AL:$AL),"")</f>
        <v>0.05</v>
      </c>
      <c r="AR168" s="198">
        <f>IFERROR(_xlfn.XLOOKUP($D168,'Modelling New'!$D:$D,'Modelling New'!$N:$N),"")</f>
        <v>70.400000000000006</v>
      </c>
      <c r="AS168" s="198"/>
    </row>
    <row r="169" spans="1:45">
      <c r="A169" s="137">
        <f t="shared" si="18"/>
        <v>45912</v>
      </c>
      <c r="B169" s="138">
        <f>YEAR(Daily_KPI[[#This Row],[Date]])+IF(MONTH(Daily_KPI[[#This Row],[Date]])&gt;=4,1,0)</f>
        <v>2026</v>
      </c>
      <c r="C169" s="108">
        <f>YEAR(Daily_KPI[[#This Row],[Date]])</f>
        <v>2025</v>
      </c>
      <c r="D169" s="139">
        <f>Daily_KPI[[#This Row],[Date]]-DAY(Daily_KPI[[#This Row],[Date]])+1</f>
        <v>45901</v>
      </c>
      <c r="E169" s="108">
        <f t="shared" si="14"/>
        <v>30</v>
      </c>
      <c r="F169" s="109"/>
      <c r="G169" s="110"/>
      <c r="H169" s="110"/>
      <c r="I169" s="110"/>
      <c r="J169" s="110"/>
      <c r="K169" s="111"/>
      <c r="L169" s="110"/>
      <c r="M169" s="110" t="str">
        <f>IFERROR(_xlfn.XLOOKUP($A169,Input_Raw!$A:$A,Input_Raw!$CQ:$CQ),"")</f>
        <v/>
      </c>
      <c r="N169" s="110" t="str">
        <f>IFERROR(_xlfn.XLOOKUP($A169,Input_Raw!$A:$A,Input_Raw!$CR:$CR),"")</f>
        <v/>
      </c>
      <c r="O169" s="141" t="str">
        <f t="shared" si="15"/>
        <v/>
      </c>
      <c r="P169" s="141" t="str">
        <f>IFERROR(1-SUMIF(WTG_BD!$F:$F,$A169,WTG_BD!$AA:$AA)/($AA169+SUMIF(WTG_BD!$F:$F,$A169,WTG_BD!$AA:$AA)),"")</f>
        <v/>
      </c>
      <c r="Q169" s="141" t="str">
        <f>IFERROR(1-SUMIF(IGA_BD!$F:$F,$A169,IGA_BD!$W:$W)/($AA169+SUMIF(IGA_BD!$F:$F,$A169,IGA_BD!$W:$W)),"")</f>
        <v/>
      </c>
      <c r="R169" s="141" t="str">
        <f>IFERROR(1-SUMIF(Grid_BD!$F:$F,$A169,Grid_BD!$Y:$Y)/($AA169+SUMIF(Grid_BD!$F:$F,$A169,Grid_BD!$Y:$Y)),"")</f>
        <v/>
      </c>
      <c r="S169" s="108"/>
      <c r="T169" s="140"/>
      <c r="U169" s="141"/>
      <c r="V169" s="108"/>
      <c r="W169" s="142" t="str">
        <f t="shared" si="16"/>
        <v/>
      </c>
      <c r="X169" s="108" t="str">
        <f>IFERROR(_xlfn.XLOOKUP($A169,Input_Raw!$A:$A,Input_Raw!$CP:$CP)*1000,"")</f>
        <v/>
      </c>
      <c r="Y169" s="108" t="str">
        <f>IFERROR(_xlfn.XLOOKUP($A169,Input_Raw!$A:$A,Input_Raw!DJ:DJ)*1000,"")</f>
        <v/>
      </c>
      <c r="Z169" s="108" t="str">
        <f>IFERROR(_xlfn.XLOOKUP($A169,Input_Raw!$A:$A,Input_Raw!DK:DK)*1000,"")</f>
        <v/>
      </c>
      <c r="AA169" s="138" t="str">
        <f t="shared" si="17"/>
        <v/>
      </c>
      <c r="AB169" s="108" t="str">
        <f>IFERROR(_xlfn.XLOOKUP($A169,Input_Raw!$A:$A,Input_Raw!$DR:$DR),"")</f>
        <v/>
      </c>
      <c r="AC169" s="143">
        <f>IFERROR(_xlfn.XLOOKUP($D169,'Modelling New'!$D:$D,'Modelling New'!$J:$J),"")</f>
        <v>5.56</v>
      </c>
      <c r="AD169" s="138">
        <f>IFERROR(_xlfn.XLOOKUP($D169,'Modelling New'!$D:$D,'Modelling New'!$T:$T)*1000,"")</f>
        <v>373388.45693317999</v>
      </c>
      <c r="AE169" s="142"/>
      <c r="AF169" s="142">
        <f>IFERROR(_xlfn.XLOOKUP($D169,'Modelling New'!$D:$D,'Modelling New'!$W:$W),"")</f>
        <v>0.22099222119624762</v>
      </c>
      <c r="AG169" s="142">
        <f>IFERROR(_xlfn.XLOOKUP($D169,'Modelling New'!$D:$D,'Modelling New'!$AE:$AE),"")</f>
        <v>0.96029999999999993</v>
      </c>
      <c r="AH169" s="142">
        <f>IFERROR(_xlfn.XLOOKUP($D169,'Modelling New'!$D:$D,'Modelling New'!$AF:$AF),"")</f>
        <v>0.995</v>
      </c>
      <c r="AI169" s="109" t="str">
        <f>IFERROR(_xlfn.XLOOKUP($A169,Input_Raw!$A:$A,Input_Raw!$DP:$DP),"")</f>
        <v/>
      </c>
      <c r="AJ169" s="108"/>
      <c r="AK169" s="108"/>
      <c r="AL169" s="108"/>
      <c r="AM169" s="108"/>
      <c r="AN169" s="132" t="str">
        <f>IFERROR(_xlfn.XLOOKUP($A169,Input_Raw!$A:$A,Input_Raw!$DL:$DL),"")</f>
        <v/>
      </c>
      <c r="AO169" s="142" t="str">
        <f>IFERROR((_xlfn.XLOOKUP($A169,'WTG Reactive Power'!$A:$A,'WTG Reactive Power'!$AW:$AW))/X169,"")</f>
        <v/>
      </c>
      <c r="AP169" s="142">
        <f>IFERROR(_xlfn.XLOOKUP($D169,'Modelling New'!$D:$D,'Modelling New'!$AK:$AK),"")</f>
        <v>0.05</v>
      </c>
      <c r="AQ169" s="142">
        <f>IFERROR(_xlfn.XLOOKUP($D169,'Modelling New'!$D:$D,'Modelling New'!$AL:$AL),"")</f>
        <v>0.05</v>
      </c>
      <c r="AR169" s="198">
        <f>IFERROR(_xlfn.XLOOKUP($D169,'Modelling New'!$D:$D,'Modelling New'!$N:$N),"")</f>
        <v>70.400000000000006</v>
      </c>
      <c r="AS169" s="198"/>
    </row>
    <row r="170" spans="1:45">
      <c r="A170" s="137">
        <f t="shared" si="18"/>
        <v>45913</v>
      </c>
      <c r="B170" s="138">
        <f>YEAR(Daily_KPI[[#This Row],[Date]])+IF(MONTH(Daily_KPI[[#This Row],[Date]])&gt;=4,1,0)</f>
        <v>2026</v>
      </c>
      <c r="C170" s="108">
        <f>YEAR(Daily_KPI[[#This Row],[Date]])</f>
        <v>2025</v>
      </c>
      <c r="D170" s="139">
        <f>Daily_KPI[[#This Row],[Date]]-DAY(Daily_KPI[[#This Row],[Date]])+1</f>
        <v>45901</v>
      </c>
      <c r="E170" s="108">
        <f t="shared" si="14"/>
        <v>30</v>
      </c>
      <c r="F170" s="109"/>
      <c r="G170" s="143"/>
      <c r="H170" s="143"/>
      <c r="I170" s="143"/>
      <c r="J170" s="143"/>
      <c r="K170" s="111"/>
      <c r="L170" s="110"/>
      <c r="M170" s="110" t="str">
        <f>IFERROR(_xlfn.XLOOKUP($A170,Input_Raw!$A:$A,Input_Raw!$CQ:$CQ),"")</f>
        <v/>
      </c>
      <c r="N170" s="110" t="str">
        <f>IFERROR(_xlfn.XLOOKUP($A170,Input_Raw!$A:$A,Input_Raw!$CR:$CR),"")</f>
        <v/>
      </c>
      <c r="O170" s="141" t="str">
        <f t="shared" si="15"/>
        <v/>
      </c>
      <c r="P170" s="141" t="str">
        <f>IFERROR(1-SUMIF(WTG_BD!$F:$F,$A170,WTG_BD!$AA:$AA)/($AA170+SUMIF(WTG_BD!$F:$F,$A170,WTG_BD!$AA:$AA)),"")</f>
        <v/>
      </c>
      <c r="Q170" s="141" t="str">
        <f>IFERROR(1-SUMIF(IGA_BD!$F:$F,$A170,IGA_BD!$W:$W)/($AA170+SUMIF(IGA_BD!$F:$F,$A170,IGA_BD!$W:$W)),"")</f>
        <v/>
      </c>
      <c r="R170" s="141" t="str">
        <f>IFERROR(1-SUMIF(Grid_BD!$F:$F,$A170,Grid_BD!$Y:$Y)/($AA170+SUMIF(Grid_BD!$F:$F,$A170,Grid_BD!$Y:$Y)),"")</f>
        <v/>
      </c>
      <c r="S170" s="108"/>
      <c r="T170" s="140"/>
      <c r="U170" s="141"/>
      <c r="V170" s="108"/>
      <c r="W170" s="142" t="str">
        <f t="shared" si="16"/>
        <v/>
      </c>
      <c r="X170" s="108" t="str">
        <f>IFERROR(_xlfn.XLOOKUP($A170,Input_Raw!$A:$A,Input_Raw!$CP:$CP)*1000,"")</f>
        <v/>
      </c>
      <c r="Y170" s="108" t="str">
        <f>IFERROR(_xlfn.XLOOKUP($A170,Input_Raw!$A:$A,Input_Raw!DJ:DJ)*1000,"")</f>
        <v/>
      </c>
      <c r="Z170" s="108" t="str">
        <f>IFERROR(_xlfn.XLOOKUP($A170,Input_Raw!$A:$A,Input_Raw!DK:DK)*1000,"")</f>
        <v/>
      </c>
      <c r="AA170" s="138" t="str">
        <f t="shared" si="17"/>
        <v/>
      </c>
      <c r="AB170" s="108" t="str">
        <f>IFERROR(_xlfn.XLOOKUP($A170,Input_Raw!$A:$A,Input_Raw!$DR:$DR),"")</f>
        <v/>
      </c>
      <c r="AC170" s="143">
        <f>IFERROR(_xlfn.XLOOKUP($D170,'Modelling New'!$D:$D,'Modelling New'!$J:$J),"")</f>
        <v>5.56</v>
      </c>
      <c r="AD170" s="138">
        <f>IFERROR(_xlfn.XLOOKUP($D170,'Modelling New'!$D:$D,'Modelling New'!$T:$T)*1000,"")</f>
        <v>373388.45693317999</v>
      </c>
      <c r="AE170" s="142"/>
      <c r="AF170" s="142">
        <f>IFERROR(_xlfn.XLOOKUP($D170,'Modelling New'!$D:$D,'Modelling New'!$W:$W),"")</f>
        <v>0.22099222119624762</v>
      </c>
      <c r="AG170" s="142">
        <f>IFERROR(_xlfn.XLOOKUP($D170,'Modelling New'!$D:$D,'Modelling New'!$AE:$AE),"")</f>
        <v>0.96029999999999993</v>
      </c>
      <c r="AH170" s="142">
        <f>IFERROR(_xlfn.XLOOKUP($D170,'Modelling New'!$D:$D,'Modelling New'!$AF:$AF),"")</f>
        <v>0.995</v>
      </c>
      <c r="AI170" s="109" t="str">
        <f>IFERROR(_xlfn.XLOOKUP($A170,Input_Raw!$A:$A,Input_Raw!$DP:$DP),"")</f>
        <v/>
      </c>
      <c r="AJ170" s="108"/>
      <c r="AK170" s="108"/>
      <c r="AL170" s="108"/>
      <c r="AM170" s="108"/>
      <c r="AN170" s="132" t="str">
        <f>IFERROR(_xlfn.XLOOKUP($A170,Input_Raw!$A:$A,Input_Raw!$DL:$DL),"")</f>
        <v/>
      </c>
      <c r="AO170" s="142" t="str">
        <f>IFERROR((_xlfn.XLOOKUP($A170,'WTG Reactive Power'!$A:$A,'WTG Reactive Power'!$AW:$AW))/X170,"")</f>
        <v/>
      </c>
      <c r="AP170" s="142">
        <f>IFERROR(_xlfn.XLOOKUP($D170,'Modelling New'!$D:$D,'Modelling New'!$AK:$AK),"")</f>
        <v>0.05</v>
      </c>
      <c r="AQ170" s="142">
        <f>IFERROR(_xlfn.XLOOKUP($D170,'Modelling New'!$D:$D,'Modelling New'!$AL:$AL),"")</f>
        <v>0.05</v>
      </c>
      <c r="AR170" s="198">
        <f>IFERROR(_xlfn.XLOOKUP($D170,'Modelling New'!$D:$D,'Modelling New'!$N:$N),"")</f>
        <v>70.400000000000006</v>
      </c>
      <c r="AS170" s="198"/>
    </row>
    <row r="171" spans="1:45">
      <c r="A171" s="137">
        <f t="shared" si="18"/>
        <v>45914</v>
      </c>
      <c r="B171" s="138">
        <f>YEAR(Daily_KPI[[#This Row],[Date]])+IF(MONTH(Daily_KPI[[#This Row],[Date]])&gt;=4,1,0)</f>
        <v>2026</v>
      </c>
      <c r="C171" s="108">
        <f>YEAR(Daily_KPI[[#This Row],[Date]])</f>
        <v>2025</v>
      </c>
      <c r="D171" s="139">
        <f>Daily_KPI[[#This Row],[Date]]-DAY(Daily_KPI[[#This Row],[Date]])+1</f>
        <v>45901</v>
      </c>
      <c r="E171" s="108">
        <f t="shared" si="14"/>
        <v>30</v>
      </c>
      <c r="F171" s="109"/>
      <c r="G171" s="110"/>
      <c r="H171" s="110"/>
      <c r="I171" s="110"/>
      <c r="J171" s="110"/>
      <c r="K171" s="111"/>
      <c r="L171" s="110"/>
      <c r="M171" s="110" t="str">
        <f>IFERROR(_xlfn.XLOOKUP($A171,Input_Raw!$A:$A,Input_Raw!$CQ:$CQ),"")</f>
        <v/>
      </c>
      <c r="N171" s="110" t="str">
        <f>IFERROR(_xlfn.XLOOKUP($A171,Input_Raw!$A:$A,Input_Raw!$CR:$CR),"")</f>
        <v/>
      </c>
      <c r="O171" s="141" t="str">
        <f t="shared" si="15"/>
        <v/>
      </c>
      <c r="P171" s="141" t="str">
        <f>IFERROR(1-SUMIF(WTG_BD!$F:$F,$A171,WTG_BD!$AA:$AA)/($AA171+SUMIF(WTG_BD!$F:$F,$A171,WTG_BD!$AA:$AA)),"")</f>
        <v/>
      </c>
      <c r="Q171" s="141" t="str">
        <f>IFERROR(1-SUMIF(IGA_BD!$F:$F,$A171,IGA_BD!$W:$W)/($AA171+SUMIF(IGA_BD!$F:$F,$A171,IGA_BD!$W:$W)),"")</f>
        <v/>
      </c>
      <c r="R171" s="141" t="str">
        <f>IFERROR(1-SUMIF(Grid_BD!$F:$F,$A171,Grid_BD!$Y:$Y)/($AA171+SUMIF(Grid_BD!$F:$F,$A171,Grid_BD!$Y:$Y)),"")</f>
        <v/>
      </c>
      <c r="S171" s="108"/>
      <c r="T171" s="140"/>
      <c r="U171" s="141"/>
      <c r="V171" s="108"/>
      <c r="W171" s="142" t="str">
        <f t="shared" si="16"/>
        <v/>
      </c>
      <c r="X171" s="108" t="str">
        <f>IFERROR(_xlfn.XLOOKUP($A171,Input_Raw!$A:$A,Input_Raw!$CP:$CP)*1000,"")</f>
        <v/>
      </c>
      <c r="Y171" s="108" t="str">
        <f>IFERROR(_xlfn.XLOOKUP($A171,Input_Raw!$A:$A,Input_Raw!DJ:DJ)*1000,"")</f>
        <v/>
      </c>
      <c r="Z171" s="108" t="str">
        <f>IFERROR(_xlfn.XLOOKUP($A171,Input_Raw!$A:$A,Input_Raw!DK:DK)*1000,"")</f>
        <v/>
      </c>
      <c r="AA171" s="138" t="str">
        <f t="shared" si="17"/>
        <v/>
      </c>
      <c r="AB171" s="108" t="str">
        <f>IFERROR(_xlfn.XLOOKUP($A171,Input_Raw!$A:$A,Input_Raw!$DR:$DR),"")</f>
        <v/>
      </c>
      <c r="AC171" s="143">
        <f>IFERROR(_xlfn.XLOOKUP($D171,'Modelling New'!$D:$D,'Modelling New'!$J:$J),"")</f>
        <v>5.56</v>
      </c>
      <c r="AD171" s="138">
        <f>IFERROR(_xlfn.XLOOKUP($D171,'Modelling New'!$D:$D,'Modelling New'!$T:$T)*1000,"")</f>
        <v>373388.45693317999</v>
      </c>
      <c r="AE171" s="142"/>
      <c r="AF171" s="142">
        <f>IFERROR(_xlfn.XLOOKUP($D171,'Modelling New'!$D:$D,'Modelling New'!$W:$W),"")</f>
        <v>0.22099222119624762</v>
      </c>
      <c r="AG171" s="142">
        <f>IFERROR(_xlfn.XLOOKUP($D171,'Modelling New'!$D:$D,'Modelling New'!$AE:$AE),"")</f>
        <v>0.96029999999999993</v>
      </c>
      <c r="AH171" s="142">
        <f>IFERROR(_xlfn.XLOOKUP($D171,'Modelling New'!$D:$D,'Modelling New'!$AF:$AF),"")</f>
        <v>0.995</v>
      </c>
      <c r="AI171" s="109" t="str">
        <f>IFERROR(_xlfn.XLOOKUP($A171,Input_Raw!$A:$A,Input_Raw!$DP:$DP),"")</f>
        <v/>
      </c>
      <c r="AJ171" s="108"/>
      <c r="AK171" s="108"/>
      <c r="AL171" s="108"/>
      <c r="AM171" s="108"/>
      <c r="AN171" s="132" t="str">
        <f>IFERROR(_xlfn.XLOOKUP($A171,Input_Raw!$A:$A,Input_Raw!$DL:$DL),"")</f>
        <v/>
      </c>
      <c r="AO171" s="142" t="str">
        <f>IFERROR((_xlfn.XLOOKUP($A171,'WTG Reactive Power'!$A:$A,'WTG Reactive Power'!$AW:$AW))/X171,"")</f>
        <v/>
      </c>
      <c r="AP171" s="142">
        <f>IFERROR(_xlfn.XLOOKUP($D171,'Modelling New'!$D:$D,'Modelling New'!$AK:$AK),"")</f>
        <v>0.05</v>
      </c>
      <c r="AQ171" s="142">
        <f>IFERROR(_xlfn.XLOOKUP($D171,'Modelling New'!$D:$D,'Modelling New'!$AL:$AL),"")</f>
        <v>0.05</v>
      </c>
      <c r="AR171" s="198">
        <f>IFERROR(_xlfn.XLOOKUP($D171,'Modelling New'!$D:$D,'Modelling New'!$N:$N),"")</f>
        <v>70.400000000000006</v>
      </c>
      <c r="AS171" s="198"/>
    </row>
    <row r="172" spans="1:45">
      <c r="A172" s="137">
        <f t="shared" si="18"/>
        <v>45915</v>
      </c>
      <c r="B172" s="138">
        <f>YEAR(Daily_KPI[[#This Row],[Date]])+IF(MONTH(Daily_KPI[[#This Row],[Date]])&gt;=4,1,0)</f>
        <v>2026</v>
      </c>
      <c r="C172" s="108">
        <f>YEAR(Daily_KPI[[#This Row],[Date]])</f>
        <v>2025</v>
      </c>
      <c r="D172" s="139">
        <f>Daily_KPI[[#This Row],[Date]]-DAY(Daily_KPI[[#This Row],[Date]])+1</f>
        <v>45901</v>
      </c>
      <c r="E172" s="108">
        <f t="shared" si="14"/>
        <v>30</v>
      </c>
      <c r="F172" s="109"/>
      <c r="G172" s="143"/>
      <c r="H172" s="143"/>
      <c r="I172" s="143"/>
      <c r="J172" s="143"/>
      <c r="K172" s="111"/>
      <c r="L172" s="110"/>
      <c r="M172" s="110" t="str">
        <f>IFERROR(_xlfn.XLOOKUP($A172,Input_Raw!$A:$A,Input_Raw!$CQ:$CQ),"")</f>
        <v/>
      </c>
      <c r="N172" s="110" t="str">
        <f>IFERROR(_xlfn.XLOOKUP($A172,Input_Raw!$A:$A,Input_Raw!$CR:$CR),"")</f>
        <v/>
      </c>
      <c r="O172" s="141" t="str">
        <f t="shared" si="15"/>
        <v/>
      </c>
      <c r="P172" s="141" t="str">
        <f>IFERROR(1-SUMIF(WTG_BD!$F:$F,$A172,WTG_BD!$AA:$AA)/($AA172+SUMIF(WTG_BD!$F:$F,$A172,WTG_BD!$AA:$AA)),"")</f>
        <v/>
      </c>
      <c r="Q172" s="141" t="str">
        <f>IFERROR(1-SUMIF(IGA_BD!$F:$F,$A172,IGA_BD!$W:$W)/($AA172+SUMIF(IGA_BD!$F:$F,$A172,IGA_BD!$W:$W)),"")</f>
        <v/>
      </c>
      <c r="R172" s="141" t="str">
        <f>IFERROR(1-SUMIF(Grid_BD!$F:$F,$A172,Grid_BD!$Y:$Y)/($AA172+SUMIF(Grid_BD!$F:$F,$A172,Grid_BD!$Y:$Y)),"")</f>
        <v/>
      </c>
      <c r="S172" s="108"/>
      <c r="T172" s="140"/>
      <c r="U172" s="141"/>
      <c r="V172" s="108"/>
      <c r="W172" s="142" t="str">
        <f t="shared" si="16"/>
        <v/>
      </c>
      <c r="X172" s="108" t="str">
        <f>IFERROR(_xlfn.XLOOKUP($A172,Input_Raw!$A:$A,Input_Raw!$CP:$CP)*1000,"")</f>
        <v/>
      </c>
      <c r="Y172" s="108" t="str">
        <f>IFERROR(_xlfn.XLOOKUP($A172,Input_Raw!$A:$A,Input_Raw!DJ:DJ)*1000,"")</f>
        <v/>
      </c>
      <c r="Z172" s="108" t="str">
        <f>IFERROR(_xlfn.XLOOKUP($A172,Input_Raw!$A:$A,Input_Raw!DK:DK)*1000,"")</f>
        <v/>
      </c>
      <c r="AA172" s="138" t="str">
        <f t="shared" si="17"/>
        <v/>
      </c>
      <c r="AB172" s="108" t="str">
        <f>IFERROR(_xlfn.XLOOKUP($A172,Input_Raw!$A:$A,Input_Raw!$DR:$DR),"")</f>
        <v/>
      </c>
      <c r="AC172" s="143">
        <f>IFERROR(_xlfn.XLOOKUP($D172,'Modelling New'!$D:$D,'Modelling New'!$J:$J),"")</f>
        <v>5.56</v>
      </c>
      <c r="AD172" s="138">
        <f>IFERROR(_xlfn.XLOOKUP($D172,'Modelling New'!$D:$D,'Modelling New'!$T:$T)*1000,"")</f>
        <v>373388.45693317999</v>
      </c>
      <c r="AE172" s="142"/>
      <c r="AF172" s="142">
        <f>IFERROR(_xlfn.XLOOKUP($D172,'Modelling New'!$D:$D,'Modelling New'!$W:$W),"")</f>
        <v>0.22099222119624762</v>
      </c>
      <c r="AG172" s="142">
        <f>IFERROR(_xlfn.XLOOKUP($D172,'Modelling New'!$D:$D,'Modelling New'!$AE:$AE),"")</f>
        <v>0.96029999999999993</v>
      </c>
      <c r="AH172" s="142">
        <f>IFERROR(_xlfn.XLOOKUP($D172,'Modelling New'!$D:$D,'Modelling New'!$AF:$AF),"")</f>
        <v>0.995</v>
      </c>
      <c r="AI172" s="109" t="str">
        <f>IFERROR(_xlfn.XLOOKUP($A172,Input_Raw!$A:$A,Input_Raw!$DP:$DP),"")</f>
        <v/>
      </c>
      <c r="AJ172" s="108"/>
      <c r="AK172" s="108"/>
      <c r="AL172" s="108"/>
      <c r="AM172" s="108"/>
      <c r="AN172" s="132" t="str">
        <f>IFERROR(_xlfn.XLOOKUP($A172,Input_Raw!$A:$A,Input_Raw!$DL:$DL),"")</f>
        <v/>
      </c>
      <c r="AO172" s="142" t="str">
        <f>IFERROR((_xlfn.XLOOKUP($A172,'WTG Reactive Power'!$A:$A,'WTG Reactive Power'!$AW:$AW))/X172,"")</f>
        <v/>
      </c>
      <c r="AP172" s="142">
        <f>IFERROR(_xlfn.XLOOKUP($D172,'Modelling New'!$D:$D,'Modelling New'!$AK:$AK),"")</f>
        <v>0.05</v>
      </c>
      <c r="AQ172" s="142">
        <f>IFERROR(_xlfn.XLOOKUP($D172,'Modelling New'!$D:$D,'Modelling New'!$AL:$AL),"")</f>
        <v>0.05</v>
      </c>
      <c r="AR172" s="198">
        <f>IFERROR(_xlfn.XLOOKUP($D172,'Modelling New'!$D:$D,'Modelling New'!$N:$N),"")</f>
        <v>70.400000000000006</v>
      </c>
      <c r="AS172" s="198"/>
    </row>
    <row r="173" spans="1:45">
      <c r="A173" s="137">
        <f t="shared" si="18"/>
        <v>45916</v>
      </c>
      <c r="B173" s="138">
        <f>YEAR(Daily_KPI[[#This Row],[Date]])+IF(MONTH(Daily_KPI[[#This Row],[Date]])&gt;=4,1,0)</f>
        <v>2026</v>
      </c>
      <c r="C173" s="108">
        <f>YEAR(Daily_KPI[[#This Row],[Date]])</f>
        <v>2025</v>
      </c>
      <c r="D173" s="139">
        <f>Daily_KPI[[#This Row],[Date]]-DAY(Daily_KPI[[#This Row],[Date]])+1</f>
        <v>45901</v>
      </c>
      <c r="E173" s="108">
        <f t="shared" si="14"/>
        <v>30</v>
      </c>
      <c r="F173" s="109"/>
      <c r="G173" s="110"/>
      <c r="H173" s="110"/>
      <c r="I173" s="110"/>
      <c r="J173" s="110"/>
      <c r="K173" s="111"/>
      <c r="L173" s="110"/>
      <c r="M173" s="110" t="str">
        <f>IFERROR(_xlfn.XLOOKUP($A173,Input_Raw!$A:$A,Input_Raw!$CQ:$CQ),"")</f>
        <v/>
      </c>
      <c r="N173" s="110" t="str">
        <f>IFERROR(_xlfn.XLOOKUP($A173,Input_Raw!$A:$A,Input_Raw!$CR:$CR),"")</f>
        <v/>
      </c>
      <c r="O173" s="141" t="str">
        <f t="shared" si="15"/>
        <v/>
      </c>
      <c r="P173" s="141" t="str">
        <f>IFERROR(1-SUMIF(WTG_BD!$F:$F,$A173,WTG_BD!$AA:$AA)/($AA173+SUMIF(WTG_BD!$F:$F,$A173,WTG_BD!$AA:$AA)),"")</f>
        <v/>
      </c>
      <c r="Q173" s="141" t="str">
        <f>IFERROR(1-SUMIF(IGA_BD!$F:$F,$A173,IGA_BD!$W:$W)/($AA173+SUMIF(IGA_BD!$F:$F,$A173,IGA_BD!$W:$W)),"")</f>
        <v/>
      </c>
      <c r="R173" s="141" t="str">
        <f>IFERROR(1-SUMIF(Grid_BD!$F:$F,$A173,Grid_BD!$Y:$Y)/($AA173+SUMIF(Grid_BD!$F:$F,$A173,Grid_BD!$Y:$Y)),"")</f>
        <v/>
      </c>
      <c r="S173" s="108"/>
      <c r="T173" s="140"/>
      <c r="U173" s="141"/>
      <c r="V173" s="108"/>
      <c r="W173" s="142" t="str">
        <f t="shared" si="16"/>
        <v/>
      </c>
      <c r="X173" s="108" t="str">
        <f>IFERROR(_xlfn.XLOOKUP($A173,Input_Raw!$A:$A,Input_Raw!$CP:$CP)*1000,"")</f>
        <v/>
      </c>
      <c r="Y173" s="108" t="str">
        <f>IFERROR(_xlfn.XLOOKUP($A173,Input_Raw!$A:$A,Input_Raw!DJ:DJ)*1000,"")</f>
        <v/>
      </c>
      <c r="Z173" s="108" t="str">
        <f>IFERROR(_xlfn.XLOOKUP($A173,Input_Raw!$A:$A,Input_Raw!DK:DK)*1000,"")</f>
        <v/>
      </c>
      <c r="AA173" s="138" t="str">
        <f t="shared" si="17"/>
        <v/>
      </c>
      <c r="AB173" s="108" t="str">
        <f>IFERROR(_xlfn.XLOOKUP($A173,Input_Raw!$A:$A,Input_Raw!$DR:$DR),"")</f>
        <v/>
      </c>
      <c r="AC173" s="143">
        <f>IFERROR(_xlfn.XLOOKUP($D173,'Modelling New'!$D:$D,'Modelling New'!$J:$J),"")</f>
        <v>5.56</v>
      </c>
      <c r="AD173" s="138">
        <f>IFERROR(_xlfn.XLOOKUP($D173,'Modelling New'!$D:$D,'Modelling New'!$T:$T)*1000,"")</f>
        <v>373388.45693317999</v>
      </c>
      <c r="AE173" s="142"/>
      <c r="AF173" s="142">
        <f>IFERROR(_xlfn.XLOOKUP($D173,'Modelling New'!$D:$D,'Modelling New'!$W:$W),"")</f>
        <v>0.22099222119624762</v>
      </c>
      <c r="AG173" s="142">
        <f>IFERROR(_xlfn.XLOOKUP($D173,'Modelling New'!$D:$D,'Modelling New'!$AE:$AE),"")</f>
        <v>0.96029999999999993</v>
      </c>
      <c r="AH173" s="142">
        <f>IFERROR(_xlfn.XLOOKUP($D173,'Modelling New'!$D:$D,'Modelling New'!$AF:$AF),"")</f>
        <v>0.995</v>
      </c>
      <c r="AI173" s="109" t="str">
        <f>IFERROR(_xlfn.XLOOKUP($A173,Input_Raw!$A:$A,Input_Raw!$DP:$DP),"")</f>
        <v/>
      </c>
      <c r="AJ173" s="108"/>
      <c r="AK173" s="108"/>
      <c r="AL173" s="108"/>
      <c r="AM173" s="108"/>
      <c r="AN173" s="132" t="str">
        <f>IFERROR(_xlfn.XLOOKUP($A173,Input_Raw!$A:$A,Input_Raw!$DL:$DL),"")</f>
        <v/>
      </c>
      <c r="AO173" s="142" t="str">
        <f>IFERROR((_xlfn.XLOOKUP($A173,'WTG Reactive Power'!$A:$A,'WTG Reactive Power'!$AW:$AW))/X173,"")</f>
        <v/>
      </c>
      <c r="AP173" s="142">
        <f>IFERROR(_xlfn.XLOOKUP($D173,'Modelling New'!$D:$D,'Modelling New'!$AK:$AK),"")</f>
        <v>0.05</v>
      </c>
      <c r="AQ173" s="142">
        <f>IFERROR(_xlfn.XLOOKUP($D173,'Modelling New'!$D:$D,'Modelling New'!$AL:$AL),"")</f>
        <v>0.05</v>
      </c>
      <c r="AR173" s="198">
        <f>IFERROR(_xlfn.XLOOKUP($D173,'Modelling New'!$D:$D,'Modelling New'!$N:$N),"")</f>
        <v>70.400000000000006</v>
      </c>
      <c r="AS173" s="198"/>
    </row>
    <row r="174" spans="1:45">
      <c r="A174" s="137">
        <f t="shared" si="18"/>
        <v>45917</v>
      </c>
      <c r="B174" s="138">
        <f>YEAR(Daily_KPI[[#This Row],[Date]])+IF(MONTH(Daily_KPI[[#This Row],[Date]])&gt;=4,1,0)</f>
        <v>2026</v>
      </c>
      <c r="C174" s="108">
        <f>YEAR(Daily_KPI[[#This Row],[Date]])</f>
        <v>2025</v>
      </c>
      <c r="D174" s="139">
        <f>Daily_KPI[[#This Row],[Date]]-DAY(Daily_KPI[[#This Row],[Date]])+1</f>
        <v>45901</v>
      </c>
      <c r="E174" s="108">
        <f t="shared" si="14"/>
        <v>30</v>
      </c>
      <c r="F174" s="109"/>
      <c r="G174" s="143"/>
      <c r="H174" s="143"/>
      <c r="I174" s="143"/>
      <c r="J174" s="143"/>
      <c r="K174" s="111"/>
      <c r="L174" s="110"/>
      <c r="M174" s="110" t="str">
        <f>IFERROR(_xlfn.XLOOKUP($A174,Input_Raw!$A:$A,Input_Raw!$CQ:$CQ),"")</f>
        <v/>
      </c>
      <c r="N174" s="110" t="str">
        <f>IFERROR(_xlfn.XLOOKUP($A174,Input_Raw!$A:$A,Input_Raw!$CR:$CR),"")</f>
        <v/>
      </c>
      <c r="O174" s="141" t="str">
        <f t="shared" si="15"/>
        <v/>
      </c>
      <c r="P174" s="141" t="str">
        <f>IFERROR(1-SUMIF(WTG_BD!$F:$F,$A174,WTG_BD!$AA:$AA)/($AA174+SUMIF(WTG_BD!$F:$F,$A174,WTG_BD!$AA:$AA)),"")</f>
        <v/>
      </c>
      <c r="Q174" s="141" t="str">
        <f>IFERROR(1-SUMIF(IGA_BD!$F:$F,$A174,IGA_BD!$W:$W)/($AA174+SUMIF(IGA_BD!$F:$F,$A174,IGA_BD!$W:$W)),"")</f>
        <v/>
      </c>
      <c r="R174" s="141" t="str">
        <f>IFERROR(1-SUMIF(Grid_BD!$F:$F,$A174,Grid_BD!$Y:$Y)/($AA174+SUMIF(Grid_BD!$F:$F,$A174,Grid_BD!$Y:$Y)),"")</f>
        <v/>
      </c>
      <c r="S174" s="108"/>
      <c r="T174" s="140"/>
      <c r="U174" s="141"/>
      <c r="V174" s="108"/>
      <c r="W174" s="142" t="str">
        <f t="shared" si="16"/>
        <v/>
      </c>
      <c r="X174" s="108" t="str">
        <f>IFERROR(_xlfn.XLOOKUP($A174,Input_Raw!$A:$A,Input_Raw!$CP:$CP)*1000,"")</f>
        <v/>
      </c>
      <c r="Y174" s="108" t="str">
        <f>IFERROR(_xlfn.XLOOKUP($A174,Input_Raw!$A:$A,Input_Raw!DJ:DJ)*1000,"")</f>
        <v/>
      </c>
      <c r="Z174" s="108" t="str">
        <f>IFERROR(_xlfn.XLOOKUP($A174,Input_Raw!$A:$A,Input_Raw!DK:DK)*1000,"")</f>
        <v/>
      </c>
      <c r="AA174" s="138" t="str">
        <f t="shared" si="17"/>
        <v/>
      </c>
      <c r="AB174" s="108" t="str">
        <f>IFERROR(_xlfn.XLOOKUP($A174,Input_Raw!$A:$A,Input_Raw!$DR:$DR),"")</f>
        <v/>
      </c>
      <c r="AC174" s="143">
        <f>IFERROR(_xlfn.XLOOKUP($D174,'Modelling New'!$D:$D,'Modelling New'!$J:$J),"")</f>
        <v>5.56</v>
      </c>
      <c r="AD174" s="138">
        <f>IFERROR(_xlfn.XLOOKUP($D174,'Modelling New'!$D:$D,'Modelling New'!$T:$T)*1000,"")</f>
        <v>373388.45693317999</v>
      </c>
      <c r="AE174" s="142"/>
      <c r="AF174" s="142">
        <f>IFERROR(_xlfn.XLOOKUP($D174,'Modelling New'!$D:$D,'Modelling New'!$W:$W),"")</f>
        <v>0.22099222119624762</v>
      </c>
      <c r="AG174" s="142">
        <f>IFERROR(_xlfn.XLOOKUP($D174,'Modelling New'!$D:$D,'Modelling New'!$AE:$AE),"")</f>
        <v>0.96029999999999993</v>
      </c>
      <c r="AH174" s="142">
        <f>IFERROR(_xlfn.XLOOKUP($D174,'Modelling New'!$D:$D,'Modelling New'!$AF:$AF),"")</f>
        <v>0.995</v>
      </c>
      <c r="AI174" s="109" t="str">
        <f>IFERROR(_xlfn.XLOOKUP($A174,Input_Raw!$A:$A,Input_Raw!$DP:$DP),"")</f>
        <v/>
      </c>
      <c r="AJ174" s="108"/>
      <c r="AK174" s="108"/>
      <c r="AL174" s="108"/>
      <c r="AM174" s="108"/>
      <c r="AN174" s="132" t="str">
        <f>IFERROR(_xlfn.XLOOKUP($A174,Input_Raw!$A:$A,Input_Raw!$DL:$DL),"")</f>
        <v/>
      </c>
      <c r="AO174" s="142" t="str">
        <f>IFERROR((_xlfn.XLOOKUP($A174,'WTG Reactive Power'!$A:$A,'WTG Reactive Power'!$AW:$AW))/X174,"")</f>
        <v/>
      </c>
      <c r="AP174" s="142">
        <f>IFERROR(_xlfn.XLOOKUP($D174,'Modelling New'!$D:$D,'Modelling New'!$AK:$AK),"")</f>
        <v>0.05</v>
      </c>
      <c r="AQ174" s="142">
        <f>IFERROR(_xlfn.XLOOKUP($D174,'Modelling New'!$D:$D,'Modelling New'!$AL:$AL),"")</f>
        <v>0.05</v>
      </c>
      <c r="AR174" s="198">
        <f>IFERROR(_xlfn.XLOOKUP($D174,'Modelling New'!$D:$D,'Modelling New'!$N:$N),"")</f>
        <v>70.400000000000006</v>
      </c>
      <c r="AS174" s="198"/>
    </row>
    <row r="175" spans="1:45">
      <c r="A175" s="137">
        <f t="shared" si="18"/>
        <v>45918</v>
      </c>
      <c r="B175" s="138">
        <f>YEAR(Daily_KPI[[#This Row],[Date]])+IF(MONTH(Daily_KPI[[#This Row],[Date]])&gt;=4,1,0)</f>
        <v>2026</v>
      </c>
      <c r="C175" s="108">
        <f>YEAR(Daily_KPI[[#This Row],[Date]])</f>
        <v>2025</v>
      </c>
      <c r="D175" s="139">
        <f>Daily_KPI[[#This Row],[Date]]-DAY(Daily_KPI[[#This Row],[Date]])+1</f>
        <v>45901</v>
      </c>
      <c r="E175" s="108">
        <f t="shared" si="14"/>
        <v>30</v>
      </c>
      <c r="F175" s="109"/>
      <c r="G175" s="110"/>
      <c r="H175" s="110"/>
      <c r="I175" s="110"/>
      <c r="J175" s="110"/>
      <c r="K175" s="111"/>
      <c r="L175" s="110"/>
      <c r="M175" s="110" t="str">
        <f>IFERROR(_xlfn.XLOOKUP($A175,Input_Raw!$A:$A,Input_Raw!$CQ:$CQ),"")</f>
        <v/>
      </c>
      <c r="N175" s="110" t="str">
        <f>IFERROR(_xlfn.XLOOKUP($A175,Input_Raw!$A:$A,Input_Raw!$CR:$CR),"")</f>
        <v/>
      </c>
      <c r="O175" s="141" t="str">
        <f t="shared" si="15"/>
        <v/>
      </c>
      <c r="P175" s="141" t="str">
        <f>IFERROR(1-SUMIF(WTG_BD!$F:$F,$A175,WTG_BD!$AA:$AA)/($AA175+SUMIF(WTG_BD!$F:$F,$A175,WTG_BD!$AA:$AA)),"")</f>
        <v/>
      </c>
      <c r="Q175" s="141" t="str">
        <f>IFERROR(1-SUMIF(IGA_BD!$F:$F,$A175,IGA_BD!$W:$W)/($AA175+SUMIF(IGA_BD!$F:$F,$A175,IGA_BD!$W:$W)),"")</f>
        <v/>
      </c>
      <c r="R175" s="141" t="str">
        <f>IFERROR(1-SUMIF(Grid_BD!$F:$F,$A175,Grid_BD!$Y:$Y)/($AA175+SUMIF(Grid_BD!$F:$F,$A175,Grid_BD!$Y:$Y)),"")</f>
        <v/>
      </c>
      <c r="S175" s="108"/>
      <c r="T175" s="140"/>
      <c r="U175" s="141"/>
      <c r="V175" s="108"/>
      <c r="W175" s="142" t="str">
        <f t="shared" si="16"/>
        <v/>
      </c>
      <c r="X175" s="108" t="str">
        <f>IFERROR(_xlfn.XLOOKUP($A175,Input_Raw!$A:$A,Input_Raw!$CP:$CP)*1000,"")</f>
        <v/>
      </c>
      <c r="Y175" s="108" t="str">
        <f>IFERROR(_xlfn.XLOOKUP($A175,Input_Raw!$A:$A,Input_Raw!DJ:DJ)*1000,"")</f>
        <v/>
      </c>
      <c r="Z175" s="108" t="str">
        <f>IFERROR(_xlfn.XLOOKUP($A175,Input_Raw!$A:$A,Input_Raw!DK:DK)*1000,"")</f>
        <v/>
      </c>
      <c r="AA175" s="138" t="str">
        <f t="shared" si="17"/>
        <v/>
      </c>
      <c r="AB175" s="108" t="str">
        <f>IFERROR(_xlfn.XLOOKUP($A175,Input_Raw!$A:$A,Input_Raw!$DR:$DR),"")</f>
        <v/>
      </c>
      <c r="AC175" s="143">
        <f>IFERROR(_xlfn.XLOOKUP($D175,'Modelling New'!$D:$D,'Modelling New'!$J:$J),"")</f>
        <v>5.56</v>
      </c>
      <c r="AD175" s="138">
        <f>IFERROR(_xlfn.XLOOKUP($D175,'Modelling New'!$D:$D,'Modelling New'!$T:$T)*1000,"")</f>
        <v>373388.45693317999</v>
      </c>
      <c r="AE175" s="142"/>
      <c r="AF175" s="142">
        <f>IFERROR(_xlfn.XLOOKUP($D175,'Modelling New'!$D:$D,'Modelling New'!$W:$W),"")</f>
        <v>0.22099222119624762</v>
      </c>
      <c r="AG175" s="142">
        <f>IFERROR(_xlfn.XLOOKUP($D175,'Modelling New'!$D:$D,'Modelling New'!$AE:$AE),"")</f>
        <v>0.96029999999999993</v>
      </c>
      <c r="AH175" s="142">
        <f>IFERROR(_xlfn.XLOOKUP($D175,'Modelling New'!$D:$D,'Modelling New'!$AF:$AF),"")</f>
        <v>0.995</v>
      </c>
      <c r="AI175" s="109" t="str">
        <f>IFERROR(_xlfn.XLOOKUP($A175,Input_Raw!$A:$A,Input_Raw!$DP:$DP),"")</f>
        <v/>
      </c>
      <c r="AJ175" s="108"/>
      <c r="AK175" s="108"/>
      <c r="AL175" s="108"/>
      <c r="AM175" s="108"/>
      <c r="AN175" s="132" t="str">
        <f>IFERROR(_xlfn.XLOOKUP($A175,Input_Raw!$A:$A,Input_Raw!$DL:$DL),"")</f>
        <v/>
      </c>
      <c r="AO175" s="142" t="str">
        <f>IFERROR((_xlfn.XLOOKUP($A175,'WTG Reactive Power'!$A:$A,'WTG Reactive Power'!$AW:$AW))/X175,"")</f>
        <v/>
      </c>
      <c r="AP175" s="142">
        <f>IFERROR(_xlfn.XLOOKUP($D175,'Modelling New'!$D:$D,'Modelling New'!$AK:$AK),"")</f>
        <v>0.05</v>
      </c>
      <c r="AQ175" s="142">
        <f>IFERROR(_xlfn.XLOOKUP($D175,'Modelling New'!$D:$D,'Modelling New'!$AL:$AL),"")</f>
        <v>0.05</v>
      </c>
      <c r="AR175" s="198">
        <f>IFERROR(_xlfn.XLOOKUP($D175,'Modelling New'!$D:$D,'Modelling New'!$N:$N),"")</f>
        <v>70.400000000000006</v>
      </c>
      <c r="AS175" s="198"/>
    </row>
    <row r="176" spans="1:45">
      <c r="A176" s="137">
        <f t="shared" si="18"/>
        <v>45919</v>
      </c>
      <c r="B176" s="138">
        <f>YEAR(Daily_KPI[[#This Row],[Date]])+IF(MONTH(Daily_KPI[[#This Row],[Date]])&gt;=4,1,0)</f>
        <v>2026</v>
      </c>
      <c r="C176" s="108">
        <f>YEAR(Daily_KPI[[#This Row],[Date]])</f>
        <v>2025</v>
      </c>
      <c r="D176" s="139">
        <f>Daily_KPI[[#This Row],[Date]]-DAY(Daily_KPI[[#This Row],[Date]])+1</f>
        <v>45901</v>
      </c>
      <c r="E176" s="108">
        <f t="shared" si="14"/>
        <v>30</v>
      </c>
      <c r="F176" s="109"/>
      <c r="G176" s="143"/>
      <c r="H176" s="143"/>
      <c r="I176" s="143"/>
      <c r="J176" s="143"/>
      <c r="K176" s="111"/>
      <c r="L176" s="110"/>
      <c r="M176" s="110" t="str">
        <f>IFERROR(_xlfn.XLOOKUP($A176,Input_Raw!$A:$A,Input_Raw!$CQ:$CQ),"")</f>
        <v/>
      </c>
      <c r="N176" s="110" t="str">
        <f>IFERROR(_xlfn.XLOOKUP($A176,Input_Raw!$A:$A,Input_Raw!$CR:$CR),"")</f>
        <v/>
      </c>
      <c r="O176" s="141" t="str">
        <f t="shared" si="15"/>
        <v/>
      </c>
      <c r="P176" s="141" t="str">
        <f>IFERROR(1-SUMIF(WTG_BD!$F:$F,$A176,WTG_BD!$AA:$AA)/($AA176+SUMIF(WTG_BD!$F:$F,$A176,WTG_BD!$AA:$AA)),"")</f>
        <v/>
      </c>
      <c r="Q176" s="141" t="str">
        <f>IFERROR(1-SUMIF(IGA_BD!$F:$F,$A176,IGA_BD!$W:$W)/($AA176+SUMIF(IGA_BD!$F:$F,$A176,IGA_BD!$W:$W)),"")</f>
        <v/>
      </c>
      <c r="R176" s="141" t="str">
        <f>IFERROR(1-SUMIF(Grid_BD!$F:$F,$A176,Grid_BD!$Y:$Y)/($AA176+SUMIF(Grid_BD!$F:$F,$A176,Grid_BD!$Y:$Y)),"")</f>
        <v/>
      </c>
      <c r="S176" s="108"/>
      <c r="T176" s="140"/>
      <c r="U176" s="141"/>
      <c r="V176" s="108"/>
      <c r="W176" s="142" t="str">
        <f t="shared" si="16"/>
        <v/>
      </c>
      <c r="X176" s="108" t="str">
        <f>IFERROR(_xlfn.XLOOKUP($A176,Input_Raw!$A:$A,Input_Raw!$CP:$CP)*1000,"")</f>
        <v/>
      </c>
      <c r="Y176" s="108" t="str">
        <f>IFERROR(_xlfn.XLOOKUP($A176,Input_Raw!$A:$A,Input_Raw!DJ:DJ)*1000,"")</f>
        <v/>
      </c>
      <c r="Z176" s="108" t="str">
        <f>IFERROR(_xlfn.XLOOKUP($A176,Input_Raw!$A:$A,Input_Raw!DK:DK)*1000,"")</f>
        <v/>
      </c>
      <c r="AA176" s="138" t="str">
        <f t="shared" si="17"/>
        <v/>
      </c>
      <c r="AB176" s="108" t="str">
        <f>IFERROR(_xlfn.XLOOKUP($A176,Input_Raw!$A:$A,Input_Raw!$DR:$DR),"")</f>
        <v/>
      </c>
      <c r="AC176" s="143">
        <f>IFERROR(_xlfn.XLOOKUP($D176,'Modelling New'!$D:$D,'Modelling New'!$J:$J),"")</f>
        <v>5.56</v>
      </c>
      <c r="AD176" s="138">
        <f>IFERROR(_xlfn.XLOOKUP($D176,'Modelling New'!$D:$D,'Modelling New'!$T:$T)*1000,"")</f>
        <v>373388.45693317999</v>
      </c>
      <c r="AE176" s="142"/>
      <c r="AF176" s="142">
        <f>IFERROR(_xlfn.XLOOKUP($D176,'Modelling New'!$D:$D,'Modelling New'!$W:$W),"")</f>
        <v>0.22099222119624762</v>
      </c>
      <c r="AG176" s="142">
        <f>IFERROR(_xlfn.XLOOKUP($D176,'Modelling New'!$D:$D,'Modelling New'!$AE:$AE),"")</f>
        <v>0.96029999999999993</v>
      </c>
      <c r="AH176" s="142">
        <f>IFERROR(_xlfn.XLOOKUP($D176,'Modelling New'!$D:$D,'Modelling New'!$AF:$AF),"")</f>
        <v>0.995</v>
      </c>
      <c r="AI176" s="109" t="str">
        <f>IFERROR(_xlfn.XLOOKUP($A176,Input_Raw!$A:$A,Input_Raw!$DP:$DP),"")</f>
        <v/>
      </c>
      <c r="AJ176" s="108"/>
      <c r="AK176" s="108"/>
      <c r="AL176" s="108"/>
      <c r="AM176" s="108"/>
      <c r="AN176" s="132" t="str">
        <f>IFERROR(_xlfn.XLOOKUP($A176,Input_Raw!$A:$A,Input_Raw!$DL:$DL),"")</f>
        <v/>
      </c>
      <c r="AO176" s="142" t="str">
        <f>IFERROR((_xlfn.XLOOKUP($A176,'WTG Reactive Power'!$A:$A,'WTG Reactive Power'!$AW:$AW))/X176,"")</f>
        <v/>
      </c>
      <c r="AP176" s="142">
        <f>IFERROR(_xlfn.XLOOKUP($D176,'Modelling New'!$D:$D,'Modelling New'!$AK:$AK),"")</f>
        <v>0.05</v>
      </c>
      <c r="AQ176" s="142">
        <f>IFERROR(_xlfn.XLOOKUP($D176,'Modelling New'!$D:$D,'Modelling New'!$AL:$AL),"")</f>
        <v>0.05</v>
      </c>
      <c r="AR176" s="198">
        <f>IFERROR(_xlfn.XLOOKUP($D176,'Modelling New'!$D:$D,'Modelling New'!$N:$N),"")</f>
        <v>70.400000000000006</v>
      </c>
      <c r="AS176" s="198"/>
    </row>
    <row r="177" spans="1:45">
      <c r="A177" s="137">
        <f t="shared" si="18"/>
        <v>45920</v>
      </c>
      <c r="B177" s="138">
        <f>YEAR(Daily_KPI[[#This Row],[Date]])+IF(MONTH(Daily_KPI[[#This Row],[Date]])&gt;=4,1,0)</f>
        <v>2026</v>
      </c>
      <c r="C177" s="108">
        <f>YEAR(Daily_KPI[[#This Row],[Date]])</f>
        <v>2025</v>
      </c>
      <c r="D177" s="139">
        <f>Daily_KPI[[#This Row],[Date]]-DAY(Daily_KPI[[#This Row],[Date]])+1</f>
        <v>45901</v>
      </c>
      <c r="E177" s="108">
        <f t="shared" si="14"/>
        <v>30</v>
      </c>
      <c r="F177" s="109"/>
      <c r="G177" s="110"/>
      <c r="H177" s="110"/>
      <c r="I177" s="110"/>
      <c r="J177" s="110"/>
      <c r="K177" s="111"/>
      <c r="L177" s="110"/>
      <c r="M177" s="110" t="str">
        <f>IFERROR(_xlfn.XLOOKUP($A177,Input_Raw!$A:$A,Input_Raw!$CQ:$CQ),"")</f>
        <v/>
      </c>
      <c r="N177" s="110" t="str">
        <f>IFERROR(_xlfn.XLOOKUP($A177,Input_Raw!$A:$A,Input_Raw!$CR:$CR),"")</f>
        <v/>
      </c>
      <c r="O177" s="141" t="str">
        <f t="shared" si="15"/>
        <v/>
      </c>
      <c r="P177" s="141" t="str">
        <f>IFERROR(1-SUMIF(WTG_BD!$F:$F,$A177,WTG_BD!$AA:$AA)/($AA177+SUMIF(WTG_BD!$F:$F,$A177,WTG_BD!$AA:$AA)),"")</f>
        <v/>
      </c>
      <c r="Q177" s="141" t="str">
        <f>IFERROR(1-SUMIF(IGA_BD!$F:$F,$A177,IGA_BD!$W:$W)/($AA177+SUMIF(IGA_BD!$F:$F,$A177,IGA_BD!$W:$W)),"")</f>
        <v/>
      </c>
      <c r="R177" s="141" t="str">
        <f>IFERROR(1-SUMIF(Grid_BD!$F:$F,$A177,Grid_BD!$Y:$Y)/($AA177+SUMIF(Grid_BD!$F:$F,$A177,Grid_BD!$Y:$Y)),"")</f>
        <v/>
      </c>
      <c r="S177" s="108"/>
      <c r="T177" s="140"/>
      <c r="U177" s="141"/>
      <c r="V177" s="108"/>
      <c r="W177" s="142" t="str">
        <f t="shared" si="16"/>
        <v/>
      </c>
      <c r="X177" s="108" t="str">
        <f>IFERROR(_xlfn.XLOOKUP($A177,Input_Raw!$A:$A,Input_Raw!$CP:$CP)*1000,"")</f>
        <v/>
      </c>
      <c r="Y177" s="108" t="str">
        <f>IFERROR(_xlfn.XLOOKUP($A177,Input_Raw!$A:$A,Input_Raw!DJ:DJ)*1000,"")</f>
        <v/>
      </c>
      <c r="Z177" s="108" t="str">
        <f>IFERROR(_xlfn.XLOOKUP($A177,Input_Raw!$A:$A,Input_Raw!DK:DK)*1000,"")</f>
        <v/>
      </c>
      <c r="AA177" s="138" t="str">
        <f t="shared" si="17"/>
        <v/>
      </c>
      <c r="AB177" s="108" t="str">
        <f>IFERROR(_xlfn.XLOOKUP($A177,Input_Raw!$A:$A,Input_Raw!$DR:$DR),"")</f>
        <v/>
      </c>
      <c r="AC177" s="143">
        <f>IFERROR(_xlfn.XLOOKUP($D177,'Modelling New'!$D:$D,'Modelling New'!$J:$J),"")</f>
        <v>5.56</v>
      </c>
      <c r="AD177" s="138">
        <f>IFERROR(_xlfn.XLOOKUP($D177,'Modelling New'!$D:$D,'Modelling New'!$T:$T)*1000,"")</f>
        <v>373388.45693317999</v>
      </c>
      <c r="AE177" s="142"/>
      <c r="AF177" s="142">
        <f>IFERROR(_xlfn.XLOOKUP($D177,'Modelling New'!$D:$D,'Modelling New'!$W:$W),"")</f>
        <v>0.22099222119624762</v>
      </c>
      <c r="AG177" s="142">
        <f>IFERROR(_xlfn.XLOOKUP($D177,'Modelling New'!$D:$D,'Modelling New'!$AE:$AE),"")</f>
        <v>0.96029999999999993</v>
      </c>
      <c r="AH177" s="142">
        <f>IFERROR(_xlfn.XLOOKUP($D177,'Modelling New'!$D:$D,'Modelling New'!$AF:$AF),"")</f>
        <v>0.995</v>
      </c>
      <c r="AI177" s="109" t="str">
        <f>IFERROR(_xlfn.XLOOKUP($A177,Input_Raw!$A:$A,Input_Raw!$DP:$DP),"")</f>
        <v/>
      </c>
      <c r="AJ177" s="108"/>
      <c r="AK177" s="108"/>
      <c r="AL177" s="108"/>
      <c r="AM177" s="108"/>
      <c r="AN177" s="132" t="str">
        <f>IFERROR(_xlfn.XLOOKUP($A177,Input_Raw!$A:$A,Input_Raw!$DL:$DL),"")</f>
        <v/>
      </c>
      <c r="AO177" s="142" t="str">
        <f>IFERROR((_xlfn.XLOOKUP($A177,'WTG Reactive Power'!$A:$A,'WTG Reactive Power'!$AW:$AW))/X177,"")</f>
        <v/>
      </c>
      <c r="AP177" s="142">
        <f>IFERROR(_xlfn.XLOOKUP($D177,'Modelling New'!$D:$D,'Modelling New'!$AK:$AK),"")</f>
        <v>0.05</v>
      </c>
      <c r="AQ177" s="142">
        <f>IFERROR(_xlfn.XLOOKUP($D177,'Modelling New'!$D:$D,'Modelling New'!$AL:$AL),"")</f>
        <v>0.05</v>
      </c>
      <c r="AR177" s="198">
        <f>IFERROR(_xlfn.XLOOKUP($D177,'Modelling New'!$D:$D,'Modelling New'!$N:$N),"")</f>
        <v>70.400000000000006</v>
      </c>
      <c r="AS177" s="198"/>
    </row>
    <row r="178" spans="1:45">
      <c r="A178" s="137">
        <f t="shared" si="18"/>
        <v>45921</v>
      </c>
      <c r="B178" s="138">
        <f>YEAR(Daily_KPI[[#This Row],[Date]])+IF(MONTH(Daily_KPI[[#This Row],[Date]])&gt;=4,1,0)</f>
        <v>2026</v>
      </c>
      <c r="C178" s="108">
        <f>YEAR(Daily_KPI[[#This Row],[Date]])</f>
        <v>2025</v>
      </c>
      <c r="D178" s="139">
        <f>Daily_KPI[[#This Row],[Date]]-DAY(Daily_KPI[[#This Row],[Date]])+1</f>
        <v>45901</v>
      </c>
      <c r="E178" s="108">
        <f t="shared" si="14"/>
        <v>30</v>
      </c>
      <c r="F178" s="109"/>
      <c r="G178" s="143"/>
      <c r="H178" s="143"/>
      <c r="I178" s="143"/>
      <c r="J178" s="143"/>
      <c r="K178" s="111"/>
      <c r="L178" s="110"/>
      <c r="M178" s="110" t="str">
        <f>IFERROR(_xlfn.XLOOKUP($A178,Input_Raw!$A:$A,Input_Raw!$CQ:$CQ),"")</f>
        <v/>
      </c>
      <c r="N178" s="110" t="str">
        <f>IFERROR(_xlfn.XLOOKUP($A178,Input_Raw!$A:$A,Input_Raw!$CR:$CR),"")</f>
        <v/>
      </c>
      <c r="O178" s="141" t="str">
        <f t="shared" si="15"/>
        <v/>
      </c>
      <c r="P178" s="141" t="str">
        <f>IFERROR(1-SUMIF(WTG_BD!$F:$F,$A178,WTG_BD!$AA:$AA)/($AA178+SUMIF(WTG_BD!$F:$F,$A178,WTG_BD!$AA:$AA)),"")</f>
        <v/>
      </c>
      <c r="Q178" s="141" t="str">
        <f>IFERROR(1-SUMIF(IGA_BD!$F:$F,$A178,IGA_BD!$W:$W)/($AA178+SUMIF(IGA_BD!$F:$F,$A178,IGA_BD!$W:$W)),"")</f>
        <v/>
      </c>
      <c r="R178" s="141" t="str">
        <f>IFERROR(1-SUMIF(Grid_BD!$F:$F,$A178,Grid_BD!$Y:$Y)/($AA178+SUMIF(Grid_BD!$F:$F,$A178,Grid_BD!$Y:$Y)),"")</f>
        <v/>
      </c>
      <c r="S178" s="108"/>
      <c r="T178" s="140"/>
      <c r="U178" s="141"/>
      <c r="V178" s="108"/>
      <c r="W178" s="142" t="str">
        <f t="shared" si="16"/>
        <v/>
      </c>
      <c r="X178" s="108" t="str">
        <f>IFERROR(_xlfn.XLOOKUP($A178,Input_Raw!$A:$A,Input_Raw!$CP:$CP)*1000,"")</f>
        <v/>
      </c>
      <c r="Y178" s="108" t="str">
        <f>IFERROR(_xlfn.XLOOKUP($A178,Input_Raw!$A:$A,Input_Raw!DJ:DJ)*1000,"")</f>
        <v/>
      </c>
      <c r="Z178" s="108" t="str">
        <f>IFERROR(_xlfn.XLOOKUP($A178,Input_Raw!$A:$A,Input_Raw!DK:DK)*1000,"")</f>
        <v/>
      </c>
      <c r="AA178" s="138" t="str">
        <f t="shared" si="17"/>
        <v/>
      </c>
      <c r="AB178" s="108" t="str">
        <f>IFERROR(_xlfn.XLOOKUP($A178,Input_Raw!$A:$A,Input_Raw!$DR:$DR),"")</f>
        <v/>
      </c>
      <c r="AC178" s="143">
        <f>IFERROR(_xlfn.XLOOKUP($D178,'Modelling New'!$D:$D,'Modelling New'!$J:$J),"")</f>
        <v>5.56</v>
      </c>
      <c r="AD178" s="138">
        <f>IFERROR(_xlfn.XLOOKUP($D178,'Modelling New'!$D:$D,'Modelling New'!$T:$T)*1000,"")</f>
        <v>373388.45693317999</v>
      </c>
      <c r="AE178" s="142"/>
      <c r="AF178" s="142">
        <f>IFERROR(_xlfn.XLOOKUP($D178,'Modelling New'!$D:$D,'Modelling New'!$W:$W),"")</f>
        <v>0.22099222119624762</v>
      </c>
      <c r="AG178" s="142">
        <f>IFERROR(_xlfn.XLOOKUP($D178,'Modelling New'!$D:$D,'Modelling New'!$AE:$AE),"")</f>
        <v>0.96029999999999993</v>
      </c>
      <c r="AH178" s="142">
        <f>IFERROR(_xlfn.XLOOKUP($D178,'Modelling New'!$D:$D,'Modelling New'!$AF:$AF),"")</f>
        <v>0.995</v>
      </c>
      <c r="AI178" s="109" t="str">
        <f>IFERROR(_xlfn.XLOOKUP($A178,Input_Raw!$A:$A,Input_Raw!$DP:$DP),"")</f>
        <v/>
      </c>
      <c r="AJ178" s="108"/>
      <c r="AK178" s="108"/>
      <c r="AL178" s="108"/>
      <c r="AM178" s="108"/>
      <c r="AN178" s="132" t="str">
        <f>IFERROR(_xlfn.XLOOKUP($A178,Input_Raw!$A:$A,Input_Raw!$DL:$DL),"")</f>
        <v/>
      </c>
      <c r="AO178" s="142" t="str">
        <f>IFERROR((_xlfn.XLOOKUP($A178,'WTG Reactive Power'!$A:$A,'WTG Reactive Power'!$AW:$AW))/X178,"")</f>
        <v/>
      </c>
      <c r="AP178" s="142">
        <f>IFERROR(_xlfn.XLOOKUP($D178,'Modelling New'!$D:$D,'Modelling New'!$AK:$AK),"")</f>
        <v>0.05</v>
      </c>
      <c r="AQ178" s="142">
        <f>IFERROR(_xlfn.XLOOKUP($D178,'Modelling New'!$D:$D,'Modelling New'!$AL:$AL),"")</f>
        <v>0.05</v>
      </c>
      <c r="AR178" s="198">
        <f>IFERROR(_xlfn.XLOOKUP($D178,'Modelling New'!$D:$D,'Modelling New'!$N:$N),"")</f>
        <v>70.400000000000006</v>
      </c>
      <c r="AS178" s="198"/>
    </row>
    <row r="179" spans="1:45">
      <c r="A179" s="137">
        <f t="shared" si="18"/>
        <v>45922</v>
      </c>
      <c r="B179" s="138">
        <f>YEAR(Daily_KPI[[#This Row],[Date]])+IF(MONTH(Daily_KPI[[#This Row],[Date]])&gt;=4,1,0)</f>
        <v>2026</v>
      </c>
      <c r="C179" s="108">
        <f>YEAR(Daily_KPI[[#This Row],[Date]])</f>
        <v>2025</v>
      </c>
      <c r="D179" s="139">
        <f>Daily_KPI[[#This Row],[Date]]-DAY(Daily_KPI[[#This Row],[Date]])+1</f>
        <v>45901</v>
      </c>
      <c r="E179" s="108">
        <f t="shared" si="14"/>
        <v>30</v>
      </c>
      <c r="F179" s="109"/>
      <c r="G179" s="110"/>
      <c r="H179" s="110"/>
      <c r="I179" s="110"/>
      <c r="J179" s="110"/>
      <c r="K179" s="111"/>
      <c r="L179" s="110"/>
      <c r="M179" s="110" t="str">
        <f>IFERROR(_xlfn.XLOOKUP($A179,Input_Raw!$A:$A,Input_Raw!$CQ:$CQ),"")</f>
        <v/>
      </c>
      <c r="N179" s="110" t="str">
        <f>IFERROR(_xlfn.XLOOKUP($A179,Input_Raw!$A:$A,Input_Raw!$CR:$CR),"")</f>
        <v/>
      </c>
      <c r="O179" s="141" t="str">
        <f t="shared" si="15"/>
        <v/>
      </c>
      <c r="P179" s="141" t="str">
        <f>IFERROR(1-SUMIF(WTG_BD!$F:$F,$A179,WTG_BD!$AA:$AA)/($AA179+SUMIF(WTG_BD!$F:$F,$A179,WTG_BD!$AA:$AA)),"")</f>
        <v/>
      </c>
      <c r="Q179" s="141" t="str">
        <f>IFERROR(1-SUMIF(IGA_BD!$F:$F,$A179,IGA_BD!$W:$W)/($AA179+SUMIF(IGA_BD!$F:$F,$A179,IGA_BD!$W:$W)),"")</f>
        <v/>
      </c>
      <c r="R179" s="141" t="str">
        <f>IFERROR(1-SUMIF(Grid_BD!$F:$F,$A179,Grid_BD!$Y:$Y)/($AA179+SUMIF(Grid_BD!$F:$F,$A179,Grid_BD!$Y:$Y)),"")</f>
        <v/>
      </c>
      <c r="S179" s="108"/>
      <c r="T179" s="140"/>
      <c r="U179" s="141"/>
      <c r="V179" s="108"/>
      <c r="W179" s="142" t="str">
        <f t="shared" si="16"/>
        <v/>
      </c>
      <c r="X179" s="108" t="str">
        <f>IFERROR(_xlfn.XLOOKUP($A179,Input_Raw!$A:$A,Input_Raw!$CP:$CP)*1000,"")</f>
        <v/>
      </c>
      <c r="Y179" s="108" t="str">
        <f>IFERROR(_xlfn.XLOOKUP($A179,Input_Raw!$A:$A,Input_Raw!DJ:DJ)*1000,"")</f>
        <v/>
      </c>
      <c r="Z179" s="108" t="str">
        <f>IFERROR(_xlfn.XLOOKUP($A179,Input_Raw!$A:$A,Input_Raw!DK:DK)*1000,"")</f>
        <v/>
      </c>
      <c r="AA179" s="138" t="str">
        <f t="shared" si="17"/>
        <v/>
      </c>
      <c r="AB179" s="108" t="str">
        <f>IFERROR(_xlfn.XLOOKUP($A179,Input_Raw!$A:$A,Input_Raw!$DR:$DR),"")</f>
        <v/>
      </c>
      <c r="AC179" s="143">
        <f>IFERROR(_xlfn.XLOOKUP($D179,'Modelling New'!$D:$D,'Modelling New'!$J:$J),"")</f>
        <v>5.56</v>
      </c>
      <c r="AD179" s="138">
        <f>IFERROR(_xlfn.XLOOKUP($D179,'Modelling New'!$D:$D,'Modelling New'!$T:$T)*1000,"")</f>
        <v>373388.45693317999</v>
      </c>
      <c r="AE179" s="142"/>
      <c r="AF179" s="142">
        <f>IFERROR(_xlfn.XLOOKUP($D179,'Modelling New'!$D:$D,'Modelling New'!$W:$W),"")</f>
        <v>0.22099222119624762</v>
      </c>
      <c r="AG179" s="142">
        <f>IFERROR(_xlfn.XLOOKUP($D179,'Modelling New'!$D:$D,'Modelling New'!$AE:$AE),"")</f>
        <v>0.96029999999999993</v>
      </c>
      <c r="AH179" s="142">
        <f>IFERROR(_xlfn.XLOOKUP($D179,'Modelling New'!$D:$D,'Modelling New'!$AF:$AF),"")</f>
        <v>0.995</v>
      </c>
      <c r="AI179" s="109" t="str">
        <f>IFERROR(_xlfn.XLOOKUP($A179,Input_Raw!$A:$A,Input_Raw!$DP:$DP),"")</f>
        <v/>
      </c>
      <c r="AJ179" s="108"/>
      <c r="AK179" s="108"/>
      <c r="AL179" s="108"/>
      <c r="AM179" s="108"/>
      <c r="AN179" s="132" t="str">
        <f>IFERROR(_xlfn.XLOOKUP($A179,Input_Raw!$A:$A,Input_Raw!$DL:$DL),"")</f>
        <v/>
      </c>
      <c r="AO179" s="142" t="str">
        <f>IFERROR((_xlfn.XLOOKUP($A179,'WTG Reactive Power'!$A:$A,'WTG Reactive Power'!$AW:$AW))/X179,"")</f>
        <v/>
      </c>
      <c r="AP179" s="142">
        <f>IFERROR(_xlfn.XLOOKUP($D179,'Modelling New'!$D:$D,'Modelling New'!$AK:$AK),"")</f>
        <v>0.05</v>
      </c>
      <c r="AQ179" s="142">
        <f>IFERROR(_xlfn.XLOOKUP($D179,'Modelling New'!$D:$D,'Modelling New'!$AL:$AL),"")</f>
        <v>0.05</v>
      </c>
      <c r="AR179" s="198">
        <f>IFERROR(_xlfn.XLOOKUP($D179,'Modelling New'!$D:$D,'Modelling New'!$N:$N),"")</f>
        <v>70.400000000000006</v>
      </c>
      <c r="AS179" s="198"/>
    </row>
    <row r="180" spans="1:45">
      <c r="A180" s="137">
        <f t="shared" si="18"/>
        <v>45923</v>
      </c>
      <c r="B180" s="138">
        <f>YEAR(Daily_KPI[[#This Row],[Date]])+IF(MONTH(Daily_KPI[[#This Row],[Date]])&gt;=4,1,0)</f>
        <v>2026</v>
      </c>
      <c r="C180" s="108">
        <f>YEAR(Daily_KPI[[#This Row],[Date]])</f>
        <v>2025</v>
      </c>
      <c r="D180" s="139">
        <f>Daily_KPI[[#This Row],[Date]]-DAY(Daily_KPI[[#This Row],[Date]])+1</f>
        <v>45901</v>
      </c>
      <c r="E180" s="108">
        <f t="shared" si="14"/>
        <v>30</v>
      </c>
      <c r="F180" s="109"/>
      <c r="G180" s="143"/>
      <c r="H180" s="143"/>
      <c r="I180" s="143"/>
      <c r="J180" s="143"/>
      <c r="K180" s="111"/>
      <c r="L180" s="110"/>
      <c r="M180" s="110" t="str">
        <f>IFERROR(_xlfn.XLOOKUP($A180,Input_Raw!$A:$A,Input_Raw!$CQ:$CQ),"")</f>
        <v/>
      </c>
      <c r="N180" s="110" t="str">
        <f>IFERROR(_xlfn.XLOOKUP($A180,Input_Raw!$A:$A,Input_Raw!$CR:$CR),"")</f>
        <v/>
      </c>
      <c r="O180" s="141" t="str">
        <f t="shared" si="15"/>
        <v/>
      </c>
      <c r="P180" s="141" t="str">
        <f>IFERROR(1-SUMIF(WTG_BD!$F:$F,$A180,WTG_BD!$AA:$AA)/($AA180+SUMIF(WTG_BD!$F:$F,$A180,WTG_BD!$AA:$AA)),"")</f>
        <v/>
      </c>
      <c r="Q180" s="141" t="str">
        <f>IFERROR(1-SUMIF(IGA_BD!$F:$F,$A180,IGA_BD!$W:$W)/($AA180+SUMIF(IGA_BD!$F:$F,$A180,IGA_BD!$W:$W)),"")</f>
        <v/>
      </c>
      <c r="R180" s="141" t="str">
        <f>IFERROR(1-SUMIF(Grid_BD!$F:$F,$A180,Grid_BD!$Y:$Y)/($AA180+SUMIF(Grid_BD!$F:$F,$A180,Grid_BD!$Y:$Y)),"")</f>
        <v/>
      </c>
      <c r="S180" s="108"/>
      <c r="T180" s="140"/>
      <c r="U180" s="141"/>
      <c r="V180" s="108"/>
      <c r="W180" s="142" t="str">
        <f t="shared" si="16"/>
        <v/>
      </c>
      <c r="X180" s="108" t="str">
        <f>IFERROR(_xlfn.XLOOKUP($A180,Input_Raw!$A:$A,Input_Raw!$CP:$CP)*1000,"")</f>
        <v/>
      </c>
      <c r="Y180" s="108" t="str">
        <f>IFERROR(_xlfn.XLOOKUP($A180,Input_Raw!$A:$A,Input_Raw!DJ:DJ)*1000,"")</f>
        <v/>
      </c>
      <c r="Z180" s="108" t="str">
        <f>IFERROR(_xlfn.XLOOKUP($A180,Input_Raw!$A:$A,Input_Raw!DK:DK)*1000,"")</f>
        <v/>
      </c>
      <c r="AA180" s="138" t="str">
        <f t="shared" si="17"/>
        <v/>
      </c>
      <c r="AB180" s="108" t="str">
        <f>IFERROR(_xlfn.XLOOKUP($A180,Input_Raw!$A:$A,Input_Raw!$DR:$DR),"")</f>
        <v/>
      </c>
      <c r="AC180" s="143">
        <f>IFERROR(_xlfn.XLOOKUP($D180,'Modelling New'!$D:$D,'Modelling New'!$J:$J),"")</f>
        <v>5.56</v>
      </c>
      <c r="AD180" s="138">
        <f>IFERROR(_xlfn.XLOOKUP($D180,'Modelling New'!$D:$D,'Modelling New'!$T:$T)*1000,"")</f>
        <v>373388.45693317999</v>
      </c>
      <c r="AE180" s="142"/>
      <c r="AF180" s="142">
        <f>IFERROR(_xlfn.XLOOKUP($D180,'Modelling New'!$D:$D,'Modelling New'!$W:$W),"")</f>
        <v>0.22099222119624762</v>
      </c>
      <c r="AG180" s="142">
        <f>IFERROR(_xlfn.XLOOKUP($D180,'Modelling New'!$D:$D,'Modelling New'!$AE:$AE),"")</f>
        <v>0.96029999999999993</v>
      </c>
      <c r="AH180" s="142">
        <f>IFERROR(_xlfn.XLOOKUP($D180,'Modelling New'!$D:$D,'Modelling New'!$AF:$AF),"")</f>
        <v>0.995</v>
      </c>
      <c r="AI180" s="109" t="str">
        <f>IFERROR(_xlfn.XLOOKUP($A180,Input_Raw!$A:$A,Input_Raw!$DP:$DP),"")</f>
        <v/>
      </c>
      <c r="AJ180" s="108"/>
      <c r="AK180" s="108"/>
      <c r="AL180" s="108"/>
      <c r="AM180" s="108"/>
      <c r="AN180" s="132" t="str">
        <f>IFERROR(_xlfn.XLOOKUP($A180,Input_Raw!$A:$A,Input_Raw!$DL:$DL),"")</f>
        <v/>
      </c>
      <c r="AO180" s="142" t="str">
        <f>IFERROR((_xlfn.XLOOKUP($A180,'WTG Reactive Power'!$A:$A,'WTG Reactive Power'!$AW:$AW))/X180,"")</f>
        <v/>
      </c>
      <c r="AP180" s="142">
        <f>IFERROR(_xlfn.XLOOKUP($D180,'Modelling New'!$D:$D,'Modelling New'!$AK:$AK),"")</f>
        <v>0.05</v>
      </c>
      <c r="AQ180" s="142">
        <f>IFERROR(_xlfn.XLOOKUP($D180,'Modelling New'!$D:$D,'Modelling New'!$AL:$AL),"")</f>
        <v>0.05</v>
      </c>
      <c r="AR180" s="198">
        <f>IFERROR(_xlfn.XLOOKUP($D180,'Modelling New'!$D:$D,'Modelling New'!$N:$N),"")</f>
        <v>70.400000000000006</v>
      </c>
      <c r="AS180" s="198"/>
    </row>
    <row r="181" spans="1:45">
      <c r="A181" s="137">
        <f t="shared" si="18"/>
        <v>45924</v>
      </c>
      <c r="B181" s="138">
        <f>YEAR(Daily_KPI[[#This Row],[Date]])+IF(MONTH(Daily_KPI[[#This Row],[Date]])&gt;=4,1,0)</f>
        <v>2026</v>
      </c>
      <c r="C181" s="108">
        <f>YEAR(Daily_KPI[[#This Row],[Date]])</f>
        <v>2025</v>
      </c>
      <c r="D181" s="139">
        <f>Daily_KPI[[#This Row],[Date]]-DAY(Daily_KPI[[#This Row],[Date]])+1</f>
        <v>45901</v>
      </c>
      <c r="E181" s="108">
        <f t="shared" si="14"/>
        <v>30</v>
      </c>
      <c r="F181" s="109"/>
      <c r="G181" s="110"/>
      <c r="H181" s="110"/>
      <c r="I181" s="110"/>
      <c r="J181" s="110"/>
      <c r="K181" s="111"/>
      <c r="L181" s="110"/>
      <c r="M181" s="110" t="str">
        <f>IFERROR(_xlfn.XLOOKUP($A181,Input_Raw!$A:$A,Input_Raw!$CQ:$CQ),"")</f>
        <v/>
      </c>
      <c r="N181" s="110" t="str">
        <f>IFERROR(_xlfn.XLOOKUP($A181,Input_Raw!$A:$A,Input_Raw!$CR:$CR),"")</f>
        <v/>
      </c>
      <c r="O181" s="141" t="str">
        <f t="shared" si="15"/>
        <v/>
      </c>
      <c r="P181" s="141" t="str">
        <f>IFERROR(1-SUMIF(WTG_BD!$F:$F,$A181,WTG_BD!$AA:$AA)/($AA181+SUMIF(WTG_BD!$F:$F,$A181,WTG_BD!$AA:$AA)),"")</f>
        <v/>
      </c>
      <c r="Q181" s="141" t="str">
        <f>IFERROR(1-SUMIF(IGA_BD!$F:$F,$A181,IGA_BD!$W:$W)/($AA181+SUMIF(IGA_BD!$F:$F,$A181,IGA_BD!$W:$W)),"")</f>
        <v/>
      </c>
      <c r="R181" s="141" t="str">
        <f>IFERROR(1-SUMIF(Grid_BD!$F:$F,$A181,Grid_BD!$Y:$Y)/($AA181+SUMIF(Grid_BD!$F:$F,$A181,Grid_BD!$Y:$Y)),"")</f>
        <v/>
      </c>
      <c r="S181" s="108"/>
      <c r="T181" s="140"/>
      <c r="U181" s="141"/>
      <c r="V181" s="108"/>
      <c r="W181" s="142" t="str">
        <f t="shared" si="16"/>
        <v/>
      </c>
      <c r="X181" s="108" t="str">
        <f>IFERROR(_xlfn.XLOOKUP($A181,Input_Raw!$A:$A,Input_Raw!$CP:$CP)*1000,"")</f>
        <v/>
      </c>
      <c r="Y181" s="108" t="str">
        <f>IFERROR(_xlfn.XLOOKUP($A181,Input_Raw!$A:$A,Input_Raw!DJ:DJ)*1000,"")</f>
        <v/>
      </c>
      <c r="Z181" s="108" t="str">
        <f>IFERROR(_xlfn.XLOOKUP($A181,Input_Raw!$A:$A,Input_Raw!DK:DK)*1000,"")</f>
        <v/>
      </c>
      <c r="AA181" s="138" t="str">
        <f t="shared" si="17"/>
        <v/>
      </c>
      <c r="AB181" s="108" t="str">
        <f>IFERROR(_xlfn.XLOOKUP($A181,Input_Raw!$A:$A,Input_Raw!$DR:$DR),"")</f>
        <v/>
      </c>
      <c r="AC181" s="143">
        <f>IFERROR(_xlfn.XLOOKUP($D181,'Modelling New'!$D:$D,'Modelling New'!$J:$J),"")</f>
        <v>5.56</v>
      </c>
      <c r="AD181" s="138">
        <f>IFERROR(_xlfn.XLOOKUP($D181,'Modelling New'!$D:$D,'Modelling New'!$T:$T)*1000,"")</f>
        <v>373388.45693317999</v>
      </c>
      <c r="AE181" s="142"/>
      <c r="AF181" s="142">
        <f>IFERROR(_xlfn.XLOOKUP($D181,'Modelling New'!$D:$D,'Modelling New'!$W:$W),"")</f>
        <v>0.22099222119624762</v>
      </c>
      <c r="AG181" s="142">
        <f>IFERROR(_xlfn.XLOOKUP($D181,'Modelling New'!$D:$D,'Modelling New'!$AE:$AE),"")</f>
        <v>0.96029999999999993</v>
      </c>
      <c r="AH181" s="142">
        <f>IFERROR(_xlfn.XLOOKUP($D181,'Modelling New'!$D:$D,'Modelling New'!$AF:$AF),"")</f>
        <v>0.995</v>
      </c>
      <c r="AI181" s="109" t="str">
        <f>IFERROR(_xlfn.XLOOKUP($A181,Input_Raw!$A:$A,Input_Raw!$DP:$DP),"")</f>
        <v/>
      </c>
      <c r="AJ181" s="108"/>
      <c r="AK181" s="108"/>
      <c r="AL181" s="108"/>
      <c r="AM181" s="108"/>
      <c r="AN181" s="132" t="str">
        <f>IFERROR(_xlfn.XLOOKUP($A181,Input_Raw!$A:$A,Input_Raw!$DL:$DL),"")</f>
        <v/>
      </c>
      <c r="AO181" s="142" t="str">
        <f>IFERROR((_xlfn.XLOOKUP($A181,'WTG Reactive Power'!$A:$A,'WTG Reactive Power'!$AW:$AW))/X181,"")</f>
        <v/>
      </c>
      <c r="AP181" s="142">
        <f>IFERROR(_xlfn.XLOOKUP($D181,'Modelling New'!$D:$D,'Modelling New'!$AK:$AK),"")</f>
        <v>0.05</v>
      </c>
      <c r="AQ181" s="142">
        <f>IFERROR(_xlfn.XLOOKUP($D181,'Modelling New'!$D:$D,'Modelling New'!$AL:$AL),"")</f>
        <v>0.05</v>
      </c>
      <c r="AR181" s="198">
        <f>IFERROR(_xlfn.XLOOKUP($D181,'Modelling New'!$D:$D,'Modelling New'!$N:$N),"")</f>
        <v>70.400000000000006</v>
      </c>
      <c r="AS181" s="198"/>
    </row>
    <row r="182" spans="1:45">
      <c r="A182" s="137">
        <f t="shared" si="18"/>
        <v>45925</v>
      </c>
      <c r="B182" s="138">
        <f>YEAR(Daily_KPI[[#This Row],[Date]])+IF(MONTH(Daily_KPI[[#This Row],[Date]])&gt;=4,1,0)</f>
        <v>2026</v>
      </c>
      <c r="C182" s="108">
        <f>YEAR(Daily_KPI[[#This Row],[Date]])</f>
        <v>2025</v>
      </c>
      <c r="D182" s="139">
        <f>Daily_KPI[[#This Row],[Date]]-DAY(Daily_KPI[[#This Row],[Date]])+1</f>
        <v>45901</v>
      </c>
      <c r="E182" s="108">
        <f t="shared" si="14"/>
        <v>30</v>
      </c>
      <c r="F182" s="109"/>
      <c r="G182" s="143"/>
      <c r="H182" s="143"/>
      <c r="I182" s="143"/>
      <c r="J182" s="143"/>
      <c r="K182" s="111"/>
      <c r="L182" s="110"/>
      <c r="M182" s="110" t="str">
        <f>IFERROR(_xlfn.XLOOKUP($A182,Input_Raw!$A:$A,Input_Raw!$CQ:$CQ),"")</f>
        <v/>
      </c>
      <c r="N182" s="110" t="str">
        <f>IFERROR(_xlfn.XLOOKUP($A182,Input_Raw!$A:$A,Input_Raw!$CR:$CR),"")</f>
        <v/>
      </c>
      <c r="O182" s="141" t="str">
        <f t="shared" si="15"/>
        <v/>
      </c>
      <c r="P182" s="141" t="str">
        <f>IFERROR(1-SUMIF(WTG_BD!$F:$F,$A182,WTG_BD!$AA:$AA)/($AA182+SUMIF(WTG_BD!$F:$F,$A182,WTG_BD!$AA:$AA)),"")</f>
        <v/>
      </c>
      <c r="Q182" s="141" t="str">
        <f>IFERROR(1-SUMIF(IGA_BD!$F:$F,$A182,IGA_BD!$W:$W)/($AA182+SUMIF(IGA_BD!$F:$F,$A182,IGA_BD!$W:$W)),"")</f>
        <v/>
      </c>
      <c r="R182" s="141" t="str">
        <f>IFERROR(1-SUMIF(Grid_BD!$F:$F,$A182,Grid_BD!$Y:$Y)/($AA182+SUMIF(Grid_BD!$F:$F,$A182,Grid_BD!$Y:$Y)),"")</f>
        <v/>
      </c>
      <c r="S182" s="108"/>
      <c r="T182" s="140"/>
      <c r="U182" s="141"/>
      <c r="V182" s="108"/>
      <c r="W182" s="142" t="str">
        <f t="shared" si="16"/>
        <v/>
      </c>
      <c r="X182" s="108" t="str">
        <f>IFERROR(_xlfn.XLOOKUP($A182,Input_Raw!$A:$A,Input_Raw!$CP:$CP)*1000,"")</f>
        <v/>
      </c>
      <c r="Y182" s="108" t="str">
        <f>IFERROR(_xlfn.XLOOKUP($A182,Input_Raw!$A:$A,Input_Raw!DJ:DJ)*1000,"")</f>
        <v/>
      </c>
      <c r="Z182" s="108" t="str">
        <f>IFERROR(_xlfn.XLOOKUP($A182,Input_Raw!$A:$A,Input_Raw!DK:DK)*1000,"")</f>
        <v/>
      </c>
      <c r="AA182" s="138" t="str">
        <f t="shared" si="17"/>
        <v/>
      </c>
      <c r="AB182" s="108" t="str">
        <f>IFERROR(_xlfn.XLOOKUP($A182,Input_Raw!$A:$A,Input_Raw!$DR:$DR),"")</f>
        <v/>
      </c>
      <c r="AC182" s="143">
        <f>IFERROR(_xlfn.XLOOKUP($D182,'Modelling New'!$D:$D,'Modelling New'!$J:$J),"")</f>
        <v>5.56</v>
      </c>
      <c r="AD182" s="138">
        <f>IFERROR(_xlfn.XLOOKUP($D182,'Modelling New'!$D:$D,'Modelling New'!$T:$T)*1000,"")</f>
        <v>373388.45693317999</v>
      </c>
      <c r="AE182" s="142"/>
      <c r="AF182" s="142">
        <f>IFERROR(_xlfn.XLOOKUP($D182,'Modelling New'!$D:$D,'Modelling New'!$W:$W),"")</f>
        <v>0.22099222119624762</v>
      </c>
      <c r="AG182" s="142">
        <f>IFERROR(_xlfn.XLOOKUP($D182,'Modelling New'!$D:$D,'Modelling New'!$AE:$AE),"")</f>
        <v>0.96029999999999993</v>
      </c>
      <c r="AH182" s="142">
        <f>IFERROR(_xlfn.XLOOKUP($D182,'Modelling New'!$D:$D,'Modelling New'!$AF:$AF),"")</f>
        <v>0.995</v>
      </c>
      <c r="AI182" s="109" t="str">
        <f>IFERROR(_xlfn.XLOOKUP($A182,Input_Raw!$A:$A,Input_Raw!$DP:$DP),"")</f>
        <v/>
      </c>
      <c r="AJ182" s="108"/>
      <c r="AK182" s="108"/>
      <c r="AL182" s="108"/>
      <c r="AM182" s="108"/>
      <c r="AN182" s="132" t="str">
        <f>IFERROR(_xlfn.XLOOKUP($A182,Input_Raw!$A:$A,Input_Raw!$DL:$DL),"")</f>
        <v/>
      </c>
      <c r="AO182" s="142" t="str">
        <f>IFERROR((_xlfn.XLOOKUP($A182,'WTG Reactive Power'!$A:$A,'WTG Reactive Power'!$AW:$AW))/X182,"")</f>
        <v/>
      </c>
      <c r="AP182" s="142">
        <f>IFERROR(_xlfn.XLOOKUP($D182,'Modelling New'!$D:$D,'Modelling New'!$AK:$AK),"")</f>
        <v>0.05</v>
      </c>
      <c r="AQ182" s="142">
        <f>IFERROR(_xlfn.XLOOKUP($D182,'Modelling New'!$D:$D,'Modelling New'!$AL:$AL),"")</f>
        <v>0.05</v>
      </c>
      <c r="AR182" s="198">
        <f>IFERROR(_xlfn.XLOOKUP($D182,'Modelling New'!$D:$D,'Modelling New'!$N:$N),"")</f>
        <v>70.400000000000006</v>
      </c>
      <c r="AS182" s="198"/>
    </row>
    <row r="183" spans="1:45">
      <c r="A183" s="137">
        <f t="shared" si="18"/>
        <v>45926</v>
      </c>
      <c r="B183" s="138">
        <f>YEAR(Daily_KPI[[#This Row],[Date]])+IF(MONTH(Daily_KPI[[#This Row],[Date]])&gt;=4,1,0)</f>
        <v>2026</v>
      </c>
      <c r="C183" s="108">
        <f>YEAR(Daily_KPI[[#This Row],[Date]])</f>
        <v>2025</v>
      </c>
      <c r="D183" s="139">
        <f>Daily_KPI[[#This Row],[Date]]-DAY(Daily_KPI[[#This Row],[Date]])+1</f>
        <v>45901</v>
      </c>
      <c r="E183" s="108">
        <f t="shared" si="14"/>
        <v>30</v>
      </c>
      <c r="F183" s="109"/>
      <c r="G183" s="110"/>
      <c r="H183" s="110"/>
      <c r="I183" s="110"/>
      <c r="J183" s="110"/>
      <c r="K183" s="111"/>
      <c r="L183" s="110"/>
      <c r="M183" s="110" t="str">
        <f>IFERROR(_xlfn.XLOOKUP($A183,Input_Raw!$A:$A,Input_Raw!$CQ:$CQ),"")</f>
        <v/>
      </c>
      <c r="N183" s="110" t="str">
        <f>IFERROR(_xlfn.XLOOKUP($A183,Input_Raw!$A:$A,Input_Raw!$CR:$CR),"")</f>
        <v/>
      </c>
      <c r="O183" s="141" t="str">
        <f t="shared" si="15"/>
        <v/>
      </c>
      <c r="P183" s="141" t="str">
        <f>IFERROR(1-SUMIF(WTG_BD!$F:$F,$A183,WTG_BD!$AA:$AA)/($AA183+SUMIF(WTG_BD!$F:$F,$A183,WTG_BD!$AA:$AA)),"")</f>
        <v/>
      </c>
      <c r="Q183" s="141" t="str">
        <f>IFERROR(1-SUMIF(IGA_BD!$F:$F,$A183,IGA_BD!$W:$W)/($AA183+SUMIF(IGA_BD!$F:$F,$A183,IGA_BD!$W:$W)),"")</f>
        <v/>
      </c>
      <c r="R183" s="141" t="str">
        <f>IFERROR(1-SUMIF(Grid_BD!$F:$F,$A183,Grid_BD!$Y:$Y)/($AA183+SUMIF(Grid_BD!$F:$F,$A183,Grid_BD!$Y:$Y)),"")</f>
        <v/>
      </c>
      <c r="S183" s="108"/>
      <c r="T183" s="140"/>
      <c r="U183" s="141"/>
      <c r="V183" s="108"/>
      <c r="W183" s="142" t="str">
        <f t="shared" si="16"/>
        <v/>
      </c>
      <c r="X183" s="108" t="str">
        <f>IFERROR(_xlfn.XLOOKUP($A183,Input_Raw!$A:$A,Input_Raw!$CP:$CP)*1000,"")</f>
        <v/>
      </c>
      <c r="Y183" s="108" t="str">
        <f>IFERROR(_xlfn.XLOOKUP($A183,Input_Raw!$A:$A,Input_Raw!DJ:DJ)*1000,"")</f>
        <v/>
      </c>
      <c r="Z183" s="108" t="str">
        <f>IFERROR(_xlfn.XLOOKUP($A183,Input_Raw!$A:$A,Input_Raw!DK:DK)*1000,"")</f>
        <v/>
      </c>
      <c r="AA183" s="138" t="str">
        <f t="shared" si="17"/>
        <v/>
      </c>
      <c r="AB183" s="108" t="str">
        <f>IFERROR(_xlfn.XLOOKUP($A183,Input_Raw!$A:$A,Input_Raw!$DR:$DR),"")</f>
        <v/>
      </c>
      <c r="AC183" s="143">
        <f>IFERROR(_xlfn.XLOOKUP($D183,'Modelling New'!$D:$D,'Modelling New'!$J:$J),"")</f>
        <v>5.56</v>
      </c>
      <c r="AD183" s="138">
        <f>IFERROR(_xlfn.XLOOKUP($D183,'Modelling New'!$D:$D,'Modelling New'!$T:$T)*1000,"")</f>
        <v>373388.45693317999</v>
      </c>
      <c r="AE183" s="142"/>
      <c r="AF183" s="142">
        <f>IFERROR(_xlfn.XLOOKUP($D183,'Modelling New'!$D:$D,'Modelling New'!$W:$W),"")</f>
        <v>0.22099222119624762</v>
      </c>
      <c r="AG183" s="142">
        <f>IFERROR(_xlfn.XLOOKUP($D183,'Modelling New'!$D:$D,'Modelling New'!$AE:$AE),"")</f>
        <v>0.96029999999999993</v>
      </c>
      <c r="AH183" s="142">
        <f>IFERROR(_xlfn.XLOOKUP($D183,'Modelling New'!$D:$D,'Modelling New'!$AF:$AF),"")</f>
        <v>0.995</v>
      </c>
      <c r="AI183" s="109" t="str">
        <f>IFERROR(_xlfn.XLOOKUP($A183,Input_Raw!$A:$A,Input_Raw!$DP:$DP),"")</f>
        <v/>
      </c>
      <c r="AJ183" s="108"/>
      <c r="AK183" s="108"/>
      <c r="AL183" s="108"/>
      <c r="AM183" s="108"/>
      <c r="AN183" s="132" t="str">
        <f>IFERROR(_xlfn.XLOOKUP($A183,Input_Raw!$A:$A,Input_Raw!$DL:$DL),"")</f>
        <v/>
      </c>
      <c r="AO183" s="142" t="str">
        <f>IFERROR((_xlfn.XLOOKUP($A183,'WTG Reactive Power'!$A:$A,'WTG Reactive Power'!$AW:$AW))/X183,"")</f>
        <v/>
      </c>
      <c r="AP183" s="142">
        <f>IFERROR(_xlfn.XLOOKUP($D183,'Modelling New'!$D:$D,'Modelling New'!$AK:$AK),"")</f>
        <v>0.05</v>
      </c>
      <c r="AQ183" s="142">
        <f>IFERROR(_xlfn.XLOOKUP($D183,'Modelling New'!$D:$D,'Modelling New'!$AL:$AL),"")</f>
        <v>0.05</v>
      </c>
      <c r="AR183" s="198">
        <f>IFERROR(_xlfn.XLOOKUP($D183,'Modelling New'!$D:$D,'Modelling New'!$N:$N),"")</f>
        <v>70.400000000000006</v>
      </c>
      <c r="AS183" s="198"/>
    </row>
    <row r="184" spans="1:45">
      <c r="A184" s="137">
        <f t="shared" si="18"/>
        <v>45927</v>
      </c>
      <c r="B184" s="138">
        <f>YEAR(Daily_KPI[[#This Row],[Date]])+IF(MONTH(Daily_KPI[[#This Row],[Date]])&gt;=4,1,0)</f>
        <v>2026</v>
      </c>
      <c r="C184" s="108">
        <f>YEAR(Daily_KPI[[#This Row],[Date]])</f>
        <v>2025</v>
      </c>
      <c r="D184" s="139">
        <f>Daily_KPI[[#This Row],[Date]]-DAY(Daily_KPI[[#This Row],[Date]])+1</f>
        <v>45901</v>
      </c>
      <c r="E184" s="108">
        <f t="shared" si="14"/>
        <v>30</v>
      </c>
      <c r="F184" s="109"/>
      <c r="G184" s="143"/>
      <c r="H184" s="143"/>
      <c r="I184" s="143"/>
      <c r="J184" s="143"/>
      <c r="K184" s="111"/>
      <c r="L184" s="110"/>
      <c r="M184" s="110" t="str">
        <f>IFERROR(_xlfn.XLOOKUP($A184,Input_Raw!$A:$A,Input_Raw!$CQ:$CQ),"")</f>
        <v/>
      </c>
      <c r="N184" s="110" t="str">
        <f>IFERROR(_xlfn.XLOOKUP($A184,Input_Raw!$A:$A,Input_Raw!$CR:$CR),"")</f>
        <v/>
      </c>
      <c r="O184" s="141" t="str">
        <f t="shared" si="15"/>
        <v/>
      </c>
      <c r="P184" s="141" t="str">
        <f>IFERROR(1-SUMIF(WTG_BD!$F:$F,$A184,WTG_BD!$AA:$AA)/($AA184+SUMIF(WTG_BD!$F:$F,$A184,WTG_BD!$AA:$AA)),"")</f>
        <v/>
      </c>
      <c r="Q184" s="141" t="str">
        <f>IFERROR(1-SUMIF(IGA_BD!$F:$F,$A184,IGA_BD!$W:$W)/($AA184+SUMIF(IGA_BD!$F:$F,$A184,IGA_BD!$W:$W)),"")</f>
        <v/>
      </c>
      <c r="R184" s="141" t="str">
        <f>IFERROR(1-SUMIF(Grid_BD!$F:$F,$A184,Grid_BD!$Y:$Y)/($AA184+SUMIF(Grid_BD!$F:$F,$A184,Grid_BD!$Y:$Y)),"")</f>
        <v/>
      </c>
      <c r="S184" s="108"/>
      <c r="T184" s="140"/>
      <c r="U184" s="141"/>
      <c r="V184" s="108"/>
      <c r="W184" s="142" t="str">
        <f t="shared" si="16"/>
        <v/>
      </c>
      <c r="X184" s="108" t="str">
        <f>IFERROR(_xlfn.XLOOKUP($A184,Input_Raw!$A:$A,Input_Raw!$CP:$CP)*1000,"")</f>
        <v/>
      </c>
      <c r="Y184" s="108" t="str">
        <f>IFERROR(_xlfn.XLOOKUP($A184,Input_Raw!$A:$A,Input_Raw!DJ:DJ)*1000,"")</f>
        <v/>
      </c>
      <c r="Z184" s="108" t="str">
        <f>IFERROR(_xlfn.XLOOKUP($A184,Input_Raw!$A:$A,Input_Raw!DK:DK)*1000,"")</f>
        <v/>
      </c>
      <c r="AA184" s="138" t="str">
        <f t="shared" si="17"/>
        <v/>
      </c>
      <c r="AB184" s="108" t="str">
        <f>IFERROR(_xlfn.XLOOKUP($A184,Input_Raw!$A:$A,Input_Raw!$DR:$DR),"")</f>
        <v/>
      </c>
      <c r="AC184" s="143">
        <f>IFERROR(_xlfn.XLOOKUP($D184,'Modelling New'!$D:$D,'Modelling New'!$J:$J),"")</f>
        <v>5.56</v>
      </c>
      <c r="AD184" s="138">
        <f>IFERROR(_xlfn.XLOOKUP($D184,'Modelling New'!$D:$D,'Modelling New'!$T:$T)*1000,"")</f>
        <v>373388.45693317999</v>
      </c>
      <c r="AE184" s="142"/>
      <c r="AF184" s="142">
        <f>IFERROR(_xlfn.XLOOKUP($D184,'Modelling New'!$D:$D,'Modelling New'!$W:$W),"")</f>
        <v>0.22099222119624762</v>
      </c>
      <c r="AG184" s="142">
        <f>IFERROR(_xlfn.XLOOKUP($D184,'Modelling New'!$D:$D,'Modelling New'!$AE:$AE),"")</f>
        <v>0.96029999999999993</v>
      </c>
      <c r="AH184" s="142">
        <f>IFERROR(_xlfn.XLOOKUP($D184,'Modelling New'!$D:$D,'Modelling New'!$AF:$AF),"")</f>
        <v>0.995</v>
      </c>
      <c r="AI184" s="109" t="str">
        <f>IFERROR(_xlfn.XLOOKUP($A184,Input_Raw!$A:$A,Input_Raw!$DP:$DP),"")</f>
        <v/>
      </c>
      <c r="AJ184" s="108"/>
      <c r="AK184" s="108"/>
      <c r="AL184" s="108"/>
      <c r="AM184" s="108"/>
      <c r="AN184" s="132" t="str">
        <f>IFERROR(_xlfn.XLOOKUP($A184,Input_Raw!$A:$A,Input_Raw!$DL:$DL),"")</f>
        <v/>
      </c>
      <c r="AO184" s="142" t="str">
        <f>IFERROR((_xlfn.XLOOKUP($A184,'WTG Reactive Power'!$A:$A,'WTG Reactive Power'!$AW:$AW))/X184,"")</f>
        <v/>
      </c>
      <c r="AP184" s="142">
        <f>IFERROR(_xlfn.XLOOKUP($D184,'Modelling New'!$D:$D,'Modelling New'!$AK:$AK),"")</f>
        <v>0.05</v>
      </c>
      <c r="AQ184" s="142">
        <f>IFERROR(_xlfn.XLOOKUP($D184,'Modelling New'!$D:$D,'Modelling New'!$AL:$AL),"")</f>
        <v>0.05</v>
      </c>
      <c r="AR184" s="198">
        <f>IFERROR(_xlfn.XLOOKUP($D184,'Modelling New'!$D:$D,'Modelling New'!$N:$N),"")</f>
        <v>70.400000000000006</v>
      </c>
      <c r="AS184" s="198"/>
    </row>
    <row r="185" spans="1:45">
      <c r="A185" s="137">
        <f t="shared" si="18"/>
        <v>45928</v>
      </c>
      <c r="B185" s="138">
        <f>YEAR(Daily_KPI[[#This Row],[Date]])+IF(MONTH(Daily_KPI[[#This Row],[Date]])&gt;=4,1,0)</f>
        <v>2026</v>
      </c>
      <c r="C185" s="108">
        <f>YEAR(Daily_KPI[[#This Row],[Date]])</f>
        <v>2025</v>
      </c>
      <c r="D185" s="139">
        <f>Daily_KPI[[#This Row],[Date]]-DAY(Daily_KPI[[#This Row],[Date]])+1</f>
        <v>45901</v>
      </c>
      <c r="E185" s="108">
        <f t="shared" si="14"/>
        <v>30</v>
      </c>
      <c r="F185" s="109"/>
      <c r="G185" s="110"/>
      <c r="H185" s="110"/>
      <c r="I185" s="110"/>
      <c r="J185" s="110"/>
      <c r="K185" s="111"/>
      <c r="L185" s="110"/>
      <c r="M185" s="110" t="str">
        <f>IFERROR(_xlfn.XLOOKUP($A185,Input_Raw!$A:$A,Input_Raw!$CQ:$CQ),"")</f>
        <v/>
      </c>
      <c r="N185" s="110" t="str">
        <f>IFERROR(_xlfn.XLOOKUP($A185,Input_Raw!$A:$A,Input_Raw!$CR:$CR),"")</f>
        <v/>
      </c>
      <c r="O185" s="141" t="str">
        <f t="shared" si="15"/>
        <v/>
      </c>
      <c r="P185" s="141" t="str">
        <f>IFERROR(1-SUMIF(WTG_BD!$F:$F,$A185,WTG_BD!$AA:$AA)/($AA185+SUMIF(WTG_BD!$F:$F,$A185,WTG_BD!$AA:$AA)),"")</f>
        <v/>
      </c>
      <c r="Q185" s="141" t="str">
        <f>IFERROR(1-SUMIF(IGA_BD!$F:$F,$A185,IGA_BD!$W:$W)/($AA185+SUMIF(IGA_BD!$F:$F,$A185,IGA_BD!$W:$W)),"")</f>
        <v/>
      </c>
      <c r="R185" s="141" t="str">
        <f>IFERROR(1-SUMIF(Grid_BD!$F:$F,$A185,Grid_BD!$Y:$Y)/($AA185+SUMIF(Grid_BD!$F:$F,$A185,Grid_BD!$Y:$Y)),"")</f>
        <v/>
      </c>
      <c r="S185" s="108"/>
      <c r="T185" s="140"/>
      <c r="U185" s="141"/>
      <c r="V185" s="108"/>
      <c r="W185" s="142" t="str">
        <f t="shared" si="16"/>
        <v/>
      </c>
      <c r="X185" s="108" t="str">
        <f>IFERROR(_xlfn.XLOOKUP($A185,Input_Raw!$A:$A,Input_Raw!$CP:$CP)*1000,"")</f>
        <v/>
      </c>
      <c r="Y185" s="108" t="str">
        <f>IFERROR(_xlfn.XLOOKUP($A185,Input_Raw!$A:$A,Input_Raw!DJ:DJ)*1000,"")</f>
        <v/>
      </c>
      <c r="Z185" s="108" t="str">
        <f>IFERROR(_xlfn.XLOOKUP($A185,Input_Raw!$A:$A,Input_Raw!DK:DK)*1000,"")</f>
        <v/>
      </c>
      <c r="AA185" s="138" t="str">
        <f t="shared" si="17"/>
        <v/>
      </c>
      <c r="AB185" s="108" t="str">
        <f>IFERROR(_xlfn.XLOOKUP($A185,Input_Raw!$A:$A,Input_Raw!$DR:$DR),"")</f>
        <v/>
      </c>
      <c r="AC185" s="143">
        <f>IFERROR(_xlfn.XLOOKUP($D185,'Modelling New'!$D:$D,'Modelling New'!$J:$J),"")</f>
        <v>5.56</v>
      </c>
      <c r="AD185" s="138">
        <f>IFERROR(_xlfn.XLOOKUP($D185,'Modelling New'!$D:$D,'Modelling New'!$T:$T)*1000,"")</f>
        <v>373388.45693317999</v>
      </c>
      <c r="AE185" s="142"/>
      <c r="AF185" s="142">
        <f>IFERROR(_xlfn.XLOOKUP($D185,'Modelling New'!$D:$D,'Modelling New'!$W:$W),"")</f>
        <v>0.22099222119624762</v>
      </c>
      <c r="AG185" s="142">
        <f>IFERROR(_xlfn.XLOOKUP($D185,'Modelling New'!$D:$D,'Modelling New'!$AE:$AE),"")</f>
        <v>0.96029999999999993</v>
      </c>
      <c r="AH185" s="142">
        <f>IFERROR(_xlfn.XLOOKUP($D185,'Modelling New'!$D:$D,'Modelling New'!$AF:$AF),"")</f>
        <v>0.995</v>
      </c>
      <c r="AI185" s="109" t="str">
        <f>IFERROR(_xlfn.XLOOKUP($A185,Input_Raw!$A:$A,Input_Raw!$DP:$DP),"")</f>
        <v/>
      </c>
      <c r="AJ185" s="108"/>
      <c r="AK185" s="108"/>
      <c r="AL185" s="108"/>
      <c r="AM185" s="108"/>
      <c r="AN185" s="132" t="str">
        <f>IFERROR(_xlfn.XLOOKUP($A185,Input_Raw!$A:$A,Input_Raw!$DL:$DL),"")</f>
        <v/>
      </c>
      <c r="AO185" s="142" t="str">
        <f>IFERROR((_xlfn.XLOOKUP($A185,'WTG Reactive Power'!$A:$A,'WTG Reactive Power'!$AW:$AW))/X185,"")</f>
        <v/>
      </c>
      <c r="AP185" s="142">
        <f>IFERROR(_xlfn.XLOOKUP($D185,'Modelling New'!$D:$D,'Modelling New'!$AK:$AK),"")</f>
        <v>0.05</v>
      </c>
      <c r="AQ185" s="142">
        <f>IFERROR(_xlfn.XLOOKUP($D185,'Modelling New'!$D:$D,'Modelling New'!$AL:$AL),"")</f>
        <v>0.05</v>
      </c>
      <c r="AR185" s="198">
        <f>IFERROR(_xlfn.XLOOKUP($D185,'Modelling New'!$D:$D,'Modelling New'!$N:$N),"")</f>
        <v>70.400000000000006</v>
      </c>
      <c r="AS185" s="198"/>
    </row>
    <row r="186" spans="1:45">
      <c r="A186" s="137">
        <f t="shared" si="18"/>
        <v>45929</v>
      </c>
      <c r="B186" s="138">
        <f>YEAR(Daily_KPI[[#This Row],[Date]])+IF(MONTH(Daily_KPI[[#This Row],[Date]])&gt;=4,1,0)</f>
        <v>2026</v>
      </c>
      <c r="C186" s="108">
        <f>YEAR(Daily_KPI[[#This Row],[Date]])</f>
        <v>2025</v>
      </c>
      <c r="D186" s="139">
        <f>Daily_KPI[[#This Row],[Date]]-DAY(Daily_KPI[[#This Row],[Date]])+1</f>
        <v>45901</v>
      </c>
      <c r="E186" s="108">
        <f t="shared" si="14"/>
        <v>30</v>
      </c>
      <c r="F186" s="109"/>
      <c r="G186" s="143"/>
      <c r="H186" s="143"/>
      <c r="I186" s="143"/>
      <c r="J186" s="143"/>
      <c r="K186" s="111"/>
      <c r="L186" s="110"/>
      <c r="M186" s="110" t="str">
        <f>IFERROR(_xlfn.XLOOKUP($A186,Input_Raw!$A:$A,Input_Raw!$CQ:$CQ),"")</f>
        <v/>
      </c>
      <c r="N186" s="110" t="str">
        <f>IFERROR(_xlfn.XLOOKUP($A186,Input_Raw!$A:$A,Input_Raw!$CR:$CR),"")</f>
        <v/>
      </c>
      <c r="O186" s="141" t="str">
        <f t="shared" si="15"/>
        <v/>
      </c>
      <c r="P186" s="141" t="str">
        <f>IFERROR(1-SUMIF(WTG_BD!$F:$F,$A186,WTG_BD!$AA:$AA)/($AA186+SUMIF(WTG_BD!$F:$F,$A186,WTG_BD!$AA:$AA)),"")</f>
        <v/>
      </c>
      <c r="Q186" s="141" t="str">
        <f>IFERROR(1-SUMIF(IGA_BD!$F:$F,$A186,IGA_BD!$W:$W)/($AA186+SUMIF(IGA_BD!$F:$F,$A186,IGA_BD!$W:$W)),"")</f>
        <v/>
      </c>
      <c r="R186" s="141" t="str">
        <f>IFERROR(1-SUMIF(Grid_BD!$F:$F,$A186,Grid_BD!$Y:$Y)/($AA186+SUMIF(Grid_BD!$F:$F,$A186,Grid_BD!$Y:$Y)),"")</f>
        <v/>
      </c>
      <c r="S186" s="108"/>
      <c r="T186" s="140"/>
      <c r="U186" s="141"/>
      <c r="V186" s="108"/>
      <c r="W186" s="142" t="str">
        <f t="shared" si="16"/>
        <v/>
      </c>
      <c r="X186" s="108" t="str">
        <f>IFERROR(_xlfn.XLOOKUP($A186,Input_Raw!$A:$A,Input_Raw!$CP:$CP)*1000,"")</f>
        <v/>
      </c>
      <c r="Y186" s="108" t="str">
        <f>IFERROR(_xlfn.XLOOKUP($A186,Input_Raw!$A:$A,Input_Raw!DJ:DJ)*1000,"")</f>
        <v/>
      </c>
      <c r="Z186" s="108" t="str">
        <f>IFERROR(_xlfn.XLOOKUP($A186,Input_Raw!$A:$A,Input_Raw!DK:DK)*1000,"")</f>
        <v/>
      </c>
      <c r="AA186" s="138" t="str">
        <f t="shared" si="17"/>
        <v/>
      </c>
      <c r="AB186" s="108" t="str">
        <f>IFERROR(_xlfn.XLOOKUP($A186,Input_Raw!$A:$A,Input_Raw!$DR:$DR),"")</f>
        <v/>
      </c>
      <c r="AC186" s="143">
        <f>IFERROR(_xlfn.XLOOKUP($D186,'Modelling New'!$D:$D,'Modelling New'!$J:$J),"")</f>
        <v>5.56</v>
      </c>
      <c r="AD186" s="138">
        <f>IFERROR(_xlfn.XLOOKUP($D186,'Modelling New'!$D:$D,'Modelling New'!$T:$T)*1000,"")</f>
        <v>373388.45693317999</v>
      </c>
      <c r="AE186" s="142"/>
      <c r="AF186" s="142">
        <f>IFERROR(_xlfn.XLOOKUP($D186,'Modelling New'!$D:$D,'Modelling New'!$W:$W),"")</f>
        <v>0.22099222119624762</v>
      </c>
      <c r="AG186" s="142">
        <f>IFERROR(_xlfn.XLOOKUP($D186,'Modelling New'!$D:$D,'Modelling New'!$AE:$AE),"")</f>
        <v>0.96029999999999993</v>
      </c>
      <c r="AH186" s="142">
        <f>IFERROR(_xlfn.XLOOKUP($D186,'Modelling New'!$D:$D,'Modelling New'!$AF:$AF),"")</f>
        <v>0.995</v>
      </c>
      <c r="AI186" s="109" t="str">
        <f>IFERROR(_xlfn.XLOOKUP($A186,Input_Raw!$A:$A,Input_Raw!$DP:$DP),"")</f>
        <v/>
      </c>
      <c r="AJ186" s="108"/>
      <c r="AK186" s="108"/>
      <c r="AL186" s="108"/>
      <c r="AM186" s="108"/>
      <c r="AN186" s="132" t="str">
        <f>IFERROR(_xlfn.XLOOKUP($A186,Input_Raw!$A:$A,Input_Raw!$DL:$DL),"")</f>
        <v/>
      </c>
      <c r="AO186" s="142" t="str">
        <f>IFERROR((_xlfn.XLOOKUP($A186,'WTG Reactive Power'!$A:$A,'WTG Reactive Power'!$AW:$AW))/X186,"")</f>
        <v/>
      </c>
      <c r="AP186" s="142">
        <f>IFERROR(_xlfn.XLOOKUP($D186,'Modelling New'!$D:$D,'Modelling New'!$AK:$AK),"")</f>
        <v>0.05</v>
      </c>
      <c r="AQ186" s="142">
        <f>IFERROR(_xlfn.XLOOKUP($D186,'Modelling New'!$D:$D,'Modelling New'!$AL:$AL),"")</f>
        <v>0.05</v>
      </c>
      <c r="AR186" s="198">
        <f>IFERROR(_xlfn.XLOOKUP($D186,'Modelling New'!$D:$D,'Modelling New'!$N:$N),"")</f>
        <v>70.400000000000006</v>
      </c>
      <c r="AS186" s="198"/>
    </row>
    <row r="187" spans="1:45">
      <c r="A187" s="137">
        <f t="shared" si="18"/>
        <v>45930</v>
      </c>
      <c r="B187" s="138">
        <f>YEAR(Daily_KPI[[#This Row],[Date]])+IF(MONTH(Daily_KPI[[#This Row],[Date]])&gt;=4,1,0)</f>
        <v>2026</v>
      </c>
      <c r="C187" s="108">
        <f>YEAR(Daily_KPI[[#This Row],[Date]])</f>
        <v>2025</v>
      </c>
      <c r="D187" s="139">
        <f>Daily_KPI[[#This Row],[Date]]-DAY(Daily_KPI[[#This Row],[Date]])+1</f>
        <v>45901</v>
      </c>
      <c r="E187" s="108">
        <f t="shared" si="14"/>
        <v>30</v>
      </c>
      <c r="F187" s="109"/>
      <c r="G187" s="110"/>
      <c r="H187" s="110"/>
      <c r="I187" s="110"/>
      <c r="J187" s="110"/>
      <c r="K187" s="111"/>
      <c r="L187" s="110"/>
      <c r="M187" s="110" t="str">
        <f>IFERROR(_xlfn.XLOOKUP($A187,Input_Raw!$A:$A,Input_Raw!$CQ:$CQ),"")</f>
        <v/>
      </c>
      <c r="N187" s="110" t="str">
        <f>IFERROR(_xlfn.XLOOKUP($A187,Input_Raw!$A:$A,Input_Raw!$CR:$CR),"")</f>
        <v/>
      </c>
      <c r="O187" s="141" t="str">
        <f t="shared" si="15"/>
        <v/>
      </c>
      <c r="P187" s="141" t="str">
        <f>IFERROR(1-SUMIF(WTG_BD!$F:$F,$A187,WTG_BD!$AA:$AA)/($AA187+SUMIF(WTG_BD!$F:$F,$A187,WTG_BD!$AA:$AA)),"")</f>
        <v/>
      </c>
      <c r="Q187" s="141" t="str">
        <f>IFERROR(1-SUMIF(IGA_BD!$F:$F,$A187,IGA_BD!$W:$W)/($AA187+SUMIF(IGA_BD!$F:$F,$A187,IGA_BD!$W:$W)),"")</f>
        <v/>
      </c>
      <c r="R187" s="141" t="str">
        <f>IFERROR(1-SUMIF(Grid_BD!$F:$F,$A187,Grid_BD!$Y:$Y)/($AA187+SUMIF(Grid_BD!$F:$F,$A187,Grid_BD!$Y:$Y)),"")</f>
        <v/>
      </c>
      <c r="S187" s="108"/>
      <c r="T187" s="140"/>
      <c r="U187" s="141"/>
      <c r="V187" s="108"/>
      <c r="W187" s="142" t="str">
        <f t="shared" si="16"/>
        <v/>
      </c>
      <c r="X187" s="108" t="str">
        <f>IFERROR(_xlfn.XLOOKUP($A187,Input_Raw!$A:$A,Input_Raw!$CP:$CP)*1000,"")</f>
        <v/>
      </c>
      <c r="Y187" s="108" t="str">
        <f>IFERROR(_xlfn.XLOOKUP($A187,Input_Raw!$A:$A,Input_Raw!DJ:DJ)*1000,"")</f>
        <v/>
      </c>
      <c r="Z187" s="108" t="str">
        <f>IFERROR(_xlfn.XLOOKUP($A187,Input_Raw!$A:$A,Input_Raw!DK:DK)*1000,"")</f>
        <v/>
      </c>
      <c r="AA187" s="138" t="str">
        <f t="shared" si="17"/>
        <v/>
      </c>
      <c r="AB187" s="108" t="str">
        <f>IFERROR(_xlfn.XLOOKUP($A187,Input_Raw!$A:$A,Input_Raw!$DR:$DR),"")</f>
        <v/>
      </c>
      <c r="AC187" s="143">
        <f>IFERROR(_xlfn.XLOOKUP($D187,'Modelling New'!$D:$D,'Modelling New'!$J:$J),"")</f>
        <v>5.56</v>
      </c>
      <c r="AD187" s="138">
        <f>IFERROR(_xlfn.XLOOKUP($D187,'Modelling New'!$D:$D,'Modelling New'!$T:$T)*1000,"")</f>
        <v>373388.45693317999</v>
      </c>
      <c r="AE187" s="142"/>
      <c r="AF187" s="142">
        <f>IFERROR(_xlfn.XLOOKUP($D187,'Modelling New'!$D:$D,'Modelling New'!$W:$W),"")</f>
        <v>0.22099222119624762</v>
      </c>
      <c r="AG187" s="142">
        <f>IFERROR(_xlfn.XLOOKUP($D187,'Modelling New'!$D:$D,'Modelling New'!$AE:$AE),"")</f>
        <v>0.96029999999999993</v>
      </c>
      <c r="AH187" s="142">
        <f>IFERROR(_xlfn.XLOOKUP($D187,'Modelling New'!$D:$D,'Modelling New'!$AF:$AF),"")</f>
        <v>0.995</v>
      </c>
      <c r="AI187" s="109" t="str">
        <f>IFERROR(_xlfn.XLOOKUP($A187,Input_Raw!$A:$A,Input_Raw!$DP:$DP),"")</f>
        <v/>
      </c>
      <c r="AJ187" s="108"/>
      <c r="AK187" s="108"/>
      <c r="AL187" s="108"/>
      <c r="AM187" s="108"/>
      <c r="AN187" s="132" t="str">
        <f>IFERROR(_xlfn.XLOOKUP($A187,Input_Raw!$A:$A,Input_Raw!$DL:$DL),"")</f>
        <v/>
      </c>
      <c r="AO187" s="142" t="str">
        <f>IFERROR((_xlfn.XLOOKUP($A187,'WTG Reactive Power'!$A:$A,'WTG Reactive Power'!$AW:$AW))/X187,"")</f>
        <v/>
      </c>
      <c r="AP187" s="142">
        <f>IFERROR(_xlfn.XLOOKUP($D187,'Modelling New'!$D:$D,'Modelling New'!$AK:$AK),"")</f>
        <v>0.05</v>
      </c>
      <c r="AQ187" s="142">
        <f>IFERROR(_xlfn.XLOOKUP($D187,'Modelling New'!$D:$D,'Modelling New'!$AL:$AL),"")</f>
        <v>0.05</v>
      </c>
      <c r="AR187" s="198">
        <f>IFERROR(_xlfn.XLOOKUP($D187,'Modelling New'!$D:$D,'Modelling New'!$N:$N),"")</f>
        <v>70.400000000000006</v>
      </c>
      <c r="AS187" s="198"/>
    </row>
    <row r="188" spans="1:45">
      <c r="A188" s="137">
        <f t="shared" si="18"/>
        <v>45931</v>
      </c>
      <c r="B188" s="138">
        <f>YEAR(Daily_KPI[[#This Row],[Date]])+IF(MONTH(Daily_KPI[[#This Row],[Date]])&gt;=4,1,0)</f>
        <v>2026</v>
      </c>
      <c r="C188" s="108">
        <f>YEAR(Daily_KPI[[#This Row],[Date]])</f>
        <v>2025</v>
      </c>
      <c r="D188" s="139">
        <f>Daily_KPI[[#This Row],[Date]]-DAY(Daily_KPI[[#This Row],[Date]])+1</f>
        <v>45931</v>
      </c>
      <c r="E188" s="108">
        <f t="shared" si="14"/>
        <v>31</v>
      </c>
      <c r="F188" s="109"/>
      <c r="G188" s="143"/>
      <c r="H188" s="143"/>
      <c r="I188" s="143"/>
      <c r="J188" s="143"/>
      <c r="K188" s="111"/>
      <c r="L188" s="110"/>
      <c r="M188" s="110" t="str">
        <f>IFERROR(_xlfn.XLOOKUP($A188,Input_Raw!$A:$A,Input_Raw!$CQ:$CQ),"")</f>
        <v/>
      </c>
      <c r="N188" s="110" t="str">
        <f>IFERROR(_xlfn.XLOOKUP($A188,Input_Raw!$A:$A,Input_Raw!$CR:$CR),"")</f>
        <v/>
      </c>
      <c r="O188" s="141" t="str">
        <f t="shared" si="15"/>
        <v/>
      </c>
      <c r="P188" s="141" t="str">
        <f>IFERROR(1-SUMIF(WTG_BD!$F:$F,$A188,WTG_BD!$AA:$AA)/($AA188+SUMIF(WTG_BD!$F:$F,$A188,WTG_BD!$AA:$AA)),"")</f>
        <v/>
      </c>
      <c r="Q188" s="141" t="str">
        <f>IFERROR(1-SUMIF(IGA_BD!$F:$F,$A188,IGA_BD!$W:$W)/($AA188+SUMIF(IGA_BD!$F:$F,$A188,IGA_BD!$W:$W)),"")</f>
        <v/>
      </c>
      <c r="R188" s="141" t="str">
        <f>IFERROR(1-SUMIF(Grid_BD!$F:$F,$A188,Grid_BD!$Y:$Y)/($AA188+SUMIF(Grid_BD!$F:$F,$A188,Grid_BD!$Y:$Y)),"")</f>
        <v/>
      </c>
      <c r="S188" s="108"/>
      <c r="T188" s="140"/>
      <c r="U188" s="141"/>
      <c r="V188" s="108"/>
      <c r="W188" s="142" t="str">
        <f t="shared" si="16"/>
        <v/>
      </c>
      <c r="X188" s="108" t="str">
        <f>IFERROR(_xlfn.XLOOKUP($A188,Input_Raw!$A:$A,Input_Raw!$CP:$CP)*1000,"")</f>
        <v/>
      </c>
      <c r="Y188" s="108" t="str">
        <f>IFERROR(_xlfn.XLOOKUP($A188,Input_Raw!$A:$A,Input_Raw!DJ:DJ)*1000,"")</f>
        <v/>
      </c>
      <c r="Z188" s="108" t="str">
        <f>IFERROR(_xlfn.XLOOKUP($A188,Input_Raw!$A:$A,Input_Raw!DK:DK)*1000,"")</f>
        <v/>
      </c>
      <c r="AA188" s="138" t="str">
        <f t="shared" si="17"/>
        <v/>
      </c>
      <c r="AB188" s="108" t="str">
        <f>IFERROR(_xlfn.XLOOKUP($A188,Input_Raw!$A:$A,Input_Raw!$DR:$DR),"")</f>
        <v/>
      </c>
      <c r="AC188" s="143">
        <f>IFERROR(_xlfn.XLOOKUP($D188,'Modelling New'!$D:$D,'Modelling New'!$J:$J),"")</f>
        <v>4.1733333333333329</v>
      </c>
      <c r="AD188" s="138">
        <f>IFERROR(_xlfn.XLOOKUP($D188,'Modelling New'!$D:$D,'Modelling New'!$T:$T)*1000,"")</f>
        <v>150264.62742866005</v>
      </c>
      <c r="AE188" s="142"/>
      <c r="AF188" s="142">
        <f>IFERROR(_xlfn.XLOOKUP($D188,'Modelling New'!$D:$D,'Modelling New'!$W:$W),"")</f>
        <v>8.8935030438364135E-2</v>
      </c>
      <c r="AG188" s="142">
        <f>IFERROR(_xlfn.XLOOKUP($D188,'Modelling New'!$D:$D,'Modelling New'!$AE:$AE),"")</f>
        <v>0.96029999999999993</v>
      </c>
      <c r="AH188" s="142">
        <f>IFERROR(_xlfn.XLOOKUP($D188,'Modelling New'!$D:$D,'Modelling New'!$AF:$AF),"")</f>
        <v>0.995</v>
      </c>
      <c r="AI188" s="109" t="str">
        <f>IFERROR(_xlfn.XLOOKUP($A188,Input_Raw!$A:$A,Input_Raw!$DP:$DP),"")</f>
        <v/>
      </c>
      <c r="AJ188" s="108"/>
      <c r="AK188" s="108"/>
      <c r="AL188" s="108"/>
      <c r="AM188" s="108"/>
      <c r="AN188" s="132" t="str">
        <f>IFERROR(_xlfn.XLOOKUP($A188,Input_Raw!$A:$A,Input_Raw!$DL:$DL),"")</f>
        <v/>
      </c>
      <c r="AO188" s="142" t="str">
        <f>IFERROR((_xlfn.XLOOKUP($A188,'WTG Reactive Power'!$A:$A,'WTG Reactive Power'!$AW:$AW))/X188,"")</f>
        <v/>
      </c>
      <c r="AP188" s="142">
        <f>IFERROR(_xlfn.XLOOKUP($D188,'Modelling New'!$D:$D,'Modelling New'!$AK:$AK),"")</f>
        <v>0.05</v>
      </c>
      <c r="AQ188" s="142">
        <f>IFERROR(_xlfn.XLOOKUP($D188,'Modelling New'!$D:$D,'Modelling New'!$AL:$AL),"")</f>
        <v>0.05</v>
      </c>
      <c r="AR188" s="198">
        <f>IFERROR(_xlfn.XLOOKUP($D188,'Modelling New'!$D:$D,'Modelling New'!$N:$N),"")</f>
        <v>70.400000000000006</v>
      </c>
      <c r="AS188" s="198"/>
    </row>
    <row r="189" spans="1:45">
      <c r="A189" s="137">
        <f t="shared" si="18"/>
        <v>45932</v>
      </c>
      <c r="B189" s="138">
        <f>YEAR(Daily_KPI[[#This Row],[Date]])+IF(MONTH(Daily_KPI[[#This Row],[Date]])&gt;=4,1,0)</f>
        <v>2026</v>
      </c>
      <c r="C189" s="108">
        <f>YEAR(Daily_KPI[[#This Row],[Date]])</f>
        <v>2025</v>
      </c>
      <c r="D189" s="139">
        <f>Daily_KPI[[#This Row],[Date]]-DAY(Daily_KPI[[#This Row],[Date]])+1</f>
        <v>45931</v>
      </c>
      <c r="E189" s="108">
        <f t="shared" ref="E189:E252" si="19">DAY(EOMONTH(A189,0))</f>
        <v>31</v>
      </c>
      <c r="F189" s="109"/>
      <c r="G189" s="110"/>
      <c r="H189" s="110"/>
      <c r="I189" s="110"/>
      <c r="J189" s="110"/>
      <c r="K189" s="111"/>
      <c r="L189" s="110"/>
      <c r="M189" s="110" t="str">
        <f>IFERROR(_xlfn.XLOOKUP($A189,Input_Raw!$A:$A,Input_Raw!$CQ:$CQ),"")</f>
        <v/>
      </c>
      <c r="N189" s="110" t="str">
        <f>IFERROR(_xlfn.XLOOKUP($A189,Input_Raw!$A:$A,Input_Raw!$CR:$CR),"")</f>
        <v/>
      </c>
      <c r="O189" s="141" t="str">
        <f t="shared" ref="O189:O252" si="20">IFERROR(P189*Q189,"")</f>
        <v/>
      </c>
      <c r="P189" s="141" t="str">
        <f>IFERROR(1-SUMIF(WTG_BD!$F:$F,$A189,WTG_BD!$AA:$AA)/($AA189+SUMIF(WTG_BD!$F:$F,$A189,WTG_BD!$AA:$AA)),"")</f>
        <v/>
      </c>
      <c r="Q189" s="141" t="str">
        <f>IFERROR(1-SUMIF(IGA_BD!$F:$F,$A189,IGA_BD!$W:$W)/($AA189+SUMIF(IGA_BD!$F:$F,$A189,IGA_BD!$W:$W)),"")</f>
        <v/>
      </c>
      <c r="R189" s="141" t="str">
        <f>IFERROR(1-SUMIF(Grid_BD!$F:$F,$A189,Grid_BD!$Y:$Y)/($AA189+SUMIF(Grid_BD!$F:$F,$A189,Grid_BD!$Y:$Y)),"")</f>
        <v/>
      </c>
      <c r="S189" s="108"/>
      <c r="T189" s="140"/>
      <c r="U189" s="141"/>
      <c r="V189" s="108"/>
      <c r="W189" s="142" t="str">
        <f t="shared" ref="W189:W252" si="21">IFERROR(X189/(24*AB189*1000),"")</f>
        <v/>
      </c>
      <c r="X189" s="108" t="str">
        <f>IFERROR(_xlfn.XLOOKUP($A189,Input_Raw!$A:$A,Input_Raw!$CP:$CP)*1000,"")</f>
        <v/>
      </c>
      <c r="Y189" s="108" t="str">
        <f>IFERROR(_xlfn.XLOOKUP($A189,Input_Raw!$A:$A,Input_Raw!DJ:DJ)*1000,"")</f>
        <v/>
      </c>
      <c r="Z189" s="108" t="str">
        <f>IFERROR(_xlfn.XLOOKUP($A189,Input_Raw!$A:$A,Input_Raw!DK:DK)*1000,"")</f>
        <v/>
      </c>
      <c r="AA189" s="138" t="str">
        <f t="shared" ref="AA189:AA252" si="22">IFERROR(Y189-Z189,"")</f>
        <v/>
      </c>
      <c r="AB189" s="108" t="str">
        <f>IFERROR(_xlfn.XLOOKUP($A189,Input_Raw!$A:$A,Input_Raw!$DR:$DR),"")</f>
        <v/>
      </c>
      <c r="AC189" s="143">
        <f>IFERROR(_xlfn.XLOOKUP($D189,'Modelling New'!$D:$D,'Modelling New'!$J:$J),"")</f>
        <v>4.1733333333333329</v>
      </c>
      <c r="AD189" s="138">
        <f>IFERROR(_xlfn.XLOOKUP($D189,'Modelling New'!$D:$D,'Modelling New'!$T:$T)*1000,"")</f>
        <v>150264.62742866005</v>
      </c>
      <c r="AE189" s="142"/>
      <c r="AF189" s="142">
        <f>IFERROR(_xlfn.XLOOKUP($D189,'Modelling New'!$D:$D,'Modelling New'!$W:$W),"")</f>
        <v>8.8935030438364135E-2</v>
      </c>
      <c r="AG189" s="142">
        <f>IFERROR(_xlfn.XLOOKUP($D189,'Modelling New'!$D:$D,'Modelling New'!$AE:$AE),"")</f>
        <v>0.96029999999999993</v>
      </c>
      <c r="AH189" s="142">
        <f>IFERROR(_xlfn.XLOOKUP($D189,'Modelling New'!$D:$D,'Modelling New'!$AF:$AF),"")</f>
        <v>0.995</v>
      </c>
      <c r="AI189" s="109" t="str">
        <f>IFERROR(_xlfn.XLOOKUP($A189,Input_Raw!$A:$A,Input_Raw!$DP:$DP),"")</f>
        <v/>
      </c>
      <c r="AJ189" s="108"/>
      <c r="AK189" s="108"/>
      <c r="AL189" s="108"/>
      <c r="AM189" s="108"/>
      <c r="AN189" s="132" t="str">
        <f>IFERROR(_xlfn.XLOOKUP($A189,Input_Raw!$A:$A,Input_Raw!$DL:$DL),"")</f>
        <v/>
      </c>
      <c r="AO189" s="142" t="str">
        <f>IFERROR((_xlfn.XLOOKUP($A189,'WTG Reactive Power'!$A:$A,'WTG Reactive Power'!$AW:$AW))/X189,"")</f>
        <v/>
      </c>
      <c r="AP189" s="142">
        <f>IFERROR(_xlfn.XLOOKUP($D189,'Modelling New'!$D:$D,'Modelling New'!$AK:$AK),"")</f>
        <v>0.05</v>
      </c>
      <c r="AQ189" s="142">
        <f>IFERROR(_xlfn.XLOOKUP($D189,'Modelling New'!$D:$D,'Modelling New'!$AL:$AL),"")</f>
        <v>0.05</v>
      </c>
      <c r="AR189" s="198">
        <f>IFERROR(_xlfn.XLOOKUP($D189,'Modelling New'!$D:$D,'Modelling New'!$N:$N),"")</f>
        <v>70.400000000000006</v>
      </c>
      <c r="AS189" s="198"/>
    </row>
    <row r="190" spans="1:45">
      <c r="A190" s="137">
        <f t="shared" si="18"/>
        <v>45933</v>
      </c>
      <c r="B190" s="138">
        <f>YEAR(Daily_KPI[[#This Row],[Date]])+IF(MONTH(Daily_KPI[[#This Row],[Date]])&gt;=4,1,0)</f>
        <v>2026</v>
      </c>
      <c r="C190" s="108">
        <f>YEAR(Daily_KPI[[#This Row],[Date]])</f>
        <v>2025</v>
      </c>
      <c r="D190" s="139">
        <f>Daily_KPI[[#This Row],[Date]]-DAY(Daily_KPI[[#This Row],[Date]])+1</f>
        <v>45931</v>
      </c>
      <c r="E190" s="108">
        <f t="shared" si="19"/>
        <v>31</v>
      </c>
      <c r="F190" s="109"/>
      <c r="G190" s="143"/>
      <c r="H190" s="143"/>
      <c r="I190" s="143"/>
      <c r="J190" s="143"/>
      <c r="K190" s="111"/>
      <c r="L190" s="110"/>
      <c r="M190" s="110" t="str">
        <f>IFERROR(_xlfn.XLOOKUP($A190,Input_Raw!$A:$A,Input_Raw!$CQ:$CQ),"")</f>
        <v/>
      </c>
      <c r="N190" s="110" t="str">
        <f>IFERROR(_xlfn.XLOOKUP($A190,Input_Raw!$A:$A,Input_Raw!$CR:$CR),"")</f>
        <v/>
      </c>
      <c r="O190" s="141" t="str">
        <f t="shared" si="20"/>
        <v/>
      </c>
      <c r="P190" s="141" t="str">
        <f>IFERROR(1-SUMIF(WTG_BD!$F:$F,$A190,WTG_BD!$AA:$AA)/($AA190+SUMIF(WTG_BD!$F:$F,$A190,WTG_BD!$AA:$AA)),"")</f>
        <v/>
      </c>
      <c r="Q190" s="141" t="str">
        <f>IFERROR(1-SUMIF(IGA_BD!$F:$F,$A190,IGA_BD!$W:$W)/($AA190+SUMIF(IGA_BD!$F:$F,$A190,IGA_BD!$W:$W)),"")</f>
        <v/>
      </c>
      <c r="R190" s="141" t="str">
        <f>IFERROR(1-SUMIF(Grid_BD!$F:$F,$A190,Grid_BD!$Y:$Y)/($AA190+SUMIF(Grid_BD!$F:$F,$A190,Grid_BD!$Y:$Y)),"")</f>
        <v/>
      </c>
      <c r="S190" s="108"/>
      <c r="T190" s="140"/>
      <c r="U190" s="141"/>
      <c r="V190" s="108"/>
      <c r="W190" s="142" t="str">
        <f t="shared" si="21"/>
        <v/>
      </c>
      <c r="X190" s="108" t="str">
        <f>IFERROR(_xlfn.XLOOKUP($A190,Input_Raw!$A:$A,Input_Raw!$CP:$CP)*1000,"")</f>
        <v/>
      </c>
      <c r="Y190" s="108" t="str">
        <f>IFERROR(_xlfn.XLOOKUP($A190,Input_Raw!$A:$A,Input_Raw!DJ:DJ)*1000,"")</f>
        <v/>
      </c>
      <c r="Z190" s="108" t="str">
        <f>IFERROR(_xlfn.XLOOKUP($A190,Input_Raw!$A:$A,Input_Raw!DK:DK)*1000,"")</f>
        <v/>
      </c>
      <c r="AA190" s="138" t="str">
        <f t="shared" si="22"/>
        <v/>
      </c>
      <c r="AB190" s="108" t="str">
        <f>IFERROR(_xlfn.XLOOKUP($A190,Input_Raw!$A:$A,Input_Raw!$DR:$DR),"")</f>
        <v/>
      </c>
      <c r="AC190" s="143">
        <f>IFERROR(_xlfn.XLOOKUP($D190,'Modelling New'!$D:$D,'Modelling New'!$J:$J),"")</f>
        <v>4.1733333333333329</v>
      </c>
      <c r="AD190" s="138">
        <f>IFERROR(_xlfn.XLOOKUP($D190,'Modelling New'!$D:$D,'Modelling New'!$T:$T)*1000,"")</f>
        <v>150264.62742866005</v>
      </c>
      <c r="AE190" s="142"/>
      <c r="AF190" s="142">
        <f>IFERROR(_xlfn.XLOOKUP($D190,'Modelling New'!$D:$D,'Modelling New'!$W:$W),"")</f>
        <v>8.8935030438364135E-2</v>
      </c>
      <c r="AG190" s="142">
        <f>IFERROR(_xlfn.XLOOKUP($D190,'Modelling New'!$D:$D,'Modelling New'!$AE:$AE),"")</f>
        <v>0.96029999999999993</v>
      </c>
      <c r="AH190" s="142">
        <f>IFERROR(_xlfn.XLOOKUP($D190,'Modelling New'!$D:$D,'Modelling New'!$AF:$AF),"")</f>
        <v>0.995</v>
      </c>
      <c r="AI190" s="109" t="str">
        <f>IFERROR(_xlfn.XLOOKUP($A190,Input_Raw!$A:$A,Input_Raw!$DP:$DP),"")</f>
        <v/>
      </c>
      <c r="AJ190" s="108"/>
      <c r="AK190" s="108"/>
      <c r="AL190" s="108"/>
      <c r="AM190" s="108"/>
      <c r="AN190" s="132" t="str">
        <f>IFERROR(_xlfn.XLOOKUP($A190,Input_Raw!$A:$A,Input_Raw!$DL:$DL),"")</f>
        <v/>
      </c>
      <c r="AO190" s="142" t="str">
        <f>IFERROR((_xlfn.XLOOKUP($A190,'WTG Reactive Power'!$A:$A,'WTG Reactive Power'!$AW:$AW))/X190,"")</f>
        <v/>
      </c>
      <c r="AP190" s="142">
        <f>IFERROR(_xlfn.XLOOKUP($D190,'Modelling New'!$D:$D,'Modelling New'!$AK:$AK),"")</f>
        <v>0.05</v>
      </c>
      <c r="AQ190" s="142">
        <f>IFERROR(_xlfn.XLOOKUP($D190,'Modelling New'!$D:$D,'Modelling New'!$AL:$AL),"")</f>
        <v>0.05</v>
      </c>
      <c r="AR190" s="198">
        <f>IFERROR(_xlfn.XLOOKUP($D190,'Modelling New'!$D:$D,'Modelling New'!$N:$N),"")</f>
        <v>70.400000000000006</v>
      </c>
      <c r="AS190" s="198"/>
    </row>
    <row r="191" spans="1:45">
      <c r="A191" s="137">
        <f t="shared" ref="A191:A254" si="23">A190+1</f>
        <v>45934</v>
      </c>
      <c r="B191" s="138">
        <f>YEAR(Daily_KPI[[#This Row],[Date]])+IF(MONTH(Daily_KPI[[#This Row],[Date]])&gt;=4,1,0)</f>
        <v>2026</v>
      </c>
      <c r="C191" s="108">
        <f>YEAR(Daily_KPI[[#This Row],[Date]])</f>
        <v>2025</v>
      </c>
      <c r="D191" s="139">
        <f>Daily_KPI[[#This Row],[Date]]-DAY(Daily_KPI[[#This Row],[Date]])+1</f>
        <v>45931</v>
      </c>
      <c r="E191" s="108">
        <f t="shared" si="19"/>
        <v>31</v>
      </c>
      <c r="F191" s="109"/>
      <c r="G191" s="110"/>
      <c r="H191" s="110"/>
      <c r="I191" s="110"/>
      <c r="J191" s="110"/>
      <c r="K191" s="111"/>
      <c r="L191" s="110"/>
      <c r="M191" s="110" t="str">
        <f>IFERROR(_xlfn.XLOOKUP($A191,Input_Raw!$A:$A,Input_Raw!$CQ:$CQ),"")</f>
        <v/>
      </c>
      <c r="N191" s="110" t="str">
        <f>IFERROR(_xlfn.XLOOKUP($A191,Input_Raw!$A:$A,Input_Raw!$CR:$CR),"")</f>
        <v/>
      </c>
      <c r="O191" s="141" t="str">
        <f t="shared" si="20"/>
        <v/>
      </c>
      <c r="P191" s="141" t="str">
        <f>IFERROR(1-SUMIF(WTG_BD!$F:$F,$A191,WTG_BD!$AA:$AA)/($AA191+SUMIF(WTG_BD!$F:$F,$A191,WTG_BD!$AA:$AA)),"")</f>
        <v/>
      </c>
      <c r="Q191" s="141" t="str">
        <f>IFERROR(1-SUMIF(IGA_BD!$F:$F,$A191,IGA_BD!$W:$W)/($AA191+SUMIF(IGA_BD!$F:$F,$A191,IGA_BD!$W:$W)),"")</f>
        <v/>
      </c>
      <c r="R191" s="141" t="str">
        <f>IFERROR(1-SUMIF(Grid_BD!$F:$F,$A191,Grid_BD!$Y:$Y)/($AA191+SUMIF(Grid_BD!$F:$F,$A191,Grid_BD!$Y:$Y)),"")</f>
        <v/>
      </c>
      <c r="S191" s="108"/>
      <c r="T191" s="140"/>
      <c r="U191" s="141"/>
      <c r="V191" s="108"/>
      <c r="W191" s="142" t="str">
        <f t="shared" si="21"/>
        <v/>
      </c>
      <c r="X191" s="108" t="str">
        <f>IFERROR(_xlfn.XLOOKUP($A191,Input_Raw!$A:$A,Input_Raw!$CP:$CP)*1000,"")</f>
        <v/>
      </c>
      <c r="Y191" s="108" t="str">
        <f>IFERROR(_xlfn.XLOOKUP($A191,Input_Raw!$A:$A,Input_Raw!DJ:DJ)*1000,"")</f>
        <v/>
      </c>
      <c r="Z191" s="108" t="str">
        <f>IFERROR(_xlfn.XLOOKUP($A191,Input_Raw!$A:$A,Input_Raw!DK:DK)*1000,"")</f>
        <v/>
      </c>
      <c r="AA191" s="138" t="str">
        <f t="shared" si="22"/>
        <v/>
      </c>
      <c r="AB191" s="108" t="str">
        <f>IFERROR(_xlfn.XLOOKUP($A191,Input_Raw!$A:$A,Input_Raw!$DR:$DR),"")</f>
        <v/>
      </c>
      <c r="AC191" s="143">
        <f>IFERROR(_xlfn.XLOOKUP($D191,'Modelling New'!$D:$D,'Modelling New'!$J:$J),"")</f>
        <v>4.1733333333333329</v>
      </c>
      <c r="AD191" s="138">
        <f>IFERROR(_xlfn.XLOOKUP($D191,'Modelling New'!$D:$D,'Modelling New'!$T:$T)*1000,"")</f>
        <v>150264.62742866005</v>
      </c>
      <c r="AE191" s="142"/>
      <c r="AF191" s="142">
        <f>IFERROR(_xlfn.XLOOKUP($D191,'Modelling New'!$D:$D,'Modelling New'!$W:$W),"")</f>
        <v>8.8935030438364135E-2</v>
      </c>
      <c r="AG191" s="142">
        <f>IFERROR(_xlfn.XLOOKUP($D191,'Modelling New'!$D:$D,'Modelling New'!$AE:$AE),"")</f>
        <v>0.96029999999999993</v>
      </c>
      <c r="AH191" s="142">
        <f>IFERROR(_xlfn.XLOOKUP($D191,'Modelling New'!$D:$D,'Modelling New'!$AF:$AF),"")</f>
        <v>0.995</v>
      </c>
      <c r="AI191" s="109" t="str">
        <f>IFERROR(_xlfn.XLOOKUP($A191,Input_Raw!$A:$A,Input_Raw!$DP:$DP),"")</f>
        <v/>
      </c>
      <c r="AJ191" s="108"/>
      <c r="AK191" s="108"/>
      <c r="AL191" s="108"/>
      <c r="AM191" s="108"/>
      <c r="AN191" s="132" t="str">
        <f>IFERROR(_xlfn.XLOOKUP($A191,Input_Raw!$A:$A,Input_Raw!$DL:$DL),"")</f>
        <v/>
      </c>
      <c r="AO191" s="142" t="str">
        <f>IFERROR((_xlfn.XLOOKUP($A191,'WTG Reactive Power'!$A:$A,'WTG Reactive Power'!$AW:$AW))/X191,"")</f>
        <v/>
      </c>
      <c r="AP191" s="142">
        <f>IFERROR(_xlfn.XLOOKUP($D191,'Modelling New'!$D:$D,'Modelling New'!$AK:$AK),"")</f>
        <v>0.05</v>
      </c>
      <c r="AQ191" s="142">
        <f>IFERROR(_xlfn.XLOOKUP($D191,'Modelling New'!$D:$D,'Modelling New'!$AL:$AL),"")</f>
        <v>0.05</v>
      </c>
      <c r="AR191" s="198">
        <f>IFERROR(_xlfn.XLOOKUP($D191,'Modelling New'!$D:$D,'Modelling New'!$N:$N),"")</f>
        <v>70.400000000000006</v>
      </c>
      <c r="AS191" s="198"/>
    </row>
    <row r="192" spans="1:45">
      <c r="A192" s="137">
        <f t="shared" si="23"/>
        <v>45935</v>
      </c>
      <c r="B192" s="138">
        <f>YEAR(Daily_KPI[[#This Row],[Date]])+IF(MONTH(Daily_KPI[[#This Row],[Date]])&gt;=4,1,0)</f>
        <v>2026</v>
      </c>
      <c r="C192" s="108">
        <f>YEAR(Daily_KPI[[#This Row],[Date]])</f>
        <v>2025</v>
      </c>
      <c r="D192" s="139">
        <f>Daily_KPI[[#This Row],[Date]]-DAY(Daily_KPI[[#This Row],[Date]])+1</f>
        <v>45931</v>
      </c>
      <c r="E192" s="108">
        <f t="shared" si="19"/>
        <v>31</v>
      </c>
      <c r="F192" s="109"/>
      <c r="G192" s="143"/>
      <c r="H192" s="143"/>
      <c r="I192" s="143"/>
      <c r="J192" s="143"/>
      <c r="K192" s="111"/>
      <c r="L192" s="110"/>
      <c r="M192" s="110" t="str">
        <f>IFERROR(_xlfn.XLOOKUP($A192,Input_Raw!$A:$A,Input_Raw!$CQ:$CQ),"")</f>
        <v/>
      </c>
      <c r="N192" s="110" t="str">
        <f>IFERROR(_xlfn.XLOOKUP($A192,Input_Raw!$A:$A,Input_Raw!$CR:$CR),"")</f>
        <v/>
      </c>
      <c r="O192" s="141" t="str">
        <f t="shared" si="20"/>
        <v/>
      </c>
      <c r="P192" s="141" t="str">
        <f>IFERROR(1-SUMIF(WTG_BD!$F:$F,$A192,WTG_BD!$AA:$AA)/($AA192+SUMIF(WTG_BD!$F:$F,$A192,WTG_BD!$AA:$AA)),"")</f>
        <v/>
      </c>
      <c r="Q192" s="141" t="str">
        <f>IFERROR(1-SUMIF(IGA_BD!$F:$F,$A192,IGA_BD!$W:$W)/($AA192+SUMIF(IGA_BD!$F:$F,$A192,IGA_BD!$W:$W)),"")</f>
        <v/>
      </c>
      <c r="R192" s="141" t="str">
        <f>IFERROR(1-SUMIF(Grid_BD!$F:$F,$A192,Grid_BD!$Y:$Y)/($AA192+SUMIF(Grid_BD!$F:$F,$A192,Grid_BD!$Y:$Y)),"")</f>
        <v/>
      </c>
      <c r="S192" s="108"/>
      <c r="T192" s="140"/>
      <c r="U192" s="141"/>
      <c r="V192" s="108"/>
      <c r="W192" s="142" t="str">
        <f t="shared" si="21"/>
        <v/>
      </c>
      <c r="X192" s="108" t="str">
        <f>IFERROR(_xlfn.XLOOKUP($A192,Input_Raw!$A:$A,Input_Raw!$CP:$CP)*1000,"")</f>
        <v/>
      </c>
      <c r="Y192" s="108" t="str">
        <f>IFERROR(_xlfn.XLOOKUP($A192,Input_Raw!$A:$A,Input_Raw!DJ:DJ)*1000,"")</f>
        <v/>
      </c>
      <c r="Z192" s="108" t="str">
        <f>IFERROR(_xlfn.XLOOKUP($A192,Input_Raw!$A:$A,Input_Raw!DK:DK)*1000,"")</f>
        <v/>
      </c>
      <c r="AA192" s="138" t="str">
        <f t="shared" si="22"/>
        <v/>
      </c>
      <c r="AB192" s="108" t="str">
        <f>IFERROR(_xlfn.XLOOKUP($A192,Input_Raw!$A:$A,Input_Raw!$DR:$DR),"")</f>
        <v/>
      </c>
      <c r="AC192" s="143">
        <f>IFERROR(_xlfn.XLOOKUP($D192,'Modelling New'!$D:$D,'Modelling New'!$J:$J),"")</f>
        <v>4.1733333333333329</v>
      </c>
      <c r="AD192" s="138">
        <f>IFERROR(_xlfn.XLOOKUP($D192,'Modelling New'!$D:$D,'Modelling New'!$T:$T)*1000,"")</f>
        <v>150264.62742866005</v>
      </c>
      <c r="AE192" s="142"/>
      <c r="AF192" s="142">
        <f>IFERROR(_xlfn.XLOOKUP($D192,'Modelling New'!$D:$D,'Modelling New'!$W:$W),"")</f>
        <v>8.8935030438364135E-2</v>
      </c>
      <c r="AG192" s="142">
        <f>IFERROR(_xlfn.XLOOKUP($D192,'Modelling New'!$D:$D,'Modelling New'!$AE:$AE),"")</f>
        <v>0.96029999999999993</v>
      </c>
      <c r="AH192" s="142">
        <f>IFERROR(_xlfn.XLOOKUP($D192,'Modelling New'!$D:$D,'Modelling New'!$AF:$AF),"")</f>
        <v>0.995</v>
      </c>
      <c r="AI192" s="109" t="str">
        <f>IFERROR(_xlfn.XLOOKUP($A192,Input_Raw!$A:$A,Input_Raw!$DP:$DP),"")</f>
        <v/>
      </c>
      <c r="AJ192" s="108"/>
      <c r="AK192" s="108"/>
      <c r="AL192" s="108"/>
      <c r="AM192" s="108"/>
      <c r="AN192" s="132" t="str">
        <f>IFERROR(_xlfn.XLOOKUP($A192,Input_Raw!$A:$A,Input_Raw!$DL:$DL),"")</f>
        <v/>
      </c>
      <c r="AO192" s="142" t="str">
        <f>IFERROR((_xlfn.XLOOKUP($A192,'WTG Reactive Power'!$A:$A,'WTG Reactive Power'!$AW:$AW))/X192,"")</f>
        <v/>
      </c>
      <c r="AP192" s="142">
        <f>IFERROR(_xlfn.XLOOKUP($D192,'Modelling New'!$D:$D,'Modelling New'!$AK:$AK),"")</f>
        <v>0.05</v>
      </c>
      <c r="AQ192" s="142">
        <f>IFERROR(_xlfn.XLOOKUP($D192,'Modelling New'!$D:$D,'Modelling New'!$AL:$AL),"")</f>
        <v>0.05</v>
      </c>
      <c r="AR192" s="198">
        <f>IFERROR(_xlfn.XLOOKUP($D192,'Modelling New'!$D:$D,'Modelling New'!$N:$N),"")</f>
        <v>70.400000000000006</v>
      </c>
      <c r="AS192" s="198"/>
    </row>
    <row r="193" spans="1:45">
      <c r="A193" s="137">
        <f t="shared" si="23"/>
        <v>45936</v>
      </c>
      <c r="B193" s="138">
        <f>YEAR(Daily_KPI[[#This Row],[Date]])+IF(MONTH(Daily_KPI[[#This Row],[Date]])&gt;=4,1,0)</f>
        <v>2026</v>
      </c>
      <c r="C193" s="108">
        <f>YEAR(Daily_KPI[[#This Row],[Date]])</f>
        <v>2025</v>
      </c>
      <c r="D193" s="139">
        <f>Daily_KPI[[#This Row],[Date]]-DAY(Daily_KPI[[#This Row],[Date]])+1</f>
        <v>45931</v>
      </c>
      <c r="E193" s="108">
        <f t="shared" si="19"/>
        <v>31</v>
      </c>
      <c r="F193" s="109"/>
      <c r="G193" s="110"/>
      <c r="H193" s="110"/>
      <c r="I193" s="110"/>
      <c r="J193" s="110"/>
      <c r="K193" s="111"/>
      <c r="L193" s="110"/>
      <c r="M193" s="110" t="str">
        <f>IFERROR(_xlfn.XLOOKUP($A193,Input_Raw!$A:$A,Input_Raw!$CQ:$CQ),"")</f>
        <v/>
      </c>
      <c r="N193" s="110" t="str">
        <f>IFERROR(_xlfn.XLOOKUP($A193,Input_Raw!$A:$A,Input_Raw!$CR:$CR),"")</f>
        <v/>
      </c>
      <c r="O193" s="141" t="str">
        <f t="shared" si="20"/>
        <v/>
      </c>
      <c r="P193" s="141" t="str">
        <f>IFERROR(1-SUMIF(WTG_BD!$F:$F,$A193,WTG_BD!$AA:$AA)/($AA193+SUMIF(WTG_BD!$F:$F,$A193,WTG_BD!$AA:$AA)),"")</f>
        <v/>
      </c>
      <c r="Q193" s="141" t="str">
        <f>IFERROR(1-SUMIF(IGA_BD!$F:$F,$A193,IGA_BD!$W:$W)/($AA193+SUMIF(IGA_BD!$F:$F,$A193,IGA_BD!$W:$W)),"")</f>
        <v/>
      </c>
      <c r="R193" s="141" t="str">
        <f>IFERROR(1-SUMIF(Grid_BD!$F:$F,$A193,Grid_BD!$Y:$Y)/($AA193+SUMIF(Grid_BD!$F:$F,$A193,Grid_BD!$Y:$Y)),"")</f>
        <v/>
      </c>
      <c r="S193" s="108"/>
      <c r="T193" s="140"/>
      <c r="U193" s="141"/>
      <c r="V193" s="108"/>
      <c r="W193" s="142" t="str">
        <f t="shared" si="21"/>
        <v/>
      </c>
      <c r="X193" s="108" t="str">
        <f>IFERROR(_xlfn.XLOOKUP($A193,Input_Raw!$A:$A,Input_Raw!$CP:$CP)*1000,"")</f>
        <v/>
      </c>
      <c r="Y193" s="108" t="str">
        <f>IFERROR(_xlfn.XLOOKUP($A193,Input_Raw!$A:$A,Input_Raw!DJ:DJ)*1000,"")</f>
        <v/>
      </c>
      <c r="Z193" s="108" t="str">
        <f>IFERROR(_xlfn.XLOOKUP($A193,Input_Raw!$A:$A,Input_Raw!DK:DK)*1000,"")</f>
        <v/>
      </c>
      <c r="AA193" s="138" t="str">
        <f t="shared" si="22"/>
        <v/>
      </c>
      <c r="AB193" s="108" t="str">
        <f>IFERROR(_xlfn.XLOOKUP($A193,Input_Raw!$A:$A,Input_Raw!$DR:$DR),"")</f>
        <v/>
      </c>
      <c r="AC193" s="143">
        <f>IFERROR(_xlfn.XLOOKUP($D193,'Modelling New'!$D:$D,'Modelling New'!$J:$J),"")</f>
        <v>4.1733333333333329</v>
      </c>
      <c r="AD193" s="138">
        <f>IFERROR(_xlfn.XLOOKUP($D193,'Modelling New'!$D:$D,'Modelling New'!$T:$T)*1000,"")</f>
        <v>150264.62742866005</v>
      </c>
      <c r="AE193" s="142"/>
      <c r="AF193" s="142">
        <f>IFERROR(_xlfn.XLOOKUP($D193,'Modelling New'!$D:$D,'Modelling New'!$W:$W),"")</f>
        <v>8.8935030438364135E-2</v>
      </c>
      <c r="AG193" s="142">
        <f>IFERROR(_xlfn.XLOOKUP($D193,'Modelling New'!$D:$D,'Modelling New'!$AE:$AE),"")</f>
        <v>0.96029999999999993</v>
      </c>
      <c r="AH193" s="142">
        <f>IFERROR(_xlfn.XLOOKUP($D193,'Modelling New'!$D:$D,'Modelling New'!$AF:$AF),"")</f>
        <v>0.995</v>
      </c>
      <c r="AI193" s="109" t="str">
        <f>IFERROR(_xlfn.XLOOKUP($A193,Input_Raw!$A:$A,Input_Raw!$DP:$DP),"")</f>
        <v/>
      </c>
      <c r="AJ193" s="108"/>
      <c r="AK193" s="108"/>
      <c r="AL193" s="108"/>
      <c r="AM193" s="108"/>
      <c r="AN193" s="132" t="str">
        <f>IFERROR(_xlfn.XLOOKUP($A193,Input_Raw!$A:$A,Input_Raw!$DL:$DL),"")</f>
        <v/>
      </c>
      <c r="AO193" s="142" t="str">
        <f>IFERROR((_xlfn.XLOOKUP($A193,'WTG Reactive Power'!$A:$A,'WTG Reactive Power'!$AW:$AW))/X193,"")</f>
        <v/>
      </c>
      <c r="AP193" s="142">
        <f>IFERROR(_xlfn.XLOOKUP($D193,'Modelling New'!$D:$D,'Modelling New'!$AK:$AK),"")</f>
        <v>0.05</v>
      </c>
      <c r="AQ193" s="142">
        <f>IFERROR(_xlfn.XLOOKUP($D193,'Modelling New'!$D:$D,'Modelling New'!$AL:$AL),"")</f>
        <v>0.05</v>
      </c>
      <c r="AR193" s="198">
        <f>IFERROR(_xlfn.XLOOKUP($D193,'Modelling New'!$D:$D,'Modelling New'!$N:$N),"")</f>
        <v>70.400000000000006</v>
      </c>
      <c r="AS193" s="198"/>
    </row>
    <row r="194" spans="1:45">
      <c r="A194" s="137">
        <f t="shared" si="23"/>
        <v>45937</v>
      </c>
      <c r="B194" s="138">
        <f>YEAR(Daily_KPI[[#This Row],[Date]])+IF(MONTH(Daily_KPI[[#This Row],[Date]])&gt;=4,1,0)</f>
        <v>2026</v>
      </c>
      <c r="C194" s="108">
        <f>YEAR(Daily_KPI[[#This Row],[Date]])</f>
        <v>2025</v>
      </c>
      <c r="D194" s="139">
        <f>Daily_KPI[[#This Row],[Date]]-DAY(Daily_KPI[[#This Row],[Date]])+1</f>
        <v>45931</v>
      </c>
      <c r="E194" s="108">
        <f t="shared" si="19"/>
        <v>31</v>
      </c>
      <c r="F194" s="109"/>
      <c r="G194" s="143"/>
      <c r="H194" s="143"/>
      <c r="I194" s="143"/>
      <c r="J194" s="143"/>
      <c r="K194" s="111"/>
      <c r="L194" s="110"/>
      <c r="M194" s="110" t="str">
        <f>IFERROR(_xlfn.XLOOKUP($A194,Input_Raw!$A:$A,Input_Raw!$CQ:$CQ),"")</f>
        <v/>
      </c>
      <c r="N194" s="110" t="str">
        <f>IFERROR(_xlfn.XLOOKUP($A194,Input_Raw!$A:$A,Input_Raw!$CR:$CR),"")</f>
        <v/>
      </c>
      <c r="O194" s="141" t="str">
        <f t="shared" si="20"/>
        <v/>
      </c>
      <c r="P194" s="141" t="str">
        <f>IFERROR(1-SUMIF(WTG_BD!$F:$F,$A194,WTG_BD!$AA:$AA)/($AA194+SUMIF(WTG_BD!$F:$F,$A194,WTG_BD!$AA:$AA)),"")</f>
        <v/>
      </c>
      <c r="Q194" s="141" t="str">
        <f>IFERROR(1-SUMIF(IGA_BD!$F:$F,$A194,IGA_BD!$W:$W)/($AA194+SUMIF(IGA_BD!$F:$F,$A194,IGA_BD!$W:$W)),"")</f>
        <v/>
      </c>
      <c r="R194" s="141" t="str">
        <f>IFERROR(1-SUMIF(Grid_BD!$F:$F,$A194,Grid_BD!$Y:$Y)/($AA194+SUMIF(Grid_BD!$F:$F,$A194,Grid_BD!$Y:$Y)),"")</f>
        <v/>
      </c>
      <c r="S194" s="108"/>
      <c r="T194" s="140"/>
      <c r="U194" s="141"/>
      <c r="V194" s="108"/>
      <c r="W194" s="142" t="str">
        <f t="shared" si="21"/>
        <v/>
      </c>
      <c r="X194" s="108" t="str">
        <f>IFERROR(_xlfn.XLOOKUP($A194,Input_Raw!$A:$A,Input_Raw!$CP:$CP)*1000,"")</f>
        <v/>
      </c>
      <c r="Y194" s="108" t="str">
        <f>IFERROR(_xlfn.XLOOKUP($A194,Input_Raw!$A:$A,Input_Raw!DJ:DJ)*1000,"")</f>
        <v/>
      </c>
      <c r="Z194" s="108" t="str">
        <f>IFERROR(_xlfn.XLOOKUP($A194,Input_Raw!$A:$A,Input_Raw!DK:DK)*1000,"")</f>
        <v/>
      </c>
      <c r="AA194" s="138" t="str">
        <f t="shared" si="22"/>
        <v/>
      </c>
      <c r="AB194" s="108" t="str">
        <f>IFERROR(_xlfn.XLOOKUP($A194,Input_Raw!$A:$A,Input_Raw!$DR:$DR),"")</f>
        <v/>
      </c>
      <c r="AC194" s="143">
        <f>IFERROR(_xlfn.XLOOKUP($D194,'Modelling New'!$D:$D,'Modelling New'!$J:$J),"")</f>
        <v>4.1733333333333329</v>
      </c>
      <c r="AD194" s="138">
        <f>IFERROR(_xlfn.XLOOKUP($D194,'Modelling New'!$D:$D,'Modelling New'!$T:$T)*1000,"")</f>
        <v>150264.62742866005</v>
      </c>
      <c r="AE194" s="142"/>
      <c r="AF194" s="142">
        <f>IFERROR(_xlfn.XLOOKUP($D194,'Modelling New'!$D:$D,'Modelling New'!$W:$W),"")</f>
        <v>8.8935030438364135E-2</v>
      </c>
      <c r="AG194" s="142">
        <f>IFERROR(_xlfn.XLOOKUP($D194,'Modelling New'!$D:$D,'Modelling New'!$AE:$AE),"")</f>
        <v>0.96029999999999993</v>
      </c>
      <c r="AH194" s="142">
        <f>IFERROR(_xlfn.XLOOKUP($D194,'Modelling New'!$D:$D,'Modelling New'!$AF:$AF),"")</f>
        <v>0.995</v>
      </c>
      <c r="AI194" s="109" t="str">
        <f>IFERROR(_xlfn.XLOOKUP($A194,Input_Raw!$A:$A,Input_Raw!$DP:$DP),"")</f>
        <v/>
      </c>
      <c r="AJ194" s="108"/>
      <c r="AK194" s="108"/>
      <c r="AL194" s="108"/>
      <c r="AM194" s="108"/>
      <c r="AN194" s="132" t="str">
        <f>IFERROR(_xlfn.XLOOKUP($A194,Input_Raw!$A:$A,Input_Raw!$DL:$DL),"")</f>
        <v/>
      </c>
      <c r="AO194" s="142" t="str">
        <f>IFERROR((_xlfn.XLOOKUP($A194,'WTG Reactive Power'!$A:$A,'WTG Reactive Power'!$AW:$AW))/X194,"")</f>
        <v/>
      </c>
      <c r="AP194" s="142">
        <f>IFERROR(_xlfn.XLOOKUP($D194,'Modelling New'!$D:$D,'Modelling New'!$AK:$AK),"")</f>
        <v>0.05</v>
      </c>
      <c r="AQ194" s="142">
        <f>IFERROR(_xlfn.XLOOKUP($D194,'Modelling New'!$D:$D,'Modelling New'!$AL:$AL),"")</f>
        <v>0.05</v>
      </c>
      <c r="AR194" s="198">
        <f>IFERROR(_xlfn.XLOOKUP($D194,'Modelling New'!$D:$D,'Modelling New'!$N:$N),"")</f>
        <v>70.400000000000006</v>
      </c>
      <c r="AS194" s="198"/>
    </row>
    <row r="195" spans="1:45">
      <c r="A195" s="137">
        <f t="shared" si="23"/>
        <v>45938</v>
      </c>
      <c r="B195" s="138">
        <f>YEAR(Daily_KPI[[#This Row],[Date]])+IF(MONTH(Daily_KPI[[#This Row],[Date]])&gt;=4,1,0)</f>
        <v>2026</v>
      </c>
      <c r="C195" s="108">
        <f>YEAR(Daily_KPI[[#This Row],[Date]])</f>
        <v>2025</v>
      </c>
      <c r="D195" s="139">
        <f>Daily_KPI[[#This Row],[Date]]-DAY(Daily_KPI[[#This Row],[Date]])+1</f>
        <v>45931</v>
      </c>
      <c r="E195" s="108">
        <f t="shared" si="19"/>
        <v>31</v>
      </c>
      <c r="F195" s="109"/>
      <c r="G195" s="110"/>
      <c r="H195" s="110"/>
      <c r="I195" s="110"/>
      <c r="J195" s="110"/>
      <c r="K195" s="111"/>
      <c r="L195" s="110"/>
      <c r="M195" s="110" t="str">
        <f>IFERROR(_xlfn.XLOOKUP($A195,Input_Raw!$A:$A,Input_Raw!$CQ:$CQ),"")</f>
        <v/>
      </c>
      <c r="N195" s="110" t="str">
        <f>IFERROR(_xlfn.XLOOKUP($A195,Input_Raw!$A:$A,Input_Raw!$CR:$CR),"")</f>
        <v/>
      </c>
      <c r="O195" s="141" t="str">
        <f t="shared" si="20"/>
        <v/>
      </c>
      <c r="P195" s="141" t="str">
        <f>IFERROR(1-SUMIF(WTG_BD!$F:$F,$A195,WTG_BD!$AA:$AA)/($AA195+SUMIF(WTG_BD!$F:$F,$A195,WTG_BD!$AA:$AA)),"")</f>
        <v/>
      </c>
      <c r="Q195" s="141" t="str">
        <f>IFERROR(1-SUMIF(IGA_BD!$F:$F,$A195,IGA_BD!$W:$W)/($AA195+SUMIF(IGA_BD!$F:$F,$A195,IGA_BD!$W:$W)),"")</f>
        <v/>
      </c>
      <c r="R195" s="141" t="str">
        <f>IFERROR(1-SUMIF(Grid_BD!$F:$F,$A195,Grid_BD!$Y:$Y)/($AA195+SUMIF(Grid_BD!$F:$F,$A195,Grid_BD!$Y:$Y)),"")</f>
        <v/>
      </c>
      <c r="S195" s="108"/>
      <c r="T195" s="140"/>
      <c r="U195" s="141"/>
      <c r="V195" s="108"/>
      <c r="W195" s="142" t="str">
        <f t="shared" si="21"/>
        <v/>
      </c>
      <c r="X195" s="108" t="str">
        <f>IFERROR(_xlfn.XLOOKUP($A195,Input_Raw!$A:$A,Input_Raw!$CP:$CP)*1000,"")</f>
        <v/>
      </c>
      <c r="Y195" s="108" t="str">
        <f>IFERROR(_xlfn.XLOOKUP($A195,Input_Raw!$A:$A,Input_Raw!DJ:DJ)*1000,"")</f>
        <v/>
      </c>
      <c r="Z195" s="108" t="str">
        <f>IFERROR(_xlfn.XLOOKUP($A195,Input_Raw!$A:$A,Input_Raw!DK:DK)*1000,"")</f>
        <v/>
      </c>
      <c r="AA195" s="138" t="str">
        <f t="shared" si="22"/>
        <v/>
      </c>
      <c r="AB195" s="108" t="str">
        <f>IFERROR(_xlfn.XLOOKUP($A195,Input_Raw!$A:$A,Input_Raw!$DR:$DR),"")</f>
        <v/>
      </c>
      <c r="AC195" s="143">
        <f>IFERROR(_xlfn.XLOOKUP($D195,'Modelling New'!$D:$D,'Modelling New'!$J:$J),"")</f>
        <v>4.1733333333333329</v>
      </c>
      <c r="AD195" s="138">
        <f>IFERROR(_xlfn.XLOOKUP($D195,'Modelling New'!$D:$D,'Modelling New'!$T:$T)*1000,"")</f>
        <v>150264.62742866005</v>
      </c>
      <c r="AE195" s="142"/>
      <c r="AF195" s="142">
        <f>IFERROR(_xlfn.XLOOKUP($D195,'Modelling New'!$D:$D,'Modelling New'!$W:$W),"")</f>
        <v>8.8935030438364135E-2</v>
      </c>
      <c r="AG195" s="142">
        <f>IFERROR(_xlfn.XLOOKUP($D195,'Modelling New'!$D:$D,'Modelling New'!$AE:$AE),"")</f>
        <v>0.96029999999999993</v>
      </c>
      <c r="AH195" s="142">
        <f>IFERROR(_xlfn.XLOOKUP($D195,'Modelling New'!$D:$D,'Modelling New'!$AF:$AF),"")</f>
        <v>0.995</v>
      </c>
      <c r="AI195" s="109" t="str">
        <f>IFERROR(_xlfn.XLOOKUP($A195,Input_Raw!$A:$A,Input_Raw!$DP:$DP),"")</f>
        <v/>
      </c>
      <c r="AJ195" s="108"/>
      <c r="AK195" s="108"/>
      <c r="AL195" s="108"/>
      <c r="AM195" s="108"/>
      <c r="AN195" s="132" t="str">
        <f>IFERROR(_xlfn.XLOOKUP($A195,Input_Raw!$A:$A,Input_Raw!$DL:$DL),"")</f>
        <v/>
      </c>
      <c r="AO195" s="142" t="str">
        <f>IFERROR((_xlfn.XLOOKUP($A195,'WTG Reactive Power'!$A:$A,'WTG Reactive Power'!$AW:$AW))/X195,"")</f>
        <v/>
      </c>
      <c r="AP195" s="142">
        <f>IFERROR(_xlfn.XLOOKUP($D195,'Modelling New'!$D:$D,'Modelling New'!$AK:$AK),"")</f>
        <v>0.05</v>
      </c>
      <c r="AQ195" s="142">
        <f>IFERROR(_xlfn.XLOOKUP($D195,'Modelling New'!$D:$D,'Modelling New'!$AL:$AL),"")</f>
        <v>0.05</v>
      </c>
      <c r="AR195" s="198">
        <f>IFERROR(_xlfn.XLOOKUP($D195,'Modelling New'!$D:$D,'Modelling New'!$N:$N),"")</f>
        <v>70.400000000000006</v>
      </c>
      <c r="AS195" s="198"/>
    </row>
    <row r="196" spans="1:45">
      <c r="A196" s="137">
        <f t="shared" si="23"/>
        <v>45939</v>
      </c>
      <c r="B196" s="138">
        <f>YEAR(Daily_KPI[[#This Row],[Date]])+IF(MONTH(Daily_KPI[[#This Row],[Date]])&gt;=4,1,0)</f>
        <v>2026</v>
      </c>
      <c r="C196" s="108">
        <f>YEAR(Daily_KPI[[#This Row],[Date]])</f>
        <v>2025</v>
      </c>
      <c r="D196" s="139">
        <f>Daily_KPI[[#This Row],[Date]]-DAY(Daily_KPI[[#This Row],[Date]])+1</f>
        <v>45931</v>
      </c>
      <c r="E196" s="108">
        <f t="shared" si="19"/>
        <v>31</v>
      </c>
      <c r="F196" s="109"/>
      <c r="G196" s="143"/>
      <c r="H196" s="143"/>
      <c r="I196" s="143"/>
      <c r="J196" s="143"/>
      <c r="K196" s="111"/>
      <c r="L196" s="110"/>
      <c r="M196" s="110" t="str">
        <f>IFERROR(_xlfn.XLOOKUP($A196,Input_Raw!$A:$A,Input_Raw!$CQ:$CQ),"")</f>
        <v/>
      </c>
      <c r="N196" s="110" t="str">
        <f>IFERROR(_xlfn.XLOOKUP($A196,Input_Raw!$A:$A,Input_Raw!$CR:$CR),"")</f>
        <v/>
      </c>
      <c r="O196" s="141" t="str">
        <f t="shared" si="20"/>
        <v/>
      </c>
      <c r="P196" s="141" t="str">
        <f>IFERROR(1-SUMIF(WTG_BD!$F:$F,$A196,WTG_BD!$AA:$AA)/($AA196+SUMIF(WTG_BD!$F:$F,$A196,WTG_BD!$AA:$AA)),"")</f>
        <v/>
      </c>
      <c r="Q196" s="141" t="str">
        <f>IFERROR(1-SUMIF(IGA_BD!$F:$F,$A196,IGA_BD!$W:$W)/($AA196+SUMIF(IGA_BD!$F:$F,$A196,IGA_BD!$W:$W)),"")</f>
        <v/>
      </c>
      <c r="R196" s="141" t="str">
        <f>IFERROR(1-SUMIF(Grid_BD!$F:$F,$A196,Grid_BD!$Y:$Y)/($AA196+SUMIF(Grid_BD!$F:$F,$A196,Grid_BD!$Y:$Y)),"")</f>
        <v/>
      </c>
      <c r="S196" s="108"/>
      <c r="T196" s="140"/>
      <c r="U196" s="141"/>
      <c r="V196" s="108"/>
      <c r="W196" s="142" t="str">
        <f t="shared" si="21"/>
        <v/>
      </c>
      <c r="X196" s="108" t="str">
        <f>IFERROR(_xlfn.XLOOKUP($A196,Input_Raw!$A:$A,Input_Raw!$CP:$CP)*1000,"")</f>
        <v/>
      </c>
      <c r="Y196" s="108" t="str">
        <f>IFERROR(_xlfn.XLOOKUP($A196,Input_Raw!$A:$A,Input_Raw!DJ:DJ)*1000,"")</f>
        <v/>
      </c>
      <c r="Z196" s="108" t="str">
        <f>IFERROR(_xlfn.XLOOKUP($A196,Input_Raw!$A:$A,Input_Raw!DK:DK)*1000,"")</f>
        <v/>
      </c>
      <c r="AA196" s="138" t="str">
        <f t="shared" si="22"/>
        <v/>
      </c>
      <c r="AB196" s="108" t="str">
        <f>IFERROR(_xlfn.XLOOKUP($A196,Input_Raw!$A:$A,Input_Raw!$DR:$DR),"")</f>
        <v/>
      </c>
      <c r="AC196" s="143">
        <f>IFERROR(_xlfn.XLOOKUP($D196,'Modelling New'!$D:$D,'Modelling New'!$J:$J),"")</f>
        <v>4.1733333333333329</v>
      </c>
      <c r="AD196" s="138">
        <f>IFERROR(_xlfn.XLOOKUP($D196,'Modelling New'!$D:$D,'Modelling New'!$T:$T)*1000,"")</f>
        <v>150264.62742866005</v>
      </c>
      <c r="AE196" s="142"/>
      <c r="AF196" s="142">
        <f>IFERROR(_xlfn.XLOOKUP($D196,'Modelling New'!$D:$D,'Modelling New'!$W:$W),"")</f>
        <v>8.8935030438364135E-2</v>
      </c>
      <c r="AG196" s="142">
        <f>IFERROR(_xlfn.XLOOKUP($D196,'Modelling New'!$D:$D,'Modelling New'!$AE:$AE),"")</f>
        <v>0.96029999999999993</v>
      </c>
      <c r="AH196" s="142">
        <f>IFERROR(_xlfn.XLOOKUP($D196,'Modelling New'!$D:$D,'Modelling New'!$AF:$AF),"")</f>
        <v>0.995</v>
      </c>
      <c r="AI196" s="109" t="str">
        <f>IFERROR(_xlfn.XLOOKUP($A196,Input_Raw!$A:$A,Input_Raw!$DP:$DP),"")</f>
        <v/>
      </c>
      <c r="AJ196" s="108"/>
      <c r="AK196" s="108"/>
      <c r="AL196" s="108"/>
      <c r="AM196" s="108"/>
      <c r="AN196" s="132" t="str">
        <f>IFERROR(_xlfn.XLOOKUP($A196,Input_Raw!$A:$A,Input_Raw!$DL:$DL),"")</f>
        <v/>
      </c>
      <c r="AO196" s="142" t="str">
        <f>IFERROR((_xlfn.XLOOKUP($A196,'WTG Reactive Power'!$A:$A,'WTG Reactive Power'!$AW:$AW))/X196,"")</f>
        <v/>
      </c>
      <c r="AP196" s="142">
        <f>IFERROR(_xlfn.XLOOKUP($D196,'Modelling New'!$D:$D,'Modelling New'!$AK:$AK),"")</f>
        <v>0.05</v>
      </c>
      <c r="AQ196" s="142">
        <f>IFERROR(_xlfn.XLOOKUP($D196,'Modelling New'!$D:$D,'Modelling New'!$AL:$AL),"")</f>
        <v>0.05</v>
      </c>
      <c r="AR196" s="198">
        <f>IFERROR(_xlfn.XLOOKUP($D196,'Modelling New'!$D:$D,'Modelling New'!$N:$N),"")</f>
        <v>70.400000000000006</v>
      </c>
      <c r="AS196" s="198"/>
    </row>
    <row r="197" spans="1:45">
      <c r="A197" s="137">
        <f t="shared" si="23"/>
        <v>45940</v>
      </c>
      <c r="B197" s="138">
        <f>YEAR(Daily_KPI[[#This Row],[Date]])+IF(MONTH(Daily_KPI[[#This Row],[Date]])&gt;=4,1,0)</f>
        <v>2026</v>
      </c>
      <c r="C197" s="108">
        <f>YEAR(Daily_KPI[[#This Row],[Date]])</f>
        <v>2025</v>
      </c>
      <c r="D197" s="139">
        <f>Daily_KPI[[#This Row],[Date]]-DAY(Daily_KPI[[#This Row],[Date]])+1</f>
        <v>45931</v>
      </c>
      <c r="E197" s="108">
        <f t="shared" si="19"/>
        <v>31</v>
      </c>
      <c r="F197" s="109"/>
      <c r="G197" s="110"/>
      <c r="H197" s="110"/>
      <c r="I197" s="110"/>
      <c r="J197" s="110"/>
      <c r="K197" s="111"/>
      <c r="L197" s="110"/>
      <c r="M197" s="110" t="str">
        <f>IFERROR(_xlfn.XLOOKUP($A197,Input_Raw!$A:$A,Input_Raw!$CQ:$CQ),"")</f>
        <v/>
      </c>
      <c r="N197" s="110" t="str">
        <f>IFERROR(_xlfn.XLOOKUP($A197,Input_Raw!$A:$A,Input_Raw!$CR:$CR),"")</f>
        <v/>
      </c>
      <c r="O197" s="141" t="str">
        <f t="shared" si="20"/>
        <v/>
      </c>
      <c r="P197" s="141" t="str">
        <f>IFERROR(1-SUMIF(WTG_BD!$F:$F,$A197,WTG_BD!$AA:$AA)/($AA197+SUMIF(WTG_BD!$F:$F,$A197,WTG_BD!$AA:$AA)),"")</f>
        <v/>
      </c>
      <c r="Q197" s="141" t="str">
        <f>IFERROR(1-SUMIF(IGA_BD!$F:$F,$A197,IGA_BD!$W:$W)/($AA197+SUMIF(IGA_BD!$F:$F,$A197,IGA_BD!$W:$W)),"")</f>
        <v/>
      </c>
      <c r="R197" s="141" t="str">
        <f>IFERROR(1-SUMIF(Grid_BD!$F:$F,$A197,Grid_BD!$Y:$Y)/($AA197+SUMIF(Grid_BD!$F:$F,$A197,Grid_BD!$Y:$Y)),"")</f>
        <v/>
      </c>
      <c r="S197" s="108"/>
      <c r="T197" s="140"/>
      <c r="U197" s="141"/>
      <c r="V197" s="108"/>
      <c r="W197" s="142" t="str">
        <f t="shared" si="21"/>
        <v/>
      </c>
      <c r="X197" s="108" t="str">
        <f>IFERROR(_xlfn.XLOOKUP($A197,Input_Raw!$A:$A,Input_Raw!$CP:$CP)*1000,"")</f>
        <v/>
      </c>
      <c r="Y197" s="108" t="str">
        <f>IFERROR(_xlfn.XLOOKUP($A197,Input_Raw!$A:$A,Input_Raw!DJ:DJ)*1000,"")</f>
        <v/>
      </c>
      <c r="Z197" s="108" t="str">
        <f>IFERROR(_xlfn.XLOOKUP($A197,Input_Raw!$A:$A,Input_Raw!DK:DK)*1000,"")</f>
        <v/>
      </c>
      <c r="AA197" s="138" t="str">
        <f t="shared" si="22"/>
        <v/>
      </c>
      <c r="AB197" s="108" t="str">
        <f>IFERROR(_xlfn.XLOOKUP($A197,Input_Raw!$A:$A,Input_Raw!$DR:$DR),"")</f>
        <v/>
      </c>
      <c r="AC197" s="143">
        <f>IFERROR(_xlfn.XLOOKUP($D197,'Modelling New'!$D:$D,'Modelling New'!$J:$J),"")</f>
        <v>4.1733333333333329</v>
      </c>
      <c r="AD197" s="138">
        <f>IFERROR(_xlfn.XLOOKUP($D197,'Modelling New'!$D:$D,'Modelling New'!$T:$T)*1000,"")</f>
        <v>150264.62742866005</v>
      </c>
      <c r="AE197" s="142"/>
      <c r="AF197" s="142">
        <f>IFERROR(_xlfn.XLOOKUP($D197,'Modelling New'!$D:$D,'Modelling New'!$W:$W),"")</f>
        <v>8.8935030438364135E-2</v>
      </c>
      <c r="AG197" s="142">
        <f>IFERROR(_xlfn.XLOOKUP($D197,'Modelling New'!$D:$D,'Modelling New'!$AE:$AE),"")</f>
        <v>0.96029999999999993</v>
      </c>
      <c r="AH197" s="142">
        <f>IFERROR(_xlfn.XLOOKUP($D197,'Modelling New'!$D:$D,'Modelling New'!$AF:$AF),"")</f>
        <v>0.995</v>
      </c>
      <c r="AI197" s="109" t="str">
        <f>IFERROR(_xlfn.XLOOKUP($A197,Input_Raw!$A:$A,Input_Raw!$DP:$DP),"")</f>
        <v/>
      </c>
      <c r="AJ197" s="108"/>
      <c r="AK197" s="108"/>
      <c r="AL197" s="108"/>
      <c r="AM197" s="108"/>
      <c r="AN197" s="132" t="str">
        <f>IFERROR(_xlfn.XLOOKUP($A197,Input_Raw!$A:$A,Input_Raw!$DL:$DL),"")</f>
        <v/>
      </c>
      <c r="AO197" s="142" t="str">
        <f>IFERROR((_xlfn.XLOOKUP($A197,'WTG Reactive Power'!$A:$A,'WTG Reactive Power'!$AW:$AW))/X197,"")</f>
        <v/>
      </c>
      <c r="AP197" s="142">
        <f>IFERROR(_xlfn.XLOOKUP($D197,'Modelling New'!$D:$D,'Modelling New'!$AK:$AK),"")</f>
        <v>0.05</v>
      </c>
      <c r="AQ197" s="142">
        <f>IFERROR(_xlfn.XLOOKUP($D197,'Modelling New'!$D:$D,'Modelling New'!$AL:$AL),"")</f>
        <v>0.05</v>
      </c>
      <c r="AR197" s="198">
        <f>IFERROR(_xlfn.XLOOKUP($D197,'Modelling New'!$D:$D,'Modelling New'!$N:$N),"")</f>
        <v>70.400000000000006</v>
      </c>
      <c r="AS197" s="198"/>
    </row>
    <row r="198" spans="1:45">
      <c r="A198" s="137">
        <f t="shared" si="23"/>
        <v>45941</v>
      </c>
      <c r="B198" s="138">
        <f>YEAR(Daily_KPI[[#This Row],[Date]])+IF(MONTH(Daily_KPI[[#This Row],[Date]])&gt;=4,1,0)</f>
        <v>2026</v>
      </c>
      <c r="C198" s="108">
        <f>YEAR(Daily_KPI[[#This Row],[Date]])</f>
        <v>2025</v>
      </c>
      <c r="D198" s="139">
        <f>Daily_KPI[[#This Row],[Date]]-DAY(Daily_KPI[[#This Row],[Date]])+1</f>
        <v>45931</v>
      </c>
      <c r="E198" s="108">
        <f t="shared" si="19"/>
        <v>31</v>
      </c>
      <c r="F198" s="109"/>
      <c r="G198" s="143"/>
      <c r="H198" s="143"/>
      <c r="I198" s="143"/>
      <c r="J198" s="143"/>
      <c r="K198" s="111"/>
      <c r="L198" s="110"/>
      <c r="M198" s="110" t="str">
        <f>IFERROR(_xlfn.XLOOKUP($A198,Input_Raw!$A:$A,Input_Raw!$CQ:$CQ),"")</f>
        <v/>
      </c>
      <c r="N198" s="110" t="str">
        <f>IFERROR(_xlfn.XLOOKUP($A198,Input_Raw!$A:$A,Input_Raw!$CR:$CR),"")</f>
        <v/>
      </c>
      <c r="O198" s="141" t="str">
        <f t="shared" si="20"/>
        <v/>
      </c>
      <c r="P198" s="141" t="str">
        <f>IFERROR(1-SUMIF(WTG_BD!$F:$F,$A198,WTG_BD!$AA:$AA)/($AA198+SUMIF(WTG_BD!$F:$F,$A198,WTG_BD!$AA:$AA)),"")</f>
        <v/>
      </c>
      <c r="Q198" s="141" t="str">
        <f>IFERROR(1-SUMIF(IGA_BD!$F:$F,$A198,IGA_BD!$W:$W)/($AA198+SUMIF(IGA_BD!$F:$F,$A198,IGA_BD!$W:$W)),"")</f>
        <v/>
      </c>
      <c r="R198" s="141" t="str">
        <f>IFERROR(1-SUMIF(Grid_BD!$F:$F,$A198,Grid_BD!$Y:$Y)/($AA198+SUMIF(Grid_BD!$F:$F,$A198,Grid_BD!$Y:$Y)),"")</f>
        <v/>
      </c>
      <c r="S198" s="108"/>
      <c r="T198" s="140"/>
      <c r="U198" s="141"/>
      <c r="V198" s="108"/>
      <c r="W198" s="142" t="str">
        <f t="shared" si="21"/>
        <v/>
      </c>
      <c r="X198" s="108" t="str">
        <f>IFERROR(_xlfn.XLOOKUP($A198,Input_Raw!$A:$A,Input_Raw!$CP:$CP)*1000,"")</f>
        <v/>
      </c>
      <c r="Y198" s="108" t="str">
        <f>IFERROR(_xlfn.XLOOKUP($A198,Input_Raw!$A:$A,Input_Raw!DJ:DJ)*1000,"")</f>
        <v/>
      </c>
      <c r="Z198" s="108" t="str">
        <f>IFERROR(_xlfn.XLOOKUP($A198,Input_Raw!$A:$A,Input_Raw!DK:DK)*1000,"")</f>
        <v/>
      </c>
      <c r="AA198" s="138" t="str">
        <f t="shared" si="22"/>
        <v/>
      </c>
      <c r="AB198" s="108" t="str">
        <f>IFERROR(_xlfn.XLOOKUP($A198,Input_Raw!$A:$A,Input_Raw!$DR:$DR),"")</f>
        <v/>
      </c>
      <c r="AC198" s="143">
        <f>IFERROR(_xlfn.XLOOKUP($D198,'Modelling New'!$D:$D,'Modelling New'!$J:$J),"")</f>
        <v>4.1733333333333329</v>
      </c>
      <c r="AD198" s="138">
        <f>IFERROR(_xlfn.XLOOKUP($D198,'Modelling New'!$D:$D,'Modelling New'!$T:$T)*1000,"")</f>
        <v>150264.62742866005</v>
      </c>
      <c r="AE198" s="142"/>
      <c r="AF198" s="142">
        <f>IFERROR(_xlfn.XLOOKUP($D198,'Modelling New'!$D:$D,'Modelling New'!$W:$W),"")</f>
        <v>8.8935030438364135E-2</v>
      </c>
      <c r="AG198" s="142">
        <f>IFERROR(_xlfn.XLOOKUP($D198,'Modelling New'!$D:$D,'Modelling New'!$AE:$AE),"")</f>
        <v>0.96029999999999993</v>
      </c>
      <c r="AH198" s="142">
        <f>IFERROR(_xlfn.XLOOKUP($D198,'Modelling New'!$D:$D,'Modelling New'!$AF:$AF),"")</f>
        <v>0.995</v>
      </c>
      <c r="AI198" s="109" t="str">
        <f>IFERROR(_xlfn.XLOOKUP($A198,Input_Raw!$A:$A,Input_Raw!$DP:$DP),"")</f>
        <v/>
      </c>
      <c r="AJ198" s="108"/>
      <c r="AK198" s="108"/>
      <c r="AL198" s="108"/>
      <c r="AM198" s="108"/>
      <c r="AN198" s="132" t="str">
        <f>IFERROR(_xlfn.XLOOKUP($A198,Input_Raw!$A:$A,Input_Raw!$DL:$DL),"")</f>
        <v/>
      </c>
      <c r="AO198" s="142" t="str">
        <f>IFERROR((_xlfn.XLOOKUP($A198,'WTG Reactive Power'!$A:$A,'WTG Reactive Power'!$AW:$AW))/X198,"")</f>
        <v/>
      </c>
      <c r="AP198" s="142">
        <f>IFERROR(_xlfn.XLOOKUP($D198,'Modelling New'!$D:$D,'Modelling New'!$AK:$AK),"")</f>
        <v>0.05</v>
      </c>
      <c r="AQ198" s="142">
        <f>IFERROR(_xlfn.XLOOKUP($D198,'Modelling New'!$D:$D,'Modelling New'!$AL:$AL),"")</f>
        <v>0.05</v>
      </c>
      <c r="AR198" s="198">
        <f>IFERROR(_xlfn.XLOOKUP($D198,'Modelling New'!$D:$D,'Modelling New'!$N:$N),"")</f>
        <v>70.400000000000006</v>
      </c>
      <c r="AS198" s="198"/>
    </row>
    <row r="199" spans="1:45">
      <c r="A199" s="137">
        <f t="shared" si="23"/>
        <v>45942</v>
      </c>
      <c r="B199" s="138">
        <f>YEAR(Daily_KPI[[#This Row],[Date]])+IF(MONTH(Daily_KPI[[#This Row],[Date]])&gt;=4,1,0)</f>
        <v>2026</v>
      </c>
      <c r="C199" s="108">
        <f>YEAR(Daily_KPI[[#This Row],[Date]])</f>
        <v>2025</v>
      </c>
      <c r="D199" s="139">
        <f>Daily_KPI[[#This Row],[Date]]-DAY(Daily_KPI[[#This Row],[Date]])+1</f>
        <v>45931</v>
      </c>
      <c r="E199" s="108">
        <f t="shared" si="19"/>
        <v>31</v>
      </c>
      <c r="F199" s="109"/>
      <c r="G199" s="110"/>
      <c r="H199" s="110"/>
      <c r="I199" s="110"/>
      <c r="J199" s="110"/>
      <c r="K199" s="111"/>
      <c r="L199" s="110"/>
      <c r="M199" s="110" t="str">
        <f>IFERROR(_xlfn.XLOOKUP($A199,Input_Raw!$A:$A,Input_Raw!$CQ:$CQ),"")</f>
        <v/>
      </c>
      <c r="N199" s="110" t="str">
        <f>IFERROR(_xlfn.XLOOKUP($A199,Input_Raw!$A:$A,Input_Raw!$CR:$CR),"")</f>
        <v/>
      </c>
      <c r="O199" s="141" t="str">
        <f t="shared" si="20"/>
        <v/>
      </c>
      <c r="P199" s="141" t="str">
        <f>IFERROR(1-SUMIF(WTG_BD!$F:$F,$A199,WTG_BD!$AA:$AA)/($AA199+SUMIF(WTG_BD!$F:$F,$A199,WTG_BD!$AA:$AA)),"")</f>
        <v/>
      </c>
      <c r="Q199" s="141" t="str">
        <f>IFERROR(1-SUMIF(IGA_BD!$F:$F,$A199,IGA_BD!$W:$W)/($AA199+SUMIF(IGA_BD!$F:$F,$A199,IGA_BD!$W:$W)),"")</f>
        <v/>
      </c>
      <c r="R199" s="141" t="str">
        <f>IFERROR(1-SUMIF(Grid_BD!$F:$F,$A199,Grid_BD!$Y:$Y)/($AA199+SUMIF(Grid_BD!$F:$F,$A199,Grid_BD!$Y:$Y)),"")</f>
        <v/>
      </c>
      <c r="S199" s="108"/>
      <c r="T199" s="140"/>
      <c r="U199" s="141"/>
      <c r="V199" s="108"/>
      <c r="W199" s="142" t="str">
        <f t="shared" si="21"/>
        <v/>
      </c>
      <c r="X199" s="108" t="str">
        <f>IFERROR(_xlfn.XLOOKUP($A199,Input_Raw!$A:$A,Input_Raw!$CP:$CP)*1000,"")</f>
        <v/>
      </c>
      <c r="Y199" s="108" t="str">
        <f>IFERROR(_xlfn.XLOOKUP($A199,Input_Raw!$A:$A,Input_Raw!DJ:DJ)*1000,"")</f>
        <v/>
      </c>
      <c r="Z199" s="108" t="str">
        <f>IFERROR(_xlfn.XLOOKUP($A199,Input_Raw!$A:$A,Input_Raw!DK:DK)*1000,"")</f>
        <v/>
      </c>
      <c r="AA199" s="138" t="str">
        <f t="shared" si="22"/>
        <v/>
      </c>
      <c r="AB199" s="108" t="str">
        <f>IFERROR(_xlfn.XLOOKUP($A199,Input_Raw!$A:$A,Input_Raw!$DR:$DR),"")</f>
        <v/>
      </c>
      <c r="AC199" s="143">
        <f>IFERROR(_xlfn.XLOOKUP($D199,'Modelling New'!$D:$D,'Modelling New'!$J:$J),"")</f>
        <v>4.1733333333333329</v>
      </c>
      <c r="AD199" s="138">
        <f>IFERROR(_xlfn.XLOOKUP($D199,'Modelling New'!$D:$D,'Modelling New'!$T:$T)*1000,"")</f>
        <v>150264.62742866005</v>
      </c>
      <c r="AE199" s="142"/>
      <c r="AF199" s="142">
        <f>IFERROR(_xlfn.XLOOKUP($D199,'Modelling New'!$D:$D,'Modelling New'!$W:$W),"")</f>
        <v>8.8935030438364135E-2</v>
      </c>
      <c r="AG199" s="142">
        <f>IFERROR(_xlfn.XLOOKUP($D199,'Modelling New'!$D:$D,'Modelling New'!$AE:$AE),"")</f>
        <v>0.96029999999999993</v>
      </c>
      <c r="AH199" s="142">
        <f>IFERROR(_xlfn.XLOOKUP($D199,'Modelling New'!$D:$D,'Modelling New'!$AF:$AF),"")</f>
        <v>0.995</v>
      </c>
      <c r="AI199" s="109" t="str">
        <f>IFERROR(_xlfn.XLOOKUP($A199,Input_Raw!$A:$A,Input_Raw!$DP:$DP),"")</f>
        <v/>
      </c>
      <c r="AJ199" s="108"/>
      <c r="AK199" s="108"/>
      <c r="AL199" s="108"/>
      <c r="AM199" s="108"/>
      <c r="AN199" s="132" t="str">
        <f>IFERROR(_xlfn.XLOOKUP($A199,Input_Raw!$A:$A,Input_Raw!$DL:$DL),"")</f>
        <v/>
      </c>
      <c r="AO199" s="142" t="str">
        <f>IFERROR((_xlfn.XLOOKUP($A199,'WTG Reactive Power'!$A:$A,'WTG Reactive Power'!$AW:$AW))/X199,"")</f>
        <v/>
      </c>
      <c r="AP199" s="142">
        <f>IFERROR(_xlfn.XLOOKUP($D199,'Modelling New'!$D:$D,'Modelling New'!$AK:$AK),"")</f>
        <v>0.05</v>
      </c>
      <c r="AQ199" s="142">
        <f>IFERROR(_xlfn.XLOOKUP($D199,'Modelling New'!$D:$D,'Modelling New'!$AL:$AL),"")</f>
        <v>0.05</v>
      </c>
      <c r="AR199" s="198">
        <f>IFERROR(_xlfn.XLOOKUP($D199,'Modelling New'!$D:$D,'Modelling New'!$N:$N),"")</f>
        <v>70.400000000000006</v>
      </c>
      <c r="AS199" s="198"/>
    </row>
    <row r="200" spans="1:45">
      <c r="A200" s="137">
        <f t="shared" si="23"/>
        <v>45943</v>
      </c>
      <c r="B200" s="138">
        <f>YEAR(Daily_KPI[[#This Row],[Date]])+IF(MONTH(Daily_KPI[[#This Row],[Date]])&gt;=4,1,0)</f>
        <v>2026</v>
      </c>
      <c r="C200" s="108">
        <f>YEAR(Daily_KPI[[#This Row],[Date]])</f>
        <v>2025</v>
      </c>
      <c r="D200" s="139">
        <f>Daily_KPI[[#This Row],[Date]]-DAY(Daily_KPI[[#This Row],[Date]])+1</f>
        <v>45931</v>
      </c>
      <c r="E200" s="108">
        <f t="shared" si="19"/>
        <v>31</v>
      </c>
      <c r="F200" s="109"/>
      <c r="G200" s="143"/>
      <c r="H200" s="143"/>
      <c r="I200" s="143"/>
      <c r="J200" s="143"/>
      <c r="K200" s="111"/>
      <c r="L200" s="110"/>
      <c r="M200" s="110" t="str">
        <f>IFERROR(_xlfn.XLOOKUP($A200,Input_Raw!$A:$A,Input_Raw!$CQ:$CQ),"")</f>
        <v/>
      </c>
      <c r="N200" s="110" t="str">
        <f>IFERROR(_xlfn.XLOOKUP($A200,Input_Raw!$A:$A,Input_Raw!$CR:$CR),"")</f>
        <v/>
      </c>
      <c r="O200" s="141" t="str">
        <f t="shared" si="20"/>
        <v/>
      </c>
      <c r="P200" s="141" t="str">
        <f>IFERROR(1-SUMIF(WTG_BD!$F:$F,$A200,WTG_BD!$AA:$AA)/($AA200+SUMIF(WTG_BD!$F:$F,$A200,WTG_BD!$AA:$AA)),"")</f>
        <v/>
      </c>
      <c r="Q200" s="141" t="str">
        <f>IFERROR(1-SUMIF(IGA_BD!$F:$F,$A200,IGA_BD!$W:$W)/($AA200+SUMIF(IGA_BD!$F:$F,$A200,IGA_BD!$W:$W)),"")</f>
        <v/>
      </c>
      <c r="R200" s="141" t="str">
        <f>IFERROR(1-SUMIF(Grid_BD!$F:$F,$A200,Grid_BD!$Y:$Y)/($AA200+SUMIF(Grid_BD!$F:$F,$A200,Grid_BD!$Y:$Y)),"")</f>
        <v/>
      </c>
      <c r="S200" s="108"/>
      <c r="T200" s="140"/>
      <c r="U200" s="141"/>
      <c r="V200" s="108"/>
      <c r="W200" s="142" t="str">
        <f t="shared" si="21"/>
        <v/>
      </c>
      <c r="X200" s="108" t="str">
        <f>IFERROR(_xlfn.XLOOKUP($A200,Input_Raw!$A:$A,Input_Raw!$CP:$CP)*1000,"")</f>
        <v/>
      </c>
      <c r="Y200" s="108" t="str">
        <f>IFERROR(_xlfn.XLOOKUP($A200,Input_Raw!$A:$A,Input_Raw!DJ:DJ)*1000,"")</f>
        <v/>
      </c>
      <c r="Z200" s="108" t="str">
        <f>IFERROR(_xlfn.XLOOKUP($A200,Input_Raw!$A:$A,Input_Raw!DK:DK)*1000,"")</f>
        <v/>
      </c>
      <c r="AA200" s="138" t="str">
        <f t="shared" si="22"/>
        <v/>
      </c>
      <c r="AB200" s="108" t="str">
        <f>IFERROR(_xlfn.XLOOKUP($A200,Input_Raw!$A:$A,Input_Raw!$DR:$DR),"")</f>
        <v/>
      </c>
      <c r="AC200" s="143">
        <f>IFERROR(_xlfn.XLOOKUP($D200,'Modelling New'!$D:$D,'Modelling New'!$J:$J),"")</f>
        <v>4.1733333333333329</v>
      </c>
      <c r="AD200" s="138">
        <f>IFERROR(_xlfn.XLOOKUP($D200,'Modelling New'!$D:$D,'Modelling New'!$T:$T)*1000,"")</f>
        <v>150264.62742866005</v>
      </c>
      <c r="AE200" s="142"/>
      <c r="AF200" s="142">
        <f>IFERROR(_xlfn.XLOOKUP($D200,'Modelling New'!$D:$D,'Modelling New'!$W:$W),"")</f>
        <v>8.8935030438364135E-2</v>
      </c>
      <c r="AG200" s="142">
        <f>IFERROR(_xlfn.XLOOKUP($D200,'Modelling New'!$D:$D,'Modelling New'!$AE:$AE),"")</f>
        <v>0.96029999999999993</v>
      </c>
      <c r="AH200" s="142">
        <f>IFERROR(_xlfn.XLOOKUP($D200,'Modelling New'!$D:$D,'Modelling New'!$AF:$AF),"")</f>
        <v>0.995</v>
      </c>
      <c r="AI200" s="109" t="str">
        <f>IFERROR(_xlfn.XLOOKUP($A200,Input_Raw!$A:$A,Input_Raw!$DP:$DP),"")</f>
        <v/>
      </c>
      <c r="AJ200" s="108"/>
      <c r="AK200" s="108"/>
      <c r="AL200" s="108"/>
      <c r="AM200" s="108"/>
      <c r="AN200" s="132" t="str">
        <f>IFERROR(_xlfn.XLOOKUP($A200,Input_Raw!$A:$A,Input_Raw!$DL:$DL),"")</f>
        <v/>
      </c>
      <c r="AO200" s="142" t="str">
        <f>IFERROR((_xlfn.XLOOKUP($A200,'WTG Reactive Power'!$A:$A,'WTG Reactive Power'!$AW:$AW))/X200,"")</f>
        <v/>
      </c>
      <c r="AP200" s="142">
        <f>IFERROR(_xlfn.XLOOKUP($D200,'Modelling New'!$D:$D,'Modelling New'!$AK:$AK),"")</f>
        <v>0.05</v>
      </c>
      <c r="AQ200" s="142">
        <f>IFERROR(_xlfn.XLOOKUP($D200,'Modelling New'!$D:$D,'Modelling New'!$AL:$AL),"")</f>
        <v>0.05</v>
      </c>
      <c r="AR200" s="198">
        <f>IFERROR(_xlfn.XLOOKUP($D200,'Modelling New'!$D:$D,'Modelling New'!$N:$N),"")</f>
        <v>70.400000000000006</v>
      </c>
      <c r="AS200" s="198"/>
    </row>
    <row r="201" spans="1:45">
      <c r="A201" s="137">
        <f t="shared" si="23"/>
        <v>45944</v>
      </c>
      <c r="B201" s="138">
        <f>YEAR(Daily_KPI[[#This Row],[Date]])+IF(MONTH(Daily_KPI[[#This Row],[Date]])&gt;=4,1,0)</f>
        <v>2026</v>
      </c>
      <c r="C201" s="108">
        <f>YEAR(Daily_KPI[[#This Row],[Date]])</f>
        <v>2025</v>
      </c>
      <c r="D201" s="139">
        <f>Daily_KPI[[#This Row],[Date]]-DAY(Daily_KPI[[#This Row],[Date]])+1</f>
        <v>45931</v>
      </c>
      <c r="E201" s="108">
        <f t="shared" si="19"/>
        <v>31</v>
      </c>
      <c r="F201" s="109"/>
      <c r="G201" s="110"/>
      <c r="H201" s="110"/>
      <c r="I201" s="110"/>
      <c r="J201" s="110"/>
      <c r="K201" s="111"/>
      <c r="L201" s="110"/>
      <c r="M201" s="110" t="str">
        <f>IFERROR(_xlfn.XLOOKUP($A201,Input_Raw!$A:$A,Input_Raw!$CQ:$CQ),"")</f>
        <v/>
      </c>
      <c r="N201" s="110" t="str">
        <f>IFERROR(_xlfn.XLOOKUP($A201,Input_Raw!$A:$A,Input_Raw!$CR:$CR),"")</f>
        <v/>
      </c>
      <c r="O201" s="141" t="str">
        <f t="shared" si="20"/>
        <v/>
      </c>
      <c r="P201" s="141" t="str">
        <f>IFERROR(1-SUMIF(WTG_BD!$F:$F,$A201,WTG_BD!$AA:$AA)/($AA201+SUMIF(WTG_BD!$F:$F,$A201,WTG_BD!$AA:$AA)),"")</f>
        <v/>
      </c>
      <c r="Q201" s="141" t="str">
        <f>IFERROR(1-SUMIF(IGA_BD!$F:$F,$A201,IGA_BD!$W:$W)/($AA201+SUMIF(IGA_BD!$F:$F,$A201,IGA_BD!$W:$W)),"")</f>
        <v/>
      </c>
      <c r="R201" s="141" t="str">
        <f>IFERROR(1-SUMIF(Grid_BD!$F:$F,$A201,Grid_BD!$Y:$Y)/($AA201+SUMIF(Grid_BD!$F:$F,$A201,Grid_BD!$Y:$Y)),"")</f>
        <v/>
      </c>
      <c r="S201" s="108"/>
      <c r="T201" s="140"/>
      <c r="U201" s="141"/>
      <c r="V201" s="108"/>
      <c r="W201" s="142" t="str">
        <f t="shared" si="21"/>
        <v/>
      </c>
      <c r="X201" s="108" t="str">
        <f>IFERROR(_xlfn.XLOOKUP($A201,Input_Raw!$A:$A,Input_Raw!$CP:$CP)*1000,"")</f>
        <v/>
      </c>
      <c r="Y201" s="108" t="str">
        <f>IFERROR(_xlfn.XLOOKUP($A201,Input_Raw!$A:$A,Input_Raw!DJ:DJ)*1000,"")</f>
        <v/>
      </c>
      <c r="Z201" s="108" t="str">
        <f>IFERROR(_xlfn.XLOOKUP($A201,Input_Raw!$A:$A,Input_Raw!DK:DK)*1000,"")</f>
        <v/>
      </c>
      <c r="AA201" s="138" t="str">
        <f t="shared" si="22"/>
        <v/>
      </c>
      <c r="AB201" s="108" t="str">
        <f>IFERROR(_xlfn.XLOOKUP($A201,Input_Raw!$A:$A,Input_Raw!$DR:$DR),"")</f>
        <v/>
      </c>
      <c r="AC201" s="143">
        <f>IFERROR(_xlfn.XLOOKUP($D201,'Modelling New'!$D:$D,'Modelling New'!$J:$J),"")</f>
        <v>4.1733333333333329</v>
      </c>
      <c r="AD201" s="138">
        <f>IFERROR(_xlfn.XLOOKUP($D201,'Modelling New'!$D:$D,'Modelling New'!$T:$T)*1000,"")</f>
        <v>150264.62742866005</v>
      </c>
      <c r="AE201" s="142"/>
      <c r="AF201" s="142">
        <f>IFERROR(_xlfn.XLOOKUP($D201,'Modelling New'!$D:$D,'Modelling New'!$W:$W),"")</f>
        <v>8.8935030438364135E-2</v>
      </c>
      <c r="AG201" s="142">
        <f>IFERROR(_xlfn.XLOOKUP($D201,'Modelling New'!$D:$D,'Modelling New'!$AE:$AE),"")</f>
        <v>0.96029999999999993</v>
      </c>
      <c r="AH201" s="142">
        <f>IFERROR(_xlfn.XLOOKUP($D201,'Modelling New'!$D:$D,'Modelling New'!$AF:$AF),"")</f>
        <v>0.995</v>
      </c>
      <c r="AI201" s="109" t="str">
        <f>IFERROR(_xlfn.XLOOKUP($A201,Input_Raw!$A:$A,Input_Raw!$DP:$DP),"")</f>
        <v/>
      </c>
      <c r="AJ201" s="108"/>
      <c r="AK201" s="108"/>
      <c r="AL201" s="108"/>
      <c r="AM201" s="108"/>
      <c r="AN201" s="132" t="str">
        <f>IFERROR(_xlfn.XLOOKUP($A201,Input_Raw!$A:$A,Input_Raw!$DL:$DL),"")</f>
        <v/>
      </c>
      <c r="AO201" s="142" t="str">
        <f>IFERROR((_xlfn.XLOOKUP($A201,'WTG Reactive Power'!$A:$A,'WTG Reactive Power'!$AW:$AW))/X201,"")</f>
        <v/>
      </c>
      <c r="AP201" s="142">
        <f>IFERROR(_xlfn.XLOOKUP($D201,'Modelling New'!$D:$D,'Modelling New'!$AK:$AK),"")</f>
        <v>0.05</v>
      </c>
      <c r="AQ201" s="142">
        <f>IFERROR(_xlfn.XLOOKUP($D201,'Modelling New'!$D:$D,'Modelling New'!$AL:$AL),"")</f>
        <v>0.05</v>
      </c>
      <c r="AR201" s="198">
        <f>IFERROR(_xlfn.XLOOKUP($D201,'Modelling New'!$D:$D,'Modelling New'!$N:$N),"")</f>
        <v>70.400000000000006</v>
      </c>
      <c r="AS201" s="198"/>
    </row>
    <row r="202" spans="1:45">
      <c r="A202" s="137">
        <f t="shared" si="23"/>
        <v>45945</v>
      </c>
      <c r="B202" s="138">
        <f>YEAR(Daily_KPI[[#This Row],[Date]])+IF(MONTH(Daily_KPI[[#This Row],[Date]])&gt;=4,1,0)</f>
        <v>2026</v>
      </c>
      <c r="C202" s="108">
        <f>YEAR(Daily_KPI[[#This Row],[Date]])</f>
        <v>2025</v>
      </c>
      <c r="D202" s="139">
        <f>Daily_KPI[[#This Row],[Date]]-DAY(Daily_KPI[[#This Row],[Date]])+1</f>
        <v>45931</v>
      </c>
      <c r="E202" s="108">
        <f t="shared" si="19"/>
        <v>31</v>
      </c>
      <c r="F202" s="109"/>
      <c r="G202" s="143"/>
      <c r="H202" s="143"/>
      <c r="I202" s="143"/>
      <c r="J202" s="143"/>
      <c r="K202" s="111"/>
      <c r="L202" s="110"/>
      <c r="M202" s="110" t="str">
        <f>IFERROR(_xlfn.XLOOKUP($A202,Input_Raw!$A:$A,Input_Raw!$CQ:$CQ),"")</f>
        <v/>
      </c>
      <c r="N202" s="110" t="str">
        <f>IFERROR(_xlfn.XLOOKUP($A202,Input_Raw!$A:$A,Input_Raw!$CR:$CR),"")</f>
        <v/>
      </c>
      <c r="O202" s="141" t="str">
        <f t="shared" si="20"/>
        <v/>
      </c>
      <c r="P202" s="141" t="str">
        <f>IFERROR(1-SUMIF(WTG_BD!$F:$F,$A202,WTG_BD!$AA:$AA)/($AA202+SUMIF(WTG_BD!$F:$F,$A202,WTG_BD!$AA:$AA)),"")</f>
        <v/>
      </c>
      <c r="Q202" s="141" t="str">
        <f>IFERROR(1-SUMIF(IGA_BD!$F:$F,$A202,IGA_BD!$W:$W)/($AA202+SUMIF(IGA_BD!$F:$F,$A202,IGA_BD!$W:$W)),"")</f>
        <v/>
      </c>
      <c r="R202" s="141" t="str">
        <f>IFERROR(1-SUMIF(Grid_BD!$F:$F,$A202,Grid_BD!$Y:$Y)/($AA202+SUMIF(Grid_BD!$F:$F,$A202,Grid_BD!$Y:$Y)),"")</f>
        <v/>
      </c>
      <c r="S202" s="108"/>
      <c r="T202" s="140"/>
      <c r="U202" s="141"/>
      <c r="V202" s="108"/>
      <c r="W202" s="142" t="str">
        <f t="shared" si="21"/>
        <v/>
      </c>
      <c r="X202" s="108" t="str">
        <f>IFERROR(_xlfn.XLOOKUP($A202,Input_Raw!$A:$A,Input_Raw!$CP:$CP)*1000,"")</f>
        <v/>
      </c>
      <c r="Y202" s="108" t="str">
        <f>IFERROR(_xlfn.XLOOKUP($A202,Input_Raw!$A:$A,Input_Raw!DJ:DJ)*1000,"")</f>
        <v/>
      </c>
      <c r="Z202" s="108" t="str">
        <f>IFERROR(_xlfn.XLOOKUP($A202,Input_Raw!$A:$A,Input_Raw!DK:DK)*1000,"")</f>
        <v/>
      </c>
      <c r="AA202" s="138" t="str">
        <f t="shared" si="22"/>
        <v/>
      </c>
      <c r="AB202" s="108" t="str">
        <f>IFERROR(_xlfn.XLOOKUP($A202,Input_Raw!$A:$A,Input_Raw!$DR:$DR),"")</f>
        <v/>
      </c>
      <c r="AC202" s="143">
        <f>IFERROR(_xlfn.XLOOKUP($D202,'Modelling New'!$D:$D,'Modelling New'!$J:$J),"")</f>
        <v>4.1733333333333329</v>
      </c>
      <c r="AD202" s="138">
        <f>IFERROR(_xlfn.XLOOKUP($D202,'Modelling New'!$D:$D,'Modelling New'!$T:$T)*1000,"")</f>
        <v>150264.62742866005</v>
      </c>
      <c r="AE202" s="142"/>
      <c r="AF202" s="142">
        <f>IFERROR(_xlfn.XLOOKUP($D202,'Modelling New'!$D:$D,'Modelling New'!$W:$W),"")</f>
        <v>8.8935030438364135E-2</v>
      </c>
      <c r="AG202" s="142">
        <f>IFERROR(_xlfn.XLOOKUP($D202,'Modelling New'!$D:$D,'Modelling New'!$AE:$AE),"")</f>
        <v>0.96029999999999993</v>
      </c>
      <c r="AH202" s="142">
        <f>IFERROR(_xlfn.XLOOKUP($D202,'Modelling New'!$D:$D,'Modelling New'!$AF:$AF),"")</f>
        <v>0.995</v>
      </c>
      <c r="AI202" s="109" t="str">
        <f>IFERROR(_xlfn.XLOOKUP($A202,Input_Raw!$A:$A,Input_Raw!$DP:$DP),"")</f>
        <v/>
      </c>
      <c r="AJ202" s="108"/>
      <c r="AK202" s="108"/>
      <c r="AL202" s="108"/>
      <c r="AM202" s="108"/>
      <c r="AN202" s="132" t="str">
        <f>IFERROR(_xlfn.XLOOKUP($A202,Input_Raw!$A:$A,Input_Raw!$DL:$DL),"")</f>
        <v/>
      </c>
      <c r="AO202" s="142" t="str">
        <f>IFERROR((_xlfn.XLOOKUP($A202,'WTG Reactive Power'!$A:$A,'WTG Reactive Power'!$AW:$AW))/X202,"")</f>
        <v/>
      </c>
      <c r="AP202" s="142">
        <f>IFERROR(_xlfn.XLOOKUP($D202,'Modelling New'!$D:$D,'Modelling New'!$AK:$AK),"")</f>
        <v>0.05</v>
      </c>
      <c r="AQ202" s="142">
        <f>IFERROR(_xlfn.XLOOKUP($D202,'Modelling New'!$D:$D,'Modelling New'!$AL:$AL),"")</f>
        <v>0.05</v>
      </c>
      <c r="AR202" s="198">
        <f>IFERROR(_xlfn.XLOOKUP($D202,'Modelling New'!$D:$D,'Modelling New'!$N:$N),"")</f>
        <v>70.400000000000006</v>
      </c>
      <c r="AS202" s="198"/>
    </row>
    <row r="203" spans="1:45">
      <c r="A203" s="137">
        <f t="shared" si="23"/>
        <v>45946</v>
      </c>
      <c r="B203" s="138">
        <f>YEAR(Daily_KPI[[#This Row],[Date]])+IF(MONTH(Daily_KPI[[#This Row],[Date]])&gt;=4,1,0)</f>
        <v>2026</v>
      </c>
      <c r="C203" s="108">
        <f>YEAR(Daily_KPI[[#This Row],[Date]])</f>
        <v>2025</v>
      </c>
      <c r="D203" s="139">
        <f>Daily_KPI[[#This Row],[Date]]-DAY(Daily_KPI[[#This Row],[Date]])+1</f>
        <v>45931</v>
      </c>
      <c r="E203" s="108">
        <f t="shared" si="19"/>
        <v>31</v>
      </c>
      <c r="F203" s="109"/>
      <c r="G203" s="110"/>
      <c r="H203" s="110"/>
      <c r="I203" s="110"/>
      <c r="J203" s="110"/>
      <c r="K203" s="111"/>
      <c r="L203" s="110"/>
      <c r="M203" s="110" t="str">
        <f>IFERROR(_xlfn.XLOOKUP($A203,Input_Raw!$A:$A,Input_Raw!$CQ:$CQ),"")</f>
        <v/>
      </c>
      <c r="N203" s="110" t="str">
        <f>IFERROR(_xlfn.XLOOKUP($A203,Input_Raw!$A:$A,Input_Raw!$CR:$CR),"")</f>
        <v/>
      </c>
      <c r="O203" s="141" t="str">
        <f t="shared" si="20"/>
        <v/>
      </c>
      <c r="P203" s="141" t="str">
        <f>IFERROR(1-SUMIF(WTG_BD!$F:$F,$A203,WTG_BD!$AA:$AA)/($AA203+SUMIF(WTG_BD!$F:$F,$A203,WTG_BD!$AA:$AA)),"")</f>
        <v/>
      </c>
      <c r="Q203" s="141" t="str">
        <f>IFERROR(1-SUMIF(IGA_BD!$F:$F,$A203,IGA_BD!$W:$W)/($AA203+SUMIF(IGA_BD!$F:$F,$A203,IGA_BD!$W:$W)),"")</f>
        <v/>
      </c>
      <c r="R203" s="141" t="str">
        <f>IFERROR(1-SUMIF(Grid_BD!$F:$F,$A203,Grid_BD!$Y:$Y)/($AA203+SUMIF(Grid_BD!$F:$F,$A203,Grid_BD!$Y:$Y)),"")</f>
        <v/>
      </c>
      <c r="S203" s="108"/>
      <c r="T203" s="140"/>
      <c r="U203" s="141"/>
      <c r="V203" s="108"/>
      <c r="W203" s="142" t="str">
        <f t="shared" si="21"/>
        <v/>
      </c>
      <c r="X203" s="108" t="str">
        <f>IFERROR(_xlfn.XLOOKUP($A203,Input_Raw!$A:$A,Input_Raw!$CP:$CP)*1000,"")</f>
        <v/>
      </c>
      <c r="Y203" s="108" t="str">
        <f>IFERROR(_xlfn.XLOOKUP($A203,Input_Raw!$A:$A,Input_Raw!DJ:DJ)*1000,"")</f>
        <v/>
      </c>
      <c r="Z203" s="108" t="str">
        <f>IFERROR(_xlfn.XLOOKUP($A203,Input_Raw!$A:$A,Input_Raw!DK:DK)*1000,"")</f>
        <v/>
      </c>
      <c r="AA203" s="138" t="str">
        <f t="shared" si="22"/>
        <v/>
      </c>
      <c r="AB203" s="108" t="str">
        <f>IFERROR(_xlfn.XLOOKUP($A203,Input_Raw!$A:$A,Input_Raw!$DR:$DR),"")</f>
        <v/>
      </c>
      <c r="AC203" s="143">
        <f>IFERROR(_xlfn.XLOOKUP($D203,'Modelling New'!$D:$D,'Modelling New'!$J:$J),"")</f>
        <v>4.1733333333333329</v>
      </c>
      <c r="AD203" s="138">
        <f>IFERROR(_xlfn.XLOOKUP($D203,'Modelling New'!$D:$D,'Modelling New'!$T:$T)*1000,"")</f>
        <v>150264.62742866005</v>
      </c>
      <c r="AE203" s="142"/>
      <c r="AF203" s="142">
        <f>IFERROR(_xlfn.XLOOKUP($D203,'Modelling New'!$D:$D,'Modelling New'!$W:$W),"")</f>
        <v>8.8935030438364135E-2</v>
      </c>
      <c r="AG203" s="142">
        <f>IFERROR(_xlfn.XLOOKUP($D203,'Modelling New'!$D:$D,'Modelling New'!$AE:$AE),"")</f>
        <v>0.96029999999999993</v>
      </c>
      <c r="AH203" s="142">
        <f>IFERROR(_xlfn.XLOOKUP($D203,'Modelling New'!$D:$D,'Modelling New'!$AF:$AF),"")</f>
        <v>0.995</v>
      </c>
      <c r="AI203" s="109" t="str">
        <f>IFERROR(_xlfn.XLOOKUP($A203,Input_Raw!$A:$A,Input_Raw!$DP:$DP),"")</f>
        <v/>
      </c>
      <c r="AJ203" s="108"/>
      <c r="AK203" s="108"/>
      <c r="AL203" s="108"/>
      <c r="AM203" s="108"/>
      <c r="AN203" s="132" t="str">
        <f>IFERROR(_xlfn.XLOOKUP($A203,Input_Raw!$A:$A,Input_Raw!$DL:$DL),"")</f>
        <v/>
      </c>
      <c r="AO203" s="142" t="str">
        <f>IFERROR((_xlfn.XLOOKUP($A203,'WTG Reactive Power'!$A:$A,'WTG Reactive Power'!$AW:$AW))/X203,"")</f>
        <v/>
      </c>
      <c r="AP203" s="142">
        <f>IFERROR(_xlfn.XLOOKUP($D203,'Modelling New'!$D:$D,'Modelling New'!$AK:$AK),"")</f>
        <v>0.05</v>
      </c>
      <c r="AQ203" s="142">
        <f>IFERROR(_xlfn.XLOOKUP($D203,'Modelling New'!$D:$D,'Modelling New'!$AL:$AL),"")</f>
        <v>0.05</v>
      </c>
      <c r="AR203" s="198">
        <f>IFERROR(_xlfn.XLOOKUP($D203,'Modelling New'!$D:$D,'Modelling New'!$N:$N),"")</f>
        <v>70.400000000000006</v>
      </c>
      <c r="AS203" s="198"/>
    </row>
    <row r="204" spans="1:45">
      <c r="A204" s="137">
        <f t="shared" si="23"/>
        <v>45947</v>
      </c>
      <c r="B204" s="138">
        <f>YEAR(Daily_KPI[[#This Row],[Date]])+IF(MONTH(Daily_KPI[[#This Row],[Date]])&gt;=4,1,0)</f>
        <v>2026</v>
      </c>
      <c r="C204" s="108">
        <f>YEAR(Daily_KPI[[#This Row],[Date]])</f>
        <v>2025</v>
      </c>
      <c r="D204" s="139">
        <f>Daily_KPI[[#This Row],[Date]]-DAY(Daily_KPI[[#This Row],[Date]])+1</f>
        <v>45931</v>
      </c>
      <c r="E204" s="108">
        <f t="shared" si="19"/>
        <v>31</v>
      </c>
      <c r="F204" s="109"/>
      <c r="G204" s="143"/>
      <c r="H204" s="143"/>
      <c r="I204" s="143"/>
      <c r="J204" s="143"/>
      <c r="K204" s="111"/>
      <c r="L204" s="110"/>
      <c r="M204" s="110" t="str">
        <f>IFERROR(_xlfn.XLOOKUP($A204,Input_Raw!$A:$A,Input_Raw!$CQ:$CQ),"")</f>
        <v/>
      </c>
      <c r="N204" s="110" t="str">
        <f>IFERROR(_xlfn.XLOOKUP($A204,Input_Raw!$A:$A,Input_Raw!$CR:$CR),"")</f>
        <v/>
      </c>
      <c r="O204" s="141" t="str">
        <f t="shared" si="20"/>
        <v/>
      </c>
      <c r="P204" s="141" t="str">
        <f>IFERROR(1-SUMIF(WTG_BD!$F:$F,$A204,WTG_BD!$AA:$AA)/($AA204+SUMIF(WTG_BD!$F:$F,$A204,WTG_BD!$AA:$AA)),"")</f>
        <v/>
      </c>
      <c r="Q204" s="141" t="str">
        <f>IFERROR(1-SUMIF(IGA_BD!$F:$F,$A204,IGA_BD!$W:$W)/($AA204+SUMIF(IGA_BD!$F:$F,$A204,IGA_BD!$W:$W)),"")</f>
        <v/>
      </c>
      <c r="R204" s="141" t="str">
        <f>IFERROR(1-SUMIF(Grid_BD!$F:$F,$A204,Grid_BD!$Y:$Y)/($AA204+SUMIF(Grid_BD!$F:$F,$A204,Grid_BD!$Y:$Y)),"")</f>
        <v/>
      </c>
      <c r="S204" s="108"/>
      <c r="T204" s="140"/>
      <c r="U204" s="141"/>
      <c r="V204" s="108"/>
      <c r="W204" s="142" t="str">
        <f t="shared" si="21"/>
        <v/>
      </c>
      <c r="X204" s="108" t="str">
        <f>IFERROR(_xlfn.XLOOKUP($A204,Input_Raw!$A:$A,Input_Raw!$CP:$CP)*1000,"")</f>
        <v/>
      </c>
      <c r="Y204" s="108" t="str">
        <f>IFERROR(_xlfn.XLOOKUP($A204,Input_Raw!$A:$A,Input_Raw!DJ:DJ)*1000,"")</f>
        <v/>
      </c>
      <c r="Z204" s="108" t="str">
        <f>IFERROR(_xlfn.XLOOKUP($A204,Input_Raw!$A:$A,Input_Raw!DK:DK)*1000,"")</f>
        <v/>
      </c>
      <c r="AA204" s="138" t="str">
        <f t="shared" si="22"/>
        <v/>
      </c>
      <c r="AB204" s="108" t="str">
        <f>IFERROR(_xlfn.XLOOKUP($A204,Input_Raw!$A:$A,Input_Raw!$DR:$DR),"")</f>
        <v/>
      </c>
      <c r="AC204" s="143">
        <f>IFERROR(_xlfn.XLOOKUP($D204,'Modelling New'!$D:$D,'Modelling New'!$J:$J),"")</f>
        <v>4.1733333333333329</v>
      </c>
      <c r="AD204" s="138">
        <f>IFERROR(_xlfn.XLOOKUP($D204,'Modelling New'!$D:$D,'Modelling New'!$T:$T)*1000,"")</f>
        <v>150264.62742866005</v>
      </c>
      <c r="AE204" s="142"/>
      <c r="AF204" s="142">
        <f>IFERROR(_xlfn.XLOOKUP($D204,'Modelling New'!$D:$D,'Modelling New'!$W:$W),"")</f>
        <v>8.8935030438364135E-2</v>
      </c>
      <c r="AG204" s="142">
        <f>IFERROR(_xlfn.XLOOKUP($D204,'Modelling New'!$D:$D,'Modelling New'!$AE:$AE),"")</f>
        <v>0.96029999999999993</v>
      </c>
      <c r="AH204" s="142">
        <f>IFERROR(_xlfn.XLOOKUP($D204,'Modelling New'!$D:$D,'Modelling New'!$AF:$AF),"")</f>
        <v>0.995</v>
      </c>
      <c r="AI204" s="109" t="str">
        <f>IFERROR(_xlfn.XLOOKUP($A204,Input_Raw!$A:$A,Input_Raw!$DP:$DP),"")</f>
        <v/>
      </c>
      <c r="AJ204" s="108"/>
      <c r="AK204" s="108"/>
      <c r="AL204" s="108"/>
      <c r="AM204" s="108"/>
      <c r="AN204" s="132" t="str">
        <f>IFERROR(_xlfn.XLOOKUP($A204,Input_Raw!$A:$A,Input_Raw!$DL:$DL),"")</f>
        <v/>
      </c>
      <c r="AO204" s="142" t="str">
        <f>IFERROR((_xlfn.XLOOKUP($A204,'WTG Reactive Power'!$A:$A,'WTG Reactive Power'!$AW:$AW))/X204,"")</f>
        <v/>
      </c>
      <c r="AP204" s="142">
        <f>IFERROR(_xlfn.XLOOKUP($D204,'Modelling New'!$D:$D,'Modelling New'!$AK:$AK),"")</f>
        <v>0.05</v>
      </c>
      <c r="AQ204" s="142">
        <f>IFERROR(_xlfn.XLOOKUP($D204,'Modelling New'!$D:$D,'Modelling New'!$AL:$AL),"")</f>
        <v>0.05</v>
      </c>
      <c r="AR204" s="198">
        <f>IFERROR(_xlfn.XLOOKUP($D204,'Modelling New'!$D:$D,'Modelling New'!$N:$N),"")</f>
        <v>70.400000000000006</v>
      </c>
      <c r="AS204" s="198"/>
    </row>
    <row r="205" spans="1:45">
      <c r="A205" s="137">
        <f t="shared" si="23"/>
        <v>45948</v>
      </c>
      <c r="B205" s="138">
        <f>YEAR(Daily_KPI[[#This Row],[Date]])+IF(MONTH(Daily_KPI[[#This Row],[Date]])&gt;=4,1,0)</f>
        <v>2026</v>
      </c>
      <c r="C205" s="108">
        <f>YEAR(Daily_KPI[[#This Row],[Date]])</f>
        <v>2025</v>
      </c>
      <c r="D205" s="139">
        <f>Daily_KPI[[#This Row],[Date]]-DAY(Daily_KPI[[#This Row],[Date]])+1</f>
        <v>45931</v>
      </c>
      <c r="E205" s="108">
        <f t="shared" si="19"/>
        <v>31</v>
      </c>
      <c r="F205" s="109"/>
      <c r="G205" s="110"/>
      <c r="H205" s="110"/>
      <c r="I205" s="110"/>
      <c r="J205" s="110"/>
      <c r="K205" s="111"/>
      <c r="L205" s="110"/>
      <c r="M205" s="110" t="str">
        <f>IFERROR(_xlfn.XLOOKUP($A205,Input_Raw!$A:$A,Input_Raw!$CQ:$CQ),"")</f>
        <v/>
      </c>
      <c r="N205" s="110" t="str">
        <f>IFERROR(_xlfn.XLOOKUP($A205,Input_Raw!$A:$A,Input_Raw!$CR:$CR),"")</f>
        <v/>
      </c>
      <c r="O205" s="141" t="str">
        <f t="shared" si="20"/>
        <v/>
      </c>
      <c r="P205" s="141" t="str">
        <f>IFERROR(1-SUMIF(WTG_BD!$F:$F,$A205,WTG_BD!$AA:$AA)/($AA205+SUMIF(WTG_BD!$F:$F,$A205,WTG_BD!$AA:$AA)),"")</f>
        <v/>
      </c>
      <c r="Q205" s="141" t="str">
        <f>IFERROR(1-SUMIF(IGA_BD!$F:$F,$A205,IGA_BD!$W:$W)/($AA205+SUMIF(IGA_BD!$F:$F,$A205,IGA_BD!$W:$W)),"")</f>
        <v/>
      </c>
      <c r="R205" s="141" t="str">
        <f>IFERROR(1-SUMIF(Grid_BD!$F:$F,$A205,Grid_BD!$Y:$Y)/($AA205+SUMIF(Grid_BD!$F:$F,$A205,Grid_BD!$Y:$Y)),"")</f>
        <v/>
      </c>
      <c r="S205" s="108"/>
      <c r="T205" s="140"/>
      <c r="U205" s="141"/>
      <c r="V205" s="108"/>
      <c r="W205" s="142" t="str">
        <f t="shared" si="21"/>
        <v/>
      </c>
      <c r="X205" s="108" t="str">
        <f>IFERROR(_xlfn.XLOOKUP($A205,Input_Raw!$A:$A,Input_Raw!$CP:$CP)*1000,"")</f>
        <v/>
      </c>
      <c r="Y205" s="108" t="str">
        <f>IFERROR(_xlfn.XLOOKUP($A205,Input_Raw!$A:$A,Input_Raw!DJ:DJ)*1000,"")</f>
        <v/>
      </c>
      <c r="Z205" s="108" t="str">
        <f>IFERROR(_xlfn.XLOOKUP($A205,Input_Raw!$A:$A,Input_Raw!DK:DK)*1000,"")</f>
        <v/>
      </c>
      <c r="AA205" s="138" t="str">
        <f t="shared" si="22"/>
        <v/>
      </c>
      <c r="AB205" s="108" t="str">
        <f>IFERROR(_xlfn.XLOOKUP($A205,Input_Raw!$A:$A,Input_Raw!$DR:$DR),"")</f>
        <v/>
      </c>
      <c r="AC205" s="143">
        <f>IFERROR(_xlfn.XLOOKUP($D205,'Modelling New'!$D:$D,'Modelling New'!$J:$J),"")</f>
        <v>4.1733333333333329</v>
      </c>
      <c r="AD205" s="138">
        <f>IFERROR(_xlfn.XLOOKUP($D205,'Modelling New'!$D:$D,'Modelling New'!$T:$T)*1000,"")</f>
        <v>150264.62742866005</v>
      </c>
      <c r="AE205" s="142"/>
      <c r="AF205" s="142">
        <f>IFERROR(_xlfn.XLOOKUP($D205,'Modelling New'!$D:$D,'Modelling New'!$W:$W),"")</f>
        <v>8.8935030438364135E-2</v>
      </c>
      <c r="AG205" s="142">
        <f>IFERROR(_xlfn.XLOOKUP($D205,'Modelling New'!$D:$D,'Modelling New'!$AE:$AE),"")</f>
        <v>0.96029999999999993</v>
      </c>
      <c r="AH205" s="142">
        <f>IFERROR(_xlfn.XLOOKUP($D205,'Modelling New'!$D:$D,'Modelling New'!$AF:$AF),"")</f>
        <v>0.995</v>
      </c>
      <c r="AI205" s="109" t="str">
        <f>IFERROR(_xlfn.XLOOKUP($A205,Input_Raw!$A:$A,Input_Raw!$DP:$DP),"")</f>
        <v/>
      </c>
      <c r="AJ205" s="108"/>
      <c r="AK205" s="108"/>
      <c r="AL205" s="108"/>
      <c r="AM205" s="108"/>
      <c r="AN205" s="132" t="str">
        <f>IFERROR(_xlfn.XLOOKUP($A205,Input_Raw!$A:$A,Input_Raw!$DL:$DL),"")</f>
        <v/>
      </c>
      <c r="AO205" s="142" t="str">
        <f>IFERROR((_xlfn.XLOOKUP($A205,'WTG Reactive Power'!$A:$A,'WTG Reactive Power'!$AW:$AW))/X205,"")</f>
        <v/>
      </c>
      <c r="AP205" s="142">
        <f>IFERROR(_xlfn.XLOOKUP($D205,'Modelling New'!$D:$D,'Modelling New'!$AK:$AK),"")</f>
        <v>0.05</v>
      </c>
      <c r="AQ205" s="142">
        <f>IFERROR(_xlfn.XLOOKUP($D205,'Modelling New'!$D:$D,'Modelling New'!$AL:$AL),"")</f>
        <v>0.05</v>
      </c>
      <c r="AR205" s="198">
        <f>IFERROR(_xlfn.XLOOKUP($D205,'Modelling New'!$D:$D,'Modelling New'!$N:$N),"")</f>
        <v>70.400000000000006</v>
      </c>
      <c r="AS205" s="198"/>
    </row>
    <row r="206" spans="1:45">
      <c r="A206" s="137">
        <f t="shared" si="23"/>
        <v>45949</v>
      </c>
      <c r="B206" s="138">
        <f>YEAR(Daily_KPI[[#This Row],[Date]])+IF(MONTH(Daily_KPI[[#This Row],[Date]])&gt;=4,1,0)</f>
        <v>2026</v>
      </c>
      <c r="C206" s="108">
        <f>YEAR(Daily_KPI[[#This Row],[Date]])</f>
        <v>2025</v>
      </c>
      <c r="D206" s="139">
        <f>Daily_KPI[[#This Row],[Date]]-DAY(Daily_KPI[[#This Row],[Date]])+1</f>
        <v>45931</v>
      </c>
      <c r="E206" s="108">
        <f t="shared" si="19"/>
        <v>31</v>
      </c>
      <c r="F206" s="109"/>
      <c r="G206" s="143"/>
      <c r="H206" s="143"/>
      <c r="I206" s="143"/>
      <c r="J206" s="143"/>
      <c r="K206" s="111"/>
      <c r="L206" s="110"/>
      <c r="M206" s="110" t="str">
        <f>IFERROR(_xlfn.XLOOKUP($A206,Input_Raw!$A:$A,Input_Raw!$CQ:$CQ),"")</f>
        <v/>
      </c>
      <c r="N206" s="110" t="str">
        <f>IFERROR(_xlfn.XLOOKUP($A206,Input_Raw!$A:$A,Input_Raw!$CR:$CR),"")</f>
        <v/>
      </c>
      <c r="O206" s="141" t="str">
        <f t="shared" si="20"/>
        <v/>
      </c>
      <c r="P206" s="141" t="str">
        <f>IFERROR(1-SUMIF(WTG_BD!$F:$F,$A206,WTG_BD!$AA:$AA)/($AA206+SUMIF(WTG_BD!$F:$F,$A206,WTG_BD!$AA:$AA)),"")</f>
        <v/>
      </c>
      <c r="Q206" s="141" t="str">
        <f>IFERROR(1-SUMIF(IGA_BD!$F:$F,$A206,IGA_BD!$W:$W)/($AA206+SUMIF(IGA_BD!$F:$F,$A206,IGA_BD!$W:$W)),"")</f>
        <v/>
      </c>
      <c r="R206" s="141" t="str">
        <f>IFERROR(1-SUMIF(Grid_BD!$F:$F,$A206,Grid_BD!$Y:$Y)/($AA206+SUMIF(Grid_BD!$F:$F,$A206,Grid_BD!$Y:$Y)),"")</f>
        <v/>
      </c>
      <c r="S206" s="108"/>
      <c r="T206" s="140"/>
      <c r="U206" s="141"/>
      <c r="V206" s="108"/>
      <c r="W206" s="142" t="str">
        <f t="shared" si="21"/>
        <v/>
      </c>
      <c r="X206" s="108" t="str">
        <f>IFERROR(_xlfn.XLOOKUP($A206,Input_Raw!$A:$A,Input_Raw!$CP:$CP)*1000,"")</f>
        <v/>
      </c>
      <c r="Y206" s="108" t="str">
        <f>IFERROR(_xlfn.XLOOKUP($A206,Input_Raw!$A:$A,Input_Raw!DJ:DJ)*1000,"")</f>
        <v/>
      </c>
      <c r="Z206" s="108" t="str">
        <f>IFERROR(_xlfn.XLOOKUP($A206,Input_Raw!$A:$A,Input_Raw!DK:DK)*1000,"")</f>
        <v/>
      </c>
      <c r="AA206" s="138" t="str">
        <f t="shared" si="22"/>
        <v/>
      </c>
      <c r="AB206" s="108" t="str">
        <f>IFERROR(_xlfn.XLOOKUP($A206,Input_Raw!$A:$A,Input_Raw!$DR:$DR),"")</f>
        <v/>
      </c>
      <c r="AC206" s="143">
        <f>IFERROR(_xlfn.XLOOKUP($D206,'Modelling New'!$D:$D,'Modelling New'!$J:$J),"")</f>
        <v>4.1733333333333329</v>
      </c>
      <c r="AD206" s="138">
        <f>IFERROR(_xlfn.XLOOKUP($D206,'Modelling New'!$D:$D,'Modelling New'!$T:$T)*1000,"")</f>
        <v>150264.62742866005</v>
      </c>
      <c r="AE206" s="142"/>
      <c r="AF206" s="142">
        <f>IFERROR(_xlfn.XLOOKUP($D206,'Modelling New'!$D:$D,'Modelling New'!$W:$W),"")</f>
        <v>8.8935030438364135E-2</v>
      </c>
      <c r="AG206" s="142">
        <f>IFERROR(_xlfn.XLOOKUP($D206,'Modelling New'!$D:$D,'Modelling New'!$AE:$AE),"")</f>
        <v>0.96029999999999993</v>
      </c>
      <c r="AH206" s="142">
        <f>IFERROR(_xlfn.XLOOKUP($D206,'Modelling New'!$D:$D,'Modelling New'!$AF:$AF),"")</f>
        <v>0.995</v>
      </c>
      <c r="AI206" s="109" t="str">
        <f>IFERROR(_xlfn.XLOOKUP($A206,Input_Raw!$A:$A,Input_Raw!$DP:$DP),"")</f>
        <v/>
      </c>
      <c r="AJ206" s="108"/>
      <c r="AK206" s="108"/>
      <c r="AL206" s="108"/>
      <c r="AM206" s="108"/>
      <c r="AN206" s="132" t="str">
        <f>IFERROR(_xlfn.XLOOKUP($A206,Input_Raw!$A:$A,Input_Raw!$DL:$DL),"")</f>
        <v/>
      </c>
      <c r="AO206" s="142" t="str">
        <f>IFERROR((_xlfn.XLOOKUP($A206,'WTG Reactive Power'!$A:$A,'WTG Reactive Power'!$AW:$AW))/X206,"")</f>
        <v/>
      </c>
      <c r="AP206" s="142">
        <f>IFERROR(_xlfn.XLOOKUP($D206,'Modelling New'!$D:$D,'Modelling New'!$AK:$AK),"")</f>
        <v>0.05</v>
      </c>
      <c r="AQ206" s="142">
        <f>IFERROR(_xlfn.XLOOKUP($D206,'Modelling New'!$D:$D,'Modelling New'!$AL:$AL),"")</f>
        <v>0.05</v>
      </c>
      <c r="AR206" s="198">
        <f>IFERROR(_xlfn.XLOOKUP($D206,'Modelling New'!$D:$D,'Modelling New'!$N:$N),"")</f>
        <v>70.400000000000006</v>
      </c>
      <c r="AS206" s="198"/>
    </row>
    <row r="207" spans="1:45">
      <c r="A207" s="137">
        <f t="shared" si="23"/>
        <v>45950</v>
      </c>
      <c r="B207" s="138">
        <f>YEAR(Daily_KPI[[#This Row],[Date]])+IF(MONTH(Daily_KPI[[#This Row],[Date]])&gt;=4,1,0)</f>
        <v>2026</v>
      </c>
      <c r="C207" s="108">
        <f>YEAR(Daily_KPI[[#This Row],[Date]])</f>
        <v>2025</v>
      </c>
      <c r="D207" s="139">
        <f>Daily_KPI[[#This Row],[Date]]-DAY(Daily_KPI[[#This Row],[Date]])+1</f>
        <v>45931</v>
      </c>
      <c r="E207" s="108">
        <f t="shared" si="19"/>
        <v>31</v>
      </c>
      <c r="F207" s="109"/>
      <c r="G207" s="110"/>
      <c r="H207" s="110"/>
      <c r="I207" s="110"/>
      <c r="J207" s="110"/>
      <c r="K207" s="111"/>
      <c r="L207" s="110"/>
      <c r="M207" s="110" t="str">
        <f>IFERROR(_xlfn.XLOOKUP($A207,Input_Raw!$A:$A,Input_Raw!$CQ:$CQ),"")</f>
        <v/>
      </c>
      <c r="N207" s="110" t="str">
        <f>IFERROR(_xlfn.XLOOKUP($A207,Input_Raw!$A:$A,Input_Raw!$CR:$CR),"")</f>
        <v/>
      </c>
      <c r="O207" s="141" t="str">
        <f t="shared" si="20"/>
        <v/>
      </c>
      <c r="P207" s="141" t="str">
        <f>IFERROR(1-SUMIF(WTG_BD!$F:$F,$A207,WTG_BD!$AA:$AA)/($AA207+SUMIF(WTG_BD!$F:$F,$A207,WTG_BD!$AA:$AA)),"")</f>
        <v/>
      </c>
      <c r="Q207" s="141" t="str">
        <f>IFERROR(1-SUMIF(IGA_BD!$F:$F,$A207,IGA_BD!$W:$W)/($AA207+SUMIF(IGA_BD!$F:$F,$A207,IGA_BD!$W:$W)),"")</f>
        <v/>
      </c>
      <c r="R207" s="141" t="str">
        <f>IFERROR(1-SUMIF(Grid_BD!$F:$F,$A207,Grid_BD!$Y:$Y)/($AA207+SUMIF(Grid_BD!$F:$F,$A207,Grid_BD!$Y:$Y)),"")</f>
        <v/>
      </c>
      <c r="S207" s="108"/>
      <c r="T207" s="140"/>
      <c r="U207" s="141"/>
      <c r="V207" s="108"/>
      <c r="W207" s="142" t="str">
        <f t="shared" si="21"/>
        <v/>
      </c>
      <c r="X207" s="108" t="str">
        <f>IFERROR(_xlfn.XLOOKUP($A207,Input_Raw!$A:$A,Input_Raw!$CP:$CP)*1000,"")</f>
        <v/>
      </c>
      <c r="Y207" s="108" t="str">
        <f>IFERROR(_xlfn.XLOOKUP($A207,Input_Raw!$A:$A,Input_Raw!DJ:DJ)*1000,"")</f>
        <v/>
      </c>
      <c r="Z207" s="108" t="str">
        <f>IFERROR(_xlfn.XLOOKUP($A207,Input_Raw!$A:$A,Input_Raw!DK:DK)*1000,"")</f>
        <v/>
      </c>
      <c r="AA207" s="138" t="str">
        <f t="shared" si="22"/>
        <v/>
      </c>
      <c r="AB207" s="108" t="str">
        <f>IFERROR(_xlfn.XLOOKUP($A207,Input_Raw!$A:$A,Input_Raw!$DR:$DR),"")</f>
        <v/>
      </c>
      <c r="AC207" s="143">
        <f>IFERROR(_xlfn.XLOOKUP($D207,'Modelling New'!$D:$D,'Modelling New'!$J:$J),"")</f>
        <v>4.1733333333333329</v>
      </c>
      <c r="AD207" s="138">
        <f>IFERROR(_xlfn.XLOOKUP($D207,'Modelling New'!$D:$D,'Modelling New'!$T:$T)*1000,"")</f>
        <v>150264.62742866005</v>
      </c>
      <c r="AE207" s="142"/>
      <c r="AF207" s="142">
        <f>IFERROR(_xlfn.XLOOKUP($D207,'Modelling New'!$D:$D,'Modelling New'!$W:$W),"")</f>
        <v>8.8935030438364135E-2</v>
      </c>
      <c r="AG207" s="142">
        <f>IFERROR(_xlfn.XLOOKUP($D207,'Modelling New'!$D:$D,'Modelling New'!$AE:$AE),"")</f>
        <v>0.96029999999999993</v>
      </c>
      <c r="AH207" s="142">
        <f>IFERROR(_xlfn.XLOOKUP($D207,'Modelling New'!$D:$D,'Modelling New'!$AF:$AF),"")</f>
        <v>0.995</v>
      </c>
      <c r="AI207" s="109" t="str">
        <f>IFERROR(_xlfn.XLOOKUP($A207,Input_Raw!$A:$A,Input_Raw!$DP:$DP),"")</f>
        <v/>
      </c>
      <c r="AJ207" s="108"/>
      <c r="AK207" s="108"/>
      <c r="AL207" s="108"/>
      <c r="AM207" s="108"/>
      <c r="AN207" s="132" t="str">
        <f>IFERROR(_xlfn.XLOOKUP($A207,Input_Raw!$A:$A,Input_Raw!$DL:$DL),"")</f>
        <v/>
      </c>
      <c r="AO207" s="142" t="str">
        <f>IFERROR((_xlfn.XLOOKUP($A207,'WTG Reactive Power'!$A:$A,'WTG Reactive Power'!$AW:$AW))/X207,"")</f>
        <v/>
      </c>
      <c r="AP207" s="142">
        <f>IFERROR(_xlfn.XLOOKUP($D207,'Modelling New'!$D:$D,'Modelling New'!$AK:$AK),"")</f>
        <v>0.05</v>
      </c>
      <c r="AQ207" s="142">
        <f>IFERROR(_xlfn.XLOOKUP($D207,'Modelling New'!$D:$D,'Modelling New'!$AL:$AL),"")</f>
        <v>0.05</v>
      </c>
      <c r="AR207" s="198">
        <f>IFERROR(_xlfn.XLOOKUP($D207,'Modelling New'!$D:$D,'Modelling New'!$N:$N),"")</f>
        <v>70.400000000000006</v>
      </c>
      <c r="AS207" s="198"/>
    </row>
    <row r="208" spans="1:45">
      <c r="A208" s="137">
        <f t="shared" si="23"/>
        <v>45951</v>
      </c>
      <c r="B208" s="138">
        <f>YEAR(Daily_KPI[[#This Row],[Date]])+IF(MONTH(Daily_KPI[[#This Row],[Date]])&gt;=4,1,0)</f>
        <v>2026</v>
      </c>
      <c r="C208" s="108">
        <f>YEAR(Daily_KPI[[#This Row],[Date]])</f>
        <v>2025</v>
      </c>
      <c r="D208" s="139">
        <f>Daily_KPI[[#This Row],[Date]]-DAY(Daily_KPI[[#This Row],[Date]])+1</f>
        <v>45931</v>
      </c>
      <c r="E208" s="108">
        <f t="shared" si="19"/>
        <v>31</v>
      </c>
      <c r="F208" s="109"/>
      <c r="G208" s="143"/>
      <c r="H208" s="143"/>
      <c r="I208" s="143"/>
      <c r="J208" s="143"/>
      <c r="K208" s="111"/>
      <c r="L208" s="110"/>
      <c r="M208" s="110" t="str">
        <f>IFERROR(_xlfn.XLOOKUP($A208,Input_Raw!$A:$A,Input_Raw!$CQ:$CQ),"")</f>
        <v/>
      </c>
      <c r="N208" s="110" t="str">
        <f>IFERROR(_xlfn.XLOOKUP($A208,Input_Raw!$A:$A,Input_Raw!$CR:$CR),"")</f>
        <v/>
      </c>
      <c r="O208" s="141" t="str">
        <f t="shared" si="20"/>
        <v/>
      </c>
      <c r="P208" s="141" t="str">
        <f>IFERROR(1-SUMIF(WTG_BD!$F:$F,$A208,WTG_BD!$AA:$AA)/($AA208+SUMIF(WTG_BD!$F:$F,$A208,WTG_BD!$AA:$AA)),"")</f>
        <v/>
      </c>
      <c r="Q208" s="141" t="str">
        <f>IFERROR(1-SUMIF(IGA_BD!$F:$F,$A208,IGA_BD!$W:$W)/($AA208+SUMIF(IGA_BD!$F:$F,$A208,IGA_BD!$W:$W)),"")</f>
        <v/>
      </c>
      <c r="R208" s="141" t="str">
        <f>IFERROR(1-SUMIF(Grid_BD!$F:$F,$A208,Grid_BD!$Y:$Y)/($AA208+SUMIF(Grid_BD!$F:$F,$A208,Grid_BD!$Y:$Y)),"")</f>
        <v/>
      </c>
      <c r="S208" s="108"/>
      <c r="T208" s="140"/>
      <c r="U208" s="141"/>
      <c r="V208" s="108"/>
      <c r="W208" s="142" t="str">
        <f t="shared" si="21"/>
        <v/>
      </c>
      <c r="X208" s="108" t="str">
        <f>IFERROR(_xlfn.XLOOKUP($A208,Input_Raw!$A:$A,Input_Raw!$CP:$CP)*1000,"")</f>
        <v/>
      </c>
      <c r="Y208" s="108" t="str">
        <f>IFERROR(_xlfn.XLOOKUP($A208,Input_Raw!$A:$A,Input_Raw!DJ:DJ)*1000,"")</f>
        <v/>
      </c>
      <c r="Z208" s="108" t="str">
        <f>IFERROR(_xlfn.XLOOKUP($A208,Input_Raw!$A:$A,Input_Raw!DK:DK)*1000,"")</f>
        <v/>
      </c>
      <c r="AA208" s="138" t="str">
        <f t="shared" si="22"/>
        <v/>
      </c>
      <c r="AB208" s="108" t="str">
        <f>IFERROR(_xlfn.XLOOKUP($A208,Input_Raw!$A:$A,Input_Raw!$DR:$DR),"")</f>
        <v/>
      </c>
      <c r="AC208" s="143">
        <f>IFERROR(_xlfn.XLOOKUP($D208,'Modelling New'!$D:$D,'Modelling New'!$J:$J),"")</f>
        <v>4.1733333333333329</v>
      </c>
      <c r="AD208" s="138">
        <f>IFERROR(_xlfn.XLOOKUP($D208,'Modelling New'!$D:$D,'Modelling New'!$T:$T)*1000,"")</f>
        <v>150264.62742866005</v>
      </c>
      <c r="AE208" s="142"/>
      <c r="AF208" s="142">
        <f>IFERROR(_xlfn.XLOOKUP($D208,'Modelling New'!$D:$D,'Modelling New'!$W:$W),"")</f>
        <v>8.8935030438364135E-2</v>
      </c>
      <c r="AG208" s="142">
        <f>IFERROR(_xlfn.XLOOKUP($D208,'Modelling New'!$D:$D,'Modelling New'!$AE:$AE),"")</f>
        <v>0.96029999999999993</v>
      </c>
      <c r="AH208" s="142">
        <f>IFERROR(_xlfn.XLOOKUP($D208,'Modelling New'!$D:$D,'Modelling New'!$AF:$AF),"")</f>
        <v>0.995</v>
      </c>
      <c r="AI208" s="109" t="str">
        <f>IFERROR(_xlfn.XLOOKUP($A208,Input_Raw!$A:$A,Input_Raw!$DP:$DP),"")</f>
        <v/>
      </c>
      <c r="AJ208" s="108"/>
      <c r="AK208" s="108"/>
      <c r="AL208" s="108"/>
      <c r="AM208" s="108"/>
      <c r="AN208" s="132" t="str">
        <f>IFERROR(_xlfn.XLOOKUP($A208,Input_Raw!$A:$A,Input_Raw!$DL:$DL),"")</f>
        <v/>
      </c>
      <c r="AO208" s="142" t="str">
        <f>IFERROR((_xlfn.XLOOKUP($A208,'WTG Reactive Power'!$A:$A,'WTG Reactive Power'!$AW:$AW))/X208,"")</f>
        <v/>
      </c>
      <c r="AP208" s="142">
        <f>IFERROR(_xlfn.XLOOKUP($D208,'Modelling New'!$D:$D,'Modelling New'!$AK:$AK),"")</f>
        <v>0.05</v>
      </c>
      <c r="AQ208" s="142">
        <f>IFERROR(_xlfn.XLOOKUP($D208,'Modelling New'!$D:$D,'Modelling New'!$AL:$AL),"")</f>
        <v>0.05</v>
      </c>
      <c r="AR208" s="198">
        <f>IFERROR(_xlfn.XLOOKUP($D208,'Modelling New'!$D:$D,'Modelling New'!$N:$N),"")</f>
        <v>70.400000000000006</v>
      </c>
      <c r="AS208" s="198"/>
    </row>
    <row r="209" spans="1:45">
      <c r="A209" s="137">
        <f t="shared" si="23"/>
        <v>45952</v>
      </c>
      <c r="B209" s="138">
        <f>YEAR(Daily_KPI[[#This Row],[Date]])+IF(MONTH(Daily_KPI[[#This Row],[Date]])&gt;=4,1,0)</f>
        <v>2026</v>
      </c>
      <c r="C209" s="108">
        <f>YEAR(Daily_KPI[[#This Row],[Date]])</f>
        <v>2025</v>
      </c>
      <c r="D209" s="139">
        <f>Daily_KPI[[#This Row],[Date]]-DAY(Daily_KPI[[#This Row],[Date]])+1</f>
        <v>45931</v>
      </c>
      <c r="E209" s="108">
        <f t="shared" si="19"/>
        <v>31</v>
      </c>
      <c r="F209" s="109"/>
      <c r="G209" s="110"/>
      <c r="H209" s="110"/>
      <c r="I209" s="110"/>
      <c r="J209" s="110"/>
      <c r="K209" s="111"/>
      <c r="L209" s="110"/>
      <c r="M209" s="110" t="str">
        <f>IFERROR(_xlfn.XLOOKUP($A209,Input_Raw!$A:$A,Input_Raw!$CQ:$CQ),"")</f>
        <v/>
      </c>
      <c r="N209" s="110" t="str">
        <f>IFERROR(_xlfn.XLOOKUP($A209,Input_Raw!$A:$A,Input_Raw!$CR:$CR),"")</f>
        <v/>
      </c>
      <c r="O209" s="141" t="str">
        <f t="shared" si="20"/>
        <v/>
      </c>
      <c r="P209" s="141" t="str">
        <f>IFERROR(1-SUMIF(WTG_BD!$F:$F,$A209,WTG_BD!$AA:$AA)/($AA209+SUMIF(WTG_BD!$F:$F,$A209,WTG_BD!$AA:$AA)),"")</f>
        <v/>
      </c>
      <c r="Q209" s="141" t="str">
        <f>IFERROR(1-SUMIF(IGA_BD!$F:$F,$A209,IGA_BD!$W:$W)/($AA209+SUMIF(IGA_BD!$F:$F,$A209,IGA_BD!$W:$W)),"")</f>
        <v/>
      </c>
      <c r="R209" s="141" t="str">
        <f>IFERROR(1-SUMIF(Grid_BD!$F:$F,$A209,Grid_BD!$Y:$Y)/($AA209+SUMIF(Grid_BD!$F:$F,$A209,Grid_BD!$Y:$Y)),"")</f>
        <v/>
      </c>
      <c r="S209" s="108"/>
      <c r="T209" s="140"/>
      <c r="U209" s="141"/>
      <c r="V209" s="108"/>
      <c r="W209" s="142" t="str">
        <f t="shared" si="21"/>
        <v/>
      </c>
      <c r="X209" s="108" t="str">
        <f>IFERROR(_xlfn.XLOOKUP($A209,Input_Raw!$A:$A,Input_Raw!$CP:$CP)*1000,"")</f>
        <v/>
      </c>
      <c r="Y209" s="108" t="str">
        <f>IFERROR(_xlfn.XLOOKUP($A209,Input_Raw!$A:$A,Input_Raw!DJ:DJ)*1000,"")</f>
        <v/>
      </c>
      <c r="Z209" s="108" t="str">
        <f>IFERROR(_xlfn.XLOOKUP($A209,Input_Raw!$A:$A,Input_Raw!DK:DK)*1000,"")</f>
        <v/>
      </c>
      <c r="AA209" s="138" t="str">
        <f t="shared" si="22"/>
        <v/>
      </c>
      <c r="AB209" s="108" t="str">
        <f>IFERROR(_xlfn.XLOOKUP($A209,Input_Raw!$A:$A,Input_Raw!$DR:$DR),"")</f>
        <v/>
      </c>
      <c r="AC209" s="143">
        <f>IFERROR(_xlfn.XLOOKUP($D209,'Modelling New'!$D:$D,'Modelling New'!$J:$J),"")</f>
        <v>4.1733333333333329</v>
      </c>
      <c r="AD209" s="138">
        <f>IFERROR(_xlfn.XLOOKUP($D209,'Modelling New'!$D:$D,'Modelling New'!$T:$T)*1000,"")</f>
        <v>150264.62742866005</v>
      </c>
      <c r="AE209" s="142"/>
      <c r="AF209" s="142">
        <f>IFERROR(_xlfn.XLOOKUP($D209,'Modelling New'!$D:$D,'Modelling New'!$W:$W),"")</f>
        <v>8.8935030438364135E-2</v>
      </c>
      <c r="AG209" s="142">
        <f>IFERROR(_xlfn.XLOOKUP($D209,'Modelling New'!$D:$D,'Modelling New'!$AE:$AE),"")</f>
        <v>0.96029999999999993</v>
      </c>
      <c r="AH209" s="142">
        <f>IFERROR(_xlfn.XLOOKUP($D209,'Modelling New'!$D:$D,'Modelling New'!$AF:$AF),"")</f>
        <v>0.995</v>
      </c>
      <c r="AI209" s="109" t="str">
        <f>IFERROR(_xlfn.XLOOKUP($A209,Input_Raw!$A:$A,Input_Raw!$DP:$DP),"")</f>
        <v/>
      </c>
      <c r="AJ209" s="108"/>
      <c r="AK209" s="108"/>
      <c r="AL209" s="108"/>
      <c r="AM209" s="108"/>
      <c r="AN209" s="132" t="str">
        <f>IFERROR(_xlfn.XLOOKUP($A209,Input_Raw!$A:$A,Input_Raw!$DL:$DL),"")</f>
        <v/>
      </c>
      <c r="AO209" s="142" t="str">
        <f>IFERROR((_xlfn.XLOOKUP($A209,'WTG Reactive Power'!$A:$A,'WTG Reactive Power'!$AW:$AW))/X209,"")</f>
        <v/>
      </c>
      <c r="AP209" s="142">
        <f>IFERROR(_xlfn.XLOOKUP($D209,'Modelling New'!$D:$D,'Modelling New'!$AK:$AK),"")</f>
        <v>0.05</v>
      </c>
      <c r="AQ209" s="142">
        <f>IFERROR(_xlfn.XLOOKUP($D209,'Modelling New'!$D:$D,'Modelling New'!$AL:$AL),"")</f>
        <v>0.05</v>
      </c>
      <c r="AR209" s="198">
        <f>IFERROR(_xlfn.XLOOKUP($D209,'Modelling New'!$D:$D,'Modelling New'!$N:$N),"")</f>
        <v>70.400000000000006</v>
      </c>
      <c r="AS209" s="198"/>
    </row>
    <row r="210" spans="1:45">
      <c r="A210" s="137">
        <f t="shared" si="23"/>
        <v>45953</v>
      </c>
      <c r="B210" s="138">
        <f>YEAR(Daily_KPI[[#This Row],[Date]])+IF(MONTH(Daily_KPI[[#This Row],[Date]])&gt;=4,1,0)</f>
        <v>2026</v>
      </c>
      <c r="C210" s="108">
        <f>YEAR(Daily_KPI[[#This Row],[Date]])</f>
        <v>2025</v>
      </c>
      <c r="D210" s="139">
        <f>Daily_KPI[[#This Row],[Date]]-DAY(Daily_KPI[[#This Row],[Date]])+1</f>
        <v>45931</v>
      </c>
      <c r="E210" s="108">
        <f t="shared" si="19"/>
        <v>31</v>
      </c>
      <c r="F210" s="109"/>
      <c r="G210" s="143"/>
      <c r="H210" s="143"/>
      <c r="I210" s="143"/>
      <c r="J210" s="143"/>
      <c r="K210" s="111"/>
      <c r="L210" s="110"/>
      <c r="M210" s="110" t="str">
        <f>IFERROR(_xlfn.XLOOKUP($A210,Input_Raw!$A:$A,Input_Raw!$CQ:$CQ),"")</f>
        <v/>
      </c>
      <c r="N210" s="110" t="str">
        <f>IFERROR(_xlfn.XLOOKUP($A210,Input_Raw!$A:$A,Input_Raw!$CR:$CR),"")</f>
        <v/>
      </c>
      <c r="O210" s="141" t="str">
        <f t="shared" si="20"/>
        <v/>
      </c>
      <c r="P210" s="141" t="str">
        <f>IFERROR(1-SUMIF(WTG_BD!$F:$F,$A210,WTG_BD!$AA:$AA)/($AA210+SUMIF(WTG_BD!$F:$F,$A210,WTG_BD!$AA:$AA)),"")</f>
        <v/>
      </c>
      <c r="Q210" s="141" t="str">
        <f>IFERROR(1-SUMIF(IGA_BD!$F:$F,$A210,IGA_BD!$W:$W)/($AA210+SUMIF(IGA_BD!$F:$F,$A210,IGA_BD!$W:$W)),"")</f>
        <v/>
      </c>
      <c r="R210" s="141" t="str">
        <f>IFERROR(1-SUMIF(Grid_BD!$F:$F,$A210,Grid_BD!$Y:$Y)/($AA210+SUMIF(Grid_BD!$F:$F,$A210,Grid_BD!$Y:$Y)),"")</f>
        <v/>
      </c>
      <c r="S210" s="108"/>
      <c r="T210" s="140"/>
      <c r="U210" s="141"/>
      <c r="V210" s="108"/>
      <c r="W210" s="142" t="str">
        <f t="shared" si="21"/>
        <v/>
      </c>
      <c r="X210" s="108" t="str">
        <f>IFERROR(_xlfn.XLOOKUP($A210,Input_Raw!$A:$A,Input_Raw!$CP:$CP)*1000,"")</f>
        <v/>
      </c>
      <c r="Y210" s="108" t="str">
        <f>IFERROR(_xlfn.XLOOKUP($A210,Input_Raw!$A:$A,Input_Raw!DJ:DJ)*1000,"")</f>
        <v/>
      </c>
      <c r="Z210" s="108" t="str">
        <f>IFERROR(_xlfn.XLOOKUP($A210,Input_Raw!$A:$A,Input_Raw!DK:DK)*1000,"")</f>
        <v/>
      </c>
      <c r="AA210" s="138" t="str">
        <f t="shared" si="22"/>
        <v/>
      </c>
      <c r="AB210" s="108" t="str">
        <f>IFERROR(_xlfn.XLOOKUP($A210,Input_Raw!$A:$A,Input_Raw!$DR:$DR),"")</f>
        <v/>
      </c>
      <c r="AC210" s="143">
        <f>IFERROR(_xlfn.XLOOKUP($D210,'Modelling New'!$D:$D,'Modelling New'!$J:$J),"")</f>
        <v>4.1733333333333329</v>
      </c>
      <c r="AD210" s="138">
        <f>IFERROR(_xlfn.XLOOKUP($D210,'Modelling New'!$D:$D,'Modelling New'!$T:$T)*1000,"")</f>
        <v>150264.62742866005</v>
      </c>
      <c r="AE210" s="142"/>
      <c r="AF210" s="142">
        <f>IFERROR(_xlfn.XLOOKUP($D210,'Modelling New'!$D:$D,'Modelling New'!$W:$W),"")</f>
        <v>8.8935030438364135E-2</v>
      </c>
      <c r="AG210" s="142">
        <f>IFERROR(_xlfn.XLOOKUP($D210,'Modelling New'!$D:$D,'Modelling New'!$AE:$AE),"")</f>
        <v>0.96029999999999993</v>
      </c>
      <c r="AH210" s="142">
        <f>IFERROR(_xlfn.XLOOKUP($D210,'Modelling New'!$D:$D,'Modelling New'!$AF:$AF),"")</f>
        <v>0.995</v>
      </c>
      <c r="AI210" s="109" t="str">
        <f>IFERROR(_xlfn.XLOOKUP($A210,Input_Raw!$A:$A,Input_Raw!$DP:$DP),"")</f>
        <v/>
      </c>
      <c r="AJ210" s="108"/>
      <c r="AK210" s="108"/>
      <c r="AL210" s="108"/>
      <c r="AM210" s="108"/>
      <c r="AN210" s="132" t="str">
        <f>IFERROR(_xlfn.XLOOKUP($A210,Input_Raw!$A:$A,Input_Raw!$DL:$DL),"")</f>
        <v/>
      </c>
      <c r="AO210" s="142" t="str">
        <f>IFERROR((_xlfn.XLOOKUP($A210,'WTG Reactive Power'!$A:$A,'WTG Reactive Power'!$AW:$AW))/X210,"")</f>
        <v/>
      </c>
      <c r="AP210" s="142">
        <f>IFERROR(_xlfn.XLOOKUP($D210,'Modelling New'!$D:$D,'Modelling New'!$AK:$AK),"")</f>
        <v>0.05</v>
      </c>
      <c r="AQ210" s="142">
        <f>IFERROR(_xlfn.XLOOKUP($D210,'Modelling New'!$D:$D,'Modelling New'!$AL:$AL),"")</f>
        <v>0.05</v>
      </c>
      <c r="AR210" s="198">
        <f>IFERROR(_xlfn.XLOOKUP($D210,'Modelling New'!$D:$D,'Modelling New'!$N:$N),"")</f>
        <v>70.400000000000006</v>
      </c>
      <c r="AS210" s="198"/>
    </row>
    <row r="211" spans="1:45">
      <c r="A211" s="137">
        <f t="shared" si="23"/>
        <v>45954</v>
      </c>
      <c r="B211" s="138">
        <f>YEAR(Daily_KPI[[#This Row],[Date]])+IF(MONTH(Daily_KPI[[#This Row],[Date]])&gt;=4,1,0)</f>
        <v>2026</v>
      </c>
      <c r="C211" s="108">
        <f>YEAR(Daily_KPI[[#This Row],[Date]])</f>
        <v>2025</v>
      </c>
      <c r="D211" s="139">
        <f>Daily_KPI[[#This Row],[Date]]-DAY(Daily_KPI[[#This Row],[Date]])+1</f>
        <v>45931</v>
      </c>
      <c r="E211" s="108">
        <f t="shared" si="19"/>
        <v>31</v>
      </c>
      <c r="F211" s="109"/>
      <c r="G211" s="110"/>
      <c r="H211" s="110"/>
      <c r="I211" s="110"/>
      <c r="J211" s="110"/>
      <c r="K211" s="111"/>
      <c r="L211" s="110"/>
      <c r="M211" s="110" t="str">
        <f>IFERROR(_xlfn.XLOOKUP($A211,Input_Raw!$A:$A,Input_Raw!$CQ:$CQ),"")</f>
        <v/>
      </c>
      <c r="N211" s="110" t="str">
        <f>IFERROR(_xlfn.XLOOKUP($A211,Input_Raw!$A:$A,Input_Raw!$CR:$CR),"")</f>
        <v/>
      </c>
      <c r="O211" s="141" t="str">
        <f t="shared" si="20"/>
        <v/>
      </c>
      <c r="P211" s="141" t="str">
        <f>IFERROR(1-SUMIF(WTG_BD!$F:$F,$A211,WTG_BD!$AA:$AA)/($AA211+SUMIF(WTG_BD!$F:$F,$A211,WTG_BD!$AA:$AA)),"")</f>
        <v/>
      </c>
      <c r="Q211" s="141" t="str">
        <f>IFERROR(1-SUMIF(IGA_BD!$F:$F,$A211,IGA_BD!$W:$W)/($AA211+SUMIF(IGA_BD!$F:$F,$A211,IGA_BD!$W:$W)),"")</f>
        <v/>
      </c>
      <c r="R211" s="141" t="str">
        <f>IFERROR(1-SUMIF(Grid_BD!$F:$F,$A211,Grid_BD!$Y:$Y)/($AA211+SUMIF(Grid_BD!$F:$F,$A211,Grid_BD!$Y:$Y)),"")</f>
        <v/>
      </c>
      <c r="S211" s="108"/>
      <c r="T211" s="140"/>
      <c r="U211" s="141"/>
      <c r="V211" s="108"/>
      <c r="W211" s="142" t="str">
        <f t="shared" si="21"/>
        <v/>
      </c>
      <c r="X211" s="108" t="str">
        <f>IFERROR(_xlfn.XLOOKUP($A211,Input_Raw!$A:$A,Input_Raw!$CP:$CP)*1000,"")</f>
        <v/>
      </c>
      <c r="Y211" s="108" t="str">
        <f>IFERROR(_xlfn.XLOOKUP($A211,Input_Raw!$A:$A,Input_Raw!DJ:DJ)*1000,"")</f>
        <v/>
      </c>
      <c r="Z211" s="108" t="str">
        <f>IFERROR(_xlfn.XLOOKUP($A211,Input_Raw!$A:$A,Input_Raw!DK:DK)*1000,"")</f>
        <v/>
      </c>
      <c r="AA211" s="138" t="str">
        <f t="shared" si="22"/>
        <v/>
      </c>
      <c r="AB211" s="108" t="str">
        <f>IFERROR(_xlfn.XLOOKUP($A211,Input_Raw!$A:$A,Input_Raw!$DR:$DR),"")</f>
        <v/>
      </c>
      <c r="AC211" s="143">
        <f>IFERROR(_xlfn.XLOOKUP($D211,'Modelling New'!$D:$D,'Modelling New'!$J:$J),"")</f>
        <v>4.1733333333333329</v>
      </c>
      <c r="AD211" s="138">
        <f>IFERROR(_xlfn.XLOOKUP($D211,'Modelling New'!$D:$D,'Modelling New'!$T:$T)*1000,"")</f>
        <v>150264.62742866005</v>
      </c>
      <c r="AE211" s="142"/>
      <c r="AF211" s="142">
        <f>IFERROR(_xlfn.XLOOKUP($D211,'Modelling New'!$D:$D,'Modelling New'!$W:$W),"")</f>
        <v>8.8935030438364135E-2</v>
      </c>
      <c r="AG211" s="142">
        <f>IFERROR(_xlfn.XLOOKUP($D211,'Modelling New'!$D:$D,'Modelling New'!$AE:$AE),"")</f>
        <v>0.96029999999999993</v>
      </c>
      <c r="AH211" s="142">
        <f>IFERROR(_xlfn.XLOOKUP($D211,'Modelling New'!$D:$D,'Modelling New'!$AF:$AF),"")</f>
        <v>0.995</v>
      </c>
      <c r="AI211" s="109" t="str">
        <f>IFERROR(_xlfn.XLOOKUP($A211,Input_Raw!$A:$A,Input_Raw!$DP:$DP),"")</f>
        <v/>
      </c>
      <c r="AJ211" s="108"/>
      <c r="AK211" s="108"/>
      <c r="AL211" s="108"/>
      <c r="AM211" s="108"/>
      <c r="AN211" s="132" t="str">
        <f>IFERROR(_xlfn.XLOOKUP($A211,Input_Raw!$A:$A,Input_Raw!$DL:$DL),"")</f>
        <v/>
      </c>
      <c r="AO211" s="142" t="str">
        <f>IFERROR((_xlfn.XLOOKUP($A211,'WTG Reactive Power'!$A:$A,'WTG Reactive Power'!$AW:$AW))/X211,"")</f>
        <v/>
      </c>
      <c r="AP211" s="142">
        <f>IFERROR(_xlfn.XLOOKUP($D211,'Modelling New'!$D:$D,'Modelling New'!$AK:$AK),"")</f>
        <v>0.05</v>
      </c>
      <c r="AQ211" s="142">
        <f>IFERROR(_xlfn.XLOOKUP($D211,'Modelling New'!$D:$D,'Modelling New'!$AL:$AL),"")</f>
        <v>0.05</v>
      </c>
      <c r="AR211" s="198">
        <f>IFERROR(_xlfn.XLOOKUP($D211,'Modelling New'!$D:$D,'Modelling New'!$N:$N),"")</f>
        <v>70.400000000000006</v>
      </c>
      <c r="AS211" s="198"/>
    </row>
    <row r="212" spans="1:45">
      <c r="A212" s="137">
        <f t="shared" si="23"/>
        <v>45955</v>
      </c>
      <c r="B212" s="138">
        <f>YEAR(Daily_KPI[[#This Row],[Date]])+IF(MONTH(Daily_KPI[[#This Row],[Date]])&gt;=4,1,0)</f>
        <v>2026</v>
      </c>
      <c r="C212" s="108">
        <f>YEAR(Daily_KPI[[#This Row],[Date]])</f>
        <v>2025</v>
      </c>
      <c r="D212" s="139">
        <f>Daily_KPI[[#This Row],[Date]]-DAY(Daily_KPI[[#This Row],[Date]])+1</f>
        <v>45931</v>
      </c>
      <c r="E212" s="108">
        <f t="shared" si="19"/>
        <v>31</v>
      </c>
      <c r="F212" s="109"/>
      <c r="G212" s="143"/>
      <c r="H212" s="143"/>
      <c r="I212" s="143"/>
      <c r="J212" s="143"/>
      <c r="K212" s="111"/>
      <c r="L212" s="110"/>
      <c r="M212" s="110" t="str">
        <f>IFERROR(_xlfn.XLOOKUP($A212,Input_Raw!$A:$A,Input_Raw!$CQ:$CQ),"")</f>
        <v/>
      </c>
      <c r="N212" s="110" t="str">
        <f>IFERROR(_xlfn.XLOOKUP($A212,Input_Raw!$A:$A,Input_Raw!$CR:$CR),"")</f>
        <v/>
      </c>
      <c r="O212" s="141" t="str">
        <f t="shared" si="20"/>
        <v/>
      </c>
      <c r="P212" s="141" t="str">
        <f>IFERROR(1-SUMIF(WTG_BD!$F:$F,$A212,WTG_BD!$AA:$AA)/($AA212+SUMIF(WTG_BD!$F:$F,$A212,WTG_BD!$AA:$AA)),"")</f>
        <v/>
      </c>
      <c r="Q212" s="141" t="str">
        <f>IFERROR(1-SUMIF(IGA_BD!$F:$F,$A212,IGA_BD!$W:$W)/($AA212+SUMIF(IGA_BD!$F:$F,$A212,IGA_BD!$W:$W)),"")</f>
        <v/>
      </c>
      <c r="R212" s="141" t="str">
        <f>IFERROR(1-SUMIF(Grid_BD!$F:$F,$A212,Grid_BD!$Y:$Y)/($AA212+SUMIF(Grid_BD!$F:$F,$A212,Grid_BD!$Y:$Y)),"")</f>
        <v/>
      </c>
      <c r="S212" s="108"/>
      <c r="T212" s="140"/>
      <c r="U212" s="141"/>
      <c r="V212" s="108"/>
      <c r="W212" s="142" t="str">
        <f t="shared" si="21"/>
        <v/>
      </c>
      <c r="X212" s="108" t="str">
        <f>IFERROR(_xlfn.XLOOKUP($A212,Input_Raw!$A:$A,Input_Raw!$CP:$CP)*1000,"")</f>
        <v/>
      </c>
      <c r="Y212" s="108" t="str">
        <f>IFERROR(_xlfn.XLOOKUP($A212,Input_Raw!$A:$A,Input_Raw!DJ:DJ)*1000,"")</f>
        <v/>
      </c>
      <c r="Z212" s="108" t="str">
        <f>IFERROR(_xlfn.XLOOKUP($A212,Input_Raw!$A:$A,Input_Raw!DK:DK)*1000,"")</f>
        <v/>
      </c>
      <c r="AA212" s="138" t="str">
        <f t="shared" si="22"/>
        <v/>
      </c>
      <c r="AB212" s="108" t="str">
        <f>IFERROR(_xlfn.XLOOKUP($A212,Input_Raw!$A:$A,Input_Raw!$DR:$DR),"")</f>
        <v/>
      </c>
      <c r="AC212" s="143">
        <f>IFERROR(_xlfn.XLOOKUP($D212,'Modelling New'!$D:$D,'Modelling New'!$J:$J),"")</f>
        <v>4.1733333333333329</v>
      </c>
      <c r="AD212" s="138">
        <f>IFERROR(_xlfn.XLOOKUP($D212,'Modelling New'!$D:$D,'Modelling New'!$T:$T)*1000,"")</f>
        <v>150264.62742866005</v>
      </c>
      <c r="AE212" s="142"/>
      <c r="AF212" s="142">
        <f>IFERROR(_xlfn.XLOOKUP($D212,'Modelling New'!$D:$D,'Modelling New'!$W:$W),"")</f>
        <v>8.8935030438364135E-2</v>
      </c>
      <c r="AG212" s="142">
        <f>IFERROR(_xlfn.XLOOKUP($D212,'Modelling New'!$D:$D,'Modelling New'!$AE:$AE),"")</f>
        <v>0.96029999999999993</v>
      </c>
      <c r="AH212" s="142">
        <f>IFERROR(_xlfn.XLOOKUP($D212,'Modelling New'!$D:$D,'Modelling New'!$AF:$AF),"")</f>
        <v>0.995</v>
      </c>
      <c r="AI212" s="109" t="str">
        <f>IFERROR(_xlfn.XLOOKUP($A212,Input_Raw!$A:$A,Input_Raw!$DP:$DP),"")</f>
        <v/>
      </c>
      <c r="AJ212" s="108"/>
      <c r="AK212" s="108"/>
      <c r="AL212" s="108"/>
      <c r="AM212" s="108"/>
      <c r="AN212" s="132" t="str">
        <f>IFERROR(_xlfn.XLOOKUP($A212,Input_Raw!$A:$A,Input_Raw!$DL:$DL),"")</f>
        <v/>
      </c>
      <c r="AO212" s="142" t="str">
        <f>IFERROR((_xlfn.XLOOKUP($A212,'WTG Reactive Power'!$A:$A,'WTG Reactive Power'!$AW:$AW))/X212,"")</f>
        <v/>
      </c>
      <c r="AP212" s="142">
        <f>IFERROR(_xlfn.XLOOKUP($D212,'Modelling New'!$D:$D,'Modelling New'!$AK:$AK),"")</f>
        <v>0.05</v>
      </c>
      <c r="AQ212" s="142">
        <f>IFERROR(_xlfn.XLOOKUP($D212,'Modelling New'!$D:$D,'Modelling New'!$AL:$AL),"")</f>
        <v>0.05</v>
      </c>
      <c r="AR212" s="198">
        <f>IFERROR(_xlfn.XLOOKUP($D212,'Modelling New'!$D:$D,'Modelling New'!$N:$N),"")</f>
        <v>70.400000000000006</v>
      </c>
      <c r="AS212" s="198"/>
    </row>
    <row r="213" spans="1:45">
      <c r="A213" s="137">
        <f t="shared" si="23"/>
        <v>45956</v>
      </c>
      <c r="B213" s="138">
        <f>YEAR(Daily_KPI[[#This Row],[Date]])+IF(MONTH(Daily_KPI[[#This Row],[Date]])&gt;=4,1,0)</f>
        <v>2026</v>
      </c>
      <c r="C213" s="108">
        <f>YEAR(Daily_KPI[[#This Row],[Date]])</f>
        <v>2025</v>
      </c>
      <c r="D213" s="139">
        <f>Daily_KPI[[#This Row],[Date]]-DAY(Daily_KPI[[#This Row],[Date]])+1</f>
        <v>45931</v>
      </c>
      <c r="E213" s="108">
        <f t="shared" si="19"/>
        <v>31</v>
      </c>
      <c r="F213" s="109"/>
      <c r="G213" s="110"/>
      <c r="H213" s="110"/>
      <c r="I213" s="110"/>
      <c r="J213" s="110"/>
      <c r="K213" s="111"/>
      <c r="L213" s="110"/>
      <c r="M213" s="110" t="str">
        <f>IFERROR(_xlfn.XLOOKUP($A213,Input_Raw!$A:$A,Input_Raw!$CQ:$CQ),"")</f>
        <v/>
      </c>
      <c r="N213" s="110" t="str">
        <f>IFERROR(_xlfn.XLOOKUP($A213,Input_Raw!$A:$A,Input_Raw!$CR:$CR),"")</f>
        <v/>
      </c>
      <c r="O213" s="141" t="str">
        <f t="shared" si="20"/>
        <v/>
      </c>
      <c r="P213" s="141" t="str">
        <f>IFERROR(1-SUMIF(WTG_BD!$F:$F,$A213,WTG_BD!$AA:$AA)/($AA213+SUMIF(WTG_BD!$F:$F,$A213,WTG_BD!$AA:$AA)),"")</f>
        <v/>
      </c>
      <c r="Q213" s="141" t="str">
        <f>IFERROR(1-SUMIF(IGA_BD!$F:$F,$A213,IGA_BD!$W:$W)/($AA213+SUMIF(IGA_BD!$F:$F,$A213,IGA_BD!$W:$W)),"")</f>
        <v/>
      </c>
      <c r="R213" s="141" t="str">
        <f>IFERROR(1-SUMIF(Grid_BD!$F:$F,$A213,Grid_BD!$Y:$Y)/($AA213+SUMIF(Grid_BD!$F:$F,$A213,Grid_BD!$Y:$Y)),"")</f>
        <v/>
      </c>
      <c r="S213" s="108"/>
      <c r="T213" s="140"/>
      <c r="U213" s="141"/>
      <c r="V213" s="108"/>
      <c r="W213" s="142" t="str">
        <f t="shared" si="21"/>
        <v/>
      </c>
      <c r="X213" s="108" t="str">
        <f>IFERROR(_xlfn.XLOOKUP($A213,Input_Raw!$A:$A,Input_Raw!$CP:$CP)*1000,"")</f>
        <v/>
      </c>
      <c r="Y213" s="108" t="str">
        <f>IFERROR(_xlfn.XLOOKUP($A213,Input_Raw!$A:$A,Input_Raw!DJ:DJ)*1000,"")</f>
        <v/>
      </c>
      <c r="Z213" s="108" t="str">
        <f>IFERROR(_xlfn.XLOOKUP($A213,Input_Raw!$A:$A,Input_Raw!DK:DK)*1000,"")</f>
        <v/>
      </c>
      <c r="AA213" s="138" t="str">
        <f t="shared" si="22"/>
        <v/>
      </c>
      <c r="AB213" s="108" t="str">
        <f>IFERROR(_xlfn.XLOOKUP($A213,Input_Raw!$A:$A,Input_Raw!$DR:$DR),"")</f>
        <v/>
      </c>
      <c r="AC213" s="143">
        <f>IFERROR(_xlfn.XLOOKUP($D213,'Modelling New'!$D:$D,'Modelling New'!$J:$J),"")</f>
        <v>4.1733333333333329</v>
      </c>
      <c r="AD213" s="138">
        <f>IFERROR(_xlfn.XLOOKUP($D213,'Modelling New'!$D:$D,'Modelling New'!$T:$T)*1000,"")</f>
        <v>150264.62742866005</v>
      </c>
      <c r="AE213" s="142"/>
      <c r="AF213" s="142">
        <f>IFERROR(_xlfn.XLOOKUP($D213,'Modelling New'!$D:$D,'Modelling New'!$W:$W),"")</f>
        <v>8.8935030438364135E-2</v>
      </c>
      <c r="AG213" s="142">
        <f>IFERROR(_xlfn.XLOOKUP($D213,'Modelling New'!$D:$D,'Modelling New'!$AE:$AE),"")</f>
        <v>0.96029999999999993</v>
      </c>
      <c r="AH213" s="142">
        <f>IFERROR(_xlfn.XLOOKUP($D213,'Modelling New'!$D:$D,'Modelling New'!$AF:$AF),"")</f>
        <v>0.995</v>
      </c>
      <c r="AI213" s="109" t="str">
        <f>IFERROR(_xlfn.XLOOKUP($A213,Input_Raw!$A:$A,Input_Raw!$DP:$DP),"")</f>
        <v/>
      </c>
      <c r="AJ213" s="108"/>
      <c r="AK213" s="108"/>
      <c r="AL213" s="108"/>
      <c r="AM213" s="108"/>
      <c r="AN213" s="132" t="str">
        <f>IFERROR(_xlfn.XLOOKUP($A213,Input_Raw!$A:$A,Input_Raw!$DL:$DL),"")</f>
        <v/>
      </c>
      <c r="AO213" s="142" t="str">
        <f>IFERROR((_xlfn.XLOOKUP($A213,'WTG Reactive Power'!$A:$A,'WTG Reactive Power'!$AW:$AW))/X213,"")</f>
        <v/>
      </c>
      <c r="AP213" s="142">
        <f>IFERROR(_xlfn.XLOOKUP($D213,'Modelling New'!$D:$D,'Modelling New'!$AK:$AK),"")</f>
        <v>0.05</v>
      </c>
      <c r="AQ213" s="142">
        <f>IFERROR(_xlfn.XLOOKUP($D213,'Modelling New'!$D:$D,'Modelling New'!$AL:$AL),"")</f>
        <v>0.05</v>
      </c>
      <c r="AR213" s="198">
        <f>IFERROR(_xlfn.XLOOKUP($D213,'Modelling New'!$D:$D,'Modelling New'!$N:$N),"")</f>
        <v>70.400000000000006</v>
      </c>
      <c r="AS213" s="198"/>
    </row>
    <row r="214" spans="1:45">
      <c r="A214" s="137">
        <f t="shared" si="23"/>
        <v>45957</v>
      </c>
      <c r="B214" s="138">
        <f>YEAR(Daily_KPI[[#This Row],[Date]])+IF(MONTH(Daily_KPI[[#This Row],[Date]])&gt;=4,1,0)</f>
        <v>2026</v>
      </c>
      <c r="C214" s="108">
        <f>YEAR(Daily_KPI[[#This Row],[Date]])</f>
        <v>2025</v>
      </c>
      <c r="D214" s="139">
        <f>Daily_KPI[[#This Row],[Date]]-DAY(Daily_KPI[[#This Row],[Date]])+1</f>
        <v>45931</v>
      </c>
      <c r="E214" s="108">
        <f t="shared" si="19"/>
        <v>31</v>
      </c>
      <c r="F214" s="109"/>
      <c r="G214" s="143"/>
      <c r="H214" s="143"/>
      <c r="I214" s="143"/>
      <c r="J214" s="143"/>
      <c r="K214" s="111"/>
      <c r="L214" s="110"/>
      <c r="M214" s="110" t="str">
        <f>IFERROR(_xlfn.XLOOKUP($A214,Input_Raw!$A:$A,Input_Raw!$CQ:$CQ),"")</f>
        <v/>
      </c>
      <c r="N214" s="110" t="str">
        <f>IFERROR(_xlfn.XLOOKUP($A214,Input_Raw!$A:$A,Input_Raw!$CR:$CR),"")</f>
        <v/>
      </c>
      <c r="O214" s="141" t="str">
        <f t="shared" si="20"/>
        <v/>
      </c>
      <c r="P214" s="141" t="str">
        <f>IFERROR(1-SUMIF(WTG_BD!$F:$F,$A214,WTG_BD!$AA:$AA)/($AA214+SUMIF(WTG_BD!$F:$F,$A214,WTG_BD!$AA:$AA)),"")</f>
        <v/>
      </c>
      <c r="Q214" s="141" t="str">
        <f>IFERROR(1-SUMIF(IGA_BD!$F:$F,$A214,IGA_BD!$W:$W)/($AA214+SUMIF(IGA_BD!$F:$F,$A214,IGA_BD!$W:$W)),"")</f>
        <v/>
      </c>
      <c r="R214" s="141" t="str">
        <f>IFERROR(1-SUMIF(Grid_BD!$F:$F,$A214,Grid_BD!$Y:$Y)/($AA214+SUMIF(Grid_BD!$F:$F,$A214,Grid_BD!$Y:$Y)),"")</f>
        <v/>
      </c>
      <c r="S214" s="108"/>
      <c r="T214" s="140"/>
      <c r="U214" s="141"/>
      <c r="V214" s="108"/>
      <c r="W214" s="142" t="str">
        <f t="shared" si="21"/>
        <v/>
      </c>
      <c r="X214" s="108" t="str">
        <f>IFERROR(_xlfn.XLOOKUP($A214,Input_Raw!$A:$A,Input_Raw!$CP:$CP)*1000,"")</f>
        <v/>
      </c>
      <c r="Y214" s="108" t="str">
        <f>IFERROR(_xlfn.XLOOKUP($A214,Input_Raw!$A:$A,Input_Raw!DJ:DJ)*1000,"")</f>
        <v/>
      </c>
      <c r="Z214" s="108" t="str">
        <f>IFERROR(_xlfn.XLOOKUP($A214,Input_Raw!$A:$A,Input_Raw!DK:DK)*1000,"")</f>
        <v/>
      </c>
      <c r="AA214" s="138" t="str">
        <f t="shared" si="22"/>
        <v/>
      </c>
      <c r="AB214" s="108" t="str">
        <f>IFERROR(_xlfn.XLOOKUP($A214,Input_Raw!$A:$A,Input_Raw!$DR:$DR),"")</f>
        <v/>
      </c>
      <c r="AC214" s="143">
        <f>IFERROR(_xlfn.XLOOKUP($D214,'Modelling New'!$D:$D,'Modelling New'!$J:$J),"")</f>
        <v>4.1733333333333329</v>
      </c>
      <c r="AD214" s="138">
        <f>IFERROR(_xlfn.XLOOKUP($D214,'Modelling New'!$D:$D,'Modelling New'!$T:$T)*1000,"")</f>
        <v>150264.62742866005</v>
      </c>
      <c r="AE214" s="142"/>
      <c r="AF214" s="142">
        <f>IFERROR(_xlfn.XLOOKUP($D214,'Modelling New'!$D:$D,'Modelling New'!$W:$W),"")</f>
        <v>8.8935030438364135E-2</v>
      </c>
      <c r="AG214" s="142">
        <f>IFERROR(_xlfn.XLOOKUP($D214,'Modelling New'!$D:$D,'Modelling New'!$AE:$AE),"")</f>
        <v>0.96029999999999993</v>
      </c>
      <c r="AH214" s="142">
        <f>IFERROR(_xlfn.XLOOKUP($D214,'Modelling New'!$D:$D,'Modelling New'!$AF:$AF),"")</f>
        <v>0.995</v>
      </c>
      <c r="AI214" s="109" t="str">
        <f>IFERROR(_xlfn.XLOOKUP($A214,Input_Raw!$A:$A,Input_Raw!$DP:$DP),"")</f>
        <v/>
      </c>
      <c r="AJ214" s="108"/>
      <c r="AK214" s="108"/>
      <c r="AL214" s="108"/>
      <c r="AM214" s="108"/>
      <c r="AN214" s="132" t="str">
        <f>IFERROR(_xlfn.XLOOKUP($A214,Input_Raw!$A:$A,Input_Raw!$DL:$DL),"")</f>
        <v/>
      </c>
      <c r="AO214" s="142" t="str">
        <f>IFERROR((_xlfn.XLOOKUP($A214,'WTG Reactive Power'!$A:$A,'WTG Reactive Power'!$AW:$AW))/X214,"")</f>
        <v/>
      </c>
      <c r="AP214" s="142">
        <f>IFERROR(_xlfn.XLOOKUP($D214,'Modelling New'!$D:$D,'Modelling New'!$AK:$AK),"")</f>
        <v>0.05</v>
      </c>
      <c r="AQ214" s="142">
        <f>IFERROR(_xlfn.XLOOKUP($D214,'Modelling New'!$D:$D,'Modelling New'!$AL:$AL),"")</f>
        <v>0.05</v>
      </c>
      <c r="AR214" s="198">
        <f>IFERROR(_xlfn.XLOOKUP($D214,'Modelling New'!$D:$D,'Modelling New'!$N:$N),"")</f>
        <v>70.400000000000006</v>
      </c>
      <c r="AS214" s="198"/>
    </row>
    <row r="215" spans="1:45">
      <c r="A215" s="137">
        <f t="shared" si="23"/>
        <v>45958</v>
      </c>
      <c r="B215" s="138">
        <f>YEAR(Daily_KPI[[#This Row],[Date]])+IF(MONTH(Daily_KPI[[#This Row],[Date]])&gt;=4,1,0)</f>
        <v>2026</v>
      </c>
      <c r="C215" s="108">
        <f>YEAR(Daily_KPI[[#This Row],[Date]])</f>
        <v>2025</v>
      </c>
      <c r="D215" s="139">
        <f>Daily_KPI[[#This Row],[Date]]-DAY(Daily_KPI[[#This Row],[Date]])+1</f>
        <v>45931</v>
      </c>
      <c r="E215" s="108">
        <f t="shared" si="19"/>
        <v>31</v>
      </c>
      <c r="F215" s="109"/>
      <c r="G215" s="110"/>
      <c r="H215" s="110"/>
      <c r="I215" s="110"/>
      <c r="J215" s="110"/>
      <c r="K215" s="111"/>
      <c r="L215" s="110"/>
      <c r="M215" s="110" t="str">
        <f>IFERROR(_xlfn.XLOOKUP($A215,Input_Raw!$A:$A,Input_Raw!$CQ:$CQ),"")</f>
        <v/>
      </c>
      <c r="N215" s="110" t="str">
        <f>IFERROR(_xlfn.XLOOKUP($A215,Input_Raw!$A:$A,Input_Raw!$CR:$CR),"")</f>
        <v/>
      </c>
      <c r="O215" s="141" t="str">
        <f t="shared" si="20"/>
        <v/>
      </c>
      <c r="P215" s="141" t="str">
        <f>IFERROR(1-SUMIF(WTG_BD!$F:$F,$A215,WTG_BD!$AA:$AA)/($AA215+SUMIF(WTG_BD!$F:$F,$A215,WTG_BD!$AA:$AA)),"")</f>
        <v/>
      </c>
      <c r="Q215" s="141" t="str">
        <f>IFERROR(1-SUMIF(IGA_BD!$F:$F,$A215,IGA_BD!$W:$W)/($AA215+SUMIF(IGA_BD!$F:$F,$A215,IGA_BD!$W:$W)),"")</f>
        <v/>
      </c>
      <c r="R215" s="141" t="str">
        <f>IFERROR(1-SUMIF(Grid_BD!$F:$F,$A215,Grid_BD!$Y:$Y)/($AA215+SUMIF(Grid_BD!$F:$F,$A215,Grid_BD!$Y:$Y)),"")</f>
        <v/>
      </c>
      <c r="S215" s="108"/>
      <c r="T215" s="140"/>
      <c r="U215" s="141"/>
      <c r="V215" s="108"/>
      <c r="W215" s="142" t="str">
        <f t="shared" si="21"/>
        <v/>
      </c>
      <c r="X215" s="108" t="str">
        <f>IFERROR(_xlfn.XLOOKUP($A215,Input_Raw!$A:$A,Input_Raw!$CP:$CP)*1000,"")</f>
        <v/>
      </c>
      <c r="Y215" s="108" t="str">
        <f>IFERROR(_xlfn.XLOOKUP($A215,Input_Raw!$A:$A,Input_Raw!DJ:DJ)*1000,"")</f>
        <v/>
      </c>
      <c r="Z215" s="108" t="str">
        <f>IFERROR(_xlfn.XLOOKUP($A215,Input_Raw!$A:$A,Input_Raw!DK:DK)*1000,"")</f>
        <v/>
      </c>
      <c r="AA215" s="138" t="str">
        <f t="shared" si="22"/>
        <v/>
      </c>
      <c r="AB215" s="108" t="str">
        <f>IFERROR(_xlfn.XLOOKUP($A215,Input_Raw!$A:$A,Input_Raw!$DR:$DR),"")</f>
        <v/>
      </c>
      <c r="AC215" s="143">
        <f>IFERROR(_xlfn.XLOOKUP($D215,'Modelling New'!$D:$D,'Modelling New'!$J:$J),"")</f>
        <v>4.1733333333333329</v>
      </c>
      <c r="AD215" s="138">
        <f>IFERROR(_xlfn.XLOOKUP($D215,'Modelling New'!$D:$D,'Modelling New'!$T:$T)*1000,"")</f>
        <v>150264.62742866005</v>
      </c>
      <c r="AE215" s="142"/>
      <c r="AF215" s="142">
        <f>IFERROR(_xlfn.XLOOKUP($D215,'Modelling New'!$D:$D,'Modelling New'!$W:$W),"")</f>
        <v>8.8935030438364135E-2</v>
      </c>
      <c r="AG215" s="142">
        <f>IFERROR(_xlfn.XLOOKUP($D215,'Modelling New'!$D:$D,'Modelling New'!$AE:$AE),"")</f>
        <v>0.96029999999999993</v>
      </c>
      <c r="AH215" s="142">
        <f>IFERROR(_xlfn.XLOOKUP($D215,'Modelling New'!$D:$D,'Modelling New'!$AF:$AF),"")</f>
        <v>0.995</v>
      </c>
      <c r="AI215" s="109" t="str">
        <f>IFERROR(_xlfn.XLOOKUP($A215,Input_Raw!$A:$A,Input_Raw!$DP:$DP),"")</f>
        <v/>
      </c>
      <c r="AJ215" s="108"/>
      <c r="AK215" s="108"/>
      <c r="AL215" s="108"/>
      <c r="AM215" s="108"/>
      <c r="AN215" s="132" t="str">
        <f>IFERROR(_xlfn.XLOOKUP($A215,Input_Raw!$A:$A,Input_Raw!$DL:$DL),"")</f>
        <v/>
      </c>
      <c r="AO215" s="142" t="str">
        <f>IFERROR((_xlfn.XLOOKUP($A215,'WTG Reactive Power'!$A:$A,'WTG Reactive Power'!$AW:$AW))/X215,"")</f>
        <v/>
      </c>
      <c r="AP215" s="142">
        <f>IFERROR(_xlfn.XLOOKUP($D215,'Modelling New'!$D:$D,'Modelling New'!$AK:$AK),"")</f>
        <v>0.05</v>
      </c>
      <c r="AQ215" s="142">
        <f>IFERROR(_xlfn.XLOOKUP($D215,'Modelling New'!$D:$D,'Modelling New'!$AL:$AL),"")</f>
        <v>0.05</v>
      </c>
      <c r="AR215" s="198">
        <f>IFERROR(_xlfn.XLOOKUP($D215,'Modelling New'!$D:$D,'Modelling New'!$N:$N),"")</f>
        <v>70.400000000000006</v>
      </c>
      <c r="AS215" s="198"/>
    </row>
    <row r="216" spans="1:45">
      <c r="A216" s="137">
        <f t="shared" si="23"/>
        <v>45959</v>
      </c>
      <c r="B216" s="138">
        <f>YEAR(Daily_KPI[[#This Row],[Date]])+IF(MONTH(Daily_KPI[[#This Row],[Date]])&gt;=4,1,0)</f>
        <v>2026</v>
      </c>
      <c r="C216" s="108">
        <f>YEAR(Daily_KPI[[#This Row],[Date]])</f>
        <v>2025</v>
      </c>
      <c r="D216" s="139">
        <f>Daily_KPI[[#This Row],[Date]]-DAY(Daily_KPI[[#This Row],[Date]])+1</f>
        <v>45931</v>
      </c>
      <c r="E216" s="108">
        <f t="shared" si="19"/>
        <v>31</v>
      </c>
      <c r="F216" s="109"/>
      <c r="G216" s="143"/>
      <c r="H216" s="143"/>
      <c r="I216" s="143"/>
      <c r="J216" s="143"/>
      <c r="K216" s="111"/>
      <c r="L216" s="110"/>
      <c r="M216" s="110" t="str">
        <f>IFERROR(_xlfn.XLOOKUP($A216,Input_Raw!$A:$A,Input_Raw!$CQ:$CQ),"")</f>
        <v/>
      </c>
      <c r="N216" s="110" t="str">
        <f>IFERROR(_xlfn.XLOOKUP($A216,Input_Raw!$A:$A,Input_Raw!$CR:$CR),"")</f>
        <v/>
      </c>
      <c r="O216" s="141" t="str">
        <f t="shared" si="20"/>
        <v/>
      </c>
      <c r="P216" s="141" t="str">
        <f>IFERROR(1-SUMIF(WTG_BD!$F:$F,$A216,WTG_BD!$AA:$AA)/($AA216+SUMIF(WTG_BD!$F:$F,$A216,WTG_BD!$AA:$AA)),"")</f>
        <v/>
      </c>
      <c r="Q216" s="141" t="str">
        <f>IFERROR(1-SUMIF(IGA_BD!$F:$F,$A216,IGA_BD!$W:$W)/($AA216+SUMIF(IGA_BD!$F:$F,$A216,IGA_BD!$W:$W)),"")</f>
        <v/>
      </c>
      <c r="R216" s="141" t="str">
        <f>IFERROR(1-SUMIF(Grid_BD!$F:$F,$A216,Grid_BD!$Y:$Y)/($AA216+SUMIF(Grid_BD!$F:$F,$A216,Grid_BD!$Y:$Y)),"")</f>
        <v/>
      </c>
      <c r="S216" s="108"/>
      <c r="T216" s="140"/>
      <c r="U216" s="141"/>
      <c r="V216" s="108"/>
      <c r="W216" s="142" t="str">
        <f t="shared" si="21"/>
        <v/>
      </c>
      <c r="X216" s="108" t="str">
        <f>IFERROR(_xlfn.XLOOKUP($A216,Input_Raw!$A:$A,Input_Raw!$CP:$CP)*1000,"")</f>
        <v/>
      </c>
      <c r="Y216" s="108" t="str">
        <f>IFERROR(_xlfn.XLOOKUP($A216,Input_Raw!$A:$A,Input_Raw!DJ:DJ)*1000,"")</f>
        <v/>
      </c>
      <c r="Z216" s="108" t="str">
        <f>IFERROR(_xlfn.XLOOKUP($A216,Input_Raw!$A:$A,Input_Raw!DK:DK)*1000,"")</f>
        <v/>
      </c>
      <c r="AA216" s="138" t="str">
        <f t="shared" si="22"/>
        <v/>
      </c>
      <c r="AB216" s="108" t="str">
        <f>IFERROR(_xlfn.XLOOKUP($A216,Input_Raw!$A:$A,Input_Raw!$DR:$DR),"")</f>
        <v/>
      </c>
      <c r="AC216" s="143">
        <f>IFERROR(_xlfn.XLOOKUP($D216,'Modelling New'!$D:$D,'Modelling New'!$J:$J),"")</f>
        <v>4.1733333333333329</v>
      </c>
      <c r="AD216" s="138">
        <f>IFERROR(_xlfn.XLOOKUP($D216,'Modelling New'!$D:$D,'Modelling New'!$T:$T)*1000,"")</f>
        <v>150264.62742866005</v>
      </c>
      <c r="AE216" s="142"/>
      <c r="AF216" s="142">
        <f>IFERROR(_xlfn.XLOOKUP($D216,'Modelling New'!$D:$D,'Modelling New'!$W:$W),"")</f>
        <v>8.8935030438364135E-2</v>
      </c>
      <c r="AG216" s="142">
        <f>IFERROR(_xlfn.XLOOKUP($D216,'Modelling New'!$D:$D,'Modelling New'!$AE:$AE),"")</f>
        <v>0.96029999999999993</v>
      </c>
      <c r="AH216" s="142">
        <f>IFERROR(_xlfn.XLOOKUP($D216,'Modelling New'!$D:$D,'Modelling New'!$AF:$AF),"")</f>
        <v>0.995</v>
      </c>
      <c r="AI216" s="109" t="str">
        <f>IFERROR(_xlfn.XLOOKUP($A216,Input_Raw!$A:$A,Input_Raw!$DP:$DP),"")</f>
        <v/>
      </c>
      <c r="AJ216" s="108"/>
      <c r="AK216" s="108"/>
      <c r="AL216" s="108"/>
      <c r="AM216" s="108"/>
      <c r="AN216" s="132" t="str">
        <f>IFERROR(_xlfn.XLOOKUP($A216,Input_Raw!$A:$A,Input_Raw!$DL:$DL),"")</f>
        <v/>
      </c>
      <c r="AO216" s="142" t="str">
        <f>IFERROR((_xlfn.XLOOKUP($A216,'WTG Reactive Power'!$A:$A,'WTG Reactive Power'!$AW:$AW))/X216,"")</f>
        <v/>
      </c>
      <c r="AP216" s="142">
        <f>IFERROR(_xlfn.XLOOKUP($D216,'Modelling New'!$D:$D,'Modelling New'!$AK:$AK),"")</f>
        <v>0.05</v>
      </c>
      <c r="AQ216" s="142">
        <f>IFERROR(_xlfn.XLOOKUP($D216,'Modelling New'!$D:$D,'Modelling New'!$AL:$AL),"")</f>
        <v>0.05</v>
      </c>
      <c r="AR216" s="198">
        <f>IFERROR(_xlfn.XLOOKUP($D216,'Modelling New'!$D:$D,'Modelling New'!$N:$N),"")</f>
        <v>70.400000000000006</v>
      </c>
      <c r="AS216" s="198"/>
    </row>
    <row r="217" spans="1:45">
      <c r="A217" s="137">
        <f t="shared" si="23"/>
        <v>45960</v>
      </c>
      <c r="B217" s="138">
        <f>YEAR(Daily_KPI[[#This Row],[Date]])+IF(MONTH(Daily_KPI[[#This Row],[Date]])&gt;=4,1,0)</f>
        <v>2026</v>
      </c>
      <c r="C217" s="108">
        <f>YEAR(Daily_KPI[[#This Row],[Date]])</f>
        <v>2025</v>
      </c>
      <c r="D217" s="139">
        <f>Daily_KPI[[#This Row],[Date]]-DAY(Daily_KPI[[#This Row],[Date]])+1</f>
        <v>45931</v>
      </c>
      <c r="E217" s="108">
        <f t="shared" si="19"/>
        <v>31</v>
      </c>
      <c r="F217" s="109"/>
      <c r="G217" s="110"/>
      <c r="H217" s="110"/>
      <c r="I217" s="110"/>
      <c r="J217" s="110"/>
      <c r="K217" s="111"/>
      <c r="L217" s="110"/>
      <c r="M217" s="110" t="str">
        <f>IFERROR(_xlfn.XLOOKUP($A217,Input_Raw!$A:$A,Input_Raw!$CQ:$CQ),"")</f>
        <v/>
      </c>
      <c r="N217" s="110" t="str">
        <f>IFERROR(_xlfn.XLOOKUP($A217,Input_Raw!$A:$A,Input_Raw!$CR:$CR),"")</f>
        <v/>
      </c>
      <c r="O217" s="141" t="str">
        <f t="shared" si="20"/>
        <v/>
      </c>
      <c r="P217" s="141" t="str">
        <f>IFERROR(1-SUMIF(WTG_BD!$F:$F,$A217,WTG_BD!$AA:$AA)/($AA217+SUMIF(WTG_BD!$F:$F,$A217,WTG_BD!$AA:$AA)),"")</f>
        <v/>
      </c>
      <c r="Q217" s="141" t="str">
        <f>IFERROR(1-SUMIF(IGA_BD!$F:$F,$A217,IGA_BD!$W:$W)/($AA217+SUMIF(IGA_BD!$F:$F,$A217,IGA_BD!$W:$W)),"")</f>
        <v/>
      </c>
      <c r="R217" s="141" t="str">
        <f>IFERROR(1-SUMIF(Grid_BD!$F:$F,$A217,Grid_BD!$Y:$Y)/($AA217+SUMIF(Grid_BD!$F:$F,$A217,Grid_BD!$Y:$Y)),"")</f>
        <v/>
      </c>
      <c r="S217" s="108"/>
      <c r="T217" s="140"/>
      <c r="U217" s="141"/>
      <c r="V217" s="108"/>
      <c r="W217" s="142" t="str">
        <f t="shared" si="21"/>
        <v/>
      </c>
      <c r="X217" s="108" t="str">
        <f>IFERROR(_xlfn.XLOOKUP($A217,Input_Raw!$A:$A,Input_Raw!$CP:$CP)*1000,"")</f>
        <v/>
      </c>
      <c r="Y217" s="108" t="str">
        <f>IFERROR(_xlfn.XLOOKUP($A217,Input_Raw!$A:$A,Input_Raw!DJ:DJ)*1000,"")</f>
        <v/>
      </c>
      <c r="Z217" s="108" t="str">
        <f>IFERROR(_xlfn.XLOOKUP($A217,Input_Raw!$A:$A,Input_Raw!DK:DK)*1000,"")</f>
        <v/>
      </c>
      <c r="AA217" s="138" t="str">
        <f t="shared" si="22"/>
        <v/>
      </c>
      <c r="AB217" s="108" t="str">
        <f>IFERROR(_xlfn.XLOOKUP($A217,Input_Raw!$A:$A,Input_Raw!$DR:$DR),"")</f>
        <v/>
      </c>
      <c r="AC217" s="143">
        <f>IFERROR(_xlfn.XLOOKUP($D217,'Modelling New'!$D:$D,'Modelling New'!$J:$J),"")</f>
        <v>4.1733333333333329</v>
      </c>
      <c r="AD217" s="138">
        <f>IFERROR(_xlfn.XLOOKUP($D217,'Modelling New'!$D:$D,'Modelling New'!$T:$T)*1000,"")</f>
        <v>150264.62742866005</v>
      </c>
      <c r="AE217" s="142"/>
      <c r="AF217" s="142">
        <f>IFERROR(_xlfn.XLOOKUP($D217,'Modelling New'!$D:$D,'Modelling New'!$W:$W),"")</f>
        <v>8.8935030438364135E-2</v>
      </c>
      <c r="AG217" s="142">
        <f>IFERROR(_xlfn.XLOOKUP($D217,'Modelling New'!$D:$D,'Modelling New'!$AE:$AE),"")</f>
        <v>0.96029999999999993</v>
      </c>
      <c r="AH217" s="142">
        <f>IFERROR(_xlfn.XLOOKUP($D217,'Modelling New'!$D:$D,'Modelling New'!$AF:$AF),"")</f>
        <v>0.995</v>
      </c>
      <c r="AI217" s="109" t="str">
        <f>IFERROR(_xlfn.XLOOKUP($A217,Input_Raw!$A:$A,Input_Raw!$DP:$DP),"")</f>
        <v/>
      </c>
      <c r="AJ217" s="108"/>
      <c r="AK217" s="108"/>
      <c r="AL217" s="108"/>
      <c r="AM217" s="108"/>
      <c r="AN217" s="132" t="str">
        <f>IFERROR(_xlfn.XLOOKUP($A217,Input_Raw!$A:$A,Input_Raw!$DL:$DL),"")</f>
        <v/>
      </c>
      <c r="AO217" s="142" t="str">
        <f>IFERROR((_xlfn.XLOOKUP($A217,'WTG Reactive Power'!$A:$A,'WTG Reactive Power'!$AW:$AW))/X217,"")</f>
        <v/>
      </c>
      <c r="AP217" s="142">
        <f>IFERROR(_xlfn.XLOOKUP($D217,'Modelling New'!$D:$D,'Modelling New'!$AK:$AK),"")</f>
        <v>0.05</v>
      </c>
      <c r="AQ217" s="142">
        <f>IFERROR(_xlfn.XLOOKUP($D217,'Modelling New'!$D:$D,'Modelling New'!$AL:$AL),"")</f>
        <v>0.05</v>
      </c>
      <c r="AR217" s="198">
        <f>IFERROR(_xlfn.XLOOKUP($D217,'Modelling New'!$D:$D,'Modelling New'!$N:$N),"")</f>
        <v>70.400000000000006</v>
      </c>
      <c r="AS217" s="198"/>
    </row>
    <row r="218" spans="1:45">
      <c r="A218" s="137">
        <f t="shared" si="23"/>
        <v>45961</v>
      </c>
      <c r="B218" s="138">
        <f>YEAR(Daily_KPI[[#This Row],[Date]])+IF(MONTH(Daily_KPI[[#This Row],[Date]])&gt;=4,1,0)</f>
        <v>2026</v>
      </c>
      <c r="C218" s="108">
        <f>YEAR(Daily_KPI[[#This Row],[Date]])</f>
        <v>2025</v>
      </c>
      <c r="D218" s="139">
        <f>Daily_KPI[[#This Row],[Date]]-DAY(Daily_KPI[[#This Row],[Date]])+1</f>
        <v>45931</v>
      </c>
      <c r="E218" s="108">
        <f t="shared" si="19"/>
        <v>31</v>
      </c>
      <c r="F218" s="109"/>
      <c r="G218" s="143"/>
      <c r="H218" s="143"/>
      <c r="I218" s="143"/>
      <c r="J218" s="143"/>
      <c r="K218" s="111"/>
      <c r="L218" s="110"/>
      <c r="M218" s="110" t="str">
        <f>IFERROR(_xlfn.XLOOKUP($A218,Input_Raw!$A:$A,Input_Raw!$CQ:$CQ),"")</f>
        <v/>
      </c>
      <c r="N218" s="110" t="str">
        <f>IFERROR(_xlfn.XLOOKUP($A218,Input_Raw!$A:$A,Input_Raw!$CR:$CR),"")</f>
        <v/>
      </c>
      <c r="O218" s="141" t="str">
        <f t="shared" si="20"/>
        <v/>
      </c>
      <c r="P218" s="141" t="str">
        <f>IFERROR(1-SUMIF(WTG_BD!$F:$F,$A218,WTG_BD!$AA:$AA)/($AA218+SUMIF(WTG_BD!$F:$F,$A218,WTG_BD!$AA:$AA)),"")</f>
        <v/>
      </c>
      <c r="Q218" s="141" t="str">
        <f>IFERROR(1-SUMIF(IGA_BD!$F:$F,$A218,IGA_BD!$W:$W)/($AA218+SUMIF(IGA_BD!$F:$F,$A218,IGA_BD!$W:$W)),"")</f>
        <v/>
      </c>
      <c r="R218" s="141" t="str">
        <f>IFERROR(1-SUMIF(Grid_BD!$F:$F,$A218,Grid_BD!$Y:$Y)/($AA218+SUMIF(Grid_BD!$F:$F,$A218,Grid_BD!$Y:$Y)),"")</f>
        <v/>
      </c>
      <c r="S218" s="108"/>
      <c r="T218" s="140"/>
      <c r="U218" s="141"/>
      <c r="V218" s="108"/>
      <c r="W218" s="142" t="str">
        <f t="shared" si="21"/>
        <v/>
      </c>
      <c r="X218" s="108" t="str">
        <f>IFERROR(_xlfn.XLOOKUP($A218,Input_Raw!$A:$A,Input_Raw!$CP:$CP)*1000,"")</f>
        <v/>
      </c>
      <c r="Y218" s="108" t="str">
        <f>IFERROR(_xlfn.XLOOKUP($A218,Input_Raw!$A:$A,Input_Raw!DJ:DJ)*1000,"")</f>
        <v/>
      </c>
      <c r="Z218" s="108" t="str">
        <f>IFERROR(_xlfn.XLOOKUP($A218,Input_Raw!$A:$A,Input_Raw!DK:DK)*1000,"")</f>
        <v/>
      </c>
      <c r="AA218" s="138" t="str">
        <f t="shared" si="22"/>
        <v/>
      </c>
      <c r="AB218" s="108" t="str">
        <f>IFERROR(_xlfn.XLOOKUP($A218,Input_Raw!$A:$A,Input_Raw!$DR:$DR),"")</f>
        <v/>
      </c>
      <c r="AC218" s="143">
        <f>IFERROR(_xlfn.XLOOKUP($D218,'Modelling New'!$D:$D,'Modelling New'!$J:$J),"")</f>
        <v>4.1733333333333329</v>
      </c>
      <c r="AD218" s="138">
        <f>IFERROR(_xlfn.XLOOKUP($D218,'Modelling New'!$D:$D,'Modelling New'!$T:$T)*1000,"")</f>
        <v>150264.62742866005</v>
      </c>
      <c r="AE218" s="142"/>
      <c r="AF218" s="142">
        <f>IFERROR(_xlfn.XLOOKUP($D218,'Modelling New'!$D:$D,'Modelling New'!$W:$W),"")</f>
        <v>8.8935030438364135E-2</v>
      </c>
      <c r="AG218" s="142">
        <f>IFERROR(_xlfn.XLOOKUP($D218,'Modelling New'!$D:$D,'Modelling New'!$AE:$AE),"")</f>
        <v>0.96029999999999993</v>
      </c>
      <c r="AH218" s="142">
        <f>IFERROR(_xlfn.XLOOKUP($D218,'Modelling New'!$D:$D,'Modelling New'!$AF:$AF),"")</f>
        <v>0.995</v>
      </c>
      <c r="AI218" s="109" t="str">
        <f>IFERROR(_xlfn.XLOOKUP($A218,Input_Raw!$A:$A,Input_Raw!$DP:$DP),"")</f>
        <v/>
      </c>
      <c r="AJ218" s="108"/>
      <c r="AK218" s="108"/>
      <c r="AL218" s="108"/>
      <c r="AM218" s="108"/>
      <c r="AN218" s="132" t="str">
        <f>IFERROR(_xlfn.XLOOKUP($A218,Input_Raw!$A:$A,Input_Raw!$DL:$DL),"")</f>
        <v/>
      </c>
      <c r="AO218" s="142" t="str">
        <f>IFERROR((_xlfn.XLOOKUP($A218,'WTG Reactive Power'!$A:$A,'WTG Reactive Power'!$AW:$AW))/X218,"")</f>
        <v/>
      </c>
      <c r="AP218" s="142">
        <f>IFERROR(_xlfn.XLOOKUP($D218,'Modelling New'!$D:$D,'Modelling New'!$AK:$AK),"")</f>
        <v>0.05</v>
      </c>
      <c r="AQ218" s="142">
        <f>IFERROR(_xlfn.XLOOKUP($D218,'Modelling New'!$D:$D,'Modelling New'!$AL:$AL),"")</f>
        <v>0.05</v>
      </c>
      <c r="AR218" s="198">
        <f>IFERROR(_xlfn.XLOOKUP($D218,'Modelling New'!$D:$D,'Modelling New'!$N:$N),"")</f>
        <v>70.400000000000006</v>
      </c>
      <c r="AS218" s="198"/>
    </row>
    <row r="219" spans="1:45">
      <c r="A219" s="137">
        <f t="shared" si="23"/>
        <v>45962</v>
      </c>
      <c r="B219" s="138">
        <f>YEAR(Daily_KPI[[#This Row],[Date]])+IF(MONTH(Daily_KPI[[#This Row],[Date]])&gt;=4,1,0)</f>
        <v>2026</v>
      </c>
      <c r="C219" s="108">
        <f>YEAR(Daily_KPI[[#This Row],[Date]])</f>
        <v>2025</v>
      </c>
      <c r="D219" s="139">
        <f>Daily_KPI[[#This Row],[Date]]-DAY(Daily_KPI[[#This Row],[Date]])+1</f>
        <v>45962</v>
      </c>
      <c r="E219" s="108">
        <f t="shared" si="19"/>
        <v>30</v>
      </c>
      <c r="F219" s="109"/>
      <c r="G219" s="110"/>
      <c r="H219" s="110"/>
      <c r="I219" s="110"/>
      <c r="J219" s="110"/>
      <c r="K219" s="111"/>
      <c r="L219" s="110"/>
      <c r="M219" s="110" t="str">
        <f>IFERROR(_xlfn.XLOOKUP($A219,Input_Raw!$A:$A,Input_Raw!$CQ:$CQ),"")</f>
        <v/>
      </c>
      <c r="N219" s="110" t="str">
        <f>IFERROR(_xlfn.XLOOKUP($A219,Input_Raw!$A:$A,Input_Raw!$CR:$CR),"")</f>
        <v/>
      </c>
      <c r="O219" s="141" t="str">
        <f t="shared" si="20"/>
        <v/>
      </c>
      <c r="P219" s="141" t="str">
        <f>IFERROR(1-SUMIF(WTG_BD!$F:$F,$A219,WTG_BD!$AA:$AA)/($AA219+SUMIF(WTG_BD!$F:$F,$A219,WTG_BD!$AA:$AA)),"")</f>
        <v/>
      </c>
      <c r="Q219" s="141" t="str">
        <f>IFERROR(1-SUMIF(IGA_BD!$F:$F,$A219,IGA_BD!$W:$W)/($AA219+SUMIF(IGA_BD!$F:$F,$A219,IGA_BD!$W:$W)),"")</f>
        <v/>
      </c>
      <c r="R219" s="141" t="str">
        <f>IFERROR(1-SUMIF(Grid_BD!$F:$F,$A219,Grid_BD!$Y:$Y)/($AA219+SUMIF(Grid_BD!$F:$F,$A219,Grid_BD!$Y:$Y)),"")</f>
        <v/>
      </c>
      <c r="S219" s="108"/>
      <c r="T219" s="140"/>
      <c r="U219" s="141"/>
      <c r="V219" s="108"/>
      <c r="W219" s="142" t="str">
        <f t="shared" si="21"/>
        <v/>
      </c>
      <c r="X219" s="108" t="str">
        <f>IFERROR(_xlfn.XLOOKUP($A219,Input_Raw!$A:$A,Input_Raw!$CP:$CP)*1000,"")</f>
        <v/>
      </c>
      <c r="Y219" s="108" t="str">
        <f>IFERROR(_xlfn.XLOOKUP($A219,Input_Raw!$A:$A,Input_Raw!DJ:DJ)*1000,"")</f>
        <v/>
      </c>
      <c r="Z219" s="108" t="str">
        <f>IFERROR(_xlfn.XLOOKUP($A219,Input_Raw!$A:$A,Input_Raw!DK:DK)*1000,"")</f>
        <v/>
      </c>
      <c r="AA219" s="138" t="str">
        <f t="shared" si="22"/>
        <v/>
      </c>
      <c r="AB219" s="108" t="str">
        <f>IFERROR(_xlfn.XLOOKUP($A219,Input_Raw!$A:$A,Input_Raw!$DR:$DR),"")</f>
        <v/>
      </c>
      <c r="AC219" s="143">
        <f>IFERROR(_xlfn.XLOOKUP($D219,'Modelling New'!$D:$D,'Modelling New'!$J:$J),"")</f>
        <v>4.4633333333333338</v>
      </c>
      <c r="AD219" s="138">
        <f>IFERROR(_xlfn.XLOOKUP($D219,'Modelling New'!$D:$D,'Modelling New'!$T:$T)*1000,"")</f>
        <v>240102.5114009853</v>
      </c>
      <c r="AE219" s="142"/>
      <c r="AF219" s="142">
        <f>IFERROR(_xlfn.XLOOKUP($D219,'Modelling New'!$D:$D,'Modelling New'!$W:$W),"")</f>
        <v>0.14210612653940891</v>
      </c>
      <c r="AG219" s="142">
        <f>IFERROR(_xlfn.XLOOKUP($D219,'Modelling New'!$D:$D,'Modelling New'!$AE:$AE),"")</f>
        <v>0.96029999999999993</v>
      </c>
      <c r="AH219" s="142">
        <f>IFERROR(_xlfn.XLOOKUP($D219,'Modelling New'!$D:$D,'Modelling New'!$AF:$AF),"")</f>
        <v>0.995</v>
      </c>
      <c r="AI219" s="109" t="str">
        <f>IFERROR(_xlfn.XLOOKUP($A219,Input_Raw!$A:$A,Input_Raw!$DP:$DP),"")</f>
        <v/>
      </c>
      <c r="AJ219" s="108"/>
      <c r="AK219" s="108"/>
      <c r="AL219" s="108"/>
      <c r="AM219" s="108"/>
      <c r="AN219" s="132" t="str">
        <f>IFERROR(_xlfn.XLOOKUP($A219,Input_Raw!$A:$A,Input_Raw!$DL:$DL),"")</f>
        <v/>
      </c>
      <c r="AO219" s="142" t="str">
        <f>IFERROR((_xlfn.XLOOKUP($A219,'WTG Reactive Power'!$A:$A,'WTG Reactive Power'!$AW:$AW))/X219,"")</f>
        <v/>
      </c>
      <c r="AP219" s="142">
        <f>IFERROR(_xlfn.XLOOKUP($D219,'Modelling New'!$D:$D,'Modelling New'!$AK:$AK),"")</f>
        <v>0.05</v>
      </c>
      <c r="AQ219" s="142">
        <f>IFERROR(_xlfn.XLOOKUP($D219,'Modelling New'!$D:$D,'Modelling New'!$AL:$AL),"")</f>
        <v>0.05</v>
      </c>
      <c r="AR219" s="198">
        <f>IFERROR(_xlfn.XLOOKUP($D219,'Modelling New'!$D:$D,'Modelling New'!$N:$N),"")</f>
        <v>70.400000000000006</v>
      </c>
      <c r="AS219" s="198"/>
    </row>
    <row r="220" spans="1:45">
      <c r="A220" s="137">
        <f t="shared" si="23"/>
        <v>45963</v>
      </c>
      <c r="B220" s="138">
        <f>YEAR(Daily_KPI[[#This Row],[Date]])+IF(MONTH(Daily_KPI[[#This Row],[Date]])&gt;=4,1,0)</f>
        <v>2026</v>
      </c>
      <c r="C220" s="108">
        <f>YEAR(Daily_KPI[[#This Row],[Date]])</f>
        <v>2025</v>
      </c>
      <c r="D220" s="139">
        <f>Daily_KPI[[#This Row],[Date]]-DAY(Daily_KPI[[#This Row],[Date]])+1</f>
        <v>45962</v>
      </c>
      <c r="E220" s="108">
        <f t="shared" si="19"/>
        <v>30</v>
      </c>
      <c r="F220" s="109"/>
      <c r="G220" s="143"/>
      <c r="H220" s="143"/>
      <c r="I220" s="143"/>
      <c r="J220" s="143"/>
      <c r="K220" s="111"/>
      <c r="L220" s="110"/>
      <c r="M220" s="110" t="str">
        <f>IFERROR(_xlfn.XLOOKUP($A220,Input_Raw!$A:$A,Input_Raw!$CQ:$CQ),"")</f>
        <v/>
      </c>
      <c r="N220" s="110" t="str">
        <f>IFERROR(_xlfn.XLOOKUP($A220,Input_Raw!$A:$A,Input_Raw!$CR:$CR),"")</f>
        <v/>
      </c>
      <c r="O220" s="141" t="str">
        <f t="shared" si="20"/>
        <v/>
      </c>
      <c r="P220" s="141" t="str">
        <f>IFERROR(1-SUMIF(WTG_BD!$F:$F,$A220,WTG_BD!$AA:$AA)/($AA220+SUMIF(WTG_BD!$F:$F,$A220,WTG_BD!$AA:$AA)),"")</f>
        <v/>
      </c>
      <c r="Q220" s="141" t="str">
        <f>IFERROR(1-SUMIF(IGA_BD!$F:$F,$A220,IGA_BD!$W:$W)/($AA220+SUMIF(IGA_BD!$F:$F,$A220,IGA_BD!$W:$W)),"")</f>
        <v/>
      </c>
      <c r="R220" s="141" t="str">
        <f>IFERROR(1-SUMIF(Grid_BD!$F:$F,$A220,Grid_BD!$Y:$Y)/($AA220+SUMIF(Grid_BD!$F:$F,$A220,Grid_BD!$Y:$Y)),"")</f>
        <v/>
      </c>
      <c r="S220" s="108"/>
      <c r="T220" s="140"/>
      <c r="U220" s="141"/>
      <c r="V220" s="108"/>
      <c r="W220" s="142" t="str">
        <f t="shared" si="21"/>
        <v/>
      </c>
      <c r="X220" s="108" t="str">
        <f>IFERROR(_xlfn.XLOOKUP($A220,Input_Raw!$A:$A,Input_Raw!$CP:$CP)*1000,"")</f>
        <v/>
      </c>
      <c r="Y220" s="108" t="str">
        <f>IFERROR(_xlfn.XLOOKUP($A220,Input_Raw!$A:$A,Input_Raw!DJ:DJ)*1000,"")</f>
        <v/>
      </c>
      <c r="Z220" s="108" t="str">
        <f>IFERROR(_xlfn.XLOOKUP($A220,Input_Raw!$A:$A,Input_Raw!DK:DK)*1000,"")</f>
        <v/>
      </c>
      <c r="AA220" s="138" t="str">
        <f t="shared" si="22"/>
        <v/>
      </c>
      <c r="AB220" s="108" t="str">
        <f>IFERROR(_xlfn.XLOOKUP($A220,Input_Raw!$A:$A,Input_Raw!$DR:$DR),"")</f>
        <v/>
      </c>
      <c r="AC220" s="143">
        <f>IFERROR(_xlfn.XLOOKUP($D220,'Modelling New'!$D:$D,'Modelling New'!$J:$J),"")</f>
        <v>4.4633333333333338</v>
      </c>
      <c r="AD220" s="138">
        <f>IFERROR(_xlfn.XLOOKUP($D220,'Modelling New'!$D:$D,'Modelling New'!$T:$T)*1000,"")</f>
        <v>240102.5114009853</v>
      </c>
      <c r="AE220" s="142"/>
      <c r="AF220" s="142">
        <f>IFERROR(_xlfn.XLOOKUP($D220,'Modelling New'!$D:$D,'Modelling New'!$W:$W),"")</f>
        <v>0.14210612653940891</v>
      </c>
      <c r="AG220" s="142">
        <f>IFERROR(_xlfn.XLOOKUP($D220,'Modelling New'!$D:$D,'Modelling New'!$AE:$AE),"")</f>
        <v>0.96029999999999993</v>
      </c>
      <c r="AH220" s="142">
        <f>IFERROR(_xlfn.XLOOKUP($D220,'Modelling New'!$D:$D,'Modelling New'!$AF:$AF),"")</f>
        <v>0.995</v>
      </c>
      <c r="AI220" s="109" t="str">
        <f>IFERROR(_xlfn.XLOOKUP($A220,Input_Raw!$A:$A,Input_Raw!$DP:$DP),"")</f>
        <v/>
      </c>
      <c r="AJ220" s="108"/>
      <c r="AK220" s="108"/>
      <c r="AL220" s="108"/>
      <c r="AM220" s="108"/>
      <c r="AN220" s="132" t="str">
        <f>IFERROR(_xlfn.XLOOKUP($A220,Input_Raw!$A:$A,Input_Raw!$DL:$DL),"")</f>
        <v/>
      </c>
      <c r="AO220" s="142" t="str">
        <f>IFERROR((_xlfn.XLOOKUP($A220,'WTG Reactive Power'!$A:$A,'WTG Reactive Power'!$AW:$AW))/X220,"")</f>
        <v/>
      </c>
      <c r="AP220" s="142">
        <f>IFERROR(_xlfn.XLOOKUP($D220,'Modelling New'!$D:$D,'Modelling New'!$AK:$AK),"")</f>
        <v>0.05</v>
      </c>
      <c r="AQ220" s="142">
        <f>IFERROR(_xlfn.XLOOKUP($D220,'Modelling New'!$D:$D,'Modelling New'!$AL:$AL),"")</f>
        <v>0.05</v>
      </c>
      <c r="AR220" s="198">
        <f>IFERROR(_xlfn.XLOOKUP($D220,'Modelling New'!$D:$D,'Modelling New'!$N:$N),"")</f>
        <v>70.400000000000006</v>
      </c>
      <c r="AS220" s="198"/>
    </row>
    <row r="221" spans="1:45">
      <c r="A221" s="137">
        <f t="shared" si="23"/>
        <v>45964</v>
      </c>
      <c r="B221" s="138">
        <f>YEAR(Daily_KPI[[#This Row],[Date]])+IF(MONTH(Daily_KPI[[#This Row],[Date]])&gt;=4,1,0)</f>
        <v>2026</v>
      </c>
      <c r="C221" s="108">
        <f>YEAR(Daily_KPI[[#This Row],[Date]])</f>
        <v>2025</v>
      </c>
      <c r="D221" s="139">
        <f>Daily_KPI[[#This Row],[Date]]-DAY(Daily_KPI[[#This Row],[Date]])+1</f>
        <v>45962</v>
      </c>
      <c r="E221" s="108">
        <f t="shared" si="19"/>
        <v>30</v>
      </c>
      <c r="F221" s="109"/>
      <c r="G221" s="110"/>
      <c r="H221" s="110"/>
      <c r="I221" s="110"/>
      <c r="J221" s="110"/>
      <c r="K221" s="111"/>
      <c r="L221" s="110"/>
      <c r="M221" s="110" t="str">
        <f>IFERROR(_xlfn.XLOOKUP($A221,Input_Raw!$A:$A,Input_Raw!$CQ:$CQ),"")</f>
        <v/>
      </c>
      <c r="N221" s="110" t="str">
        <f>IFERROR(_xlfn.XLOOKUP($A221,Input_Raw!$A:$A,Input_Raw!$CR:$CR),"")</f>
        <v/>
      </c>
      <c r="O221" s="141" t="str">
        <f t="shared" si="20"/>
        <v/>
      </c>
      <c r="P221" s="141" t="str">
        <f>IFERROR(1-SUMIF(WTG_BD!$F:$F,$A221,WTG_BD!$AA:$AA)/($AA221+SUMIF(WTG_BD!$F:$F,$A221,WTG_BD!$AA:$AA)),"")</f>
        <v/>
      </c>
      <c r="Q221" s="141" t="str">
        <f>IFERROR(1-SUMIF(IGA_BD!$F:$F,$A221,IGA_BD!$W:$W)/($AA221+SUMIF(IGA_BD!$F:$F,$A221,IGA_BD!$W:$W)),"")</f>
        <v/>
      </c>
      <c r="R221" s="141" t="str">
        <f>IFERROR(1-SUMIF(Grid_BD!$F:$F,$A221,Grid_BD!$Y:$Y)/($AA221+SUMIF(Grid_BD!$F:$F,$A221,Grid_BD!$Y:$Y)),"")</f>
        <v/>
      </c>
      <c r="S221" s="108"/>
      <c r="T221" s="140"/>
      <c r="U221" s="141"/>
      <c r="V221" s="108"/>
      <c r="W221" s="142" t="str">
        <f t="shared" si="21"/>
        <v/>
      </c>
      <c r="X221" s="108" t="str">
        <f>IFERROR(_xlfn.XLOOKUP($A221,Input_Raw!$A:$A,Input_Raw!$CP:$CP)*1000,"")</f>
        <v/>
      </c>
      <c r="Y221" s="108" t="str">
        <f>IFERROR(_xlfn.XLOOKUP($A221,Input_Raw!$A:$A,Input_Raw!DJ:DJ)*1000,"")</f>
        <v/>
      </c>
      <c r="Z221" s="108" t="str">
        <f>IFERROR(_xlfn.XLOOKUP($A221,Input_Raw!$A:$A,Input_Raw!DK:DK)*1000,"")</f>
        <v/>
      </c>
      <c r="AA221" s="138" t="str">
        <f t="shared" si="22"/>
        <v/>
      </c>
      <c r="AB221" s="108" t="str">
        <f>IFERROR(_xlfn.XLOOKUP($A221,Input_Raw!$A:$A,Input_Raw!$DR:$DR),"")</f>
        <v/>
      </c>
      <c r="AC221" s="143">
        <f>IFERROR(_xlfn.XLOOKUP($D221,'Modelling New'!$D:$D,'Modelling New'!$J:$J),"")</f>
        <v>4.4633333333333338</v>
      </c>
      <c r="AD221" s="138">
        <f>IFERROR(_xlfn.XLOOKUP($D221,'Modelling New'!$D:$D,'Modelling New'!$T:$T)*1000,"")</f>
        <v>240102.5114009853</v>
      </c>
      <c r="AE221" s="142"/>
      <c r="AF221" s="142">
        <f>IFERROR(_xlfn.XLOOKUP($D221,'Modelling New'!$D:$D,'Modelling New'!$W:$W),"")</f>
        <v>0.14210612653940891</v>
      </c>
      <c r="AG221" s="142">
        <f>IFERROR(_xlfn.XLOOKUP($D221,'Modelling New'!$D:$D,'Modelling New'!$AE:$AE),"")</f>
        <v>0.96029999999999993</v>
      </c>
      <c r="AH221" s="142">
        <f>IFERROR(_xlfn.XLOOKUP($D221,'Modelling New'!$D:$D,'Modelling New'!$AF:$AF),"")</f>
        <v>0.995</v>
      </c>
      <c r="AI221" s="109" t="str">
        <f>IFERROR(_xlfn.XLOOKUP($A221,Input_Raw!$A:$A,Input_Raw!$DP:$DP),"")</f>
        <v/>
      </c>
      <c r="AJ221" s="108"/>
      <c r="AK221" s="108"/>
      <c r="AL221" s="108"/>
      <c r="AM221" s="108"/>
      <c r="AN221" s="132" t="str">
        <f>IFERROR(_xlfn.XLOOKUP($A221,Input_Raw!$A:$A,Input_Raw!$DL:$DL),"")</f>
        <v/>
      </c>
      <c r="AO221" s="142" t="str">
        <f>IFERROR((_xlfn.XLOOKUP($A221,'WTG Reactive Power'!$A:$A,'WTG Reactive Power'!$AW:$AW))/X221,"")</f>
        <v/>
      </c>
      <c r="AP221" s="142">
        <f>IFERROR(_xlfn.XLOOKUP($D221,'Modelling New'!$D:$D,'Modelling New'!$AK:$AK),"")</f>
        <v>0.05</v>
      </c>
      <c r="AQ221" s="142">
        <f>IFERROR(_xlfn.XLOOKUP($D221,'Modelling New'!$D:$D,'Modelling New'!$AL:$AL),"")</f>
        <v>0.05</v>
      </c>
      <c r="AR221" s="198">
        <f>IFERROR(_xlfn.XLOOKUP($D221,'Modelling New'!$D:$D,'Modelling New'!$N:$N),"")</f>
        <v>70.400000000000006</v>
      </c>
      <c r="AS221" s="198"/>
    </row>
    <row r="222" spans="1:45">
      <c r="A222" s="137">
        <f t="shared" si="23"/>
        <v>45965</v>
      </c>
      <c r="B222" s="138">
        <f>YEAR(Daily_KPI[[#This Row],[Date]])+IF(MONTH(Daily_KPI[[#This Row],[Date]])&gt;=4,1,0)</f>
        <v>2026</v>
      </c>
      <c r="C222" s="108">
        <f>YEAR(Daily_KPI[[#This Row],[Date]])</f>
        <v>2025</v>
      </c>
      <c r="D222" s="139">
        <f>Daily_KPI[[#This Row],[Date]]-DAY(Daily_KPI[[#This Row],[Date]])+1</f>
        <v>45962</v>
      </c>
      <c r="E222" s="108">
        <f t="shared" si="19"/>
        <v>30</v>
      </c>
      <c r="F222" s="109"/>
      <c r="G222" s="143"/>
      <c r="H222" s="143"/>
      <c r="I222" s="143"/>
      <c r="J222" s="143"/>
      <c r="K222" s="111"/>
      <c r="L222" s="110"/>
      <c r="M222" s="110" t="str">
        <f>IFERROR(_xlfn.XLOOKUP($A222,Input_Raw!$A:$A,Input_Raw!$CQ:$CQ),"")</f>
        <v/>
      </c>
      <c r="N222" s="110" t="str">
        <f>IFERROR(_xlfn.XLOOKUP($A222,Input_Raw!$A:$A,Input_Raw!$CR:$CR),"")</f>
        <v/>
      </c>
      <c r="O222" s="141" t="str">
        <f t="shared" si="20"/>
        <v/>
      </c>
      <c r="P222" s="141" t="str">
        <f>IFERROR(1-SUMIF(WTG_BD!$F:$F,$A222,WTG_BD!$AA:$AA)/($AA222+SUMIF(WTG_BD!$F:$F,$A222,WTG_BD!$AA:$AA)),"")</f>
        <v/>
      </c>
      <c r="Q222" s="141" t="str">
        <f>IFERROR(1-SUMIF(IGA_BD!$F:$F,$A222,IGA_BD!$W:$W)/($AA222+SUMIF(IGA_BD!$F:$F,$A222,IGA_BD!$W:$W)),"")</f>
        <v/>
      </c>
      <c r="R222" s="141" t="str">
        <f>IFERROR(1-SUMIF(Grid_BD!$F:$F,$A222,Grid_BD!$Y:$Y)/($AA222+SUMIF(Grid_BD!$F:$F,$A222,Grid_BD!$Y:$Y)),"")</f>
        <v/>
      </c>
      <c r="S222" s="108"/>
      <c r="T222" s="140"/>
      <c r="U222" s="141"/>
      <c r="V222" s="108"/>
      <c r="W222" s="142" t="str">
        <f t="shared" si="21"/>
        <v/>
      </c>
      <c r="X222" s="108" t="str">
        <f>IFERROR(_xlfn.XLOOKUP($A222,Input_Raw!$A:$A,Input_Raw!$CP:$CP)*1000,"")</f>
        <v/>
      </c>
      <c r="Y222" s="108" t="str">
        <f>IFERROR(_xlfn.XLOOKUP($A222,Input_Raw!$A:$A,Input_Raw!DJ:DJ)*1000,"")</f>
        <v/>
      </c>
      <c r="Z222" s="108" t="str">
        <f>IFERROR(_xlfn.XLOOKUP($A222,Input_Raw!$A:$A,Input_Raw!DK:DK)*1000,"")</f>
        <v/>
      </c>
      <c r="AA222" s="138" t="str">
        <f t="shared" si="22"/>
        <v/>
      </c>
      <c r="AB222" s="108" t="str">
        <f>IFERROR(_xlfn.XLOOKUP($A222,Input_Raw!$A:$A,Input_Raw!$DR:$DR),"")</f>
        <v/>
      </c>
      <c r="AC222" s="143">
        <f>IFERROR(_xlfn.XLOOKUP($D222,'Modelling New'!$D:$D,'Modelling New'!$J:$J),"")</f>
        <v>4.4633333333333338</v>
      </c>
      <c r="AD222" s="138">
        <f>IFERROR(_xlfn.XLOOKUP($D222,'Modelling New'!$D:$D,'Modelling New'!$T:$T)*1000,"")</f>
        <v>240102.5114009853</v>
      </c>
      <c r="AE222" s="142"/>
      <c r="AF222" s="142">
        <f>IFERROR(_xlfn.XLOOKUP($D222,'Modelling New'!$D:$D,'Modelling New'!$W:$W),"")</f>
        <v>0.14210612653940891</v>
      </c>
      <c r="AG222" s="142">
        <f>IFERROR(_xlfn.XLOOKUP($D222,'Modelling New'!$D:$D,'Modelling New'!$AE:$AE),"")</f>
        <v>0.96029999999999993</v>
      </c>
      <c r="AH222" s="142">
        <f>IFERROR(_xlfn.XLOOKUP($D222,'Modelling New'!$D:$D,'Modelling New'!$AF:$AF),"")</f>
        <v>0.995</v>
      </c>
      <c r="AI222" s="109" t="str">
        <f>IFERROR(_xlfn.XLOOKUP($A222,Input_Raw!$A:$A,Input_Raw!$DP:$DP),"")</f>
        <v/>
      </c>
      <c r="AJ222" s="108"/>
      <c r="AK222" s="108"/>
      <c r="AL222" s="108"/>
      <c r="AM222" s="108"/>
      <c r="AN222" s="132" t="str">
        <f>IFERROR(_xlfn.XLOOKUP($A222,Input_Raw!$A:$A,Input_Raw!$DL:$DL),"")</f>
        <v/>
      </c>
      <c r="AO222" s="142" t="str">
        <f>IFERROR((_xlfn.XLOOKUP($A222,'WTG Reactive Power'!$A:$A,'WTG Reactive Power'!$AW:$AW))/X222,"")</f>
        <v/>
      </c>
      <c r="AP222" s="142">
        <f>IFERROR(_xlfn.XLOOKUP($D222,'Modelling New'!$D:$D,'Modelling New'!$AK:$AK),"")</f>
        <v>0.05</v>
      </c>
      <c r="AQ222" s="142">
        <f>IFERROR(_xlfn.XLOOKUP($D222,'Modelling New'!$D:$D,'Modelling New'!$AL:$AL),"")</f>
        <v>0.05</v>
      </c>
      <c r="AR222" s="198">
        <f>IFERROR(_xlfn.XLOOKUP($D222,'Modelling New'!$D:$D,'Modelling New'!$N:$N),"")</f>
        <v>70.400000000000006</v>
      </c>
      <c r="AS222" s="198"/>
    </row>
    <row r="223" spans="1:45">
      <c r="A223" s="137">
        <f t="shared" si="23"/>
        <v>45966</v>
      </c>
      <c r="B223" s="138">
        <f>YEAR(Daily_KPI[[#This Row],[Date]])+IF(MONTH(Daily_KPI[[#This Row],[Date]])&gt;=4,1,0)</f>
        <v>2026</v>
      </c>
      <c r="C223" s="108">
        <f>YEAR(Daily_KPI[[#This Row],[Date]])</f>
        <v>2025</v>
      </c>
      <c r="D223" s="139">
        <f>Daily_KPI[[#This Row],[Date]]-DAY(Daily_KPI[[#This Row],[Date]])+1</f>
        <v>45962</v>
      </c>
      <c r="E223" s="108">
        <f t="shared" si="19"/>
        <v>30</v>
      </c>
      <c r="F223" s="109"/>
      <c r="G223" s="110"/>
      <c r="H223" s="110"/>
      <c r="I223" s="110"/>
      <c r="J223" s="110"/>
      <c r="K223" s="111"/>
      <c r="L223" s="110"/>
      <c r="M223" s="110" t="str">
        <f>IFERROR(_xlfn.XLOOKUP($A223,Input_Raw!$A:$A,Input_Raw!$CQ:$CQ),"")</f>
        <v/>
      </c>
      <c r="N223" s="110" t="str">
        <f>IFERROR(_xlfn.XLOOKUP($A223,Input_Raw!$A:$A,Input_Raw!$CR:$CR),"")</f>
        <v/>
      </c>
      <c r="O223" s="141" t="str">
        <f t="shared" si="20"/>
        <v/>
      </c>
      <c r="P223" s="141" t="str">
        <f>IFERROR(1-SUMIF(WTG_BD!$F:$F,$A223,WTG_BD!$AA:$AA)/($AA223+SUMIF(WTG_BD!$F:$F,$A223,WTG_BD!$AA:$AA)),"")</f>
        <v/>
      </c>
      <c r="Q223" s="141" t="str">
        <f>IFERROR(1-SUMIF(IGA_BD!$F:$F,$A223,IGA_BD!$W:$W)/($AA223+SUMIF(IGA_BD!$F:$F,$A223,IGA_BD!$W:$W)),"")</f>
        <v/>
      </c>
      <c r="R223" s="141" t="str">
        <f>IFERROR(1-SUMIF(Grid_BD!$F:$F,$A223,Grid_BD!$Y:$Y)/($AA223+SUMIF(Grid_BD!$F:$F,$A223,Grid_BD!$Y:$Y)),"")</f>
        <v/>
      </c>
      <c r="S223" s="108"/>
      <c r="T223" s="140"/>
      <c r="U223" s="141"/>
      <c r="V223" s="108"/>
      <c r="W223" s="142" t="str">
        <f t="shared" si="21"/>
        <v/>
      </c>
      <c r="X223" s="108" t="str">
        <f>IFERROR(_xlfn.XLOOKUP($A223,Input_Raw!$A:$A,Input_Raw!$CP:$CP)*1000,"")</f>
        <v/>
      </c>
      <c r="Y223" s="108" t="str">
        <f>IFERROR(_xlfn.XLOOKUP($A223,Input_Raw!$A:$A,Input_Raw!DJ:DJ)*1000,"")</f>
        <v/>
      </c>
      <c r="Z223" s="108" t="str">
        <f>IFERROR(_xlfn.XLOOKUP($A223,Input_Raw!$A:$A,Input_Raw!DK:DK)*1000,"")</f>
        <v/>
      </c>
      <c r="AA223" s="138" t="str">
        <f t="shared" si="22"/>
        <v/>
      </c>
      <c r="AB223" s="108" t="str">
        <f>IFERROR(_xlfn.XLOOKUP($A223,Input_Raw!$A:$A,Input_Raw!$DR:$DR),"")</f>
        <v/>
      </c>
      <c r="AC223" s="143">
        <f>IFERROR(_xlfn.XLOOKUP($D223,'Modelling New'!$D:$D,'Modelling New'!$J:$J),"")</f>
        <v>4.4633333333333338</v>
      </c>
      <c r="AD223" s="138">
        <f>IFERROR(_xlfn.XLOOKUP($D223,'Modelling New'!$D:$D,'Modelling New'!$T:$T)*1000,"")</f>
        <v>240102.5114009853</v>
      </c>
      <c r="AE223" s="142"/>
      <c r="AF223" s="142">
        <f>IFERROR(_xlfn.XLOOKUP($D223,'Modelling New'!$D:$D,'Modelling New'!$W:$W),"")</f>
        <v>0.14210612653940891</v>
      </c>
      <c r="AG223" s="142">
        <f>IFERROR(_xlfn.XLOOKUP($D223,'Modelling New'!$D:$D,'Modelling New'!$AE:$AE),"")</f>
        <v>0.96029999999999993</v>
      </c>
      <c r="AH223" s="142">
        <f>IFERROR(_xlfn.XLOOKUP($D223,'Modelling New'!$D:$D,'Modelling New'!$AF:$AF),"")</f>
        <v>0.995</v>
      </c>
      <c r="AI223" s="109" t="str">
        <f>IFERROR(_xlfn.XLOOKUP($A223,Input_Raw!$A:$A,Input_Raw!$DP:$DP),"")</f>
        <v/>
      </c>
      <c r="AJ223" s="108"/>
      <c r="AK223" s="108"/>
      <c r="AL223" s="108"/>
      <c r="AM223" s="108"/>
      <c r="AN223" s="132" t="str">
        <f>IFERROR(_xlfn.XLOOKUP($A223,Input_Raw!$A:$A,Input_Raw!$DL:$DL),"")</f>
        <v/>
      </c>
      <c r="AO223" s="142" t="str">
        <f>IFERROR((_xlfn.XLOOKUP($A223,'WTG Reactive Power'!$A:$A,'WTG Reactive Power'!$AW:$AW))/X223,"")</f>
        <v/>
      </c>
      <c r="AP223" s="142">
        <f>IFERROR(_xlfn.XLOOKUP($D223,'Modelling New'!$D:$D,'Modelling New'!$AK:$AK),"")</f>
        <v>0.05</v>
      </c>
      <c r="AQ223" s="142">
        <f>IFERROR(_xlfn.XLOOKUP($D223,'Modelling New'!$D:$D,'Modelling New'!$AL:$AL),"")</f>
        <v>0.05</v>
      </c>
      <c r="AR223" s="198">
        <f>IFERROR(_xlfn.XLOOKUP($D223,'Modelling New'!$D:$D,'Modelling New'!$N:$N),"")</f>
        <v>70.400000000000006</v>
      </c>
      <c r="AS223" s="198"/>
    </row>
    <row r="224" spans="1:45">
      <c r="A224" s="137">
        <f t="shared" si="23"/>
        <v>45967</v>
      </c>
      <c r="B224" s="138">
        <f>YEAR(Daily_KPI[[#This Row],[Date]])+IF(MONTH(Daily_KPI[[#This Row],[Date]])&gt;=4,1,0)</f>
        <v>2026</v>
      </c>
      <c r="C224" s="108">
        <f>YEAR(Daily_KPI[[#This Row],[Date]])</f>
        <v>2025</v>
      </c>
      <c r="D224" s="139">
        <f>Daily_KPI[[#This Row],[Date]]-DAY(Daily_KPI[[#This Row],[Date]])+1</f>
        <v>45962</v>
      </c>
      <c r="E224" s="108">
        <f t="shared" si="19"/>
        <v>30</v>
      </c>
      <c r="F224" s="109"/>
      <c r="G224" s="143"/>
      <c r="H224" s="143"/>
      <c r="I224" s="143"/>
      <c r="J224" s="143"/>
      <c r="K224" s="111"/>
      <c r="L224" s="110"/>
      <c r="M224" s="110" t="str">
        <f>IFERROR(_xlfn.XLOOKUP($A224,Input_Raw!$A:$A,Input_Raw!$CQ:$CQ),"")</f>
        <v/>
      </c>
      <c r="N224" s="110" t="str">
        <f>IFERROR(_xlfn.XLOOKUP($A224,Input_Raw!$A:$A,Input_Raw!$CR:$CR),"")</f>
        <v/>
      </c>
      <c r="O224" s="141" t="str">
        <f t="shared" si="20"/>
        <v/>
      </c>
      <c r="P224" s="141" t="str">
        <f>IFERROR(1-SUMIF(WTG_BD!$F:$F,$A224,WTG_BD!$AA:$AA)/($AA224+SUMIF(WTG_BD!$F:$F,$A224,WTG_BD!$AA:$AA)),"")</f>
        <v/>
      </c>
      <c r="Q224" s="141" t="str">
        <f>IFERROR(1-SUMIF(IGA_BD!$F:$F,$A224,IGA_BD!$W:$W)/($AA224+SUMIF(IGA_BD!$F:$F,$A224,IGA_BD!$W:$W)),"")</f>
        <v/>
      </c>
      <c r="R224" s="141" t="str">
        <f>IFERROR(1-SUMIF(Grid_BD!$F:$F,$A224,Grid_BD!$Y:$Y)/($AA224+SUMIF(Grid_BD!$F:$F,$A224,Grid_BD!$Y:$Y)),"")</f>
        <v/>
      </c>
      <c r="S224" s="108"/>
      <c r="T224" s="140"/>
      <c r="U224" s="141"/>
      <c r="V224" s="108"/>
      <c r="W224" s="142" t="str">
        <f t="shared" si="21"/>
        <v/>
      </c>
      <c r="X224" s="108" t="str">
        <f>IFERROR(_xlfn.XLOOKUP($A224,Input_Raw!$A:$A,Input_Raw!$CP:$CP)*1000,"")</f>
        <v/>
      </c>
      <c r="Y224" s="108" t="str">
        <f>IFERROR(_xlfn.XLOOKUP($A224,Input_Raw!$A:$A,Input_Raw!DJ:DJ)*1000,"")</f>
        <v/>
      </c>
      <c r="Z224" s="108" t="str">
        <f>IFERROR(_xlfn.XLOOKUP($A224,Input_Raw!$A:$A,Input_Raw!DK:DK)*1000,"")</f>
        <v/>
      </c>
      <c r="AA224" s="138" t="str">
        <f t="shared" si="22"/>
        <v/>
      </c>
      <c r="AB224" s="108" t="str">
        <f>IFERROR(_xlfn.XLOOKUP($A224,Input_Raw!$A:$A,Input_Raw!$DR:$DR),"")</f>
        <v/>
      </c>
      <c r="AC224" s="143">
        <f>IFERROR(_xlfn.XLOOKUP($D224,'Modelling New'!$D:$D,'Modelling New'!$J:$J),"")</f>
        <v>4.4633333333333338</v>
      </c>
      <c r="AD224" s="138">
        <f>IFERROR(_xlfn.XLOOKUP($D224,'Modelling New'!$D:$D,'Modelling New'!$T:$T)*1000,"")</f>
        <v>240102.5114009853</v>
      </c>
      <c r="AE224" s="142"/>
      <c r="AF224" s="142">
        <f>IFERROR(_xlfn.XLOOKUP($D224,'Modelling New'!$D:$D,'Modelling New'!$W:$W),"")</f>
        <v>0.14210612653940891</v>
      </c>
      <c r="AG224" s="142">
        <f>IFERROR(_xlfn.XLOOKUP($D224,'Modelling New'!$D:$D,'Modelling New'!$AE:$AE),"")</f>
        <v>0.96029999999999993</v>
      </c>
      <c r="AH224" s="142">
        <f>IFERROR(_xlfn.XLOOKUP($D224,'Modelling New'!$D:$D,'Modelling New'!$AF:$AF),"")</f>
        <v>0.995</v>
      </c>
      <c r="AI224" s="109" t="str">
        <f>IFERROR(_xlfn.XLOOKUP($A224,Input_Raw!$A:$A,Input_Raw!$DP:$DP),"")</f>
        <v/>
      </c>
      <c r="AJ224" s="108"/>
      <c r="AK224" s="108"/>
      <c r="AL224" s="108"/>
      <c r="AM224" s="108"/>
      <c r="AN224" s="132" t="str">
        <f>IFERROR(_xlfn.XLOOKUP($A224,Input_Raw!$A:$A,Input_Raw!$DL:$DL),"")</f>
        <v/>
      </c>
      <c r="AO224" s="142" t="str">
        <f>IFERROR((_xlfn.XLOOKUP($A224,'WTG Reactive Power'!$A:$A,'WTG Reactive Power'!$AW:$AW))/X224,"")</f>
        <v/>
      </c>
      <c r="AP224" s="142">
        <f>IFERROR(_xlfn.XLOOKUP($D224,'Modelling New'!$D:$D,'Modelling New'!$AK:$AK),"")</f>
        <v>0.05</v>
      </c>
      <c r="AQ224" s="142">
        <f>IFERROR(_xlfn.XLOOKUP($D224,'Modelling New'!$D:$D,'Modelling New'!$AL:$AL),"")</f>
        <v>0.05</v>
      </c>
      <c r="AR224" s="198">
        <f>IFERROR(_xlfn.XLOOKUP($D224,'Modelling New'!$D:$D,'Modelling New'!$N:$N),"")</f>
        <v>70.400000000000006</v>
      </c>
      <c r="AS224" s="198"/>
    </row>
    <row r="225" spans="1:45">
      <c r="A225" s="137">
        <f t="shared" si="23"/>
        <v>45968</v>
      </c>
      <c r="B225" s="138">
        <f>YEAR(Daily_KPI[[#This Row],[Date]])+IF(MONTH(Daily_KPI[[#This Row],[Date]])&gt;=4,1,0)</f>
        <v>2026</v>
      </c>
      <c r="C225" s="108">
        <f>YEAR(Daily_KPI[[#This Row],[Date]])</f>
        <v>2025</v>
      </c>
      <c r="D225" s="139">
        <f>Daily_KPI[[#This Row],[Date]]-DAY(Daily_KPI[[#This Row],[Date]])+1</f>
        <v>45962</v>
      </c>
      <c r="E225" s="108">
        <f t="shared" si="19"/>
        <v>30</v>
      </c>
      <c r="F225" s="109"/>
      <c r="G225" s="110"/>
      <c r="H225" s="110"/>
      <c r="I225" s="110"/>
      <c r="J225" s="110"/>
      <c r="K225" s="111"/>
      <c r="L225" s="110"/>
      <c r="M225" s="110" t="str">
        <f>IFERROR(_xlfn.XLOOKUP($A225,Input_Raw!$A:$A,Input_Raw!$CQ:$CQ),"")</f>
        <v/>
      </c>
      <c r="N225" s="110" t="str">
        <f>IFERROR(_xlfn.XLOOKUP($A225,Input_Raw!$A:$A,Input_Raw!$CR:$CR),"")</f>
        <v/>
      </c>
      <c r="O225" s="141" t="str">
        <f t="shared" si="20"/>
        <v/>
      </c>
      <c r="P225" s="141" t="str">
        <f>IFERROR(1-SUMIF(WTG_BD!$F:$F,$A225,WTG_BD!$AA:$AA)/($AA225+SUMIF(WTG_BD!$F:$F,$A225,WTG_BD!$AA:$AA)),"")</f>
        <v/>
      </c>
      <c r="Q225" s="141" t="str">
        <f>IFERROR(1-SUMIF(IGA_BD!$F:$F,$A225,IGA_BD!$W:$W)/($AA225+SUMIF(IGA_BD!$F:$F,$A225,IGA_BD!$W:$W)),"")</f>
        <v/>
      </c>
      <c r="R225" s="141" t="str">
        <f>IFERROR(1-SUMIF(Grid_BD!$F:$F,$A225,Grid_BD!$Y:$Y)/($AA225+SUMIF(Grid_BD!$F:$F,$A225,Grid_BD!$Y:$Y)),"")</f>
        <v/>
      </c>
      <c r="S225" s="108"/>
      <c r="T225" s="140"/>
      <c r="U225" s="141"/>
      <c r="V225" s="108"/>
      <c r="W225" s="142" t="str">
        <f t="shared" si="21"/>
        <v/>
      </c>
      <c r="X225" s="108" t="str">
        <f>IFERROR(_xlfn.XLOOKUP($A225,Input_Raw!$A:$A,Input_Raw!$CP:$CP)*1000,"")</f>
        <v/>
      </c>
      <c r="Y225" s="108" t="str">
        <f>IFERROR(_xlfn.XLOOKUP($A225,Input_Raw!$A:$A,Input_Raw!DJ:DJ)*1000,"")</f>
        <v/>
      </c>
      <c r="Z225" s="108" t="str">
        <f>IFERROR(_xlfn.XLOOKUP($A225,Input_Raw!$A:$A,Input_Raw!DK:DK)*1000,"")</f>
        <v/>
      </c>
      <c r="AA225" s="138" t="str">
        <f t="shared" si="22"/>
        <v/>
      </c>
      <c r="AB225" s="108" t="str">
        <f>IFERROR(_xlfn.XLOOKUP($A225,Input_Raw!$A:$A,Input_Raw!$DR:$DR),"")</f>
        <v/>
      </c>
      <c r="AC225" s="143">
        <f>IFERROR(_xlfn.XLOOKUP($D225,'Modelling New'!$D:$D,'Modelling New'!$J:$J),"")</f>
        <v>4.4633333333333338</v>
      </c>
      <c r="AD225" s="138">
        <f>IFERROR(_xlfn.XLOOKUP($D225,'Modelling New'!$D:$D,'Modelling New'!$T:$T)*1000,"")</f>
        <v>240102.5114009853</v>
      </c>
      <c r="AE225" s="142"/>
      <c r="AF225" s="142">
        <f>IFERROR(_xlfn.XLOOKUP($D225,'Modelling New'!$D:$D,'Modelling New'!$W:$W),"")</f>
        <v>0.14210612653940891</v>
      </c>
      <c r="AG225" s="142">
        <f>IFERROR(_xlfn.XLOOKUP($D225,'Modelling New'!$D:$D,'Modelling New'!$AE:$AE),"")</f>
        <v>0.96029999999999993</v>
      </c>
      <c r="AH225" s="142">
        <f>IFERROR(_xlfn.XLOOKUP($D225,'Modelling New'!$D:$D,'Modelling New'!$AF:$AF),"")</f>
        <v>0.995</v>
      </c>
      <c r="AI225" s="109" t="str">
        <f>IFERROR(_xlfn.XLOOKUP($A225,Input_Raw!$A:$A,Input_Raw!$DP:$DP),"")</f>
        <v/>
      </c>
      <c r="AJ225" s="108"/>
      <c r="AK225" s="108"/>
      <c r="AL225" s="108"/>
      <c r="AM225" s="108"/>
      <c r="AN225" s="132" t="str">
        <f>IFERROR(_xlfn.XLOOKUP($A225,Input_Raw!$A:$A,Input_Raw!$DL:$DL),"")</f>
        <v/>
      </c>
      <c r="AO225" s="142" t="str">
        <f>IFERROR((_xlfn.XLOOKUP($A225,'WTG Reactive Power'!$A:$A,'WTG Reactive Power'!$AW:$AW))/X225,"")</f>
        <v/>
      </c>
      <c r="AP225" s="142">
        <f>IFERROR(_xlfn.XLOOKUP($D225,'Modelling New'!$D:$D,'Modelling New'!$AK:$AK),"")</f>
        <v>0.05</v>
      </c>
      <c r="AQ225" s="142">
        <f>IFERROR(_xlfn.XLOOKUP($D225,'Modelling New'!$D:$D,'Modelling New'!$AL:$AL),"")</f>
        <v>0.05</v>
      </c>
      <c r="AR225" s="198">
        <f>IFERROR(_xlfn.XLOOKUP($D225,'Modelling New'!$D:$D,'Modelling New'!$N:$N),"")</f>
        <v>70.400000000000006</v>
      </c>
      <c r="AS225" s="198"/>
    </row>
    <row r="226" spans="1:45">
      <c r="A226" s="137">
        <f t="shared" si="23"/>
        <v>45969</v>
      </c>
      <c r="B226" s="138">
        <f>YEAR(Daily_KPI[[#This Row],[Date]])+IF(MONTH(Daily_KPI[[#This Row],[Date]])&gt;=4,1,0)</f>
        <v>2026</v>
      </c>
      <c r="C226" s="108">
        <f>YEAR(Daily_KPI[[#This Row],[Date]])</f>
        <v>2025</v>
      </c>
      <c r="D226" s="139">
        <f>Daily_KPI[[#This Row],[Date]]-DAY(Daily_KPI[[#This Row],[Date]])+1</f>
        <v>45962</v>
      </c>
      <c r="E226" s="108">
        <f t="shared" si="19"/>
        <v>30</v>
      </c>
      <c r="F226" s="109"/>
      <c r="G226" s="143"/>
      <c r="H226" s="143"/>
      <c r="I226" s="143"/>
      <c r="J226" s="143"/>
      <c r="K226" s="111"/>
      <c r="L226" s="110"/>
      <c r="M226" s="110" t="str">
        <f>IFERROR(_xlfn.XLOOKUP($A226,Input_Raw!$A:$A,Input_Raw!$CQ:$CQ),"")</f>
        <v/>
      </c>
      <c r="N226" s="110" t="str">
        <f>IFERROR(_xlfn.XLOOKUP($A226,Input_Raw!$A:$A,Input_Raw!$CR:$CR),"")</f>
        <v/>
      </c>
      <c r="O226" s="141" t="str">
        <f t="shared" si="20"/>
        <v/>
      </c>
      <c r="P226" s="141" t="str">
        <f>IFERROR(1-SUMIF(WTG_BD!$F:$F,$A226,WTG_BD!$AA:$AA)/($AA226+SUMIF(WTG_BD!$F:$F,$A226,WTG_BD!$AA:$AA)),"")</f>
        <v/>
      </c>
      <c r="Q226" s="141" t="str">
        <f>IFERROR(1-SUMIF(IGA_BD!$F:$F,$A226,IGA_BD!$W:$W)/($AA226+SUMIF(IGA_BD!$F:$F,$A226,IGA_BD!$W:$W)),"")</f>
        <v/>
      </c>
      <c r="R226" s="141" t="str">
        <f>IFERROR(1-SUMIF(Grid_BD!$F:$F,$A226,Grid_BD!$Y:$Y)/($AA226+SUMIF(Grid_BD!$F:$F,$A226,Grid_BD!$Y:$Y)),"")</f>
        <v/>
      </c>
      <c r="S226" s="108"/>
      <c r="T226" s="140"/>
      <c r="U226" s="141"/>
      <c r="V226" s="108"/>
      <c r="W226" s="142" t="str">
        <f t="shared" si="21"/>
        <v/>
      </c>
      <c r="X226" s="108" t="str">
        <f>IFERROR(_xlfn.XLOOKUP($A226,Input_Raw!$A:$A,Input_Raw!$CP:$CP)*1000,"")</f>
        <v/>
      </c>
      <c r="Y226" s="108" t="str">
        <f>IFERROR(_xlfn.XLOOKUP($A226,Input_Raw!$A:$A,Input_Raw!DJ:DJ)*1000,"")</f>
        <v/>
      </c>
      <c r="Z226" s="108" t="str">
        <f>IFERROR(_xlfn.XLOOKUP($A226,Input_Raw!$A:$A,Input_Raw!DK:DK)*1000,"")</f>
        <v/>
      </c>
      <c r="AA226" s="138" t="str">
        <f t="shared" si="22"/>
        <v/>
      </c>
      <c r="AB226" s="108" t="str">
        <f>IFERROR(_xlfn.XLOOKUP($A226,Input_Raw!$A:$A,Input_Raw!$DR:$DR),"")</f>
        <v/>
      </c>
      <c r="AC226" s="143">
        <f>IFERROR(_xlfn.XLOOKUP($D226,'Modelling New'!$D:$D,'Modelling New'!$J:$J),"")</f>
        <v>4.4633333333333338</v>
      </c>
      <c r="AD226" s="138">
        <f>IFERROR(_xlfn.XLOOKUP($D226,'Modelling New'!$D:$D,'Modelling New'!$T:$T)*1000,"")</f>
        <v>240102.5114009853</v>
      </c>
      <c r="AE226" s="142"/>
      <c r="AF226" s="142">
        <f>IFERROR(_xlfn.XLOOKUP($D226,'Modelling New'!$D:$D,'Modelling New'!$W:$W),"")</f>
        <v>0.14210612653940891</v>
      </c>
      <c r="AG226" s="142">
        <f>IFERROR(_xlfn.XLOOKUP($D226,'Modelling New'!$D:$D,'Modelling New'!$AE:$AE),"")</f>
        <v>0.96029999999999993</v>
      </c>
      <c r="AH226" s="142">
        <f>IFERROR(_xlfn.XLOOKUP($D226,'Modelling New'!$D:$D,'Modelling New'!$AF:$AF),"")</f>
        <v>0.995</v>
      </c>
      <c r="AI226" s="109" t="str">
        <f>IFERROR(_xlfn.XLOOKUP($A226,Input_Raw!$A:$A,Input_Raw!$DP:$DP),"")</f>
        <v/>
      </c>
      <c r="AJ226" s="108"/>
      <c r="AK226" s="108"/>
      <c r="AL226" s="108"/>
      <c r="AM226" s="108"/>
      <c r="AN226" s="132" t="str">
        <f>IFERROR(_xlfn.XLOOKUP($A226,Input_Raw!$A:$A,Input_Raw!$DL:$DL),"")</f>
        <v/>
      </c>
      <c r="AO226" s="142" t="str">
        <f>IFERROR((_xlfn.XLOOKUP($A226,'WTG Reactive Power'!$A:$A,'WTG Reactive Power'!$AW:$AW))/X226,"")</f>
        <v/>
      </c>
      <c r="AP226" s="142">
        <f>IFERROR(_xlfn.XLOOKUP($D226,'Modelling New'!$D:$D,'Modelling New'!$AK:$AK),"")</f>
        <v>0.05</v>
      </c>
      <c r="AQ226" s="142">
        <f>IFERROR(_xlfn.XLOOKUP($D226,'Modelling New'!$D:$D,'Modelling New'!$AL:$AL),"")</f>
        <v>0.05</v>
      </c>
      <c r="AR226" s="198">
        <f>IFERROR(_xlfn.XLOOKUP($D226,'Modelling New'!$D:$D,'Modelling New'!$N:$N),"")</f>
        <v>70.400000000000006</v>
      </c>
      <c r="AS226" s="198"/>
    </row>
    <row r="227" spans="1:45">
      <c r="A227" s="137">
        <f t="shared" si="23"/>
        <v>45970</v>
      </c>
      <c r="B227" s="138">
        <f>YEAR(Daily_KPI[[#This Row],[Date]])+IF(MONTH(Daily_KPI[[#This Row],[Date]])&gt;=4,1,0)</f>
        <v>2026</v>
      </c>
      <c r="C227" s="108">
        <f>YEAR(Daily_KPI[[#This Row],[Date]])</f>
        <v>2025</v>
      </c>
      <c r="D227" s="139">
        <f>Daily_KPI[[#This Row],[Date]]-DAY(Daily_KPI[[#This Row],[Date]])+1</f>
        <v>45962</v>
      </c>
      <c r="E227" s="108">
        <f t="shared" si="19"/>
        <v>30</v>
      </c>
      <c r="F227" s="109"/>
      <c r="G227" s="110"/>
      <c r="H227" s="110"/>
      <c r="I227" s="110"/>
      <c r="J227" s="110"/>
      <c r="K227" s="111"/>
      <c r="L227" s="110"/>
      <c r="M227" s="110" t="str">
        <f>IFERROR(_xlfn.XLOOKUP($A227,Input_Raw!$A:$A,Input_Raw!$CQ:$CQ),"")</f>
        <v/>
      </c>
      <c r="N227" s="110" t="str">
        <f>IFERROR(_xlfn.XLOOKUP($A227,Input_Raw!$A:$A,Input_Raw!$CR:$CR),"")</f>
        <v/>
      </c>
      <c r="O227" s="141" t="str">
        <f t="shared" si="20"/>
        <v/>
      </c>
      <c r="P227" s="141" t="str">
        <f>IFERROR(1-SUMIF(WTG_BD!$F:$F,$A227,WTG_BD!$AA:$AA)/($AA227+SUMIF(WTG_BD!$F:$F,$A227,WTG_BD!$AA:$AA)),"")</f>
        <v/>
      </c>
      <c r="Q227" s="141" t="str">
        <f>IFERROR(1-SUMIF(IGA_BD!$F:$F,$A227,IGA_BD!$W:$W)/($AA227+SUMIF(IGA_BD!$F:$F,$A227,IGA_BD!$W:$W)),"")</f>
        <v/>
      </c>
      <c r="R227" s="141" t="str">
        <f>IFERROR(1-SUMIF(Grid_BD!$F:$F,$A227,Grid_BD!$Y:$Y)/($AA227+SUMIF(Grid_BD!$F:$F,$A227,Grid_BD!$Y:$Y)),"")</f>
        <v/>
      </c>
      <c r="S227" s="108"/>
      <c r="T227" s="140"/>
      <c r="U227" s="141"/>
      <c r="V227" s="108"/>
      <c r="W227" s="142" t="str">
        <f t="shared" si="21"/>
        <v/>
      </c>
      <c r="X227" s="108" t="str">
        <f>IFERROR(_xlfn.XLOOKUP($A227,Input_Raw!$A:$A,Input_Raw!$CP:$CP)*1000,"")</f>
        <v/>
      </c>
      <c r="Y227" s="108" t="str">
        <f>IFERROR(_xlfn.XLOOKUP($A227,Input_Raw!$A:$A,Input_Raw!DJ:DJ)*1000,"")</f>
        <v/>
      </c>
      <c r="Z227" s="108" t="str">
        <f>IFERROR(_xlfn.XLOOKUP($A227,Input_Raw!$A:$A,Input_Raw!DK:DK)*1000,"")</f>
        <v/>
      </c>
      <c r="AA227" s="138" t="str">
        <f t="shared" si="22"/>
        <v/>
      </c>
      <c r="AB227" s="108" t="str">
        <f>IFERROR(_xlfn.XLOOKUP($A227,Input_Raw!$A:$A,Input_Raw!$DR:$DR),"")</f>
        <v/>
      </c>
      <c r="AC227" s="143">
        <f>IFERROR(_xlfn.XLOOKUP($D227,'Modelling New'!$D:$D,'Modelling New'!$J:$J),"")</f>
        <v>4.4633333333333338</v>
      </c>
      <c r="AD227" s="138">
        <f>IFERROR(_xlfn.XLOOKUP($D227,'Modelling New'!$D:$D,'Modelling New'!$T:$T)*1000,"")</f>
        <v>240102.5114009853</v>
      </c>
      <c r="AE227" s="142"/>
      <c r="AF227" s="142">
        <f>IFERROR(_xlfn.XLOOKUP($D227,'Modelling New'!$D:$D,'Modelling New'!$W:$W),"")</f>
        <v>0.14210612653940891</v>
      </c>
      <c r="AG227" s="142">
        <f>IFERROR(_xlfn.XLOOKUP($D227,'Modelling New'!$D:$D,'Modelling New'!$AE:$AE),"")</f>
        <v>0.96029999999999993</v>
      </c>
      <c r="AH227" s="142">
        <f>IFERROR(_xlfn.XLOOKUP($D227,'Modelling New'!$D:$D,'Modelling New'!$AF:$AF),"")</f>
        <v>0.995</v>
      </c>
      <c r="AI227" s="109" t="str">
        <f>IFERROR(_xlfn.XLOOKUP($A227,Input_Raw!$A:$A,Input_Raw!$DP:$DP),"")</f>
        <v/>
      </c>
      <c r="AJ227" s="108"/>
      <c r="AK227" s="108"/>
      <c r="AL227" s="108"/>
      <c r="AM227" s="108"/>
      <c r="AN227" s="132" t="str">
        <f>IFERROR(_xlfn.XLOOKUP($A227,Input_Raw!$A:$A,Input_Raw!$DL:$DL),"")</f>
        <v/>
      </c>
      <c r="AO227" s="142" t="str">
        <f>IFERROR((_xlfn.XLOOKUP($A227,'WTG Reactive Power'!$A:$A,'WTG Reactive Power'!$AW:$AW))/X227,"")</f>
        <v/>
      </c>
      <c r="AP227" s="142">
        <f>IFERROR(_xlfn.XLOOKUP($D227,'Modelling New'!$D:$D,'Modelling New'!$AK:$AK),"")</f>
        <v>0.05</v>
      </c>
      <c r="AQ227" s="142">
        <f>IFERROR(_xlfn.XLOOKUP($D227,'Modelling New'!$D:$D,'Modelling New'!$AL:$AL),"")</f>
        <v>0.05</v>
      </c>
      <c r="AR227" s="198">
        <f>IFERROR(_xlfn.XLOOKUP($D227,'Modelling New'!$D:$D,'Modelling New'!$N:$N),"")</f>
        <v>70.400000000000006</v>
      </c>
      <c r="AS227" s="198"/>
    </row>
    <row r="228" spans="1:45">
      <c r="A228" s="137">
        <f t="shared" si="23"/>
        <v>45971</v>
      </c>
      <c r="B228" s="138">
        <f>YEAR(Daily_KPI[[#This Row],[Date]])+IF(MONTH(Daily_KPI[[#This Row],[Date]])&gt;=4,1,0)</f>
        <v>2026</v>
      </c>
      <c r="C228" s="108">
        <f>YEAR(Daily_KPI[[#This Row],[Date]])</f>
        <v>2025</v>
      </c>
      <c r="D228" s="139">
        <f>Daily_KPI[[#This Row],[Date]]-DAY(Daily_KPI[[#This Row],[Date]])+1</f>
        <v>45962</v>
      </c>
      <c r="E228" s="108">
        <f t="shared" si="19"/>
        <v>30</v>
      </c>
      <c r="F228" s="109"/>
      <c r="G228" s="143"/>
      <c r="H228" s="143"/>
      <c r="I228" s="143"/>
      <c r="J228" s="143"/>
      <c r="K228" s="111"/>
      <c r="L228" s="110"/>
      <c r="M228" s="110" t="str">
        <f>IFERROR(_xlfn.XLOOKUP($A228,Input_Raw!$A:$A,Input_Raw!$CQ:$CQ),"")</f>
        <v/>
      </c>
      <c r="N228" s="110" t="str">
        <f>IFERROR(_xlfn.XLOOKUP($A228,Input_Raw!$A:$A,Input_Raw!$CR:$CR),"")</f>
        <v/>
      </c>
      <c r="O228" s="141" t="str">
        <f t="shared" si="20"/>
        <v/>
      </c>
      <c r="P228" s="141" t="str">
        <f>IFERROR(1-SUMIF(WTG_BD!$F:$F,$A228,WTG_BD!$AA:$AA)/($AA228+SUMIF(WTG_BD!$F:$F,$A228,WTG_BD!$AA:$AA)),"")</f>
        <v/>
      </c>
      <c r="Q228" s="141" t="str">
        <f>IFERROR(1-SUMIF(IGA_BD!$F:$F,$A228,IGA_BD!$W:$W)/($AA228+SUMIF(IGA_BD!$F:$F,$A228,IGA_BD!$W:$W)),"")</f>
        <v/>
      </c>
      <c r="R228" s="141" t="str">
        <f>IFERROR(1-SUMIF(Grid_BD!$F:$F,$A228,Grid_BD!$Y:$Y)/($AA228+SUMIF(Grid_BD!$F:$F,$A228,Grid_BD!$Y:$Y)),"")</f>
        <v/>
      </c>
      <c r="S228" s="108"/>
      <c r="T228" s="140"/>
      <c r="U228" s="141"/>
      <c r="V228" s="108"/>
      <c r="W228" s="142" t="str">
        <f t="shared" si="21"/>
        <v/>
      </c>
      <c r="X228" s="108" t="str">
        <f>IFERROR(_xlfn.XLOOKUP($A228,Input_Raw!$A:$A,Input_Raw!$CP:$CP)*1000,"")</f>
        <v/>
      </c>
      <c r="Y228" s="108" t="str">
        <f>IFERROR(_xlfn.XLOOKUP($A228,Input_Raw!$A:$A,Input_Raw!DJ:DJ)*1000,"")</f>
        <v/>
      </c>
      <c r="Z228" s="108" t="str">
        <f>IFERROR(_xlfn.XLOOKUP($A228,Input_Raw!$A:$A,Input_Raw!DK:DK)*1000,"")</f>
        <v/>
      </c>
      <c r="AA228" s="138" t="str">
        <f t="shared" si="22"/>
        <v/>
      </c>
      <c r="AB228" s="108" t="str">
        <f>IFERROR(_xlfn.XLOOKUP($A228,Input_Raw!$A:$A,Input_Raw!$DR:$DR),"")</f>
        <v/>
      </c>
      <c r="AC228" s="143">
        <f>IFERROR(_xlfn.XLOOKUP($D228,'Modelling New'!$D:$D,'Modelling New'!$J:$J),"")</f>
        <v>4.4633333333333338</v>
      </c>
      <c r="AD228" s="138">
        <f>IFERROR(_xlfn.XLOOKUP($D228,'Modelling New'!$D:$D,'Modelling New'!$T:$T)*1000,"")</f>
        <v>240102.5114009853</v>
      </c>
      <c r="AE228" s="142"/>
      <c r="AF228" s="142">
        <f>IFERROR(_xlfn.XLOOKUP($D228,'Modelling New'!$D:$D,'Modelling New'!$W:$W),"")</f>
        <v>0.14210612653940891</v>
      </c>
      <c r="AG228" s="142">
        <f>IFERROR(_xlfn.XLOOKUP($D228,'Modelling New'!$D:$D,'Modelling New'!$AE:$AE),"")</f>
        <v>0.96029999999999993</v>
      </c>
      <c r="AH228" s="142">
        <f>IFERROR(_xlfn.XLOOKUP($D228,'Modelling New'!$D:$D,'Modelling New'!$AF:$AF),"")</f>
        <v>0.995</v>
      </c>
      <c r="AI228" s="109" t="str">
        <f>IFERROR(_xlfn.XLOOKUP($A228,Input_Raw!$A:$A,Input_Raw!$DP:$DP),"")</f>
        <v/>
      </c>
      <c r="AJ228" s="108"/>
      <c r="AK228" s="108"/>
      <c r="AL228" s="108"/>
      <c r="AM228" s="108"/>
      <c r="AN228" s="132" t="str">
        <f>IFERROR(_xlfn.XLOOKUP($A228,Input_Raw!$A:$A,Input_Raw!$DL:$DL),"")</f>
        <v/>
      </c>
      <c r="AO228" s="142" t="str">
        <f>IFERROR((_xlfn.XLOOKUP($A228,'WTG Reactive Power'!$A:$A,'WTG Reactive Power'!$AW:$AW))/X228,"")</f>
        <v/>
      </c>
      <c r="AP228" s="142">
        <f>IFERROR(_xlfn.XLOOKUP($D228,'Modelling New'!$D:$D,'Modelling New'!$AK:$AK),"")</f>
        <v>0.05</v>
      </c>
      <c r="AQ228" s="142">
        <f>IFERROR(_xlfn.XLOOKUP($D228,'Modelling New'!$D:$D,'Modelling New'!$AL:$AL),"")</f>
        <v>0.05</v>
      </c>
      <c r="AR228" s="198">
        <f>IFERROR(_xlfn.XLOOKUP($D228,'Modelling New'!$D:$D,'Modelling New'!$N:$N),"")</f>
        <v>70.400000000000006</v>
      </c>
      <c r="AS228" s="198"/>
    </row>
    <row r="229" spans="1:45">
      <c r="A229" s="137">
        <f t="shared" si="23"/>
        <v>45972</v>
      </c>
      <c r="B229" s="138">
        <f>YEAR(Daily_KPI[[#This Row],[Date]])+IF(MONTH(Daily_KPI[[#This Row],[Date]])&gt;=4,1,0)</f>
        <v>2026</v>
      </c>
      <c r="C229" s="108">
        <f>YEAR(Daily_KPI[[#This Row],[Date]])</f>
        <v>2025</v>
      </c>
      <c r="D229" s="139">
        <f>Daily_KPI[[#This Row],[Date]]-DAY(Daily_KPI[[#This Row],[Date]])+1</f>
        <v>45962</v>
      </c>
      <c r="E229" s="108">
        <f t="shared" si="19"/>
        <v>30</v>
      </c>
      <c r="F229" s="109"/>
      <c r="G229" s="110"/>
      <c r="H229" s="110"/>
      <c r="I229" s="110"/>
      <c r="J229" s="110"/>
      <c r="K229" s="111"/>
      <c r="L229" s="110"/>
      <c r="M229" s="110" t="str">
        <f>IFERROR(_xlfn.XLOOKUP($A229,Input_Raw!$A:$A,Input_Raw!$CQ:$CQ),"")</f>
        <v/>
      </c>
      <c r="N229" s="110" t="str">
        <f>IFERROR(_xlfn.XLOOKUP($A229,Input_Raw!$A:$A,Input_Raw!$CR:$CR),"")</f>
        <v/>
      </c>
      <c r="O229" s="141" t="str">
        <f t="shared" si="20"/>
        <v/>
      </c>
      <c r="P229" s="141" t="str">
        <f>IFERROR(1-SUMIF(WTG_BD!$F:$F,$A229,WTG_BD!$AA:$AA)/($AA229+SUMIF(WTG_BD!$F:$F,$A229,WTG_BD!$AA:$AA)),"")</f>
        <v/>
      </c>
      <c r="Q229" s="141" t="str">
        <f>IFERROR(1-SUMIF(IGA_BD!$F:$F,$A229,IGA_BD!$W:$W)/($AA229+SUMIF(IGA_BD!$F:$F,$A229,IGA_BD!$W:$W)),"")</f>
        <v/>
      </c>
      <c r="R229" s="141" t="str">
        <f>IFERROR(1-SUMIF(Grid_BD!$F:$F,$A229,Grid_BD!$Y:$Y)/($AA229+SUMIF(Grid_BD!$F:$F,$A229,Grid_BD!$Y:$Y)),"")</f>
        <v/>
      </c>
      <c r="S229" s="108"/>
      <c r="T229" s="140"/>
      <c r="U229" s="141"/>
      <c r="V229" s="108"/>
      <c r="W229" s="142" t="str">
        <f t="shared" si="21"/>
        <v/>
      </c>
      <c r="X229" s="108" t="str">
        <f>IFERROR(_xlfn.XLOOKUP($A229,Input_Raw!$A:$A,Input_Raw!$CP:$CP)*1000,"")</f>
        <v/>
      </c>
      <c r="Y229" s="108" t="str">
        <f>IFERROR(_xlfn.XLOOKUP($A229,Input_Raw!$A:$A,Input_Raw!DJ:DJ)*1000,"")</f>
        <v/>
      </c>
      <c r="Z229" s="108" t="str">
        <f>IFERROR(_xlfn.XLOOKUP($A229,Input_Raw!$A:$A,Input_Raw!DK:DK)*1000,"")</f>
        <v/>
      </c>
      <c r="AA229" s="138" t="str">
        <f t="shared" si="22"/>
        <v/>
      </c>
      <c r="AB229" s="108" t="str">
        <f>IFERROR(_xlfn.XLOOKUP($A229,Input_Raw!$A:$A,Input_Raw!$DR:$DR),"")</f>
        <v/>
      </c>
      <c r="AC229" s="143">
        <f>IFERROR(_xlfn.XLOOKUP($D229,'Modelling New'!$D:$D,'Modelling New'!$J:$J),"")</f>
        <v>4.4633333333333338</v>
      </c>
      <c r="AD229" s="138">
        <f>IFERROR(_xlfn.XLOOKUP($D229,'Modelling New'!$D:$D,'Modelling New'!$T:$T)*1000,"")</f>
        <v>240102.5114009853</v>
      </c>
      <c r="AE229" s="142"/>
      <c r="AF229" s="142">
        <f>IFERROR(_xlfn.XLOOKUP($D229,'Modelling New'!$D:$D,'Modelling New'!$W:$W),"")</f>
        <v>0.14210612653940891</v>
      </c>
      <c r="AG229" s="142">
        <f>IFERROR(_xlfn.XLOOKUP($D229,'Modelling New'!$D:$D,'Modelling New'!$AE:$AE),"")</f>
        <v>0.96029999999999993</v>
      </c>
      <c r="AH229" s="142">
        <f>IFERROR(_xlfn.XLOOKUP($D229,'Modelling New'!$D:$D,'Modelling New'!$AF:$AF),"")</f>
        <v>0.995</v>
      </c>
      <c r="AI229" s="109" t="str">
        <f>IFERROR(_xlfn.XLOOKUP($A229,Input_Raw!$A:$A,Input_Raw!$DP:$DP),"")</f>
        <v/>
      </c>
      <c r="AJ229" s="108"/>
      <c r="AK229" s="108"/>
      <c r="AL229" s="108"/>
      <c r="AM229" s="108"/>
      <c r="AN229" s="132" t="str">
        <f>IFERROR(_xlfn.XLOOKUP($A229,Input_Raw!$A:$A,Input_Raw!$DL:$DL),"")</f>
        <v/>
      </c>
      <c r="AO229" s="142" t="str">
        <f>IFERROR((_xlfn.XLOOKUP($A229,'WTG Reactive Power'!$A:$A,'WTG Reactive Power'!$AW:$AW))/X229,"")</f>
        <v/>
      </c>
      <c r="AP229" s="142">
        <f>IFERROR(_xlfn.XLOOKUP($D229,'Modelling New'!$D:$D,'Modelling New'!$AK:$AK),"")</f>
        <v>0.05</v>
      </c>
      <c r="AQ229" s="142">
        <f>IFERROR(_xlfn.XLOOKUP($D229,'Modelling New'!$D:$D,'Modelling New'!$AL:$AL),"")</f>
        <v>0.05</v>
      </c>
      <c r="AR229" s="198">
        <f>IFERROR(_xlfn.XLOOKUP($D229,'Modelling New'!$D:$D,'Modelling New'!$N:$N),"")</f>
        <v>70.400000000000006</v>
      </c>
      <c r="AS229" s="198"/>
    </row>
    <row r="230" spans="1:45">
      <c r="A230" s="137">
        <f t="shared" si="23"/>
        <v>45973</v>
      </c>
      <c r="B230" s="138">
        <f>YEAR(Daily_KPI[[#This Row],[Date]])+IF(MONTH(Daily_KPI[[#This Row],[Date]])&gt;=4,1,0)</f>
        <v>2026</v>
      </c>
      <c r="C230" s="108">
        <f>YEAR(Daily_KPI[[#This Row],[Date]])</f>
        <v>2025</v>
      </c>
      <c r="D230" s="139">
        <f>Daily_KPI[[#This Row],[Date]]-DAY(Daily_KPI[[#This Row],[Date]])+1</f>
        <v>45962</v>
      </c>
      <c r="E230" s="108">
        <f t="shared" si="19"/>
        <v>30</v>
      </c>
      <c r="F230" s="109"/>
      <c r="G230" s="143"/>
      <c r="H230" s="143"/>
      <c r="I230" s="143"/>
      <c r="J230" s="143"/>
      <c r="K230" s="111"/>
      <c r="L230" s="110"/>
      <c r="M230" s="110" t="str">
        <f>IFERROR(_xlfn.XLOOKUP($A230,Input_Raw!$A:$A,Input_Raw!$CQ:$CQ),"")</f>
        <v/>
      </c>
      <c r="N230" s="110" t="str">
        <f>IFERROR(_xlfn.XLOOKUP($A230,Input_Raw!$A:$A,Input_Raw!$CR:$CR),"")</f>
        <v/>
      </c>
      <c r="O230" s="141" t="str">
        <f t="shared" si="20"/>
        <v/>
      </c>
      <c r="P230" s="141" t="str">
        <f>IFERROR(1-SUMIF(WTG_BD!$F:$F,$A230,WTG_BD!$AA:$AA)/($AA230+SUMIF(WTG_BD!$F:$F,$A230,WTG_BD!$AA:$AA)),"")</f>
        <v/>
      </c>
      <c r="Q230" s="141" t="str">
        <f>IFERROR(1-SUMIF(IGA_BD!$F:$F,$A230,IGA_BD!$W:$W)/($AA230+SUMIF(IGA_BD!$F:$F,$A230,IGA_BD!$W:$W)),"")</f>
        <v/>
      </c>
      <c r="R230" s="141" t="str">
        <f>IFERROR(1-SUMIF(Grid_BD!$F:$F,$A230,Grid_BD!$Y:$Y)/($AA230+SUMIF(Grid_BD!$F:$F,$A230,Grid_BD!$Y:$Y)),"")</f>
        <v/>
      </c>
      <c r="S230" s="108"/>
      <c r="T230" s="140"/>
      <c r="U230" s="141"/>
      <c r="V230" s="108"/>
      <c r="W230" s="142" t="str">
        <f t="shared" si="21"/>
        <v/>
      </c>
      <c r="X230" s="108" t="str">
        <f>IFERROR(_xlfn.XLOOKUP($A230,Input_Raw!$A:$A,Input_Raw!$CP:$CP)*1000,"")</f>
        <v/>
      </c>
      <c r="Y230" s="108" t="str">
        <f>IFERROR(_xlfn.XLOOKUP($A230,Input_Raw!$A:$A,Input_Raw!DJ:DJ)*1000,"")</f>
        <v/>
      </c>
      <c r="Z230" s="108" t="str">
        <f>IFERROR(_xlfn.XLOOKUP($A230,Input_Raw!$A:$A,Input_Raw!DK:DK)*1000,"")</f>
        <v/>
      </c>
      <c r="AA230" s="138" t="str">
        <f t="shared" si="22"/>
        <v/>
      </c>
      <c r="AB230" s="108" t="str">
        <f>IFERROR(_xlfn.XLOOKUP($A230,Input_Raw!$A:$A,Input_Raw!$DR:$DR),"")</f>
        <v/>
      </c>
      <c r="AC230" s="143">
        <f>IFERROR(_xlfn.XLOOKUP($D230,'Modelling New'!$D:$D,'Modelling New'!$J:$J),"")</f>
        <v>4.4633333333333338</v>
      </c>
      <c r="AD230" s="138">
        <f>IFERROR(_xlfn.XLOOKUP($D230,'Modelling New'!$D:$D,'Modelling New'!$T:$T)*1000,"")</f>
        <v>240102.5114009853</v>
      </c>
      <c r="AE230" s="142"/>
      <c r="AF230" s="142">
        <f>IFERROR(_xlfn.XLOOKUP($D230,'Modelling New'!$D:$D,'Modelling New'!$W:$W),"")</f>
        <v>0.14210612653940891</v>
      </c>
      <c r="AG230" s="142">
        <f>IFERROR(_xlfn.XLOOKUP($D230,'Modelling New'!$D:$D,'Modelling New'!$AE:$AE),"")</f>
        <v>0.96029999999999993</v>
      </c>
      <c r="AH230" s="142">
        <f>IFERROR(_xlfn.XLOOKUP($D230,'Modelling New'!$D:$D,'Modelling New'!$AF:$AF),"")</f>
        <v>0.995</v>
      </c>
      <c r="AI230" s="109" t="str">
        <f>IFERROR(_xlfn.XLOOKUP($A230,Input_Raw!$A:$A,Input_Raw!$DP:$DP),"")</f>
        <v/>
      </c>
      <c r="AJ230" s="108"/>
      <c r="AK230" s="108"/>
      <c r="AL230" s="108"/>
      <c r="AM230" s="108"/>
      <c r="AN230" s="132" t="str">
        <f>IFERROR(_xlfn.XLOOKUP($A230,Input_Raw!$A:$A,Input_Raw!$DL:$DL),"")</f>
        <v/>
      </c>
      <c r="AO230" s="142" t="str">
        <f>IFERROR((_xlfn.XLOOKUP($A230,'WTG Reactive Power'!$A:$A,'WTG Reactive Power'!$AW:$AW))/X230,"")</f>
        <v/>
      </c>
      <c r="AP230" s="142">
        <f>IFERROR(_xlfn.XLOOKUP($D230,'Modelling New'!$D:$D,'Modelling New'!$AK:$AK),"")</f>
        <v>0.05</v>
      </c>
      <c r="AQ230" s="142">
        <f>IFERROR(_xlfn.XLOOKUP($D230,'Modelling New'!$D:$D,'Modelling New'!$AL:$AL),"")</f>
        <v>0.05</v>
      </c>
      <c r="AR230" s="198">
        <f>IFERROR(_xlfn.XLOOKUP($D230,'Modelling New'!$D:$D,'Modelling New'!$N:$N),"")</f>
        <v>70.400000000000006</v>
      </c>
      <c r="AS230" s="198"/>
    </row>
    <row r="231" spans="1:45">
      <c r="A231" s="137">
        <f t="shared" si="23"/>
        <v>45974</v>
      </c>
      <c r="B231" s="138">
        <f>YEAR(Daily_KPI[[#This Row],[Date]])+IF(MONTH(Daily_KPI[[#This Row],[Date]])&gt;=4,1,0)</f>
        <v>2026</v>
      </c>
      <c r="C231" s="108">
        <f>YEAR(Daily_KPI[[#This Row],[Date]])</f>
        <v>2025</v>
      </c>
      <c r="D231" s="139">
        <f>Daily_KPI[[#This Row],[Date]]-DAY(Daily_KPI[[#This Row],[Date]])+1</f>
        <v>45962</v>
      </c>
      <c r="E231" s="108">
        <f t="shared" si="19"/>
        <v>30</v>
      </c>
      <c r="F231" s="109"/>
      <c r="G231" s="110"/>
      <c r="H231" s="110"/>
      <c r="I231" s="110"/>
      <c r="J231" s="110"/>
      <c r="K231" s="111"/>
      <c r="L231" s="110"/>
      <c r="M231" s="110" t="str">
        <f>IFERROR(_xlfn.XLOOKUP($A231,Input_Raw!$A:$A,Input_Raw!$CQ:$CQ),"")</f>
        <v/>
      </c>
      <c r="N231" s="110" t="str">
        <f>IFERROR(_xlfn.XLOOKUP($A231,Input_Raw!$A:$A,Input_Raw!$CR:$CR),"")</f>
        <v/>
      </c>
      <c r="O231" s="141" t="str">
        <f t="shared" si="20"/>
        <v/>
      </c>
      <c r="P231" s="141" t="str">
        <f>IFERROR(1-SUMIF(WTG_BD!$F:$F,$A231,WTG_BD!$AA:$AA)/($AA231+SUMIF(WTG_BD!$F:$F,$A231,WTG_BD!$AA:$AA)),"")</f>
        <v/>
      </c>
      <c r="Q231" s="141" t="str">
        <f>IFERROR(1-SUMIF(IGA_BD!$F:$F,$A231,IGA_BD!$W:$W)/($AA231+SUMIF(IGA_BD!$F:$F,$A231,IGA_BD!$W:$W)),"")</f>
        <v/>
      </c>
      <c r="R231" s="141" t="str">
        <f>IFERROR(1-SUMIF(Grid_BD!$F:$F,$A231,Grid_BD!$Y:$Y)/($AA231+SUMIF(Grid_BD!$F:$F,$A231,Grid_BD!$Y:$Y)),"")</f>
        <v/>
      </c>
      <c r="S231" s="108"/>
      <c r="T231" s="140"/>
      <c r="U231" s="141"/>
      <c r="V231" s="108"/>
      <c r="W231" s="142" t="str">
        <f t="shared" si="21"/>
        <v/>
      </c>
      <c r="X231" s="108" t="str">
        <f>IFERROR(_xlfn.XLOOKUP($A231,Input_Raw!$A:$A,Input_Raw!$CP:$CP)*1000,"")</f>
        <v/>
      </c>
      <c r="Y231" s="108" t="str">
        <f>IFERROR(_xlfn.XLOOKUP($A231,Input_Raw!$A:$A,Input_Raw!DJ:DJ)*1000,"")</f>
        <v/>
      </c>
      <c r="Z231" s="108" t="str">
        <f>IFERROR(_xlfn.XLOOKUP($A231,Input_Raw!$A:$A,Input_Raw!DK:DK)*1000,"")</f>
        <v/>
      </c>
      <c r="AA231" s="138" t="str">
        <f t="shared" si="22"/>
        <v/>
      </c>
      <c r="AB231" s="108" t="str">
        <f>IFERROR(_xlfn.XLOOKUP($A231,Input_Raw!$A:$A,Input_Raw!$DR:$DR),"")</f>
        <v/>
      </c>
      <c r="AC231" s="143">
        <f>IFERROR(_xlfn.XLOOKUP($D231,'Modelling New'!$D:$D,'Modelling New'!$J:$J),"")</f>
        <v>4.4633333333333338</v>
      </c>
      <c r="AD231" s="138">
        <f>IFERROR(_xlfn.XLOOKUP($D231,'Modelling New'!$D:$D,'Modelling New'!$T:$T)*1000,"")</f>
        <v>240102.5114009853</v>
      </c>
      <c r="AE231" s="142"/>
      <c r="AF231" s="142">
        <f>IFERROR(_xlfn.XLOOKUP($D231,'Modelling New'!$D:$D,'Modelling New'!$W:$W),"")</f>
        <v>0.14210612653940891</v>
      </c>
      <c r="AG231" s="142">
        <f>IFERROR(_xlfn.XLOOKUP($D231,'Modelling New'!$D:$D,'Modelling New'!$AE:$AE),"")</f>
        <v>0.96029999999999993</v>
      </c>
      <c r="AH231" s="142">
        <f>IFERROR(_xlfn.XLOOKUP($D231,'Modelling New'!$D:$D,'Modelling New'!$AF:$AF),"")</f>
        <v>0.995</v>
      </c>
      <c r="AI231" s="109" t="str">
        <f>IFERROR(_xlfn.XLOOKUP($A231,Input_Raw!$A:$A,Input_Raw!$DP:$DP),"")</f>
        <v/>
      </c>
      <c r="AJ231" s="108"/>
      <c r="AK231" s="108"/>
      <c r="AL231" s="108"/>
      <c r="AM231" s="108"/>
      <c r="AN231" s="132" t="str">
        <f>IFERROR(_xlfn.XLOOKUP($A231,Input_Raw!$A:$A,Input_Raw!$DL:$DL),"")</f>
        <v/>
      </c>
      <c r="AO231" s="142" t="str">
        <f>IFERROR((_xlfn.XLOOKUP($A231,'WTG Reactive Power'!$A:$A,'WTG Reactive Power'!$AW:$AW))/X231,"")</f>
        <v/>
      </c>
      <c r="AP231" s="142">
        <f>IFERROR(_xlfn.XLOOKUP($D231,'Modelling New'!$D:$D,'Modelling New'!$AK:$AK),"")</f>
        <v>0.05</v>
      </c>
      <c r="AQ231" s="142">
        <f>IFERROR(_xlfn.XLOOKUP($D231,'Modelling New'!$D:$D,'Modelling New'!$AL:$AL),"")</f>
        <v>0.05</v>
      </c>
      <c r="AR231" s="198">
        <f>IFERROR(_xlfn.XLOOKUP($D231,'Modelling New'!$D:$D,'Modelling New'!$N:$N),"")</f>
        <v>70.400000000000006</v>
      </c>
      <c r="AS231" s="198"/>
    </row>
    <row r="232" spans="1:45">
      <c r="A232" s="137">
        <f t="shared" si="23"/>
        <v>45975</v>
      </c>
      <c r="B232" s="138">
        <f>YEAR(Daily_KPI[[#This Row],[Date]])+IF(MONTH(Daily_KPI[[#This Row],[Date]])&gt;=4,1,0)</f>
        <v>2026</v>
      </c>
      <c r="C232" s="108">
        <f>YEAR(Daily_KPI[[#This Row],[Date]])</f>
        <v>2025</v>
      </c>
      <c r="D232" s="139">
        <f>Daily_KPI[[#This Row],[Date]]-DAY(Daily_KPI[[#This Row],[Date]])+1</f>
        <v>45962</v>
      </c>
      <c r="E232" s="108">
        <f t="shared" si="19"/>
        <v>30</v>
      </c>
      <c r="F232" s="109"/>
      <c r="G232" s="143"/>
      <c r="H232" s="143"/>
      <c r="I232" s="143"/>
      <c r="J232" s="143"/>
      <c r="K232" s="111"/>
      <c r="L232" s="110"/>
      <c r="M232" s="110" t="str">
        <f>IFERROR(_xlfn.XLOOKUP($A232,Input_Raw!$A:$A,Input_Raw!$CQ:$CQ),"")</f>
        <v/>
      </c>
      <c r="N232" s="110" t="str">
        <f>IFERROR(_xlfn.XLOOKUP($A232,Input_Raw!$A:$A,Input_Raw!$CR:$CR),"")</f>
        <v/>
      </c>
      <c r="O232" s="141" t="str">
        <f t="shared" si="20"/>
        <v/>
      </c>
      <c r="P232" s="141" t="str">
        <f>IFERROR(1-SUMIF(WTG_BD!$F:$F,$A232,WTG_BD!$AA:$AA)/($AA232+SUMIF(WTG_BD!$F:$F,$A232,WTG_BD!$AA:$AA)),"")</f>
        <v/>
      </c>
      <c r="Q232" s="141" t="str">
        <f>IFERROR(1-SUMIF(IGA_BD!$F:$F,$A232,IGA_BD!$W:$W)/($AA232+SUMIF(IGA_BD!$F:$F,$A232,IGA_BD!$W:$W)),"")</f>
        <v/>
      </c>
      <c r="R232" s="141" t="str">
        <f>IFERROR(1-SUMIF(Grid_BD!$F:$F,$A232,Grid_BD!$Y:$Y)/($AA232+SUMIF(Grid_BD!$F:$F,$A232,Grid_BD!$Y:$Y)),"")</f>
        <v/>
      </c>
      <c r="S232" s="108"/>
      <c r="T232" s="140"/>
      <c r="U232" s="141"/>
      <c r="V232" s="108"/>
      <c r="W232" s="142" t="str">
        <f t="shared" si="21"/>
        <v/>
      </c>
      <c r="X232" s="108" t="str">
        <f>IFERROR(_xlfn.XLOOKUP($A232,Input_Raw!$A:$A,Input_Raw!$CP:$CP)*1000,"")</f>
        <v/>
      </c>
      <c r="Y232" s="108" t="str">
        <f>IFERROR(_xlfn.XLOOKUP($A232,Input_Raw!$A:$A,Input_Raw!DJ:DJ)*1000,"")</f>
        <v/>
      </c>
      <c r="Z232" s="108" t="str">
        <f>IFERROR(_xlfn.XLOOKUP($A232,Input_Raw!$A:$A,Input_Raw!DK:DK)*1000,"")</f>
        <v/>
      </c>
      <c r="AA232" s="138" t="str">
        <f t="shared" si="22"/>
        <v/>
      </c>
      <c r="AB232" s="108" t="str">
        <f>IFERROR(_xlfn.XLOOKUP($A232,Input_Raw!$A:$A,Input_Raw!$DR:$DR),"")</f>
        <v/>
      </c>
      <c r="AC232" s="143">
        <f>IFERROR(_xlfn.XLOOKUP($D232,'Modelling New'!$D:$D,'Modelling New'!$J:$J),"")</f>
        <v>4.4633333333333338</v>
      </c>
      <c r="AD232" s="138">
        <f>IFERROR(_xlfn.XLOOKUP($D232,'Modelling New'!$D:$D,'Modelling New'!$T:$T)*1000,"")</f>
        <v>240102.5114009853</v>
      </c>
      <c r="AE232" s="142"/>
      <c r="AF232" s="142">
        <f>IFERROR(_xlfn.XLOOKUP($D232,'Modelling New'!$D:$D,'Modelling New'!$W:$W),"")</f>
        <v>0.14210612653940891</v>
      </c>
      <c r="AG232" s="142">
        <f>IFERROR(_xlfn.XLOOKUP($D232,'Modelling New'!$D:$D,'Modelling New'!$AE:$AE),"")</f>
        <v>0.96029999999999993</v>
      </c>
      <c r="AH232" s="142">
        <f>IFERROR(_xlfn.XLOOKUP($D232,'Modelling New'!$D:$D,'Modelling New'!$AF:$AF),"")</f>
        <v>0.995</v>
      </c>
      <c r="AI232" s="109" t="str">
        <f>IFERROR(_xlfn.XLOOKUP($A232,Input_Raw!$A:$A,Input_Raw!$DP:$DP),"")</f>
        <v/>
      </c>
      <c r="AJ232" s="108"/>
      <c r="AK232" s="108"/>
      <c r="AL232" s="108"/>
      <c r="AM232" s="108"/>
      <c r="AN232" s="132" t="str">
        <f>IFERROR(_xlfn.XLOOKUP($A232,Input_Raw!$A:$A,Input_Raw!$DL:$DL),"")</f>
        <v/>
      </c>
      <c r="AO232" s="142" t="str">
        <f>IFERROR((_xlfn.XLOOKUP($A232,'WTG Reactive Power'!$A:$A,'WTG Reactive Power'!$AW:$AW))/X232,"")</f>
        <v/>
      </c>
      <c r="AP232" s="142">
        <f>IFERROR(_xlfn.XLOOKUP($D232,'Modelling New'!$D:$D,'Modelling New'!$AK:$AK),"")</f>
        <v>0.05</v>
      </c>
      <c r="AQ232" s="142">
        <f>IFERROR(_xlfn.XLOOKUP($D232,'Modelling New'!$D:$D,'Modelling New'!$AL:$AL),"")</f>
        <v>0.05</v>
      </c>
      <c r="AR232" s="198">
        <f>IFERROR(_xlfn.XLOOKUP($D232,'Modelling New'!$D:$D,'Modelling New'!$N:$N),"")</f>
        <v>70.400000000000006</v>
      </c>
      <c r="AS232" s="198"/>
    </row>
    <row r="233" spans="1:45">
      <c r="A233" s="137">
        <f t="shared" si="23"/>
        <v>45976</v>
      </c>
      <c r="B233" s="138">
        <f>YEAR(Daily_KPI[[#This Row],[Date]])+IF(MONTH(Daily_KPI[[#This Row],[Date]])&gt;=4,1,0)</f>
        <v>2026</v>
      </c>
      <c r="C233" s="108">
        <f>YEAR(Daily_KPI[[#This Row],[Date]])</f>
        <v>2025</v>
      </c>
      <c r="D233" s="139">
        <f>Daily_KPI[[#This Row],[Date]]-DAY(Daily_KPI[[#This Row],[Date]])+1</f>
        <v>45962</v>
      </c>
      <c r="E233" s="108">
        <f t="shared" si="19"/>
        <v>30</v>
      </c>
      <c r="F233" s="109"/>
      <c r="G233" s="110"/>
      <c r="H233" s="110"/>
      <c r="I233" s="110"/>
      <c r="J233" s="110"/>
      <c r="K233" s="111"/>
      <c r="L233" s="110"/>
      <c r="M233" s="110" t="str">
        <f>IFERROR(_xlfn.XLOOKUP($A233,Input_Raw!$A:$A,Input_Raw!$CQ:$CQ),"")</f>
        <v/>
      </c>
      <c r="N233" s="110" t="str">
        <f>IFERROR(_xlfn.XLOOKUP($A233,Input_Raw!$A:$A,Input_Raw!$CR:$CR),"")</f>
        <v/>
      </c>
      <c r="O233" s="141" t="str">
        <f t="shared" si="20"/>
        <v/>
      </c>
      <c r="P233" s="141" t="str">
        <f>IFERROR(1-SUMIF(WTG_BD!$F:$F,$A233,WTG_BD!$AA:$AA)/($AA233+SUMIF(WTG_BD!$F:$F,$A233,WTG_BD!$AA:$AA)),"")</f>
        <v/>
      </c>
      <c r="Q233" s="141" t="str">
        <f>IFERROR(1-SUMIF(IGA_BD!$F:$F,$A233,IGA_BD!$W:$W)/($AA233+SUMIF(IGA_BD!$F:$F,$A233,IGA_BD!$W:$W)),"")</f>
        <v/>
      </c>
      <c r="R233" s="141" t="str">
        <f>IFERROR(1-SUMIF(Grid_BD!$F:$F,$A233,Grid_BD!$Y:$Y)/($AA233+SUMIF(Grid_BD!$F:$F,$A233,Grid_BD!$Y:$Y)),"")</f>
        <v/>
      </c>
      <c r="S233" s="108"/>
      <c r="T233" s="140"/>
      <c r="U233" s="141"/>
      <c r="V233" s="108"/>
      <c r="W233" s="142" t="str">
        <f t="shared" si="21"/>
        <v/>
      </c>
      <c r="X233" s="108" t="str">
        <f>IFERROR(_xlfn.XLOOKUP($A233,Input_Raw!$A:$A,Input_Raw!$CP:$CP)*1000,"")</f>
        <v/>
      </c>
      <c r="Y233" s="108" t="str">
        <f>IFERROR(_xlfn.XLOOKUP($A233,Input_Raw!$A:$A,Input_Raw!DJ:DJ)*1000,"")</f>
        <v/>
      </c>
      <c r="Z233" s="108" t="str">
        <f>IFERROR(_xlfn.XLOOKUP($A233,Input_Raw!$A:$A,Input_Raw!DK:DK)*1000,"")</f>
        <v/>
      </c>
      <c r="AA233" s="138" t="str">
        <f t="shared" si="22"/>
        <v/>
      </c>
      <c r="AB233" s="108" t="str">
        <f>IFERROR(_xlfn.XLOOKUP($A233,Input_Raw!$A:$A,Input_Raw!$DR:$DR),"")</f>
        <v/>
      </c>
      <c r="AC233" s="143">
        <f>IFERROR(_xlfn.XLOOKUP($D233,'Modelling New'!$D:$D,'Modelling New'!$J:$J),"")</f>
        <v>4.4633333333333338</v>
      </c>
      <c r="AD233" s="138">
        <f>IFERROR(_xlfn.XLOOKUP($D233,'Modelling New'!$D:$D,'Modelling New'!$T:$T)*1000,"")</f>
        <v>240102.5114009853</v>
      </c>
      <c r="AE233" s="142"/>
      <c r="AF233" s="142">
        <f>IFERROR(_xlfn.XLOOKUP($D233,'Modelling New'!$D:$D,'Modelling New'!$W:$W),"")</f>
        <v>0.14210612653940891</v>
      </c>
      <c r="AG233" s="142">
        <f>IFERROR(_xlfn.XLOOKUP($D233,'Modelling New'!$D:$D,'Modelling New'!$AE:$AE),"")</f>
        <v>0.96029999999999993</v>
      </c>
      <c r="AH233" s="142">
        <f>IFERROR(_xlfn.XLOOKUP($D233,'Modelling New'!$D:$D,'Modelling New'!$AF:$AF),"")</f>
        <v>0.995</v>
      </c>
      <c r="AI233" s="109" t="str">
        <f>IFERROR(_xlfn.XLOOKUP($A233,Input_Raw!$A:$A,Input_Raw!$DP:$DP),"")</f>
        <v/>
      </c>
      <c r="AJ233" s="108"/>
      <c r="AK233" s="108"/>
      <c r="AL233" s="108"/>
      <c r="AM233" s="108"/>
      <c r="AN233" s="132" t="str">
        <f>IFERROR(_xlfn.XLOOKUP($A233,Input_Raw!$A:$A,Input_Raw!$DL:$DL),"")</f>
        <v/>
      </c>
      <c r="AO233" s="142" t="str">
        <f>IFERROR((_xlfn.XLOOKUP($A233,'WTG Reactive Power'!$A:$A,'WTG Reactive Power'!$AW:$AW))/X233,"")</f>
        <v/>
      </c>
      <c r="AP233" s="142">
        <f>IFERROR(_xlfn.XLOOKUP($D233,'Modelling New'!$D:$D,'Modelling New'!$AK:$AK),"")</f>
        <v>0.05</v>
      </c>
      <c r="AQ233" s="142">
        <f>IFERROR(_xlfn.XLOOKUP($D233,'Modelling New'!$D:$D,'Modelling New'!$AL:$AL),"")</f>
        <v>0.05</v>
      </c>
      <c r="AR233" s="198">
        <f>IFERROR(_xlfn.XLOOKUP($D233,'Modelling New'!$D:$D,'Modelling New'!$N:$N),"")</f>
        <v>70.400000000000006</v>
      </c>
      <c r="AS233" s="198"/>
    </row>
    <row r="234" spans="1:45">
      <c r="A234" s="137">
        <f t="shared" si="23"/>
        <v>45977</v>
      </c>
      <c r="B234" s="138">
        <f>YEAR(Daily_KPI[[#This Row],[Date]])+IF(MONTH(Daily_KPI[[#This Row],[Date]])&gt;=4,1,0)</f>
        <v>2026</v>
      </c>
      <c r="C234" s="108">
        <f>YEAR(Daily_KPI[[#This Row],[Date]])</f>
        <v>2025</v>
      </c>
      <c r="D234" s="139">
        <f>Daily_KPI[[#This Row],[Date]]-DAY(Daily_KPI[[#This Row],[Date]])+1</f>
        <v>45962</v>
      </c>
      <c r="E234" s="108">
        <f t="shared" si="19"/>
        <v>30</v>
      </c>
      <c r="F234" s="109"/>
      <c r="G234" s="143"/>
      <c r="H234" s="143"/>
      <c r="I234" s="143"/>
      <c r="J234" s="143"/>
      <c r="K234" s="111"/>
      <c r="L234" s="110"/>
      <c r="M234" s="110" t="str">
        <f>IFERROR(_xlfn.XLOOKUP($A234,Input_Raw!$A:$A,Input_Raw!$CQ:$CQ),"")</f>
        <v/>
      </c>
      <c r="N234" s="110" t="str">
        <f>IFERROR(_xlfn.XLOOKUP($A234,Input_Raw!$A:$A,Input_Raw!$CR:$CR),"")</f>
        <v/>
      </c>
      <c r="O234" s="141" t="str">
        <f t="shared" si="20"/>
        <v/>
      </c>
      <c r="P234" s="141" t="str">
        <f>IFERROR(1-SUMIF(WTG_BD!$F:$F,$A234,WTG_BD!$AA:$AA)/($AA234+SUMIF(WTG_BD!$F:$F,$A234,WTG_BD!$AA:$AA)),"")</f>
        <v/>
      </c>
      <c r="Q234" s="141" t="str">
        <f>IFERROR(1-SUMIF(IGA_BD!$F:$F,$A234,IGA_BD!$W:$W)/($AA234+SUMIF(IGA_BD!$F:$F,$A234,IGA_BD!$W:$W)),"")</f>
        <v/>
      </c>
      <c r="R234" s="141" t="str">
        <f>IFERROR(1-SUMIF(Grid_BD!$F:$F,$A234,Grid_BD!$Y:$Y)/($AA234+SUMIF(Grid_BD!$F:$F,$A234,Grid_BD!$Y:$Y)),"")</f>
        <v/>
      </c>
      <c r="S234" s="108"/>
      <c r="T234" s="140"/>
      <c r="U234" s="141"/>
      <c r="V234" s="108"/>
      <c r="W234" s="142" t="str">
        <f t="shared" si="21"/>
        <v/>
      </c>
      <c r="X234" s="108" t="str">
        <f>IFERROR(_xlfn.XLOOKUP($A234,Input_Raw!$A:$A,Input_Raw!$CP:$CP)*1000,"")</f>
        <v/>
      </c>
      <c r="Y234" s="108" t="str">
        <f>IFERROR(_xlfn.XLOOKUP($A234,Input_Raw!$A:$A,Input_Raw!DJ:DJ)*1000,"")</f>
        <v/>
      </c>
      <c r="Z234" s="108" t="str">
        <f>IFERROR(_xlfn.XLOOKUP($A234,Input_Raw!$A:$A,Input_Raw!DK:DK)*1000,"")</f>
        <v/>
      </c>
      <c r="AA234" s="138" t="str">
        <f t="shared" si="22"/>
        <v/>
      </c>
      <c r="AB234" s="108" t="str">
        <f>IFERROR(_xlfn.XLOOKUP($A234,Input_Raw!$A:$A,Input_Raw!$DR:$DR),"")</f>
        <v/>
      </c>
      <c r="AC234" s="143">
        <f>IFERROR(_xlfn.XLOOKUP($D234,'Modelling New'!$D:$D,'Modelling New'!$J:$J),"")</f>
        <v>4.4633333333333338</v>
      </c>
      <c r="AD234" s="138">
        <f>IFERROR(_xlfn.XLOOKUP($D234,'Modelling New'!$D:$D,'Modelling New'!$T:$T)*1000,"")</f>
        <v>240102.5114009853</v>
      </c>
      <c r="AE234" s="142"/>
      <c r="AF234" s="142">
        <f>IFERROR(_xlfn.XLOOKUP($D234,'Modelling New'!$D:$D,'Modelling New'!$W:$W),"")</f>
        <v>0.14210612653940891</v>
      </c>
      <c r="AG234" s="142">
        <f>IFERROR(_xlfn.XLOOKUP($D234,'Modelling New'!$D:$D,'Modelling New'!$AE:$AE),"")</f>
        <v>0.96029999999999993</v>
      </c>
      <c r="AH234" s="142">
        <f>IFERROR(_xlfn.XLOOKUP($D234,'Modelling New'!$D:$D,'Modelling New'!$AF:$AF),"")</f>
        <v>0.995</v>
      </c>
      <c r="AI234" s="109" t="str">
        <f>IFERROR(_xlfn.XLOOKUP($A234,Input_Raw!$A:$A,Input_Raw!$DP:$DP),"")</f>
        <v/>
      </c>
      <c r="AJ234" s="108"/>
      <c r="AK234" s="108"/>
      <c r="AL234" s="108"/>
      <c r="AM234" s="108"/>
      <c r="AN234" s="132" t="str">
        <f>IFERROR(_xlfn.XLOOKUP($A234,Input_Raw!$A:$A,Input_Raw!$DL:$DL),"")</f>
        <v/>
      </c>
      <c r="AO234" s="142" t="str">
        <f>IFERROR((_xlfn.XLOOKUP($A234,'WTG Reactive Power'!$A:$A,'WTG Reactive Power'!$AW:$AW))/X234,"")</f>
        <v/>
      </c>
      <c r="AP234" s="142">
        <f>IFERROR(_xlfn.XLOOKUP($D234,'Modelling New'!$D:$D,'Modelling New'!$AK:$AK),"")</f>
        <v>0.05</v>
      </c>
      <c r="AQ234" s="142">
        <f>IFERROR(_xlfn.XLOOKUP($D234,'Modelling New'!$D:$D,'Modelling New'!$AL:$AL),"")</f>
        <v>0.05</v>
      </c>
      <c r="AR234" s="198">
        <f>IFERROR(_xlfn.XLOOKUP($D234,'Modelling New'!$D:$D,'Modelling New'!$N:$N),"")</f>
        <v>70.400000000000006</v>
      </c>
      <c r="AS234" s="198"/>
    </row>
    <row r="235" spans="1:45">
      <c r="A235" s="137">
        <f t="shared" si="23"/>
        <v>45978</v>
      </c>
      <c r="B235" s="138">
        <f>YEAR(Daily_KPI[[#This Row],[Date]])+IF(MONTH(Daily_KPI[[#This Row],[Date]])&gt;=4,1,0)</f>
        <v>2026</v>
      </c>
      <c r="C235" s="108">
        <f>YEAR(Daily_KPI[[#This Row],[Date]])</f>
        <v>2025</v>
      </c>
      <c r="D235" s="139">
        <f>Daily_KPI[[#This Row],[Date]]-DAY(Daily_KPI[[#This Row],[Date]])+1</f>
        <v>45962</v>
      </c>
      <c r="E235" s="108">
        <f t="shared" si="19"/>
        <v>30</v>
      </c>
      <c r="F235" s="109"/>
      <c r="G235" s="110"/>
      <c r="H235" s="110"/>
      <c r="I235" s="110"/>
      <c r="J235" s="110"/>
      <c r="K235" s="111"/>
      <c r="L235" s="110"/>
      <c r="M235" s="110" t="str">
        <f>IFERROR(_xlfn.XLOOKUP($A235,Input_Raw!$A:$A,Input_Raw!$CQ:$CQ),"")</f>
        <v/>
      </c>
      <c r="N235" s="110" t="str">
        <f>IFERROR(_xlfn.XLOOKUP($A235,Input_Raw!$A:$A,Input_Raw!$CR:$CR),"")</f>
        <v/>
      </c>
      <c r="O235" s="141" t="str">
        <f t="shared" si="20"/>
        <v/>
      </c>
      <c r="P235" s="141" t="str">
        <f>IFERROR(1-SUMIF(WTG_BD!$F:$F,$A235,WTG_BD!$AA:$AA)/($AA235+SUMIF(WTG_BD!$F:$F,$A235,WTG_BD!$AA:$AA)),"")</f>
        <v/>
      </c>
      <c r="Q235" s="141" t="str">
        <f>IFERROR(1-SUMIF(IGA_BD!$F:$F,$A235,IGA_BD!$W:$W)/($AA235+SUMIF(IGA_BD!$F:$F,$A235,IGA_BD!$W:$W)),"")</f>
        <v/>
      </c>
      <c r="R235" s="141" t="str">
        <f>IFERROR(1-SUMIF(Grid_BD!$F:$F,$A235,Grid_BD!$Y:$Y)/($AA235+SUMIF(Grid_BD!$F:$F,$A235,Grid_BD!$Y:$Y)),"")</f>
        <v/>
      </c>
      <c r="S235" s="108"/>
      <c r="T235" s="140"/>
      <c r="U235" s="141"/>
      <c r="V235" s="108"/>
      <c r="W235" s="142" t="str">
        <f t="shared" si="21"/>
        <v/>
      </c>
      <c r="X235" s="108" t="str">
        <f>IFERROR(_xlfn.XLOOKUP($A235,Input_Raw!$A:$A,Input_Raw!$CP:$CP)*1000,"")</f>
        <v/>
      </c>
      <c r="Y235" s="108" t="str">
        <f>IFERROR(_xlfn.XLOOKUP($A235,Input_Raw!$A:$A,Input_Raw!DJ:DJ)*1000,"")</f>
        <v/>
      </c>
      <c r="Z235" s="108" t="str">
        <f>IFERROR(_xlfn.XLOOKUP($A235,Input_Raw!$A:$A,Input_Raw!DK:DK)*1000,"")</f>
        <v/>
      </c>
      <c r="AA235" s="138" t="str">
        <f t="shared" si="22"/>
        <v/>
      </c>
      <c r="AB235" s="108" t="str">
        <f>IFERROR(_xlfn.XLOOKUP($A235,Input_Raw!$A:$A,Input_Raw!$DR:$DR),"")</f>
        <v/>
      </c>
      <c r="AC235" s="143">
        <f>IFERROR(_xlfn.XLOOKUP($D235,'Modelling New'!$D:$D,'Modelling New'!$J:$J),"")</f>
        <v>4.4633333333333338</v>
      </c>
      <c r="AD235" s="138">
        <f>IFERROR(_xlfn.XLOOKUP($D235,'Modelling New'!$D:$D,'Modelling New'!$T:$T)*1000,"")</f>
        <v>240102.5114009853</v>
      </c>
      <c r="AE235" s="142"/>
      <c r="AF235" s="142">
        <f>IFERROR(_xlfn.XLOOKUP($D235,'Modelling New'!$D:$D,'Modelling New'!$W:$W),"")</f>
        <v>0.14210612653940891</v>
      </c>
      <c r="AG235" s="142">
        <f>IFERROR(_xlfn.XLOOKUP($D235,'Modelling New'!$D:$D,'Modelling New'!$AE:$AE),"")</f>
        <v>0.96029999999999993</v>
      </c>
      <c r="AH235" s="142">
        <f>IFERROR(_xlfn.XLOOKUP($D235,'Modelling New'!$D:$D,'Modelling New'!$AF:$AF),"")</f>
        <v>0.995</v>
      </c>
      <c r="AI235" s="109" t="str">
        <f>IFERROR(_xlfn.XLOOKUP($A235,Input_Raw!$A:$A,Input_Raw!$DP:$DP),"")</f>
        <v/>
      </c>
      <c r="AJ235" s="108"/>
      <c r="AK235" s="108"/>
      <c r="AL235" s="108"/>
      <c r="AM235" s="108"/>
      <c r="AN235" s="132" t="str">
        <f>IFERROR(_xlfn.XLOOKUP($A235,Input_Raw!$A:$A,Input_Raw!$DL:$DL),"")</f>
        <v/>
      </c>
      <c r="AO235" s="142" t="str">
        <f>IFERROR((_xlfn.XLOOKUP($A235,'WTG Reactive Power'!$A:$A,'WTG Reactive Power'!$AW:$AW))/X235,"")</f>
        <v/>
      </c>
      <c r="AP235" s="142">
        <f>IFERROR(_xlfn.XLOOKUP($D235,'Modelling New'!$D:$D,'Modelling New'!$AK:$AK),"")</f>
        <v>0.05</v>
      </c>
      <c r="AQ235" s="142">
        <f>IFERROR(_xlfn.XLOOKUP($D235,'Modelling New'!$D:$D,'Modelling New'!$AL:$AL),"")</f>
        <v>0.05</v>
      </c>
      <c r="AR235" s="198">
        <f>IFERROR(_xlfn.XLOOKUP($D235,'Modelling New'!$D:$D,'Modelling New'!$N:$N),"")</f>
        <v>70.400000000000006</v>
      </c>
      <c r="AS235" s="198"/>
    </row>
    <row r="236" spans="1:45">
      <c r="A236" s="137">
        <f t="shared" si="23"/>
        <v>45979</v>
      </c>
      <c r="B236" s="138">
        <f>YEAR(Daily_KPI[[#This Row],[Date]])+IF(MONTH(Daily_KPI[[#This Row],[Date]])&gt;=4,1,0)</f>
        <v>2026</v>
      </c>
      <c r="C236" s="108">
        <f>YEAR(Daily_KPI[[#This Row],[Date]])</f>
        <v>2025</v>
      </c>
      <c r="D236" s="139">
        <f>Daily_KPI[[#This Row],[Date]]-DAY(Daily_KPI[[#This Row],[Date]])+1</f>
        <v>45962</v>
      </c>
      <c r="E236" s="108">
        <f t="shared" si="19"/>
        <v>30</v>
      </c>
      <c r="F236" s="109"/>
      <c r="G236" s="143"/>
      <c r="H236" s="143"/>
      <c r="I236" s="143"/>
      <c r="J236" s="143"/>
      <c r="K236" s="111"/>
      <c r="L236" s="110"/>
      <c r="M236" s="110" t="str">
        <f>IFERROR(_xlfn.XLOOKUP($A236,Input_Raw!$A:$A,Input_Raw!$CQ:$CQ),"")</f>
        <v/>
      </c>
      <c r="N236" s="110" t="str">
        <f>IFERROR(_xlfn.XLOOKUP($A236,Input_Raw!$A:$A,Input_Raw!$CR:$CR),"")</f>
        <v/>
      </c>
      <c r="O236" s="141" t="str">
        <f t="shared" si="20"/>
        <v/>
      </c>
      <c r="P236" s="141" t="str">
        <f>IFERROR(1-SUMIF(WTG_BD!$F:$F,$A236,WTG_BD!$AA:$AA)/($AA236+SUMIF(WTG_BD!$F:$F,$A236,WTG_BD!$AA:$AA)),"")</f>
        <v/>
      </c>
      <c r="Q236" s="141" t="str">
        <f>IFERROR(1-SUMIF(IGA_BD!$F:$F,$A236,IGA_BD!$W:$W)/($AA236+SUMIF(IGA_BD!$F:$F,$A236,IGA_BD!$W:$W)),"")</f>
        <v/>
      </c>
      <c r="R236" s="141" t="str">
        <f>IFERROR(1-SUMIF(Grid_BD!$F:$F,$A236,Grid_BD!$Y:$Y)/($AA236+SUMIF(Grid_BD!$F:$F,$A236,Grid_BD!$Y:$Y)),"")</f>
        <v/>
      </c>
      <c r="S236" s="108"/>
      <c r="T236" s="140"/>
      <c r="U236" s="141"/>
      <c r="V236" s="108"/>
      <c r="W236" s="142" t="str">
        <f t="shared" si="21"/>
        <v/>
      </c>
      <c r="X236" s="108" t="str">
        <f>IFERROR(_xlfn.XLOOKUP($A236,Input_Raw!$A:$A,Input_Raw!$CP:$CP)*1000,"")</f>
        <v/>
      </c>
      <c r="Y236" s="108" t="str">
        <f>IFERROR(_xlfn.XLOOKUP($A236,Input_Raw!$A:$A,Input_Raw!DJ:DJ)*1000,"")</f>
        <v/>
      </c>
      <c r="Z236" s="108" t="str">
        <f>IFERROR(_xlfn.XLOOKUP($A236,Input_Raw!$A:$A,Input_Raw!DK:DK)*1000,"")</f>
        <v/>
      </c>
      <c r="AA236" s="138" t="str">
        <f t="shared" si="22"/>
        <v/>
      </c>
      <c r="AB236" s="108" t="str">
        <f>IFERROR(_xlfn.XLOOKUP($A236,Input_Raw!$A:$A,Input_Raw!$DR:$DR),"")</f>
        <v/>
      </c>
      <c r="AC236" s="143">
        <f>IFERROR(_xlfn.XLOOKUP($D236,'Modelling New'!$D:$D,'Modelling New'!$J:$J),"")</f>
        <v>4.4633333333333338</v>
      </c>
      <c r="AD236" s="138">
        <f>IFERROR(_xlfn.XLOOKUP($D236,'Modelling New'!$D:$D,'Modelling New'!$T:$T)*1000,"")</f>
        <v>240102.5114009853</v>
      </c>
      <c r="AE236" s="142"/>
      <c r="AF236" s="142">
        <f>IFERROR(_xlfn.XLOOKUP($D236,'Modelling New'!$D:$D,'Modelling New'!$W:$W),"")</f>
        <v>0.14210612653940891</v>
      </c>
      <c r="AG236" s="142">
        <f>IFERROR(_xlfn.XLOOKUP($D236,'Modelling New'!$D:$D,'Modelling New'!$AE:$AE),"")</f>
        <v>0.96029999999999993</v>
      </c>
      <c r="AH236" s="142">
        <f>IFERROR(_xlfn.XLOOKUP($D236,'Modelling New'!$D:$D,'Modelling New'!$AF:$AF),"")</f>
        <v>0.995</v>
      </c>
      <c r="AI236" s="109" t="str">
        <f>IFERROR(_xlfn.XLOOKUP($A236,Input_Raw!$A:$A,Input_Raw!$DP:$DP),"")</f>
        <v/>
      </c>
      <c r="AJ236" s="108"/>
      <c r="AK236" s="108"/>
      <c r="AL236" s="108"/>
      <c r="AM236" s="108"/>
      <c r="AN236" s="132" t="str">
        <f>IFERROR(_xlfn.XLOOKUP($A236,Input_Raw!$A:$A,Input_Raw!$DL:$DL),"")</f>
        <v/>
      </c>
      <c r="AO236" s="142" t="str">
        <f>IFERROR((_xlfn.XLOOKUP($A236,'WTG Reactive Power'!$A:$A,'WTG Reactive Power'!$AW:$AW))/X236,"")</f>
        <v/>
      </c>
      <c r="AP236" s="142">
        <f>IFERROR(_xlfn.XLOOKUP($D236,'Modelling New'!$D:$D,'Modelling New'!$AK:$AK),"")</f>
        <v>0.05</v>
      </c>
      <c r="AQ236" s="142">
        <f>IFERROR(_xlfn.XLOOKUP($D236,'Modelling New'!$D:$D,'Modelling New'!$AL:$AL),"")</f>
        <v>0.05</v>
      </c>
      <c r="AR236" s="198">
        <f>IFERROR(_xlfn.XLOOKUP($D236,'Modelling New'!$D:$D,'Modelling New'!$N:$N),"")</f>
        <v>70.400000000000006</v>
      </c>
      <c r="AS236" s="198"/>
    </row>
    <row r="237" spans="1:45">
      <c r="A237" s="137">
        <f t="shared" si="23"/>
        <v>45980</v>
      </c>
      <c r="B237" s="138">
        <f>YEAR(Daily_KPI[[#This Row],[Date]])+IF(MONTH(Daily_KPI[[#This Row],[Date]])&gt;=4,1,0)</f>
        <v>2026</v>
      </c>
      <c r="C237" s="108">
        <f>YEAR(Daily_KPI[[#This Row],[Date]])</f>
        <v>2025</v>
      </c>
      <c r="D237" s="139">
        <f>Daily_KPI[[#This Row],[Date]]-DAY(Daily_KPI[[#This Row],[Date]])+1</f>
        <v>45962</v>
      </c>
      <c r="E237" s="108">
        <f t="shared" si="19"/>
        <v>30</v>
      </c>
      <c r="F237" s="109"/>
      <c r="G237" s="110"/>
      <c r="H237" s="110"/>
      <c r="I237" s="110"/>
      <c r="J237" s="110"/>
      <c r="K237" s="111"/>
      <c r="L237" s="110"/>
      <c r="M237" s="110" t="str">
        <f>IFERROR(_xlfn.XLOOKUP($A237,Input_Raw!$A:$A,Input_Raw!$CQ:$CQ),"")</f>
        <v/>
      </c>
      <c r="N237" s="110" t="str">
        <f>IFERROR(_xlfn.XLOOKUP($A237,Input_Raw!$A:$A,Input_Raw!$CR:$CR),"")</f>
        <v/>
      </c>
      <c r="O237" s="141" t="str">
        <f t="shared" si="20"/>
        <v/>
      </c>
      <c r="P237" s="141" t="str">
        <f>IFERROR(1-SUMIF(WTG_BD!$F:$F,$A237,WTG_BD!$AA:$AA)/($AA237+SUMIF(WTG_BD!$F:$F,$A237,WTG_BD!$AA:$AA)),"")</f>
        <v/>
      </c>
      <c r="Q237" s="141" t="str">
        <f>IFERROR(1-SUMIF(IGA_BD!$F:$F,$A237,IGA_BD!$W:$W)/($AA237+SUMIF(IGA_BD!$F:$F,$A237,IGA_BD!$W:$W)),"")</f>
        <v/>
      </c>
      <c r="R237" s="141" t="str">
        <f>IFERROR(1-SUMIF(Grid_BD!$F:$F,$A237,Grid_BD!$Y:$Y)/($AA237+SUMIF(Grid_BD!$F:$F,$A237,Grid_BD!$Y:$Y)),"")</f>
        <v/>
      </c>
      <c r="S237" s="108"/>
      <c r="T237" s="140"/>
      <c r="U237" s="141"/>
      <c r="V237" s="108"/>
      <c r="W237" s="142" t="str">
        <f t="shared" si="21"/>
        <v/>
      </c>
      <c r="X237" s="108" t="str">
        <f>IFERROR(_xlfn.XLOOKUP($A237,Input_Raw!$A:$A,Input_Raw!$CP:$CP)*1000,"")</f>
        <v/>
      </c>
      <c r="Y237" s="108" t="str">
        <f>IFERROR(_xlfn.XLOOKUP($A237,Input_Raw!$A:$A,Input_Raw!DJ:DJ)*1000,"")</f>
        <v/>
      </c>
      <c r="Z237" s="108" t="str">
        <f>IFERROR(_xlfn.XLOOKUP($A237,Input_Raw!$A:$A,Input_Raw!DK:DK)*1000,"")</f>
        <v/>
      </c>
      <c r="AA237" s="138" t="str">
        <f t="shared" si="22"/>
        <v/>
      </c>
      <c r="AB237" s="108" t="str">
        <f>IFERROR(_xlfn.XLOOKUP($A237,Input_Raw!$A:$A,Input_Raw!$DR:$DR),"")</f>
        <v/>
      </c>
      <c r="AC237" s="143">
        <f>IFERROR(_xlfn.XLOOKUP($D237,'Modelling New'!$D:$D,'Modelling New'!$J:$J),"")</f>
        <v>4.4633333333333338</v>
      </c>
      <c r="AD237" s="138">
        <f>IFERROR(_xlfn.XLOOKUP($D237,'Modelling New'!$D:$D,'Modelling New'!$T:$T)*1000,"")</f>
        <v>240102.5114009853</v>
      </c>
      <c r="AE237" s="142"/>
      <c r="AF237" s="142">
        <f>IFERROR(_xlfn.XLOOKUP($D237,'Modelling New'!$D:$D,'Modelling New'!$W:$W),"")</f>
        <v>0.14210612653940891</v>
      </c>
      <c r="AG237" s="142">
        <f>IFERROR(_xlfn.XLOOKUP($D237,'Modelling New'!$D:$D,'Modelling New'!$AE:$AE),"")</f>
        <v>0.96029999999999993</v>
      </c>
      <c r="AH237" s="142">
        <f>IFERROR(_xlfn.XLOOKUP($D237,'Modelling New'!$D:$D,'Modelling New'!$AF:$AF),"")</f>
        <v>0.995</v>
      </c>
      <c r="AI237" s="109" t="str">
        <f>IFERROR(_xlfn.XLOOKUP($A237,Input_Raw!$A:$A,Input_Raw!$DP:$DP),"")</f>
        <v/>
      </c>
      <c r="AJ237" s="108"/>
      <c r="AK237" s="108"/>
      <c r="AL237" s="108"/>
      <c r="AM237" s="108"/>
      <c r="AN237" s="132" t="str">
        <f>IFERROR(_xlfn.XLOOKUP($A237,Input_Raw!$A:$A,Input_Raw!$DL:$DL),"")</f>
        <v/>
      </c>
      <c r="AO237" s="142" t="str">
        <f>IFERROR((_xlfn.XLOOKUP($A237,'WTG Reactive Power'!$A:$A,'WTG Reactive Power'!$AW:$AW))/X237,"")</f>
        <v/>
      </c>
      <c r="AP237" s="142">
        <f>IFERROR(_xlfn.XLOOKUP($D237,'Modelling New'!$D:$D,'Modelling New'!$AK:$AK),"")</f>
        <v>0.05</v>
      </c>
      <c r="AQ237" s="142">
        <f>IFERROR(_xlfn.XLOOKUP($D237,'Modelling New'!$D:$D,'Modelling New'!$AL:$AL),"")</f>
        <v>0.05</v>
      </c>
      <c r="AR237" s="198">
        <f>IFERROR(_xlfn.XLOOKUP($D237,'Modelling New'!$D:$D,'Modelling New'!$N:$N),"")</f>
        <v>70.400000000000006</v>
      </c>
      <c r="AS237" s="198"/>
    </row>
    <row r="238" spans="1:45">
      <c r="A238" s="137">
        <f t="shared" si="23"/>
        <v>45981</v>
      </c>
      <c r="B238" s="138">
        <f>YEAR(Daily_KPI[[#This Row],[Date]])+IF(MONTH(Daily_KPI[[#This Row],[Date]])&gt;=4,1,0)</f>
        <v>2026</v>
      </c>
      <c r="C238" s="108">
        <f>YEAR(Daily_KPI[[#This Row],[Date]])</f>
        <v>2025</v>
      </c>
      <c r="D238" s="139">
        <f>Daily_KPI[[#This Row],[Date]]-DAY(Daily_KPI[[#This Row],[Date]])+1</f>
        <v>45962</v>
      </c>
      <c r="E238" s="108">
        <f t="shared" si="19"/>
        <v>30</v>
      </c>
      <c r="F238" s="109"/>
      <c r="G238" s="143"/>
      <c r="H238" s="143"/>
      <c r="I238" s="143"/>
      <c r="J238" s="143"/>
      <c r="K238" s="111"/>
      <c r="L238" s="110"/>
      <c r="M238" s="110" t="str">
        <f>IFERROR(_xlfn.XLOOKUP($A238,Input_Raw!$A:$A,Input_Raw!$CQ:$CQ),"")</f>
        <v/>
      </c>
      <c r="N238" s="110" t="str">
        <f>IFERROR(_xlfn.XLOOKUP($A238,Input_Raw!$A:$A,Input_Raw!$CR:$CR),"")</f>
        <v/>
      </c>
      <c r="O238" s="141" t="str">
        <f t="shared" si="20"/>
        <v/>
      </c>
      <c r="P238" s="141" t="str">
        <f>IFERROR(1-SUMIF(WTG_BD!$F:$F,$A238,WTG_BD!$AA:$AA)/($AA238+SUMIF(WTG_BD!$F:$F,$A238,WTG_BD!$AA:$AA)),"")</f>
        <v/>
      </c>
      <c r="Q238" s="141" t="str">
        <f>IFERROR(1-SUMIF(IGA_BD!$F:$F,$A238,IGA_BD!$W:$W)/($AA238+SUMIF(IGA_BD!$F:$F,$A238,IGA_BD!$W:$W)),"")</f>
        <v/>
      </c>
      <c r="R238" s="141" t="str">
        <f>IFERROR(1-SUMIF(Grid_BD!$F:$F,$A238,Grid_BD!$Y:$Y)/($AA238+SUMIF(Grid_BD!$F:$F,$A238,Grid_BD!$Y:$Y)),"")</f>
        <v/>
      </c>
      <c r="S238" s="108"/>
      <c r="T238" s="140"/>
      <c r="U238" s="141"/>
      <c r="V238" s="108"/>
      <c r="W238" s="142" t="str">
        <f t="shared" si="21"/>
        <v/>
      </c>
      <c r="X238" s="108" t="str">
        <f>IFERROR(_xlfn.XLOOKUP($A238,Input_Raw!$A:$A,Input_Raw!$CP:$CP)*1000,"")</f>
        <v/>
      </c>
      <c r="Y238" s="108" t="str">
        <f>IFERROR(_xlfn.XLOOKUP($A238,Input_Raw!$A:$A,Input_Raw!DJ:DJ)*1000,"")</f>
        <v/>
      </c>
      <c r="Z238" s="108" t="str">
        <f>IFERROR(_xlfn.XLOOKUP($A238,Input_Raw!$A:$A,Input_Raw!DK:DK)*1000,"")</f>
        <v/>
      </c>
      <c r="AA238" s="138" t="str">
        <f t="shared" si="22"/>
        <v/>
      </c>
      <c r="AB238" s="108" t="str">
        <f>IFERROR(_xlfn.XLOOKUP($A238,Input_Raw!$A:$A,Input_Raw!$DR:$DR),"")</f>
        <v/>
      </c>
      <c r="AC238" s="143">
        <f>IFERROR(_xlfn.XLOOKUP($D238,'Modelling New'!$D:$D,'Modelling New'!$J:$J),"")</f>
        <v>4.4633333333333338</v>
      </c>
      <c r="AD238" s="138">
        <f>IFERROR(_xlfn.XLOOKUP($D238,'Modelling New'!$D:$D,'Modelling New'!$T:$T)*1000,"")</f>
        <v>240102.5114009853</v>
      </c>
      <c r="AE238" s="142"/>
      <c r="AF238" s="142">
        <f>IFERROR(_xlfn.XLOOKUP($D238,'Modelling New'!$D:$D,'Modelling New'!$W:$W),"")</f>
        <v>0.14210612653940891</v>
      </c>
      <c r="AG238" s="142">
        <f>IFERROR(_xlfn.XLOOKUP($D238,'Modelling New'!$D:$D,'Modelling New'!$AE:$AE),"")</f>
        <v>0.96029999999999993</v>
      </c>
      <c r="AH238" s="142">
        <f>IFERROR(_xlfn.XLOOKUP($D238,'Modelling New'!$D:$D,'Modelling New'!$AF:$AF),"")</f>
        <v>0.995</v>
      </c>
      <c r="AI238" s="109" t="str">
        <f>IFERROR(_xlfn.XLOOKUP($A238,Input_Raw!$A:$A,Input_Raw!$DP:$DP),"")</f>
        <v/>
      </c>
      <c r="AJ238" s="108"/>
      <c r="AK238" s="108"/>
      <c r="AL238" s="108"/>
      <c r="AM238" s="108"/>
      <c r="AN238" s="132" t="str">
        <f>IFERROR(_xlfn.XLOOKUP($A238,Input_Raw!$A:$A,Input_Raw!$DL:$DL),"")</f>
        <v/>
      </c>
      <c r="AO238" s="142" t="str">
        <f>IFERROR((_xlfn.XLOOKUP($A238,'WTG Reactive Power'!$A:$A,'WTG Reactive Power'!$AW:$AW))/X238,"")</f>
        <v/>
      </c>
      <c r="AP238" s="142">
        <f>IFERROR(_xlfn.XLOOKUP($D238,'Modelling New'!$D:$D,'Modelling New'!$AK:$AK),"")</f>
        <v>0.05</v>
      </c>
      <c r="AQ238" s="142">
        <f>IFERROR(_xlfn.XLOOKUP($D238,'Modelling New'!$D:$D,'Modelling New'!$AL:$AL),"")</f>
        <v>0.05</v>
      </c>
      <c r="AR238" s="198">
        <f>IFERROR(_xlfn.XLOOKUP($D238,'Modelling New'!$D:$D,'Modelling New'!$N:$N),"")</f>
        <v>70.400000000000006</v>
      </c>
      <c r="AS238" s="198"/>
    </row>
    <row r="239" spans="1:45">
      <c r="A239" s="137">
        <f t="shared" si="23"/>
        <v>45982</v>
      </c>
      <c r="B239" s="138">
        <f>YEAR(Daily_KPI[[#This Row],[Date]])+IF(MONTH(Daily_KPI[[#This Row],[Date]])&gt;=4,1,0)</f>
        <v>2026</v>
      </c>
      <c r="C239" s="108">
        <f>YEAR(Daily_KPI[[#This Row],[Date]])</f>
        <v>2025</v>
      </c>
      <c r="D239" s="139">
        <f>Daily_KPI[[#This Row],[Date]]-DAY(Daily_KPI[[#This Row],[Date]])+1</f>
        <v>45962</v>
      </c>
      <c r="E239" s="108">
        <f t="shared" si="19"/>
        <v>30</v>
      </c>
      <c r="F239" s="109"/>
      <c r="G239" s="110"/>
      <c r="H239" s="110"/>
      <c r="I239" s="110"/>
      <c r="J239" s="110"/>
      <c r="K239" s="111"/>
      <c r="L239" s="110"/>
      <c r="M239" s="110" t="str">
        <f>IFERROR(_xlfn.XLOOKUP($A239,Input_Raw!$A:$A,Input_Raw!$CQ:$CQ),"")</f>
        <v/>
      </c>
      <c r="N239" s="110" t="str">
        <f>IFERROR(_xlfn.XLOOKUP($A239,Input_Raw!$A:$A,Input_Raw!$CR:$CR),"")</f>
        <v/>
      </c>
      <c r="O239" s="141" t="str">
        <f t="shared" si="20"/>
        <v/>
      </c>
      <c r="P239" s="141" t="str">
        <f>IFERROR(1-SUMIF(WTG_BD!$F:$F,$A239,WTG_BD!$AA:$AA)/($AA239+SUMIF(WTG_BD!$F:$F,$A239,WTG_BD!$AA:$AA)),"")</f>
        <v/>
      </c>
      <c r="Q239" s="141" t="str">
        <f>IFERROR(1-SUMIF(IGA_BD!$F:$F,$A239,IGA_BD!$W:$W)/($AA239+SUMIF(IGA_BD!$F:$F,$A239,IGA_BD!$W:$W)),"")</f>
        <v/>
      </c>
      <c r="R239" s="141" t="str">
        <f>IFERROR(1-SUMIF(Grid_BD!$F:$F,$A239,Grid_BD!$Y:$Y)/($AA239+SUMIF(Grid_BD!$F:$F,$A239,Grid_BD!$Y:$Y)),"")</f>
        <v/>
      </c>
      <c r="S239" s="108"/>
      <c r="T239" s="140"/>
      <c r="U239" s="141"/>
      <c r="V239" s="108"/>
      <c r="W239" s="142" t="str">
        <f t="shared" si="21"/>
        <v/>
      </c>
      <c r="X239" s="108" t="str">
        <f>IFERROR(_xlfn.XLOOKUP($A239,Input_Raw!$A:$A,Input_Raw!$CP:$CP)*1000,"")</f>
        <v/>
      </c>
      <c r="Y239" s="108" t="str">
        <f>IFERROR(_xlfn.XLOOKUP($A239,Input_Raw!$A:$A,Input_Raw!DJ:DJ)*1000,"")</f>
        <v/>
      </c>
      <c r="Z239" s="108" t="str">
        <f>IFERROR(_xlfn.XLOOKUP($A239,Input_Raw!$A:$A,Input_Raw!DK:DK)*1000,"")</f>
        <v/>
      </c>
      <c r="AA239" s="138" t="str">
        <f t="shared" si="22"/>
        <v/>
      </c>
      <c r="AB239" s="108" t="str">
        <f>IFERROR(_xlfn.XLOOKUP($A239,Input_Raw!$A:$A,Input_Raw!$DR:$DR),"")</f>
        <v/>
      </c>
      <c r="AC239" s="143">
        <f>IFERROR(_xlfn.XLOOKUP($D239,'Modelling New'!$D:$D,'Modelling New'!$J:$J),"")</f>
        <v>4.4633333333333338</v>
      </c>
      <c r="AD239" s="138">
        <f>IFERROR(_xlfn.XLOOKUP($D239,'Modelling New'!$D:$D,'Modelling New'!$T:$T)*1000,"")</f>
        <v>240102.5114009853</v>
      </c>
      <c r="AE239" s="142"/>
      <c r="AF239" s="142">
        <f>IFERROR(_xlfn.XLOOKUP($D239,'Modelling New'!$D:$D,'Modelling New'!$W:$W),"")</f>
        <v>0.14210612653940891</v>
      </c>
      <c r="AG239" s="142">
        <f>IFERROR(_xlfn.XLOOKUP($D239,'Modelling New'!$D:$D,'Modelling New'!$AE:$AE),"")</f>
        <v>0.96029999999999993</v>
      </c>
      <c r="AH239" s="142">
        <f>IFERROR(_xlfn.XLOOKUP($D239,'Modelling New'!$D:$D,'Modelling New'!$AF:$AF),"")</f>
        <v>0.995</v>
      </c>
      <c r="AI239" s="109" t="str">
        <f>IFERROR(_xlfn.XLOOKUP($A239,Input_Raw!$A:$A,Input_Raw!$DP:$DP),"")</f>
        <v/>
      </c>
      <c r="AJ239" s="108"/>
      <c r="AK239" s="108"/>
      <c r="AL239" s="108"/>
      <c r="AM239" s="108"/>
      <c r="AN239" s="132" t="str">
        <f>IFERROR(_xlfn.XLOOKUP($A239,Input_Raw!$A:$A,Input_Raw!$DL:$DL),"")</f>
        <v/>
      </c>
      <c r="AO239" s="142" t="str">
        <f>IFERROR((_xlfn.XLOOKUP($A239,'WTG Reactive Power'!$A:$A,'WTG Reactive Power'!$AW:$AW))/X239,"")</f>
        <v/>
      </c>
      <c r="AP239" s="142">
        <f>IFERROR(_xlfn.XLOOKUP($D239,'Modelling New'!$D:$D,'Modelling New'!$AK:$AK),"")</f>
        <v>0.05</v>
      </c>
      <c r="AQ239" s="142">
        <f>IFERROR(_xlfn.XLOOKUP($D239,'Modelling New'!$D:$D,'Modelling New'!$AL:$AL),"")</f>
        <v>0.05</v>
      </c>
      <c r="AR239" s="198">
        <f>IFERROR(_xlfn.XLOOKUP($D239,'Modelling New'!$D:$D,'Modelling New'!$N:$N),"")</f>
        <v>70.400000000000006</v>
      </c>
      <c r="AS239" s="198"/>
    </row>
    <row r="240" spans="1:45">
      <c r="A240" s="137">
        <f t="shared" si="23"/>
        <v>45983</v>
      </c>
      <c r="B240" s="138">
        <f>YEAR(Daily_KPI[[#This Row],[Date]])+IF(MONTH(Daily_KPI[[#This Row],[Date]])&gt;=4,1,0)</f>
        <v>2026</v>
      </c>
      <c r="C240" s="108">
        <f>YEAR(Daily_KPI[[#This Row],[Date]])</f>
        <v>2025</v>
      </c>
      <c r="D240" s="139">
        <f>Daily_KPI[[#This Row],[Date]]-DAY(Daily_KPI[[#This Row],[Date]])+1</f>
        <v>45962</v>
      </c>
      <c r="E240" s="108">
        <f t="shared" si="19"/>
        <v>30</v>
      </c>
      <c r="F240" s="109"/>
      <c r="G240" s="143"/>
      <c r="H240" s="143"/>
      <c r="I240" s="143"/>
      <c r="J240" s="143"/>
      <c r="K240" s="111"/>
      <c r="L240" s="110"/>
      <c r="M240" s="110" t="str">
        <f>IFERROR(_xlfn.XLOOKUP($A240,Input_Raw!$A:$A,Input_Raw!$CQ:$CQ),"")</f>
        <v/>
      </c>
      <c r="N240" s="110" t="str">
        <f>IFERROR(_xlfn.XLOOKUP($A240,Input_Raw!$A:$A,Input_Raw!$CR:$CR),"")</f>
        <v/>
      </c>
      <c r="O240" s="141" t="str">
        <f t="shared" si="20"/>
        <v/>
      </c>
      <c r="P240" s="141" t="str">
        <f>IFERROR(1-SUMIF(WTG_BD!$F:$F,$A240,WTG_BD!$AA:$AA)/($AA240+SUMIF(WTG_BD!$F:$F,$A240,WTG_BD!$AA:$AA)),"")</f>
        <v/>
      </c>
      <c r="Q240" s="141" t="str">
        <f>IFERROR(1-SUMIF(IGA_BD!$F:$F,$A240,IGA_BD!$W:$W)/($AA240+SUMIF(IGA_BD!$F:$F,$A240,IGA_BD!$W:$W)),"")</f>
        <v/>
      </c>
      <c r="R240" s="141" t="str">
        <f>IFERROR(1-SUMIF(Grid_BD!$F:$F,$A240,Grid_BD!$Y:$Y)/($AA240+SUMIF(Grid_BD!$F:$F,$A240,Grid_BD!$Y:$Y)),"")</f>
        <v/>
      </c>
      <c r="S240" s="108"/>
      <c r="T240" s="140"/>
      <c r="U240" s="141"/>
      <c r="V240" s="108"/>
      <c r="W240" s="142" t="str">
        <f t="shared" si="21"/>
        <v/>
      </c>
      <c r="X240" s="108" t="str">
        <f>IFERROR(_xlfn.XLOOKUP($A240,Input_Raw!$A:$A,Input_Raw!$CP:$CP)*1000,"")</f>
        <v/>
      </c>
      <c r="Y240" s="108" t="str">
        <f>IFERROR(_xlfn.XLOOKUP($A240,Input_Raw!$A:$A,Input_Raw!DJ:DJ)*1000,"")</f>
        <v/>
      </c>
      <c r="Z240" s="108" t="str">
        <f>IFERROR(_xlfn.XLOOKUP($A240,Input_Raw!$A:$A,Input_Raw!DK:DK)*1000,"")</f>
        <v/>
      </c>
      <c r="AA240" s="138" t="str">
        <f t="shared" si="22"/>
        <v/>
      </c>
      <c r="AB240" s="108" t="str">
        <f>IFERROR(_xlfn.XLOOKUP($A240,Input_Raw!$A:$A,Input_Raw!$DR:$DR),"")</f>
        <v/>
      </c>
      <c r="AC240" s="143">
        <f>IFERROR(_xlfn.XLOOKUP($D240,'Modelling New'!$D:$D,'Modelling New'!$J:$J),"")</f>
        <v>4.4633333333333338</v>
      </c>
      <c r="AD240" s="138">
        <f>IFERROR(_xlfn.XLOOKUP($D240,'Modelling New'!$D:$D,'Modelling New'!$T:$T)*1000,"")</f>
        <v>240102.5114009853</v>
      </c>
      <c r="AE240" s="142"/>
      <c r="AF240" s="142">
        <f>IFERROR(_xlfn.XLOOKUP($D240,'Modelling New'!$D:$D,'Modelling New'!$W:$W),"")</f>
        <v>0.14210612653940891</v>
      </c>
      <c r="AG240" s="142">
        <f>IFERROR(_xlfn.XLOOKUP($D240,'Modelling New'!$D:$D,'Modelling New'!$AE:$AE),"")</f>
        <v>0.96029999999999993</v>
      </c>
      <c r="AH240" s="142">
        <f>IFERROR(_xlfn.XLOOKUP($D240,'Modelling New'!$D:$D,'Modelling New'!$AF:$AF),"")</f>
        <v>0.995</v>
      </c>
      <c r="AI240" s="109" t="str">
        <f>IFERROR(_xlfn.XLOOKUP($A240,Input_Raw!$A:$A,Input_Raw!$DP:$DP),"")</f>
        <v/>
      </c>
      <c r="AJ240" s="108"/>
      <c r="AK240" s="108"/>
      <c r="AL240" s="108"/>
      <c r="AM240" s="108"/>
      <c r="AN240" s="132" t="str">
        <f>IFERROR(_xlfn.XLOOKUP($A240,Input_Raw!$A:$A,Input_Raw!$DL:$DL),"")</f>
        <v/>
      </c>
      <c r="AO240" s="142" t="str">
        <f>IFERROR((_xlfn.XLOOKUP($A240,'WTG Reactive Power'!$A:$A,'WTG Reactive Power'!$AW:$AW))/X240,"")</f>
        <v/>
      </c>
      <c r="AP240" s="142">
        <f>IFERROR(_xlfn.XLOOKUP($D240,'Modelling New'!$D:$D,'Modelling New'!$AK:$AK),"")</f>
        <v>0.05</v>
      </c>
      <c r="AQ240" s="142">
        <f>IFERROR(_xlfn.XLOOKUP($D240,'Modelling New'!$D:$D,'Modelling New'!$AL:$AL),"")</f>
        <v>0.05</v>
      </c>
      <c r="AR240" s="198">
        <f>IFERROR(_xlfn.XLOOKUP($D240,'Modelling New'!$D:$D,'Modelling New'!$N:$N),"")</f>
        <v>70.400000000000006</v>
      </c>
      <c r="AS240" s="198"/>
    </row>
    <row r="241" spans="1:45">
      <c r="A241" s="137">
        <f t="shared" si="23"/>
        <v>45984</v>
      </c>
      <c r="B241" s="138">
        <f>YEAR(Daily_KPI[[#This Row],[Date]])+IF(MONTH(Daily_KPI[[#This Row],[Date]])&gt;=4,1,0)</f>
        <v>2026</v>
      </c>
      <c r="C241" s="108">
        <f>YEAR(Daily_KPI[[#This Row],[Date]])</f>
        <v>2025</v>
      </c>
      <c r="D241" s="139">
        <f>Daily_KPI[[#This Row],[Date]]-DAY(Daily_KPI[[#This Row],[Date]])+1</f>
        <v>45962</v>
      </c>
      <c r="E241" s="108">
        <f t="shared" si="19"/>
        <v>30</v>
      </c>
      <c r="F241" s="109"/>
      <c r="G241" s="110"/>
      <c r="H241" s="110"/>
      <c r="I241" s="110"/>
      <c r="J241" s="110"/>
      <c r="K241" s="111"/>
      <c r="L241" s="110"/>
      <c r="M241" s="110" t="str">
        <f>IFERROR(_xlfn.XLOOKUP($A241,Input_Raw!$A:$A,Input_Raw!$CQ:$CQ),"")</f>
        <v/>
      </c>
      <c r="N241" s="110" t="str">
        <f>IFERROR(_xlfn.XLOOKUP($A241,Input_Raw!$A:$A,Input_Raw!$CR:$CR),"")</f>
        <v/>
      </c>
      <c r="O241" s="141" t="str">
        <f t="shared" si="20"/>
        <v/>
      </c>
      <c r="P241" s="141" t="str">
        <f>IFERROR(1-SUMIF(WTG_BD!$F:$F,$A241,WTG_BD!$AA:$AA)/($AA241+SUMIF(WTG_BD!$F:$F,$A241,WTG_BD!$AA:$AA)),"")</f>
        <v/>
      </c>
      <c r="Q241" s="141" t="str">
        <f>IFERROR(1-SUMIF(IGA_BD!$F:$F,$A241,IGA_BD!$W:$W)/($AA241+SUMIF(IGA_BD!$F:$F,$A241,IGA_BD!$W:$W)),"")</f>
        <v/>
      </c>
      <c r="R241" s="141" t="str">
        <f>IFERROR(1-SUMIF(Grid_BD!$F:$F,$A241,Grid_BD!$Y:$Y)/($AA241+SUMIF(Grid_BD!$F:$F,$A241,Grid_BD!$Y:$Y)),"")</f>
        <v/>
      </c>
      <c r="S241" s="108"/>
      <c r="T241" s="140"/>
      <c r="U241" s="141"/>
      <c r="V241" s="108"/>
      <c r="W241" s="142" t="str">
        <f t="shared" si="21"/>
        <v/>
      </c>
      <c r="X241" s="108" t="str">
        <f>IFERROR(_xlfn.XLOOKUP($A241,Input_Raw!$A:$A,Input_Raw!$CP:$CP)*1000,"")</f>
        <v/>
      </c>
      <c r="Y241" s="108" t="str">
        <f>IFERROR(_xlfn.XLOOKUP($A241,Input_Raw!$A:$A,Input_Raw!DJ:DJ)*1000,"")</f>
        <v/>
      </c>
      <c r="Z241" s="108" t="str">
        <f>IFERROR(_xlfn.XLOOKUP($A241,Input_Raw!$A:$A,Input_Raw!DK:DK)*1000,"")</f>
        <v/>
      </c>
      <c r="AA241" s="138" t="str">
        <f t="shared" si="22"/>
        <v/>
      </c>
      <c r="AB241" s="108" t="str">
        <f>IFERROR(_xlfn.XLOOKUP($A241,Input_Raw!$A:$A,Input_Raw!$DR:$DR),"")</f>
        <v/>
      </c>
      <c r="AC241" s="143">
        <f>IFERROR(_xlfn.XLOOKUP($D241,'Modelling New'!$D:$D,'Modelling New'!$J:$J),"")</f>
        <v>4.4633333333333338</v>
      </c>
      <c r="AD241" s="138">
        <f>IFERROR(_xlfn.XLOOKUP($D241,'Modelling New'!$D:$D,'Modelling New'!$T:$T)*1000,"")</f>
        <v>240102.5114009853</v>
      </c>
      <c r="AE241" s="142"/>
      <c r="AF241" s="142">
        <f>IFERROR(_xlfn.XLOOKUP($D241,'Modelling New'!$D:$D,'Modelling New'!$W:$W),"")</f>
        <v>0.14210612653940891</v>
      </c>
      <c r="AG241" s="142">
        <f>IFERROR(_xlfn.XLOOKUP($D241,'Modelling New'!$D:$D,'Modelling New'!$AE:$AE),"")</f>
        <v>0.96029999999999993</v>
      </c>
      <c r="AH241" s="142">
        <f>IFERROR(_xlfn.XLOOKUP($D241,'Modelling New'!$D:$D,'Modelling New'!$AF:$AF),"")</f>
        <v>0.995</v>
      </c>
      <c r="AI241" s="109" t="str">
        <f>IFERROR(_xlfn.XLOOKUP($A241,Input_Raw!$A:$A,Input_Raw!$DP:$DP),"")</f>
        <v/>
      </c>
      <c r="AJ241" s="108"/>
      <c r="AK241" s="108"/>
      <c r="AL241" s="108"/>
      <c r="AM241" s="108"/>
      <c r="AN241" s="132" t="str">
        <f>IFERROR(_xlfn.XLOOKUP($A241,Input_Raw!$A:$A,Input_Raw!$DL:$DL),"")</f>
        <v/>
      </c>
      <c r="AO241" s="142" t="str">
        <f>IFERROR((_xlfn.XLOOKUP($A241,'WTG Reactive Power'!$A:$A,'WTG Reactive Power'!$AW:$AW))/X241,"")</f>
        <v/>
      </c>
      <c r="AP241" s="142">
        <f>IFERROR(_xlfn.XLOOKUP($D241,'Modelling New'!$D:$D,'Modelling New'!$AK:$AK),"")</f>
        <v>0.05</v>
      </c>
      <c r="AQ241" s="142">
        <f>IFERROR(_xlfn.XLOOKUP($D241,'Modelling New'!$D:$D,'Modelling New'!$AL:$AL),"")</f>
        <v>0.05</v>
      </c>
      <c r="AR241" s="198">
        <f>IFERROR(_xlfn.XLOOKUP($D241,'Modelling New'!$D:$D,'Modelling New'!$N:$N),"")</f>
        <v>70.400000000000006</v>
      </c>
      <c r="AS241" s="198"/>
    </row>
    <row r="242" spans="1:45">
      <c r="A242" s="137">
        <f t="shared" si="23"/>
        <v>45985</v>
      </c>
      <c r="B242" s="138">
        <f>YEAR(Daily_KPI[[#This Row],[Date]])+IF(MONTH(Daily_KPI[[#This Row],[Date]])&gt;=4,1,0)</f>
        <v>2026</v>
      </c>
      <c r="C242" s="108">
        <f>YEAR(Daily_KPI[[#This Row],[Date]])</f>
        <v>2025</v>
      </c>
      <c r="D242" s="139">
        <f>Daily_KPI[[#This Row],[Date]]-DAY(Daily_KPI[[#This Row],[Date]])+1</f>
        <v>45962</v>
      </c>
      <c r="E242" s="108">
        <f t="shared" si="19"/>
        <v>30</v>
      </c>
      <c r="F242" s="109"/>
      <c r="G242" s="143"/>
      <c r="H242" s="143"/>
      <c r="I242" s="143"/>
      <c r="J242" s="143"/>
      <c r="K242" s="111"/>
      <c r="L242" s="110"/>
      <c r="M242" s="110" t="str">
        <f>IFERROR(_xlfn.XLOOKUP($A242,Input_Raw!$A:$A,Input_Raw!$CQ:$CQ),"")</f>
        <v/>
      </c>
      <c r="N242" s="110" t="str">
        <f>IFERROR(_xlfn.XLOOKUP($A242,Input_Raw!$A:$A,Input_Raw!$CR:$CR),"")</f>
        <v/>
      </c>
      <c r="O242" s="141" t="str">
        <f t="shared" si="20"/>
        <v/>
      </c>
      <c r="P242" s="141" t="str">
        <f>IFERROR(1-SUMIF(WTG_BD!$F:$F,$A242,WTG_BD!$AA:$AA)/($AA242+SUMIF(WTG_BD!$F:$F,$A242,WTG_BD!$AA:$AA)),"")</f>
        <v/>
      </c>
      <c r="Q242" s="141" t="str">
        <f>IFERROR(1-SUMIF(IGA_BD!$F:$F,$A242,IGA_BD!$W:$W)/($AA242+SUMIF(IGA_BD!$F:$F,$A242,IGA_BD!$W:$W)),"")</f>
        <v/>
      </c>
      <c r="R242" s="141" t="str">
        <f>IFERROR(1-SUMIF(Grid_BD!$F:$F,$A242,Grid_BD!$Y:$Y)/($AA242+SUMIF(Grid_BD!$F:$F,$A242,Grid_BD!$Y:$Y)),"")</f>
        <v/>
      </c>
      <c r="S242" s="108"/>
      <c r="T242" s="140"/>
      <c r="U242" s="141"/>
      <c r="V242" s="108"/>
      <c r="W242" s="142" t="str">
        <f t="shared" si="21"/>
        <v/>
      </c>
      <c r="X242" s="108" t="str">
        <f>IFERROR(_xlfn.XLOOKUP($A242,Input_Raw!$A:$A,Input_Raw!$CP:$CP)*1000,"")</f>
        <v/>
      </c>
      <c r="Y242" s="108" t="str">
        <f>IFERROR(_xlfn.XLOOKUP($A242,Input_Raw!$A:$A,Input_Raw!DJ:DJ)*1000,"")</f>
        <v/>
      </c>
      <c r="Z242" s="108" t="str">
        <f>IFERROR(_xlfn.XLOOKUP($A242,Input_Raw!$A:$A,Input_Raw!DK:DK)*1000,"")</f>
        <v/>
      </c>
      <c r="AA242" s="138" t="str">
        <f t="shared" si="22"/>
        <v/>
      </c>
      <c r="AB242" s="108" t="str">
        <f>IFERROR(_xlfn.XLOOKUP($A242,Input_Raw!$A:$A,Input_Raw!$DR:$DR),"")</f>
        <v/>
      </c>
      <c r="AC242" s="143">
        <f>IFERROR(_xlfn.XLOOKUP($D242,'Modelling New'!$D:$D,'Modelling New'!$J:$J),"")</f>
        <v>4.4633333333333338</v>
      </c>
      <c r="AD242" s="138">
        <f>IFERROR(_xlfn.XLOOKUP($D242,'Modelling New'!$D:$D,'Modelling New'!$T:$T)*1000,"")</f>
        <v>240102.5114009853</v>
      </c>
      <c r="AE242" s="142"/>
      <c r="AF242" s="142">
        <f>IFERROR(_xlfn.XLOOKUP($D242,'Modelling New'!$D:$D,'Modelling New'!$W:$W),"")</f>
        <v>0.14210612653940891</v>
      </c>
      <c r="AG242" s="142">
        <f>IFERROR(_xlfn.XLOOKUP($D242,'Modelling New'!$D:$D,'Modelling New'!$AE:$AE),"")</f>
        <v>0.96029999999999993</v>
      </c>
      <c r="AH242" s="142">
        <f>IFERROR(_xlfn.XLOOKUP($D242,'Modelling New'!$D:$D,'Modelling New'!$AF:$AF),"")</f>
        <v>0.995</v>
      </c>
      <c r="AI242" s="109" t="str">
        <f>IFERROR(_xlfn.XLOOKUP($A242,Input_Raw!$A:$A,Input_Raw!$DP:$DP),"")</f>
        <v/>
      </c>
      <c r="AJ242" s="108"/>
      <c r="AK242" s="108"/>
      <c r="AL242" s="108"/>
      <c r="AM242" s="108"/>
      <c r="AN242" s="132" t="str">
        <f>IFERROR(_xlfn.XLOOKUP($A242,Input_Raw!$A:$A,Input_Raw!$DL:$DL),"")</f>
        <v/>
      </c>
      <c r="AO242" s="142" t="str">
        <f>IFERROR((_xlfn.XLOOKUP($A242,'WTG Reactive Power'!$A:$A,'WTG Reactive Power'!$AW:$AW))/X242,"")</f>
        <v/>
      </c>
      <c r="AP242" s="142">
        <f>IFERROR(_xlfn.XLOOKUP($D242,'Modelling New'!$D:$D,'Modelling New'!$AK:$AK),"")</f>
        <v>0.05</v>
      </c>
      <c r="AQ242" s="142">
        <f>IFERROR(_xlfn.XLOOKUP($D242,'Modelling New'!$D:$D,'Modelling New'!$AL:$AL),"")</f>
        <v>0.05</v>
      </c>
      <c r="AR242" s="198">
        <f>IFERROR(_xlfn.XLOOKUP($D242,'Modelling New'!$D:$D,'Modelling New'!$N:$N),"")</f>
        <v>70.400000000000006</v>
      </c>
      <c r="AS242" s="198"/>
    </row>
    <row r="243" spans="1:45">
      <c r="A243" s="137">
        <f t="shared" si="23"/>
        <v>45986</v>
      </c>
      <c r="B243" s="138">
        <f>YEAR(Daily_KPI[[#This Row],[Date]])+IF(MONTH(Daily_KPI[[#This Row],[Date]])&gt;=4,1,0)</f>
        <v>2026</v>
      </c>
      <c r="C243" s="108">
        <f>YEAR(Daily_KPI[[#This Row],[Date]])</f>
        <v>2025</v>
      </c>
      <c r="D243" s="139">
        <f>Daily_KPI[[#This Row],[Date]]-DAY(Daily_KPI[[#This Row],[Date]])+1</f>
        <v>45962</v>
      </c>
      <c r="E243" s="108">
        <f t="shared" si="19"/>
        <v>30</v>
      </c>
      <c r="F243" s="109"/>
      <c r="G243" s="110"/>
      <c r="H243" s="110"/>
      <c r="I243" s="110"/>
      <c r="J243" s="110"/>
      <c r="K243" s="111"/>
      <c r="L243" s="110"/>
      <c r="M243" s="110" t="str">
        <f>IFERROR(_xlfn.XLOOKUP($A243,Input_Raw!$A:$A,Input_Raw!$CQ:$CQ),"")</f>
        <v/>
      </c>
      <c r="N243" s="110" t="str">
        <f>IFERROR(_xlfn.XLOOKUP($A243,Input_Raw!$A:$A,Input_Raw!$CR:$CR),"")</f>
        <v/>
      </c>
      <c r="O243" s="141" t="str">
        <f t="shared" si="20"/>
        <v/>
      </c>
      <c r="P243" s="141" t="str">
        <f>IFERROR(1-SUMIF(WTG_BD!$F:$F,$A243,WTG_BD!$AA:$AA)/($AA243+SUMIF(WTG_BD!$F:$F,$A243,WTG_BD!$AA:$AA)),"")</f>
        <v/>
      </c>
      <c r="Q243" s="141" t="str">
        <f>IFERROR(1-SUMIF(IGA_BD!$F:$F,$A243,IGA_BD!$W:$W)/($AA243+SUMIF(IGA_BD!$F:$F,$A243,IGA_BD!$W:$W)),"")</f>
        <v/>
      </c>
      <c r="R243" s="141" t="str">
        <f>IFERROR(1-SUMIF(Grid_BD!$F:$F,$A243,Grid_BD!$Y:$Y)/($AA243+SUMIF(Grid_BD!$F:$F,$A243,Grid_BD!$Y:$Y)),"")</f>
        <v/>
      </c>
      <c r="S243" s="108"/>
      <c r="T243" s="140"/>
      <c r="U243" s="141"/>
      <c r="V243" s="108"/>
      <c r="W243" s="142" t="str">
        <f t="shared" si="21"/>
        <v/>
      </c>
      <c r="X243" s="108" t="str">
        <f>IFERROR(_xlfn.XLOOKUP($A243,Input_Raw!$A:$A,Input_Raw!$CP:$CP)*1000,"")</f>
        <v/>
      </c>
      <c r="Y243" s="108" t="str">
        <f>IFERROR(_xlfn.XLOOKUP($A243,Input_Raw!$A:$A,Input_Raw!DJ:DJ)*1000,"")</f>
        <v/>
      </c>
      <c r="Z243" s="108" t="str">
        <f>IFERROR(_xlfn.XLOOKUP($A243,Input_Raw!$A:$A,Input_Raw!DK:DK)*1000,"")</f>
        <v/>
      </c>
      <c r="AA243" s="138" t="str">
        <f t="shared" si="22"/>
        <v/>
      </c>
      <c r="AB243" s="108" t="str">
        <f>IFERROR(_xlfn.XLOOKUP($A243,Input_Raw!$A:$A,Input_Raw!$DR:$DR),"")</f>
        <v/>
      </c>
      <c r="AC243" s="143">
        <f>IFERROR(_xlfn.XLOOKUP($D243,'Modelling New'!$D:$D,'Modelling New'!$J:$J),"")</f>
        <v>4.4633333333333338</v>
      </c>
      <c r="AD243" s="138">
        <f>IFERROR(_xlfn.XLOOKUP($D243,'Modelling New'!$D:$D,'Modelling New'!$T:$T)*1000,"")</f>
        <v>240102.5114009853</v>
      </c>
      <c r="AE243" s="142"/>
      <c r="AF243" s="142">
        <f>IFERROR(_xlfn.XLOOKUP($D243,'Modelling New'!$D:$D,'Modelling New'!$W:$W),"")</f>
        <v>0.14210612653940891</v>
      </c>
      <c r="AG243" s="142">
        <f>IFERROR(_xlfn.XLOOKUP($D243,'Modelling New'!$D:$D,'Modelling New'!$AE:$AE),"")</f>
        <v>0.96029999999999993</v>
      </c>
      <c r="AH243" s="142">
        <f>IFERROR(_xlfn.XLOOKUP($D243,'Modelling New'!$D:$D,'Modelling New'!$AF:$AF),"")</f>
        <v>0.995</v>
      </c>
      <c r="AI243" s="109" t="str">
        <f>IFERROR(_xlfn.XLOOKUP($A243,Input_Raw!$A:$A,Input_Raw!$DP:$DP),"")</f>
        <v/>
      </c>
      <c r="AJ243" s="108"/>
      <c r="AK243" s="108"/>
      <c r="AL243" s="108"/>
      <c r="AM243" s="108"/>
      <c r="AN243" s="132" t="str">
        <f>IFERROR(_xlfn.XLOOKUP($A243,Input_Raw!$A:$A,Input_Raw!$DL:$DL),"")</f>
        <v/>
      </c>
      <c r="AO243" s="142" t="str">
        <f>IFERROR((_xlfn.XLOOKUP($A243,'WTG Reactive Power'!$A:$A,'WTG Reactive Power'!$AW:$AW))/X243,"")</f>
        <v/>
      </c>
      <c r="AP243" s="142">
        <f>IFERROR(_xlfn.XLOOKUP($D243,'Modelling New'!$D:$D,'Modelling New'!$AK:$AK),"")</f>
        <v>0.05</v>
      </c>
      <c r="AQ243" s="142">
        <f>IFERROR(_xlfn.XLOOKUP($D243,'Modelling New'!$D:$D,'Modelling New'!$AL:$AL),"")</f>
        <v>0.05</v>
      </c>
      <c r="AR243" s="198">
        <f>IFERROR(_xlfn.XLOOKUP($D243,'Modelling New'!$D:$D,'Modelling New'!$N:$N),"")</f>
        <v>70.400000000000006</v>
      </c>
      <c r="AS243" s="198"/>
    </row>
    <row r="244" spans="1:45">
      <c r="A244" s="137">
        <f t="shared" si="23"/>
        <v>45987</v>
      </c>
      <c r="B244" s="138">
        <f>YEAR(Daily_KPI[[#This Row],[Date]])+IF(MONTH(Daily_KPI[[#This Row],[Date]])&gt;=4,1,0)</f>
        <v>2026</v>
      </c>
      <c r="C244" s="108">
        <f>YEAR(Daily_KPI[[#This Row],[Date]])</f>
        <v>2025</v>
      </c>
      <c r="D244" s="139">
        <f>Daily_KPI[[#This Row],[Date]]-DAY(Daily_KPI[[#This Row],[Date]])+1</f>
        <v>45962</v>
      </c>
      <c r="E244" s="108">
        <f t="shared" si="19"/>
        <v>30</v>
      </c>
      <c r="F244" s="109"/>
      <c r="G244" s="143"/>
      <c r="H244" s="143"/>
      <c r="I244" s="143"/>
      <c r="J244" s="143"/>
      <c r="K244" s="111"/>
      <c r="L244" s="110"/>
      <c r="M244" s="110" t="str">
        <f>IFERROR(_xlfn.XLOOKUP($A244,Input_Raw!$A:$A,Input_Raw!$CQ:$CQ),"")</f>
        <v/>
      </c>
      <c r="N244" s="110" t="str">
        <f>IFERROR(_xlfn.XLOOKUP($A244,Input_Raw!$A:$A,Input_Raw!$CR:$CR),"")</f>
        <v/>
      </c>
      <c r="O244" s="141" t="str">
        <f t="shared" si="20"/>
        <v/>
      </c>
      <c r="P244" s="141" t="str">
        <f>IFERROR(1-SUMIF(WTG_BD!$F:$F,$A244,WTG_BD!$AA:$AA)/($AA244+SUMIF(WTG_BD!$F:$F,$A244,WTG_BD!$AA:$AA)),"")</f>
        <v/>
      </c>
      <c r="Q244" s="141" t="str">
        <f>IFERROR(1-SUMIF(IGA_BD!$F:$F,$A244,IGA_BD!$W:$W)/($AA244+SUMIF(IGA_BD!$F:$F,$A244,IGA_BD!$W:$W)),"")</f>
        <v/>
      </c>
      <c r="R244" s="141" t="str">
        <f>IFERROR(1-SUMIF(Grid_BD!$F:$F,$A244,Grid_BD!$Y:$Y)/($AA244+SUMIF(Grid_BD!$F:$F,$A244,Grid_BD!$Y:$Y)),"")</f>
        <v/>
      </c>
      <c r="S244" s="108"/>
      <c r="T244" s="140"/>
      <c r="U244" s="141"/>
      <c r="V244" s="108"/>
      <c r="W244" s="142" t="str">
        <f t="shared" si="21"/>
        <v/>
      </c>
      <c r="X244" s="108" t="str">
        <f>IFERROR(_xlfn.XLOOKUP($A244,Input_Raw!$A:$A,Input_Raw!$CP:$CP)*1000,"")</f>
        <v/>
      </c>
      <c r="Y244" s="108" t="str">
        <f>IFERROR(_xlfn.XLOOKUP($A244,Input_Raw!$A:$A,Input_Raw!DJ:DJ)*1000,"")</f>
        <v/>
      </c>
      <c r="Z244" s="108" t="str">
        <f>IFERROR(_xlfn.XLOOKUP($A244,Input_Raw!$A:$A,Input_Raw!DK:DK)*1000,"")</f>
        <v/>
      </c>
      <c r="AA244" s="138" t="str">
        <f t="shared" si="22"/>
        <v/>
      </c>
      <c r="AB244" s="108" t="str">
        <f>IFERROR(_xlfn.XLOOKUP($A244,Input_Raw!$A:$A,Input_Raw!$DR:$DR),"")</f>
        <v/>
      </c>
      <c r="AC244" s="143">
        <f>IFERROR(_xlfn.XLOOKUP($D244,'Modelling New'!$D:$D,'Modelling New'!$J:$J),"")</f>
        <v>4.4633333333333338</v>
      </c>
      <c r="AD244" s="138">
        <f>IFERROR(_xlfn.XLOOKUP($D244,'Modelling New'!$D:$D,'Modelling New'!$T:$T)*1000,"")</f>
        <v>240102.5114009853</v>
      </c>
      <c r="AE244" s="142"/>
      <c r="AF244" s="142">
        <f>IFERROR(_xlfn.XLOOKUP($D244,'Modelling New'!$D:$D,'Modelling New'!$W:$W),"")</f>
        <v>0.14210612653940891</v>
      </c>
      <c r="AG244" s="142">
        <f>IFERROR(_xlfn.XLOOKUP($D244,'Modelling New'!$D:$D,'Modelling New'!$AE:$AE),"")</f>
        <v>0.96029999999999993</v>
      </c>
      <c r="AH244" s="142">
        <f>IFERROR(_xlfn.XLOOKUP($D244,'Modelling New'!$D:$D,'Modelling New'!$AF:$AF),"")</f>
        <v>0.995</v>
      </c>
      <c r="AI244" s="109" t="str">
        <f>IFERROR(_xlfn.XLOOKUP($A244,Input_Raw!$A:$A,Input_Raw!$DP:$DP),"")</f>
        <v/>
      </c>
      <c r="AJ244" s="108"/>
      <c r="AK244" s="108"/>
      <c r="AL244" s="108"/>
      <c r="AM244" s="108"/>
      <c r="AN244" s="132" t="str">
        <f>IFERROR(_xlfn.XLOOKUP($A244,Input_Raw!$A:$A,Input_Raw!$DL:$DL),"")</f>
        <v/>
      </c>
      <c r="AO244" s="142" t="str">
        <f>IFERROR((_xlfn.XLOOKUP($A244,'WTG Reactive Power'!$A:$A,'WTG Reactive Power'!$AW:$AW))/X244,"")</f>
        <v/>
      </c>
      <c r="AP244" s="142">
        <f>IFERROR(_xlfn.XLOOKUP($D244,'Modelling New'!$D:$D,'Modelling New'!$AK:$AK),"")</f>
        <v>0.05</v>
      </c>
      <c r="AQ244" s="142">
        <f>IFERROR(_xlfn.XLOOKUP($D244,'Modelling New'!$D:$D,'Modelling New'!$AL:$AL),"")</f>
        <v>0.05</v>
      </c>
      <c r="AR244" s="198">
        <f>IFERROR(_xlfn.XLOOKUP($D244,'Modelling New'!$D:$D,'Modelling New'!$N:$N),"")</f>
        <v>70.400000000000006</v>
      </c>
      <c r="AS244" s="198"/>
    </row>
    <row r="245" spans="1:45">
      <c r="A245" s="137">
        <f t="shared" si="23"/>
        <v>45988</v>
      </c>
      <c r="B245" s="138">
        <f>YEAR(Daily_KPI[[#This Row],[Date]])+IF(MONTH(Daily_KPI[[#This Row],[Date]])&gt;=4,1,0)</f>
        <v>2026</v>
      </c>
      <c r="C245" s="108">
        <f>YEAR(Daily_KPI[[#This Row],[Date]])</f>
        <v>2025</v>
      </c>
      <c r="D245" s="139">
        <f>Daily_KPI[[#This Row],[Date]]-DAY(Daily_KPI[[#This Row],[Date]])+1</f>
        <v>45962</v>
      </c>
      <c r="E245" s="108">
        <f t="shared" si="19"/>
        <v>30</v>
      </c>
      <c r="F245" s="109"/>
      <c r="G245" s="110"/>
      <c r="H245" s="110"/>
      <c r="I245" s="110"/>
      <c r="J245" s="110"/>
      <c r="K245" s="111"/>
      <c r="L245" s="110"/>
      <c r="M245" s="110" t="str">
        <f>IFERROR(_xlfn.XLOOKUP($A245,Input_Raw!$A:$A,Input_Raw!$CQ:$CQ),"")</f>
        <v/>
      </c>
      <c r="N245" s="110" t="str">
        <f>IFERROR(_xlfn.XLOOKUP($A245,Input_Raw!$A:$A,Input_Raw!$CR:$CR),"")</f>
        <v/>
      </c>
      <c r="O245" s="141" t="str">
        <f t="shared" si="20"/>
        <v/>
      </c>
      <c r="P245" s="141" t="str">
        <f>IFERROR(1-SUMIF(WTG_BD!$F:$F,$A245,WTG_BD!$AA:$AA)/($AA245+SUMIF(WTG_BD!$F:$F,$A245,WTG_BD!$AA:$AA)),"")</f>
        <v/>
      </c>
      <c r="Q245" s="141" t="str">
        <f>IFERROR(1-SUMIF(IGA_BD!$F:$F,$A245,IGA_BD!$W:$W)/($AA245+SUMIF(IGA_BD!$F:$F,$A245,IGA_BD!$W:$W)),"")</f>
        <v/>
      </c>
      <c r="R245" s="141" t="str">
        <f>IFERROR(1-SUMIF(Grid_BD!$F:$F,$A245,Grid_BD!$Y:$Y)/($AA245+SUMIF(Grid_BD!$F:$F,$A245,Grid_BD!$Y:$Y)),"")</f>
        <v/>
      </c>
      <c r="S245" s="108"/>
      <c r="T245" s="140"/>
      <c r="U245" s="141"/>
      <c r="V245" s="108"/>
      <c r="W245" s="142" t="str">
        <f t="shared" si="21"/>
        <v/>
      </c>
      <c r="X245" s="108" t="str">
        <f>IFERROR(_xlfn.XLOOKUP($A245,Input_Raw!$A:$A,Input_Raw!$CP:$CP)*1000,"")</f>
        <v/>
      </c>
      <c r="Y245" s="108" t="str">
        <f>IFERROR(_xlfn.XLOOKUP($A245,Input_Raw!$A:$A,Input_Raw!DJ:DJ)*1000,"")</f>
        <v/>
      </c>
      <c r="Z245" s="108" t="str">
        <f>IFERROR(_xlfn.XLOOKUP($A245,Input_Raw!$A:$A,Input_Raw!DK:DK)*1000,"")</f>
        <v/>
      </c>
      <c r="AA245" s="138" t="str">
        <f t="shared" si="22"/>
        <v/>
      </c>
      <c r="AB245" s="108" t="str">
        <f>IFERROR(_xlfn.XLOOKUP($A245,Input_Raw!$A:$A,Input_Raw!$DR:$DR),"")</f>
        <v/>
      </c>
      <c r="AC245" s="143">
        <f>IFERROR(_xlfn.XLOOKUP($D245,'Modelling New'!$D:$D,'Modelling New'!$J:$J),"")</f>
        <v>4.4633333333333338</v>
      </c>
      <c r="AD245" s="138">
        <f>IFERROR(_xlfn.XLOOKUP($D245,'Modelling New'!$D:$D,'Modelling New'!$T:$T)*1000,"")</f>
        <v>240102.5114009853</v>
      </c>
      <c r="AE245" s="142"/>
      <c r="AF245" s="142">
        <f>IFERROR(_xlfn.XLOOKUP($D245,'Modelling New'!$D:$D,'Modelling New'!$W:$W),"")</f>
        <v>0.14210612653940891</v>
      </c>
      <c r="AG245" s="142">
        <f>IFERROR(_xlfn.XLOOKUP($D245,'Modelling New'!$D:$D,'Modelling New'!$AE:$AE),"")</f>
        <v>0.96029999999999993</v>
      </c>
      <c r="AH245" s="142">
        <f>IFERROR(_xlfn.XLOOKUP($D245,'Modelling New'!$D:$D,'Modelling New'!$AF:$AF),"")</f>
        <v>0.995</v>
      </c>
      <c r="AI245" s="109" t="str">
        <f>IFERROR(_xlfn.XLOOKUP($A245,Input_Raw!$A:$A,Input_Raw!$DP:$DP),"")</f>
        <v/>
      </c>
      <c r="AJ245" s="108"/>
      <c r="AK245" s="108"/>
      <c r="AL245" s="108"/>
      <c r="AM245" s="108"/>
      <c r="AN245" s="132" t="str">
        <f>IFERROR(_xlfn.XLOOKUP($A245,Input_Raw!$A:$A,Input_Raw!$DL:$DL),"")</f>
        <v/>
      </c>
      <c r="AO245" s="142" t="str">
        <f>IFERROR((_xlfn.XLOOKUP($A245,'WTG Reactive Power'!$A:$A,'WTG Reactive Power'!$AW:$AW))/X245,"")</f>
        <v/>
      </c>
      <c r="AP245" s="142">
        <f>IFERROR(_xlfn.XLOOKUP($D245,'Modelling New'!$D:$D,'Modelling New'!$AK:$AK),"")</f>
        <v>0.05</v>
      </c>
      <c r="AQ245" s="142">
        <f>IFERROR(_xlfn.XLOOKUP($D245,'Modelling New'!$D:$D,'Modelling New'!$AL:$AL),"")</f>
        <v>0.05</v>
      </c>
      <c r="AR245" s="198">
        <f>IFERROR(_xlfn.XLOOKUP($D245,'Modelling New'!$D:$D,'Modelling New'!$N:$N),"")</f>
        <v>70.400000000000006</v>
      </c>
      <c r="AS245" s="198"/>
    </row>
    <row r="246" spans="1:45">
      <c r="A246" s="137">
        <f t="shared" si="23"/>
        <v>45989</v>
      </c>
      <c r="B246" s="138">
        <f>YEAR(Daily_KPI[[#This Row],[Date]])+IF(MONTH(Daily_KPI[[#This Row],[Date]])&gt;=4,1,0)</f>
        <v>2026</v>
      </c>
      <c r="C246" s="108">
        <f>YEAR(Daily_KPI[[#This Row],[Date]])</f>
        <v>2025</v>
      </c>
      <c r="D246" s="139">
        <f>Daily_KPI[[#This Row],[Date]]-DAY(Daily_KPI[[#This Row],[Date]])+1</f>
        <v>45962</v>
      </c>
      <c r="E246" s="108">
        <f t="shared" si="19"/>
        <v>30</v>
      </c>
      <c r="F246" s="109"/>
      <c r="G246" s="143"/>
      <c r="H246" s="143"/>
      <c r="I246" s="143"/>
      <c r="J246" s="143"/>
      <c r="K246" s="111"/>
      <c r="L246" s="110"/>
      <c r="M246" s="110" t="str">
        <f>IFERROR(_xlfn.XLOOKUP($A246,Input_Raw!$A:$A,Input_Raw!$CQ:$CQ),"")</f>
        <v/>
      </c>
      <c r="N246" s="110" t="str">
        <f>IFERROR(_xlfn.XLOOKUP($A246,Input_Raw!$A:$A,Input_Raw!$CR:$CR),"")</f>
        <v/>
      </c>
      <c r="O246" s="141" t="str">
        <f t="shared" si="20"/>
        <v/>
      </c>
      <c r="P246" s="141" t="str">
        <f>IFERROR(1-SUMIF(WTG_BD!$F:$F,$A246,WTG_BD!$AA:$AA)/($AA246+SUMIF(WTG_BD!$F:$F,$A246,WTG_BD!$AA:$AA)),"")</f>
        <v/>
      </c>
      <c r="Q246" s="141" t="str">
        <f>IFERROR(1-SUMIF(IGA_BD!$F:$F,$A246,IGA_BD!$W:$W)/($AA246+SUMIF(IGA_BD!$F:$F,$A246,IGA_BD!$W:$W)),"")</f>
        <v/>
      </c>
      <c r="R246" s="141" t="str">
        <f>IFERROR(1-SUMIF(Grid_BD!$F:$F,$A246,Grid_BD!$Y:$Y)/($AA246+SUMIF(Grid_BD!$F:$F,$A246,Grid_BD!$Y:$Y)),"")</f>
        <v/>
      </c>
      <c r="S246" s="108"/>
      <c r="T246" s="140"/>
      <c r="U246" s="141"/>
      <c r="V246" s="108"/>
      <c r="W246" s="142" t="str">
        <f t="shared" si="21"/>
        <v/>
      </c>
      <c r="X246" s="108" t="str">
        <f>IFERROR(_xlfn.XLOOKUP($A246,Input_Raw!$A:$A,Input_Raw!$CP:$CP)*1000,"")</f>
        <v/>
      </c>
      <c r="Y246" s="108" t="str">
        <f>IFERROR(_xlfn.XLOOKUP($A246,Input_Raw!$A:$A,Input_Raw!DJ:DJ)*1000,"")</f>
        <v/>
      </c>
      <c r="Z246" s="108" t="str">
        <f>IFERROR(_xlfn.XLOOKUP($A246,Input_Raw!$A:$A,Input_Raw!DK:DK)*1000,"")</f>
        <v/>
      </c>
      <c r="AA246" s="138" t="str">
        <f t="shared" si="22"/>
        <v/>
      </c>
      <c r="AB246" s="108" t="str">
        <f>IFERROR(_xlfn.XLOOKUP($A246,Input_Raw!$A:$A,Input_Raw!$DR:$DR),"")</f>
        <v/>
      </c>
      <c r="AC246" s="143">
        <f>IFERROR(_xlfn.XLOOKUP($D246,'Modelling New'!$D:$D,'Modelling New'!$J:$J),"")</f>
        <v>4.4633333333333338</v>
      </c>
      <c r="AD246" s="138">
        <f>IFERROR(_xlfn.XLOOKUP($D246,'Modelling New'!$D:$D,'Modelling New'!$T:$T)*1000,"")</f>
        <v>240102.5114009853</v>
      </c>
      <c r="AE246" s="142"/>
      <c r="AF246" s="142">
        <f>IFERROR(_xlfn.XLOOKUP($D246,'Modelling New'!$D:$D,'Modelling New'!$W:$W),"")</f>
        <v>0.14210612653940891</v>
      </c>
      <c r="AG246" s="142">
        <f>IFERROR(_xlfn.XLOOKUP($D246,'Modelling New'!$D:$D,'Modelling New'!$AE:$AE),"")</f>
        <v>0.96029999999999993</v>
      </c>
      <c r="AH246" s="142">
        <f>IFERROR(_xlfn.XLOOKUP($D246,'Modelling New'!$D:$D,'Modelling New'!$AF:$AF),"")</f>
        <v>0.995</v>
      </c>
      <c r="AI246" s="109" t="str">
        <f>IFERROR(_xlfn.XLOOKUP($A246,Input_Raw!$A:$A,Input_Raw!$DP:$DP),"")</f>
        <v/>
      </c>
      <c r="AJ246" s="108"/>
      <c r="AK246" s="108"/>
      <c r="AL246" s="108"/>
      <c r="AM246" s="108"/>
      <c r="AN246" s="132" t="str">
        <f>IFERROR(_xlfn.XLOOKUP($A246,Input_Raw!$A:$A,Input_Raw!$DL:$DL),"")</f>
        <v/>
      </c>
      <c r="AO246" s="142" t="str">
        <f>IFERROR((_xlfn.XLOOKUP($A246,'WTG Reactive Power'!$A:$A,'WTG Reactive Power'!$AW:$AW))/X246,"")</f>
        <v/>
      </c>
      <c r="AP246" s="142">
        <f>IFERROR(_xlfn.XLOOKUP($D246,'Modelling New'!$D:$D,'Modelling New'!$AK:$AK),"")</f>
        <v>0.05</v>
      </c>
      <c r="AQ246" s="142">
        <f>IFERROR(_xlfn.XLOOKUP($D246,'Modelling New'!$D:$D,'Modelling New'!$AL:$AL),"")</f>
        <v>0.05</v>
      </c>
      <c r="AR246" s="198">
        <f>IFERROR(_xlfn.XLOOKUP($D246,'Modelling New'!$D:$D,'Modelling New'!$N:$N),"")</f>
        <v>70.400000000000006</v>
      </c>
      <c r="AS246" s="198"/>
    </row>
    <row r="247" spans="1:45">
      <c r="A247" s="137">
        <f t="shared" si="23"/>
        <v>45990</v>
      </c>
      <c r="B247" s="138">
        <f>YEAR(Daily_KPI[[#This Row],[Date]])+IF(MONTH(Daily_KPI[[#This Row],[Date]])&gt;=4,1,0)</f>
        <v>2026</v>
      </c>
      <c r="C247" s="108">
        <f>YEAR(Daily_KPI[[#This Row],[Date]])</f>
        <v>2025</v>
      </c>
      <c r="D247" s="139">
        <f>Daily_KPI[[#This Row],[Date]]-DAY(Daily_KPI[[#This Row],[Date]])+1</f>
        <v>45962</v>
      </c>
      <c r="E247" s="108">
        <f t="shared" si="19"/>
        <v>30</v>
      </c>
      <c r="F247" s="109"/>
      <c r="G247" s="110"/>
      <c r="H247" s="110"/>
      <c r="I247" s="110"/>
      <c r="J247" s="110"/>
      <c r="K247" s="111"/>
      <c r="L247" s="110"/>
      <c r="M247" s="110" t="str">
        <f>IFERROR(_xlfn.XLOOKUP($A247,Input_Raw!$A:$A,Input_Raw!$CQ:$CQ),"")</f>
        <v/>
      </c>
      <c r="N247" s="110" t="str">
        <f>IFERROR(_xlfn.XLOOKUP($A247,Input_Raw!$A:$A,Input_Raw!$CR:$CR),"")</f>
        <v/>
      </c>
      <c r="O247" s="141" t="str">
        <f t="shared" si="20"/>
        <v/>
      </c>
      <c r="P247" s="141" t="str">
        <f>IFERROR(1-SUMIF(WTG_BD!$F:$F,$A247,WTG_BD!$AA:$AA)/($AA247+SUMIF(WTG_BD!$F:$F,$A247,WTG_BD!$AA:$AA)),"")</f>
        <v/>
      </c>
      <c r="Q247" s="141" t="str">
        <f>IFERROR(1-SUMIF(IGA_BD!$F:$F,$A247,IGA_BD!$W:$W)/($AA247+SUMIF(IGA_BD!$F:$F,$A247,IGA_BD!$W:$W)),"")</f>
        <v/>
      </c>
      <c r="R247" s="141" t="str">
        <f>IFERROR(1-SUMIF(Grid_BD!$F:$F,$A247,Grid_BD!$Y:$Y)/($AA247+SUMIF(Grid_BD!$F:$F,$A247,Grid_BD!$Y:$Y)),"")</f>
        <v/>
      </c>
      <c r="S247" s="108"/>
      <c r="T247" s="140"/>
      <c r="U247" s="141"/>
      <c r="V247" s="108"/>
      <c r="W247" s="142" t="str">
        <f t="shared" si="21"/>
        <v/>
      </c>
      <c r="X247" s="108" t="str">
        <f>IFERROR(_xlfn.XLOOKUP($A247,Input_Raw!$A:$A,Input_Raw!$CP:$CP)*1000,"")</f>
        <v/>
      </c>
      <c r="Y247" s="108" t="str">
        <f>IFERROR(_xlfn.XLOOKUP($A247,Input_Raw!$A:$A,Input_Raw!DJ:DJ)*1000,"")</f>
        <v/>
      </c>
      <c r="Z247" s="108" t="str">
        <f>IFERROR(_xlfn.XLOOKUP($A247,Input_Raw!$A:$A,Input_Raw!DK:DK)*1000,"")</f>
        <v/>
      </c>
      <c r="AA247" s="138" t="str">
        <f t="shared" si="22"/>
        <v/>
      </c>
      <c r="AB247" s="108" t="str">
        <f>IFERROR(_xlfn.XLOOKUP($A247,Input_Raw!$A:$A,Input_Raw!$DR:$DR),"")</f>
        <v/>
      </c>
      <c r="AC247" s="143">
        <f>IFERROR(_xlfn.XLOOKUP($D247,'Modelling New'!$D:$D,'Modelling New'!$J:$J),"")</f>
        <v>4.4633333333333338</v>
      </c>
      <c r="AD247" s="138">
        <f>IFERROR(_xlfn.XLOOKUP($D247,'Modelling New'!$D:$D,'Modelling New'!$T:$T)*1000,"")</f>
        <v>240102.5114009853</v>
      </c>
      <c r="AE247" s="142"/>
      <c r="AF247" s="142">
        <f>IFERROR(_xlfn.XLOOKUP($D247,'Modelling New'!$D:$D,'Modelling New'!$W:$W),"")</f>
        <v>0.14210612653940891</v>
      </c>
      <c r="AG247" s="142">
        <f>IFERROR(_xlfn.XLOOKUP($D247,'Modelling New'!$D:$D,'Modelling New'!$AE:$AE),"")</f>
        <v>0.96029999999999993</v>
      </c>
      <c r="AH247" s="142">
        <f>IFERROR(_xlfn.XLOOKUP($D247,'Modelling New'!$D:$D,'Modelling New'!$AF:$AF),"")</f>
        <v>0.995</v>
      </c>
      <c r="AI247" s="109" t="str">
        <f>IFERROR(_xlfn.XLOOKUP($A247,Input_Raw!$A:$A,Input_Raw!$DP:$DP),"")</f>
        <v/>
      </c>
      <c r="AJ247" s="108"/>
      <c r="AK247" s="108"/>
      <c r="AL247" s="108"/>
      <c r="AM247" s="108"/>
      <c r="AN247" s="132" t="str">
        <f>IFERROR(_xlfn.XLOOKUP($A247,Input_Raw!$A:$A,Input_Raw!$DL:$DL),"")</f>
        <v/>
      </c>
      <c r="AO247" s="142" t="str">
        <f>IFERROR((_xlfn.XLOOKUP($A247,'WTG Reactive Power'!$A:$A,'WTG Reactive Power'!$AW:$AW))/X247,"")</f>
        <v/>
      </c>
      <c r="AP247" s="142">
        <f>IFERROR(_xlfn.XLOOKUP($D247,'Modelling New'!$D:$D,'Modelling New'!$AK:$AK),"")</f>
        <v>0.05</v>
      </c>
      <c r="AQ247" s="142">
        <f>IFERROR(_xlfn.XLOOKUP($D247,'Modelling New'!$D:$D,'Modelling New'!$AL:$AL),"")</f>
        <v>0.05</v>
      </c>
      <c r="AR247" s="198">
        <f>IFERROR(_xlfn.XLOOKUP($D247,'Modelling New'!$D:$D,'Modelling New'!$N:$N),"")</f>
        <v>70.400000000000006</v>
      </c>
      <c r="AS247" s="198"/>
    </row>
    <row r="248" spans="1:45">
      <c r="A248" s="137">
        <f t="shared" si="23"/>
        <v>45991</v>
      </c>
      <c r="B248" s="138">
        <f>YEAR(Daily_KPI[[#This Row],[Date]])+IF(MONTH(Daily_KPI[[#This Row],[Date]])&gt;=4,1,0)</f>
        <v>2026</v>
      </c>
      <c r="C248" s="108">
        <f>YEAR(Daily_KPI[[#This Row],[Date]])</f>
        <v>2025</v>
      </c>
      <c r="D248" s="139">
        <f>Daily_KPI[[#This Row],[Date]]-DAY(Daily_KPI[[#This Row],[Date]])+1</f>
        <v>45962</v>
      </c>
      <c r="E248" s="108">
        <f t="shared" si="19"/>
        <v>30</v>
      </c>
      <c r="F248" s="109"/>
      <c r="G248" s="143"/>
      <c r="H248" s="143"/>
      <c r="I248" s="143"/>
      <c r="J248" s="143"/>
      <c r="K248" s="111"/>
      <c r="L248" s="110"/>
      <c r="M248" s="110" t="str">
        <f>IFERROR(_xlfn.XLOOKUP($A248,Input_Raw!$A:$A,Input_Raw!$CQ:$CQ),"")</f>
        <v/>
      </c>
      <c r="N248" s="110" t="str">
        <f>IFERROR(_xlfn.XLOOKUP($A248,Input_Raw!$A:$A,Input_Raw!$CR:$CR),"")</f>
        <v/>
      </c>
      <c r="O248" s="141" t="str">
        <f t="shared" si="20"/>
        <v/>
      </c>
      <c r="P248" s="141" t="str">
        <f>IFERROR(1-SUMIF(WTG_BD!$F:$F,$A248,WTG_BD!$AA:$AA)/($AA248+SUMIF(WTG_BD!$F:$F,$A248,WTG_BD!$AA:$AA)),"")</f>
        <v/>
      </c>
      <c r="Q248" s="141" t="str">
        <f>IFERROR(1-SUMIF(IGA_BD!$F:$F,$A248,IGA_BD!$W:$W)/($AA248+SUMIF(IGA_BD!$F:$F,$A248,IGA_BD!$W:$W)),"")</f>
        <v/>
      </c>
      <c r="R248" s="141" t="str">
        <f>IFERROR(1-SUMIF(Grid_BD!$F:$F,$A248,Grid_BD!$Y:$Y)/($AA248+SUMIF(Grid_BD!$F:$F,$A248,Grid_BD!$Y:$Y)),"")</f>
        <v/>
      </c>
      <c r="S248" s="108"/>
      <c r="T248" s="140"/>
      <c r="U248" s="141"/>
      <c r="V248" s="108"/>
      <c r="W248" s="142" t="str">
        <f t="shared" si="21"/>
        <v/>
      </c>
      <c r="X248" s="108" t="str">
        <f>IFERROR(_xlfn.XLOOKUP($A248,Input_Raw!$A:$A,Input_Raw!$CP:$CP)*1000,"")</f>
        <v/>
      </c>
      <c r="Y248" s="108" t="str">
        <f>IFERROR(_xlfn.XLOOKUP($A248,Input_Raw!$A:$A,Input_Raw!DJ:DJ)*1000,"")</f>
        <v/>
      </c>
      <c r="Z248" s="108" t="str">
        <f>IFERROR(_xlfn.XLOOKUP($A248,Input_Raw!$A:$A,Input_Raw!DK:DK)*1000,"")</f>
        <v/>
      </c>
      <c r="AA248" s="138" t="str">
        <f t="shared" si="22"/>
        <v/>
      </c>
      <c r="AB248" s="108" t="str">
        <f>IFERROR(_xlfn.XLOOKUP($A248,Input_Raw!$A:$A,Input_Raw!$DR:$DR),"")</f>
        <v/>
      </c>
      <c r="AC248" s="143">
        <f>IFERROR(_xlfn.XLOOKUP($D248,'Modelling New'!$D:$D,'Modelling New'!$J:$J),"")</f>
        <v>4.4633333333333338</v>
      </c>
      <c r="AD248" s="138">
        <f>IFERROR(_xlfn.XLOOKUP($D248,'Modelling New'!$D:$D,'Modelling New'!$T:$T)*1000,"")</f>
        <v>240102.5114009853</v>
      </c>
      <c r="AE248" s="142"/>
      <c r="AF248" s="142">
        <f>IFERROR(_xlfn.XLOOKUP($D248,'Modelling New'!$D:$D,'Modelling New'!$W:$W),"")</f>
        <v>0.14210612653940891</v>
      </c>
      <c r="AG248" s="142">
        <f>IFERROR(_xlfn.XLOOKUP($D248,'Modelling New'!$D:$D,'Modelling New'!$AE:$AE),"")</f>
        <v>0.96029999999999993</v>
      </c>
      <c r="AH248" s="142">
        <f>IFERROR(_xlfn.XLOOKUP($D248,'Modelling New'!$D:$D,'Modelling New'!$AF:$AF),"")</f>
        <v>0.995</v>
      </c>
      <c r="AI248" s="109" t="str">
        <f>IFERROR(_xlfn.XLOOKUP($A248,Input_Raw!$A:$A,Input_Raw!$DP:$DP),"")</f>
        <v/>
      </c>
      <c r="AJ248" s="108"/>
      <c r="AK248" s="108"/>
      <c r="AL248" s="108"/>
      <c r="AM248" s="108"/>
      <c r="AN248" s="132" t="str">
        <f>IFERROR(_xlfn.XLOOKUP($A248,Input_Raw!$A:$A,Input_Raw!$DL:$DL),"")</f>
        <v/>
      </c>
      <c r="AO248" s="142" t="str">
        <f>IFERROR((_xlfn.XLOOKUP($A248,'WTG Reactive Power'!$A:$A,'WTG Reactive Power'!$AW:$AW))/X248,"")</f>
        <v/>
      </c>
      <c r="AP248" s="142">
        <f>IFERROR(_xlfn.XLOOKUP($D248,'Modelling New'!$D:$D,'Modelling New'!$AK:$AK),"")</f>
        <v>0.05</v>
      </c>
      <c r="AQ248" s="142">
        <f>IFERROR(_xlfn.XLOOKUP($D248,'Modelling New'!$D:$D,'Modelling New'!$AL:$AL),"")</f>
        <v>0.05</v>
      </c>
      <c r="AR248" s="198">
        <f>IFERROR(_xlfn.XLOOKUP($D248,'Modelling New'!$D:$D,'Modelling New'!$N:$N),"")</f>
        <v>70.400000000000006</v>
      </c>
      <c r="AS248" s="198"/>
    </row>
    <row r="249" spans="1:45">
      <c r="A249" s="137">
        <f t="shared" si="23"/>
        <v>45992</v>
      </c>
      <c r="B249" s="138">
        <f>YEAR(Daily_KPI[[#This Row],[Date]])+IF(MONTH(Daily_KPI[[#This Row],[Date]])&gt;=4,1,0)</f>
        <v>2026</v>
      </c>
      <c r="C249" s="108">
        <f>YEAR(Daily_KPI[[#This Row],[Date]])</f>
        <v>2025</v>
      </c>
      <c r="D249" s="139">
        <f>Daily_KPI[[#This Row],[Date]]-DAY(Daily_KPI[[#This Row],[Date]])+1</f>
        <v>45992</v>
      </c>
      <c r="E249" s="108">
        <f t="shared" si="19"/>
        <v>31</v>
      </c>
      <c r="F249" s="109"/>
      <c r="G249" s="110"/>
      <c r="H249" s="110"/>
      <c r="I249" s="110"/>
      <c r="J249" s="110"/>
      <c r="K249" s="111"/>
      <c r="L249" s="110"/>
      <c r="M249" s="110" t="str">
        <f>IFERROR(_xlfn.XLOOKUP($A249,Input_Raw!$A:$A,Input_Raw!$CQ:$CQ),"")</f>
        <v/>
      </c>
      <c r="N249" s="110" t="str">
        <f>IFERROR(_xlfn.XLOOKUP($A249,Input_Raw!$A:$A,Input_Raw!$CR:$CR),"")</f>
        <v/>
      </c>
      <c r="O249" s="141" t="str">
        <f t="shared" si="20"/>
        <v/>
      </c>
      <c r="P249" s="141" t="str">
        <f>IFERROR(1-SUMIF(WTG_BD!$F:$F,$A249,WTG_BD!$AA:$AA)/($AA249+SUMIF(WTG_BD!$F:$F,$A249,WTG_BD!$AA:$AA)),"")</f>
        <v/>
      </c>
      <c r="Q249" s="141" t="str">
        <f>IFERROR(1-SUMIF(IGA_BD!$F:$F,$A249,IGA_BD!$W:$W)/($AA249+SUMIF(IGA_BD!$F:$F,$A249,IGA_BD!$W:$W)),"")</f>
        <v/>
      </c>
      <c r="R249" s="141" t="str">
        <f>IFERROR(1-SUMIF(Grid_BD!$F:$F,$A249,Grid_BD!$Y:$Y)/($AA249+SUMIF(Grid_BD!$F:$F,$A249,Grid_BD!$Y:$Y)),"")</f>
        <v/>
      </c>
      <c r="S249" s="108"/>
      <c r="T249" s="140"/>
      <c r="U249" s="141"/>
      <c r="V249" s="108"/>
      <c r="W249" s="142" t="str">
        <f t="shared" si="21"/>
        <v/>
      </c>
      <c r="X249" s="108" t="str">
        <f>IFERROR(_xlfn.XLOOKUP($A249,Input_Raw!$A:$A,Input_Raw!$CP:$CP)*1000,"")</f>
        <v/>
      </c>
      <c r="Y249" s="108" t="str">
        <f>IFERROR(_xlfn.XLOOKUP($A249,Input_Raw!$A:$A,Input_Raw!DJ:DJ)*1000,"")</f>
        <v/>
      </c>
      <c r="Z249" s="108" t="str">
        <f>IFERROR(_xlfn.XLOOKUP($A249,Input_Raw!$A:$A,Input_Raw!DK:DK)*1000,"")</f>
        <v/>
      </c>
      <c r="AA249" s="138" t="str">
        <f t="shared" si="22"/>
        <v/>
      </c>
      <c r="AB249" s="108" t="str">
        <f>IFERROR(_xlfn.XLOOKUP($A249,Input_Raw!$A:$A,Input_Raw!$DR:$DR),"")</f>
        <v/>
      </c>
      <c r="AC249" s="143">
        <f>IFERROR(_xlfn.XLOOKUP($D249,'Modelling New'!$D:$D,'Modelling New'!$J:$J),"")</f>
        <v>4.79</v>
      </c>
      <c r="AD249" s="138">
        <f>IFERROR(_xlfn.XLOOKUP($D249,'Modelling New'!$D:$D,'Modelling New'!$T:$T)*1000,"")</f>
        <v>233936.54337157667</v>
      </c>
      <c r="AE249" s="142"/>
      <c r="AF249" s="142">
        <f>IFERROR(_xlfn.XLOOKUP($D249,'Modelling New'!$D:$D,'Modelling New'!$W:$W),"")</f>
        <v>0.13845676099170021</v>
      </c>
      <c r="AG249" s="142">
        <f>IFERROR(_xlfn.XLOOKUP($D249,'Modelling New'!$D:$D,'Modelling New'!$AE:$AE),"")</f>
        <v>0.96029999999999993</v>
      </c>
      <c r="AH249" s="142">
        <f>IFERROR(_xlfn.XLOOKUP($D249,'Modelling New'!$D:$D,'Modelling New'!$AF:$AF),"")</f>
        <v>0.995</v>
      </c>
      <c r="AI249" s="109" t="str">
        <f>IFERROR(_xlfn.XLOOKUP($A249,Input_Raw!$A:$A,Input_Raw!$DP:$DP),"")</f>
        <v/>
      </c>
      <c r="AJ249" s="108"/>
      <c r="AK249" s="108"/>
      <c r="AL249" s="108"/>
      <c r="AM249" s="108"/>
      <c r="AN249" s="132" t="str">
        <f>IFERROR(_xlfn.XLOOKUP($A249,Input_Raw!$A:$A,Input_Raw!$DL:$DL),"")</f>
        <v/>
      </c>
      <c r="AO249" s="142" t="str">
        <f>IFERROR((_xlfn.XLOOKUP($A249,'WTG Reactive Power'!$A:$A,'WTG Reactive Power'!$AW:$AW))/X249,"")</f>
        <v/>
      </c>
      <c r="AP249" s="142">
        <f>IFERROR(_xlfn.XLOOKUP($D249,'Modelling New'!$D:$D,'Modelling New'!$AK:$AK),"")</f>
        <v>0.05</v>
      </c>
      <c r="AQ249" s="142">
        <f>IFERROR(_xlfn.XLOOKUP($D249,'Modelling New'!$D:$D,'Modelling New'!$AL:$AL),"")</f>
        <v>0.05</v>
      </c>
      <c r="AR249" s="198">
        <f>IFERROR(_xlfn.XLOOKUP($D249,'Modelling New'!$D:$D,'Modelling New'!$N:$N),"")</f>
        <v>70.400000000000006</v>
      </c>
      <c r="AS249" s="198"/>
    </row>
    <row r="250" spans="1:45">
      <c r="A250" s="137">
        <f t="shared" si="23"/>
        <v>45993</v>
      </c>
      <c r="B250" s="138">
        <f>YEAR(Daily_KPI[[#This Row],[Date]])+IF(MONTH(Daily_KPI[[#This Row],[Date]])&gt;=4,1,0)</f>
        <v>2026</v>
      </c>
      <c r="C250" s="108">
        <f>YEAR(Daily_KPI[[#This Row],[Date]])</f>
        <v>2025</v>
      </c>
      <c r="D250" s="139">
        <f>Daily_KPI[[#This Row],[Date]]-DAY(Daily_KPI[[#This Row],[Date]])+1</f>
        <v>45992</v>
      </c>
      <c r="E250" s="108">
        <f t="shared" si="19"/>
        <v>31</v>
      </c>
      <c r="F250" s="109"/>
      <c r="G250" s="143"/>
      <c r="H250" s="143"/>
      <c r="I250" s="143"/>
      <c r="J250" s="143"/>
      <c r="K250" s="111"/>
      <c r="L250" s="110"/>
      <c r="M250" s="110" t="str">
        <f>IFERROR(_xlfn.XLOOKUP($A250,Input_Raw!$A:$A,Input_Raw!$CQ:$CQ),"")</f>
        <v/>
      </c>
      <c r="N250" s="110" t="str">
        <f>IFERROR(_xlfn.XLOOKUP($A250,Input_Raw!$A:$A,Input_Raw!$CR:$CR),"")</f>
        <v/>
      </c>
      <c r="O250" s="141" t="str">
        <f t="shared" si="20"/>
        <v/>
      </c>
      <c r="P250" s="141" t="str">
        <f>IFERROR(1-SUMIF(WTG_BD!$F:$F,$A250,WTG_BD!$AA:$AA)/($AA250+SUMIF(WTG_BD!$F:$F,$A250,WTG_BD!$AA:$AA)),"")</f>
        <v/>
      </c>
      <c r="Q250" s="141" t="str">
        <f>IFERROR(1-SUMIF(IGA_BD!$F:$F,$A250,IGA_BD!$W:$W)/($AA250+SUMIF(IGA_BD!$F:$F,$A250,IGA_BD!$W:$W)),"")</f>
        <v/>
      </c>
      <c r="R250" s="141" t="str">
        <f>IFERROR(1-SUMIF(Grid_BD!$F:$F,$A250,Grid_BD!$Y:$Y)/($AA250+SUMIF(Grid_BD!$F:$F,$A250,Grid_BD!$Y:$Y)),"")</f>
        <v/>
      </c>
      <c r="S250" s="108"/>
      <c r="T250" s="140"/>
      <c r="U250" s="141"/>
      <c r="V250" s="108"/>
      <c r="W250" s="142" t="str">
        <f t="shared" si="21"/>
        <v/>
      </c>
      <c r="X250" s="108" t="str">
        <f>IFERROR(_xlfn.XLOOKUP($A250,Input_Raw!$A:$A,Input_Raw!$CP:$CP)*1000,"")</f>
        <v/>
      </c>
      <c r="Y250" s="108" t="str">
        <f>IFERROR(_xlfn.XLOOKUP($A250,Input_Raw!$A:$A,Input_Raw!DJ:DJ)*1000,"")</f>
        <v/>
      </c>
      <c r="Z250" s="108" t="str">
        <f>IFERROR(_xlfn.XLOOKUP($A250,Input_Raw!$A:$A,Input_Raw!DK:DK)*1000,"")</f>
        <v/>
      </c>
      <c r="AA250" s="138" t="str">
        <f t="shared" si="22"/>
        <v/>
      </c>
      <c r="AB250" s="108" t="str">
        <f>IFERROR(_xlfn.XLOOKUP($A250,Input_Raw!$A:$A,Input_Raw!$DR:$DR),"")</f>
        <v/>
      </c>
      <c r="AC250" s="143">
        <f>IFERROR(_xlfn.XLOOKUP($D250,'Modelling New'!$D:$D,'Modelling New'!$J:$J),"")</f>
        <v>4.79</v>
      </c>
      <c r="AD250" s="138">
        <f>IFERROR(_xlfn.XLOOKUP($D250,'Modelling New'!$D:$D,'Modelling New'!$T:$T)*1000,"")</f>
        <v>233936.54337157667</v>
      </c>
      <c r="AE250" s="142"/>
      <c r="AF250" s="142">
        <f>IFERROR(_xlfn.XLOOKUP($D250,'Modelling New'!$D:$D,'Modelling New'!$W:$W),"")</f>
        <v>0.13845676099170021</v>
      </c>
      <c r="AG250" s="142">
        <f>IFERROR(_xlfn.XLOOKUP($D250,'Modelling New'!$D:$D,'Modelling New'!$AE:$AE),"")</f>
        <v>0.96029999999999993</v>
      </c>
      <c r="AH250" s="142">
        <f>IFERROR(_xlfn.XLOOKUP($D250,'Modelling New'!$D:$D,'Modelling New'!$AF:$AF),"")</f>
        <v>0.995</v>
      </c>
      <c r="AI250" s="109" t="str">
        <f>IFERROR(_xlfn.XLOOKUP($A250,Input_Raw!$A:$A,Input_Raw!$DP:$DP),"")</f>
        <v/>
      </c>
      <c r="AJ250" s="108"/>
      <c r="AK250" s="108"/>
      <c r="AL250" s="108"/>
      <c r="AM250" s="108"/>
      <c r="AN250" s="132" t="str">
        <f>IFERROR(_xlfn.XLOOKUP($A250,Input_Raw!$A:$A,Input_Raw!$DL:$DL),"")</f>
        <v/>
      </c>
      <c r="AO250" s="142" t="str">
        <f>IFERROR((_xlfn.XLOOKUP($A250,'WTG Reactive Power'!$A:$A,'WTG Reactive Power'!$AW:$AW))/X250,"")</f>
        <v/>
      </c>
      <c r="AP250" s="142">
        <f>IFERROR(_xlfn.XLOOKUP($D250,'Modelling New'!$D:$D,'Modelling New'!$AK:$AK),"")</f>
        <v>0.05</v>
      </c>
      <c r="AQ250" s="142">
        <f>IFERROR(_xlfn.XLOOKUP($D250,'Modelling New'!$D:$D,'Modelling New'!$AL:$AL),"")</f>
        <v>0.05</v>
      </c>
      <c r="AR250" s="198">
        <f>IFERROR(_xlfn.XLOOKUP($D250,'Modelling New'!$D:$D,'Modelling New'!$N:$N),"")</f>
        <v>70.400000000000006</v>
      </c>
      <c r="AS250" s="198"/>
    </row>
    <row r="251" spans="1:45">
      <c r="A251" s="137">
        <f t="shared" si="23"/>
        <v>45994</v>
      </c>
      <c r="B251" s="138">
        <f>YEAR(Daily_KPI[[#This Row],[Date]])+IF(MONTH(Daily_KPI[[#This Row],[Date]])&gt;=4,1,0)</f>
        <v>2026</v>
      </c>
      <c r="C251" s="108">
        <f>YEAR(Daily_KPI[[#This Row],[Date]])</f>
        <v>2025</v>
      </c>
      <c r="D251" s="139">
        <f>Daily_KPI[[#This Row],[Date]]-DAY(Daily_KPI[[#This Row],[Date]])+1</f>
        <v>45992</v>
      </c>
      <c r="E251" s="108">
        <f t="shared" si="19"/>
        <v>31</v>
      </c>
      <c r="F251" s="109"/>
      <c r="G251" s="110"/>
      <c r="H251" s="110"/>
      <c r="I251" s="110"/>
      <c r="J251" s="110"/>
      <c r="K251" s="111"/>
      <c r="L251" s="110"/>
      <c r="M251" s="110" t="str">
        <f>IFERROR(_xlfn.XLOOKUP($A251,Input_Raw!$A:$A,Input_Raw!$CQ:$CQ),"")</f>
        <v/>
      </c>
      <c r="N251" s="110" t="str">
        <f>IFERROR(_xlfn.XLOOKUP($A251,Input_Raw!$A:$A,Input_Raw!$CR:$CR),"")</f>
        <v/>
      </c>
      <c r="O251" s="141" t="str">
        <f t="shared" si="20"/>
        <v/>
      </c>
      <c r="P251" s="141" t="str">
        <f>IFERROR(1-SUMIF(WTG_BD!$F:$F,$A251,WTG_BD!$AA:$AA)/($AA251+SUMIF(WTG_BD!$F:$F,$A251,WTG_BD!$AA:$AA)),"")</f>
        <v/>
      </c>
      <c r="Q251" s="141" t="str">
        <f>IFERROR(1-SUMIF(IGA_BD!$F:$F,$A251,IGA_BD!$W:$W)/($AA251+SUMIF(IGA_BD!$F:$F,$A251,IGA_BD!$W:$W)),"")</f>
        <v/>
      </c>
      <c r="R251" s="141" t="str">
        <f>IFERROR(1-SUMIF(Grid_BD!$F:$F,$A251,Grid_BD!$Y:$Y)/($AA251+SUMIF(Grid_BD!$F:$F,$A251,Grid_BD!$Y:$Y)),"")</f>
        <v/>
      </c>
      <c r="S251" s="108"/>
      <c r="T251" s="140"/>
      <c r="U251" s="141"/>
      <c r="V251" s="108"/>
      <c r="W251" s="142" t="str">
        <f t="shared" si="21"/>
        <v/>
      </c>
      <c r="X251" s="108" t="str">
        <f>IFERROR(_xlfn.XLOOKUP($A251,Input_Raw!$A:$A,Input_Raw!$CP:$CP)*1000,"")</f>
        <v/>
      </c>
      <c r="Y251" s="108" t="str">
        <f>IFERROR(_xlfn.XLOOKUP($A251,Input_Raw!$A:$A,Input_Raw!DJ:DJ)*1000,"")</f>
        <v/>
      </c>
      <c r="Z251" s="108" t="str">
        <f>IFERROR(_xlfn.XLOOKUP($A251,Input_Raw!$A:$A,Input_Raw!DK:DK)*1000,"")</f>
        <v/>
      </c>
      <c r="AA251" s="138" t="str">
        <f t="shared" si="22"/>
        <v/>
      </c>
      <c r="AB251" s="108" t="str">
        <f>IFERROR(_xlfn.XLOOKUP($A251,Input_Raw!$A:$A,Input_Raw!$DR:$DR),"")</f>
        <v/>
      </c>
      <c r="AC251" s="143">
        <f>IFERROR(_xlfn.XLOOKUP($D251,'Modelling New'!$D:$D,'Modelling New'!$J:$J),"")</f>
        <v>4.79</v>
      </c>
      <c r="AD251" s="138">
        <f>IFERROR(_xlfn.XLOOKUP($D251,'Modelling New'!$D:$D,'Modelling New'!$T:$T)*1000,"")</f>
        <v>233936.54337157667</v>
      </c>
      <c r="AE251" s="142"/>
      <c r="AF251" s="142">
        <f>IFERROR(_xlfn.XLOOKUP($D251,'Modelling New'!$D:$D,'Modelling New'!$W:$W),"")</f>
        <v>0.13845676099170021</v>
      </c>
      <c r="AG251" s="142">
        <f>IFERROR(_xlfn.XLOOKUP($D251,'Modelling New'!$D:$D,'Modelling New'!$AE:$AE),"")</f>
        <v>0.96029999999999993</v>
      </c>
      <c r="AH251" s="142">
        <f>IFERROR(_xlfn.XLOOKUP($D251,'Modelling New'!$D:$D,'Modelling New'!$AF:$AF),"")</f>
        <v>0.995</v>
      </c>
      <c r="AI251" s="109" t="str">
        <f>IFERROR(_xlfn.XLOOKUP($A251,Input_Raw!$A:$A,Input_Raw!$DP:$DP),"")</f>
        <v/>
      </c>
      <c r="AJ251" s="108"/>
      <c r="AK251" s="108"/>
      <c r="AL251" s="108"/>
      <c r="AM251" s="108"/>
      <c r="AN251" s="132" t="str">
        <f>IFERROR(_xlfn.XLOOKUP($A251,Input_Raw!$A:$A,Input_Raw!$DL:$DL),"")</f>
        <v/>
      </c>
      <c r="AO251" s="142" t="str">
        <f>IFERROR((_xlfn.XLOOKUP($A251,'WTG Reactive Power'!$A:$A,'WTG Reactive Power'!$AW:$AW))/X251,"")</f>
        <v/>
      </c>
      <c r="AP251" s="142">
        <f>IFERROR(_xlfn.XLOOKUP($D251,'Modelling New'!$D:$D,'Modelling New'!$AK:$AK),"")</f>
        <v>0.05</v>
      </c>
      <c r="AQ251" s="142">
        <f>IFERROR(_xlfn.XLOOKUP($D251,'Modelling New'!$D:$D,'Modelling New'!$AL:$AL),"")</f>
        <v>0.05</v>
      </c>
      <c r="AR251" s="198">
        <f>IFERROR(_xlfn.XLOOKUP($D251,'Modelling New'!$D:$D,'Modelling New'!$N:$N),"")</f>
        <v>70.400000000000006</v>
      </c>
      <c r="AS251" s="198"/>
    </row>
    <row r="252" spans="1:45">
      <c r="A252" s="137">
        <f t="shared" si="23"/>
        <v>45995</v>
      </c>
      <c r="B252" s="138">
        <f>YEAR(Daily_KPI[[#This Row],[Date]])+IF(MONTH(Daily_KPI[[#This Row],[Date]])&gt;=4,1,0)</f>
        <v>2026</v>
      </c>
      <c r="C252" s="108">
        <f>YEAR(Daily_KPI[[#This Row],[Date]])</f>
        <v>2025</v>
      </c>
      <c r="D252" s="139">
        <f>Daily_KPI[[#This Row],[Date]]-DAY(Daily_KPI[[#This Row],[Date]])+1</f>
        <v>45992</v>
      </c>
      <c r="E252" s="108">
        <f t="shared" si="19"/>
        <v>31</v>
      </c>
      <c r="F252" s="109"/>
      <c r="G252" s="143"/>
      <c r="H252" s="143"/>
      <c r="I252" s="143"/>
      <c r="J252" s="143"/>
      <c r="K252" s="111"/>
      <c r="L252" s="110"/>
      <c r="M252" s="110" t="str">
        <f>IFERROR(_xlfn.XLOOKUP($A252,Input_Raw!$A:$A,Input_Raw!$CQ:$CQ),"")</f>
        <v/>
      </c>
      <c r="N252" s="110" t="str">
        <f>IFERROR(_xlfn.XLOOKUP($A252,Input_Raw!$A:$A,Input_Raw!$CR:$CR),"")</f>
        <v/>
      </c>
      <c r="O252" s="141" t="str">
        <f t="shared" si="20"/>
        <v/>
      </c>
      <c r="P252" s="141" t="str">
        <f>IFERROR(1-SUMIF(WTG_BD!$F:$F,$A252,WTG_BD!$AA:$AA)/($AA252+SUMIF(WTG_BD!$F:$F,$A252,WTG_BD!$AA:$AA)),"")</f>
        <v/>
      </c>
      <c r="Q252" s="141" t="str">
        <f>IFERROR(1-SUMIF(IGA_BD!$F:$F,$A252,IGA_BD!$W:$W)/($AA252+SUMIF(IGA_BD!$F:$F,$A252,IGA_BD!$W:$W)),"")</f>
        <v/>
      </c>
      <c r="R252" s="141" t="str">
        <f>IFERROR(1-SUMIF(Grid_BD!$F:$F,$A252,Grid_BD!$Y:$Y)/($AA252+SUMIF(Grid_BD!$F:$F,$A252,Grid_BD!$Y:$Y)),"")</f>
        <v/>
      </c>
      <c r="S252" s="108"/>
      <c r="T252" s="140"/>
      <c r="U252" s="141"/>
      <c r="V252" s="108"/>
      <c r="W252" s="142" t="str">
        <f t="shared" si="21"/>
        <v/>
      </c>
      <c r="X252" s="108" t="str">
        <f>IFERROR(_xlfn.XLOOKUP($A252,Input_Raw!$A:$A,Input_Raw!$CP:$CP)*1000,"")</f>
        <v/>
      </c>
      <c r="Y252" s="108" t="str">
        <f>IFERROR(_xlfn.XLOOKUP($A252,Input_Raw!$A:$A,Input_Raw!DJ:DJ)*1000,"")</f>
        <v/>
      </c>
      <c r="Z252" s="108" t="str">
        <f>IFERROR(_xlfn.XLOOKUP($A252,Input_Raw!$A:$A,Input_Raw!DK:DK)*1000,"")</f>
        <v/>
      </c>
      <c r="AA252" s="138" t="str">
        <f t="shared" si="22"/>
        <v/>
      </c>
      <c r="AB252" s="108" t="str">
        <f>IFERROR(_xlfn.XLOOKUP($A252,Input_Raw!$A:$A,Input_Raw!$DR:$DR),"")</f>
        <v/>
      </c>
      <c r="AC252" s="143">
        <f>IFERROR(_xlfn.XLOOKUP($D252,'Modelling New'!$D:$D,'Modelling New'!$J:$J),"")</f>
        <v>4.79</v>
      </c>
      <c r="AD252" s="138">
        <f>IFERROR(_xlfn.XLOOKUP($D252,'Modelling New'!$D:$D,'Modelling New'!$T:$T)*1000,"")</f>
        <v>233936.54337157667</v>
      </c>
      <c r="AE252" s="142"/>
      <c r="AF252" s="142">
        <f>IFERROR(_xlfn.XLOOKUP($D252,'Modelling New'!$D:$D,'Modelling New'!$W:$W),"")</f>
        <v>0.13845676099170021</v>
      </c>
      <c r="AG252" s="142">
        <f>IFERROR(_xlfn.XLOOKUP($D252,'Modelling New'!$D:$D,'Modelling New'!$AE:$AE),"")</f>
        <v>0.96029999999999993</v>
      </c>
      <c r="AH252" s="142">
        <f>IFERROR(_xlfn.XLOOKUP($D252,'Modelling New'!$D:$D,'Modelling New'!$AF:$AF),"")</f>
        <v>0.995</v>
      </c>
      <c r="AI252" s="109" t="str">
        <f>IFERROR(_xlfn.XLOOKUP($A252,Input_Raw!$A:$A,Input_Raw!$DP:$DP),"")</f>
        <v/>
      </c>
      <c r="AJ252" s="108"/>
      <c r="AK252" s="108"/>
      <c r="AL252" s="108"/>
      <c r="AM252" s="108"/>
      <c r="AN252" s="132" t="str">
        <f>IFERROR(_xlfn.XLOOKUP($A252,Input_Raw!$A:$A,Input_Raw!$DL:$DL),"")</f>
        <v/>
      </c>
      <c r="AO252" s="142" t="str">
        <f>IFERROR((_xlfn.XLOOKUP($A252,'WTG Reactive Power'!$A:$A,'WTG Reactive Power'!$AW:$AW))/X252,"")</f>
        <v/>
      </c>
      <c r="AP252" s="142">
        <f>IFERROR(_xlfn.XLOOKUP($D252,'Modelling New'!$D:$D,'Modelling New'!$AK:$AK),"")</f>
        <v>0.05</v>
      </c>
      <c r="AQ252" s="142">
        <f>IFERROR(_xlfn.XLOOKUP($D252,'Modelling New'!$D:$D,'Modelling New'!$AL:$AL),"")</f>
        <v>0.05</v>
      </c>
      <c r="AR252" s="198">
        <f>IFERROR(_xlfn.XLOOKUP($D252,'Modelling New'!$D:$D,'Modelling New'!$N:$N),"")</f>
        <v>70.400000000000006</v>
      </c>
      <c r="AS252" s="198"/>
    </row>
    <row r="253" spans="1:45">
      <c r="A253" s="137">
        <f t="shared" si="23"/>
        <v>45996</v>
      </c>
      <c r="B253" s="138">
        <f>YEAR(Daily_KPI[[#This Row],[Date]])+IF(MONTH(Daily_KPI[[#This Row],[Date]])&gt;=4,1,0)</f>
        <v>2026</v>
      </c>
      <c r="C253" s="108">
        <f>YEAR(Daily_KPI[[#This Row],[Date]])</f>
        <v>2025</v>
      </c>
      <c r="D253" s="139">
        <f>Daily_KPI[[#This Row],[Date]]-DAY(Daily_KPI[[#This Row],[Date]])+1</f>
        <v>45992</v>
      </c>
      <c r="E253" s="108">
        <f t="shared" ref="E253:E279" si="24">DAY(EOMONTH(A253,0))</f>
        <v>31</v>
      </c>
      <c r="F253" s="109"/>
      <c r="G253" s="110"/>
      <c r="H253" s="110"/>
      <c r="I253" s="110"/>
      <c r="J253" s="110"/>
      <c r="K253" s="111"/>
      <c r="L253" s="110"/>
      <c r="M253" s="110" t="str">
        <f>IFERROR(_xlfn.XLOOKUP($A253,Input_Raw!$A:$A,Input_Raw!$CQ:$CQ),"")</f>
        <v/>
      </c>
      <c r="N253" s="110" t="str">
        <f>IFERROR(_xlfn.XLOOKUP($A253,Input_Raw!$A:$A,Input_Raw!$CR:$CR),"")</f>
        <v/>
      </c>
      <c r="O253" s="141" t="str">
        <f t="shared" ref="O253:O279" si="25">IFERROR(P253*Q253,"")</f>
        <v/>
      </c>
      <c r="P253" s="141" t="str">
        <f>IFERROR(1-SUMIF(WTG_BD!$F:$F,$A253,WTG_BD!$AA:$AA)/($AA253+SUMIF(WTG_BD!$F:$F,$A253,WTG_BD!$AA:$AA)),"")</f>
        <v/>
      </c>
      <c r="Q253" s="141" t="str">
        <f>IFERROR(1-SUMIF(IGA_BD!$F:$F,$A253,IGA_BD!$W:$W)/($AA253+SUMIF(IGA_BD!$F:$F,$A253,IGA_BD!$W:$W)),"")</f>
        <v/>
      </c>
      <c r="R253" s="141" t="str">
        <f>IFERROR(1-SUMIF(Grid_BD!$F:$F,$A253,Grid_BD!$Y:$Y)/($AA253+SUMIF(Grid_BD!$F:$F,$A253,Grid_BD!$Y:$Y)),"")</f>
        <v/>
      </c>
      <c r="S253" s="108"/>
      <c r="T253" s="140"/>
      <c r="U253" s="141"/>
      <c r="V253" s="108"/>
      <c r="W253" s="142" t="str">
        <f t="shared" ref="W253:W279" si="26">IFERROR(X253/(24*AB253*1000),"")</f>
        <v/>
      </c>
      <c r="X253" s="108" t="str">
        <f>IFERROR(_xlfn.XLOOKUP($A253,Input_Raw!$A:$A,Input_Raw!$CP:$CP)*1000,"")</f>
        <v/>
      </c>
      <c r="Y253" s="108" t="str">
        <f>IFERROR(_xlfn.XLOOKUP($A253,Input_Raw!$A:$A,Input_Raw!DJ:DJ)*1000,"")</f>
        <v/>
      </c>
      <c r="Z253" s="108" t="str">
        <f>IFERROR(_xlfn.XLOOKUP($A253,Input_Raw!$A:$A,Input_Raw!DK:DK)*1000,"")</f>
        <v/>
      </c>
      <c r="AA253" s="138" t="str">
        <f t="shared" ref="AA253:AA279" si="27">IFERROR(Y253-Z253,"")</f>
        <v/>
      </c>
      <c r="AB253" s="108" t="str">
        <f>IFERROR(_xlfn.XLOOKUP($A253,Input_Raw!$A:$A,Input_Raw!$DR:$DR),"")</f>
        <v/>
      </c>
      <c r="AC253" s="143">
        <f>IFERROR(_xlfn.XLOOKUP($D253,'Modelling New'!$D:$D,'Modelling New'!$J:$J),"")</f>
        <v>4.79</v>
      </c>
      <c r="AD253" s="138">
        <f>IFERROR(_xlfn.XLOOKUP($D253,'Modelling New'!$D:$D,'Modelling New'!$T:$T)*1000,"")</f>
        <v>233936.54337157667</v>
      </c>
      <c r="AE253" s="142"/>
      <c r="AF253" s="142">
        <f>IFERROR(_xlfn.XLOOKUP($D253,'Modelling New'!$D:$D,'Modelling New'!$W:$W),"")</f>
        <v>0.13845676099170021</v>
      </c>
      <c r="AG253" s="142">
        <f>IFERROR(_xlfn.XLOOKUP($D253,'Modelling New'!$D:$D,'Modelling New'!$AE:$AE),"")</f>
        <v>0.96029999999999993</v>
      </c>
      <c r="AH253" s="142">
        <f>IFERROR(_xlfn.XLOOKUP($D253,'Modelling New'!$D:$D,'Modelling New'!$AF:$AF),"")</f>
        <v>0.995</v>
      </c>
      <c r="AI253" s="109" t="str">
        <f>IFERROR(_xlfn.XLOOKUP($A253,Input_Raw!$A:$A,Input_Raw!$DP:$DP),"")</f>
        <v/>
      </c>
      <c r="AJ253" s="108"/>
      <c r="AK253" s="108"/>
      <c r="AL253" s="108"/>
      <c r="AM253" s="108"/>
      <c r="AN253" s="132" t="str">
        <f>IFERROR(_xlfn.XLOOKUP($A253,Input_Raw!$A:$A,Input_Raw!$DL:$DL),"")</f>
        <v/>
      </c>
      <c r="AO253" s="142" t="str">
        <f>IFERROR((_xlfn.XLOOKUP($A253,'WTG Reactive Power'!$A:$A,'WTG Reactive Power'!$AW:$AW))/X253,"")</f>
        <v/>
      </c>
      <c r="AP253" s="142">
        <f>IFERROR(_xlfn.XLOOKUP($D253,'Modelling New'!$D:$D,'Modelling New'!$AK:$AK),"")</f>
        <v>0.05</v>
      </c>
      <c r="AQ253" s="142">
        <f>IFERROR(_xlfn.XLOOKUP($D253,'Modelling New'!$D:$D,'Modelling New'!$AL:$AL),"")</f>
        <v>0.05</v>
      </c>
      <c r="AR253" s="198">
        <f>IFERROR(_xlfn.XLOOKUP($D253,'Modelling New'!$D:$D,'Modelling New'!$N:$N),"")</f>
        <v>70.400000000000006</v>
      </c>
      <c r="AS253" s="198"/>
    </row>
    <row r="254" spans="1:45">
      <c r="A254" s="137">
        <f t="shared" si="23"/>
        <v>45997</v>
      </c>
      <c r="B254" s="138">
        <f>YEAR(Daily_KPI[[#This Row],[Date]])+IF(MONTH(Daily_KPI[[#This Row],[Date]])&gt;=4,1,0)</f>
        <v>2026</v>
      </c>
      <c r="C254" s="108">
        <f>YEAR(Daily_KPI[[#This Row],[Date]])</f>
        <v>2025</v>
      </c>
      <c r="D254" s="139">
        <f>Daily_KPI[[#This Row],[Date]]-DAY(Daily_KPI[[#This Row],[Date]])+1</f>
        <v>45992</v>
      </c>
      <c r="E254" s="108">
        <f t="shared" si="24"/>
        <v>31</v>
      </c>
      <c r="F254" s="109"/>
      <c r="G254" s="143"/>
      <c r="H254" s="143"/>
      <c r="I254" s="143"/>
      <c r="J254" s="143"/>
      <c r="K254" s="111"/>
      <c r="L254" s="110"/>
      <c r="M254" s="110" t="str">
        <f>IFERROR(_xlfn.XLOOKUP($A254,Input_Raw!$A:$A,Input_Raw!$CQ:$CQ),"")</f>
        <v/>
      </c>
      <c r="N254" s="110" t="str">
        <f>IFERROR(_xlfn.XLOOKUP($A254,Input_Raw!$A:$A,Input_Raw!$CR:$CR),"")</f>
        <v/>
      </c>
      <c r="O254" s="141" t="str">
        <f t="shared" si="25"/>
        <v/>
      </c>
      <c r="P254" s="141" t="str">
        <f>IFERROR(1-SUMIF(WTG_BD!$F:$F,$A254,WTG_BD!$AA:$AA)/($AA254+SUMIF(WTG_BD!$F:$F,$A254,WTG_BD!$AA:$AA)),"")</f>
        <v/>
      </c>
      <c r="Q254" s="141" t="str">
        <f>IFERROR(1-SUMIF(IGA_BD!$F:$F,$A254,IGA_BD!$W:$W)/($AA254+SUMIF(IGA_BD!$F:$F,$A254,IGA_BD!$W:$W)),"")</f>
        <v/>
      </c>
      <c r="R254" s="141" t="str">
        <f>IFERROR(1-SUMIF(Grid_BD!$F:$F,$A254,Grid_BD!$Y:$Y)/($AA254+SUMIF(Grid_BD!$F:$F,$A254,Grid_BD!$Y:$Y)),"")</f>
        <v/>
      </c>
      <c r="S254" s="108"/>
      <c r="T254" s="140"/>
      <c r="U254" s="141"/>
      <c r="V254" s="108"/>
      <c r="W254" s="142" t="str">
        <f t="shared" si="26"/>
        <v/>
      </c>
      <c r="X254" s="108" t="str">
        <f>IFERROR(_xlfn.XLOOKUP($A254,Input_Raw!$A:$A,Input_Raw!$CP:$CP)*1000,"")</f>
        <v/>
      </c>
      <c r="Y254" s="108" t="str">
        <f>IFERROR(_xlfn.XLOOKUP($A254,Input_Raw!$A:$A,Input_Raw!DJ:DJ)*1000,"")</f>
        <v/>
      </c>
      <c r="Z254" s="108" t="str">
        <f>IFERROR(_xlfn.XLOOKUP($A254,Input_Raw!$A:$A,Input_Raw!DK:DK)*1000,"")</f>
        <v/>
      </c>
      <c r="AA254" s="138" t="str">
        <f t="shared" si="27"/>
        <v/>
      </c>
      <c r="AB254" s="108" t="str">
        <f>IFERROR(_xlfn.XLOOKUP($A254,Input_Raw!$A:$A,Input_Raw!$DR:$DR),"")</f>
        <v/>
      </c>
      <c r="AC254" s="143">
        <f>IFERROR(_xlfn.XLOOKUP($D254,'Modelling New'!$D:$D,'Modelling New'!$J:$J),"")</f>
        <v>4.79</v>
      </c>
      <c r="AD254" s="138">
        <f>IFERROR(_xlfn.XLOOKUP($D254,'Modelling New'!$D:$D,'Modelling New'!$T:$T)*1000,"")</f>
        <v>233936.54337157667</v>
      </c>
      <c r="AE254" s="142"/>
      <c r="AF254" s="142">
        <f>IFERROR(_xlfn.XLOOKUP($D254,'Modelling New'!$D:$D,'Modelling New'!$W:$W),"")</f>
        <v>0.13845676099170021</v>
      </c>
      <c r="AG254" s="142">
        <f>IFERROR(_xlfn.XLOOKUP($D254,'Modelling New'!$D:$D,'Modelling New'!$AE:$AE),"")</f>
        <v>0.96029999999999993</v>
      </c>
      <c r="AH254" s="142">
        <f>IFERROR(_xlfn.XLOOKUP($D254,'Modelling New'!$D:$D,'Modelling New'!$AF:$AF),"")</f>
        <v>0.995</v>
      </c>
      <c r="AI254" s="109" t="str">
        <f>IFERROR(_xlfn.XLOOKUP($A254,Input_Raw!$A:$A,Input_Raw!$DP:$DP),"")</f>
        <v/>
      </c>
      <c r="AJ254" s="108"/>
      <c r="AK254" s="108"/>
      <c r="AL254" s="108"/>
      <c r="AM254" s="108"/>
      <c r="AN254" s="132" t="str">
        <f>IFERROR(_xlfn.XLOOKUP($A254,Input_Raw!$A:$A,Input_Raw!$DL:$DL),"")</f>
        <v/>
      </c>
      <c r="AO254" s="142" t="str">
        <f>IFERROR((_xlfn.XLOOKUP($A254,'WTG Reactive Power'!$A:$A,'WTG Reactive Power'!$AW:$AW))/X254,"")</f>
        <v/>
      </c>
      <c r="AP254" s="142">
        <f>IFERROR(_xlfn.XLOOKUP($D254,'Modelling New'!$D:$D,'Modelling New'!$AK:$AK),"")</f>
        <v>0.05</v>
      </c>
      <c r="AQ254" s="142">
        <f>IFERROR(_xlfn.XLOOKUP($D254,'Modelling New'!$D:$D,'Modelling New'!$AL:$AL),"")</f>
        <v>0.05</v>
      </c>
      <c r="AR254" s="198">
        <f>IFERROR(_xlfn.XLOOKUP($D254,'Modelling New'!$D:$D,'Modelling New'!$N:$N),"")</f>
        <v>70.400000000000006</v>
      </c>
      <c r="AS254" s="198"/>
    </row>
    <row r="255" spans="1:45">
      <c r="A255" s="137">
        <f t="shared" ref="A255:A318" si="28">A254+1</f>
        <v>45998</v>
      </c>
      <c r="B255" s="138">
        <f>YEAR(Daily_KPI[[#This Row],[Date]])+IF(MONTH(Daily_KPI[[#This Row],[Date]])&gt;=4,1,0)</f>
        <v>2026</v>
      </c>
      <c r="C255" s="108">
        <f>YEAR(Daily_KPI[[#This Row],[Date]])</f>
        <v>2025</v>
      </c>
      <c r="D255" s="139">
        <f>Daily_KPI[[#This Row],[Date]]-DAY(Daily_KPI[[#This Row],[Date]])+1</f>
        <v>45992</v>
      </c>
      <c r="E255" s="108">
        <f t="shared" si="24"/>
        <v>31</v>
      </c>
      <c r="F255" s="109"/>
      <c r="G255" s="110"/>
      <c r="H255" s="110"/>
      <c r="I255" s="110"/>
      <c r="J255" s="110"/>
      <c r="K255" s="111"/>
      <c r="L255" s="110"/>
      <c r="M255" s="110" t="str">
        <f>IFERROR(_xlfn.XLOOKUP($A255,Input_Raw!$A:$A,Input_Raw!$CQ:$CQ),"")</f>
        <v/>
      </c>
      <c r="N255" s="110" t="str">
        <f>IFERROR(_xlfn.XLOOKUP($A255,Input_Raw!$A:$A,Input_Raw!$CR:$CR),"")</f>
        <v/>
      </c>
      <c r="O255" s="141" t="str">
        <f t="shared" si="25"/>
        <v/>
      </c>
      <c r="P255" s="141" t="str">
        <f>IFERROR(1-SUMIF(WTG_BD!$F:$F,$A255,WTG_BD!$AA:$AA)/($AA255+SUMIF(WTG_BD!$F:$F,$A255,WTG_BD!$AA:$AA)),"")</f>
        <v/>
      </c>
      <c r="Q255" s="141" t="str">
        <f>IFERROR(1-SUMIF(IGA_BD!$F:$F,$A255,IGA_BD!$W:$W)/($AA255+SUMIF(IGA_BD!$F:$F,$A255,IGA_BD!$W:$W)),"")</f>
        <v/>
      </c>
      <c r="R255" s="141" t="str">
        <f>IFERROR(1-SUMIF(Grid_BD!$F:$F,$A255,Grid_BD!$Y:$Y)/($AA255+SUMIF(Grid_BD!$F:$F,$A255,Grid_BD!$Y:$Y)),"")</f>
        <v/>
      </c>
      <c r="S255" s="108"/>
      <c r="T255" s="140"/>
      <c r="U255" s="141"/>
      <c r="V255" s="108"/>
      <c r="W255" s="142" t="str">
        <f t="shared" si="26"/>
        <v/>
      </c>
      <c r="X255" s="108" t="str">
        <f>IFERROR(_xlfn.XLOOKUP($A255,Input_Raw!$A:$A,Input_Raw!$CP:$CP)*1000,"")</f>
        <v/>
      </c>
      <c r="Y255" s="108" t="str">
        <f>IFERROR(_xlfn.XLOOKUP($A255,Input_Raw!$A:$A,Input_Raw!DJ:DJ)*1000,"")</f>
        <v/>
      </c>
      <c r="Z255" s="108" t="str">
        <f>IFERROR(_xlfn.XLOOKUP($A255,Input_Raw!$A:$A,Input_Raw!DK:DK)*1000,"")</f>
        <v/>
      </c>
      <c r="AA255" s="138" t="str">
        <f t="shared" si="27"/>
        <v/>
      </c>
      <c r="AB255" s="108" t="str">
        <f>IFERROR(_xlfn.XLOOKUP($A255,Input_Raw!$A:$A,Input_Raw!$DR:$DR),"")</f>
        <v/>
      </c>
      <c r="AC255" s="143">
        <f>IFERROR(_xlfn.XLOOKUP($D255,'Modelling New'!$D:$D,'Modelling New'!$J:$J),"")</f>
        <v>4.79</v>
      </c>
      <c r="AD255" s="138">
        <f>IFERROR(_xlfn.XLOOKUP($D255,'Modelling New'!$D:$D,'Modelling New'!$T:$T)*1000,"")</f>
        <v>233936.54337157667</v>
      </c>
      <c r="AE255" s="142"/>
      <c r="AF255" s="142">
        <f>IFERROR(_xlfn.XLOOKUP($D255,'Modelling New'!$D:$D,'Modelling New'!$W:$W),"")</f>
        <v>0.13845676099170021</v>
      </c>
      <c r="AG255" s="142">
        <f>IFERROR(_xlfn.XLOOKUP($D255,'Modelling New'!$D:$D,'Modelling New'!$AE:$AE),"")</f>
        <v>0.96029999999999993</v>
      </c>
      <c r="AH255" s="142">
        <f>IFERROR(_xlfn.XLOOKUP($D255,'Modelling New'!$D:$D,'Modelling New'!$AF:$AF),"")</f>
        <v>0.995</v>
      </c>
      <c r="AI255" s="109" t="str">
        <f>IFERROR(_xlfn.XLOOKUP($A255,Input_Raw!$A:$A,Input_Raw!$DP:$DP),"")</f>
        <v/>
      </c>
      <c r="AJ255" s="108"/>
      <c r="AK255" s="108"/>
      <c r="AL255" s="108"/>
      <c r="AM255" s="108"/>
      <c r="AN255" s="132" t="str">
        <f>IFERROR(_xlfn.XLOOKUP($A255,Input_Raw!$A:$A,Input_Raw!$DL:$DL),"")</f>
        <v/>
      </c>
      <c r="AO255" s="142" t="str">
        <f>IFERROR((_xlfn.XLOOKUP($A255,'WTG Reactive Power'!$A:$A,'WTG Reactive Power'!$AW:$AW))/X255,"")</f>
        <v/>
      </c>
      <c r="AP255" s="142">
        <f>IFERROR(_xlfn.XLOOKUP($D255,'Modelling New'!$D:$D,'Modelling New'!$AK:$AK),"")</f>
        <v>0.05</v>
      </c>
      <c r="AQ255" s="142">
        <f>IFERROR(_xlfn.XLOOKUP($D255,'Modelling New'!$D:$D,'Modelling New'!$AL:$AL),"")</f>
        <v>0.05</v>
      </c>
      <c r="AR255" s="198">
        <f>IFERROR(_xlfn.XLOOKUP($D255,'Modelling New'!$D:$D,'Modelling New'!$N:$N),"")</f>
        <v>70.400000000000006</v>
      </c>
      <c r="AS255" s="198"/>
    </row>
    <row r="256" spans="1:45">
      <c r="A256" s="137">
        <f t="shared" si="28"/>
        <v>45999</v>
      </c>
      <c r="B256" s="138">
        <f>YEAR(Daily_KPI[[#This Row],[Date]])+IF(MONTH(Daily_KPI[[#This Row],[Date]])&gt;=4,1,0)</f>
        <v>2026</v>
      </c>
      <c r="C256" s="108">
        <f>YEAR(Daily_KPI[[#This Row],[Date]])</f>
        <v>2025</v>
      </c>
      <c r="D256" s="139">
        <f>Daily_KPI[[#This Row],[Date]]-DAY(Daily_KPI[[#This Row],[Date]])+1</f>
        <v>45992</v>
      </c>
      <c r="E256" s="108">
        <f t="shared" si="24"/>
        <v>31</v>
      </c>
      <c r="F256" s="109"/>
      <c r="G256" s="143"/>
      <c r="H256" s="143"/>
      <c r="I256" s="143"/>
      <c r="J256" s="143"/>
      <c r="K256" s="111"/>
      <c r="L256" s="110"/>
      <c r="M256" s="110" t="str">
        <f>IFERROR(_xlfn.XLOOKUP($A256,Input_Raw!$A:$A,Input_Raw!$CQ:$CQ),"")</f>
        <v/>
      </c>
      <c r="N256" s="110" t="str">
        <f>IFERROR(_xlfn.XLOOKUP($A256,Input_Raw!$A:$A,Input_Raw!$CR:$CR),"")</f>
        <v/>
      </c>
      <c r="O256" s="141" t="str">
        <f t="shared" si="25"/>
        <v/>
      </c>
      <c r="P256" s="141" t="str">
        <f>IFERROR(1-SUMIF(WTG_BD!$F:$F,$A256,WTG_BD!$AA:$AA)/($AA256+SUMIF(WTG_BD!$F:$F,$A256,WTG_BD!$AA:$AA)),"")</f>
        <v/>
      </c>
      <c r="Q256" s="141" t="str">
        <f>IFERROR(1-SUMIF(IGA_BD!$F:$F,$A256,IGA_BD!$W:$W)/($AA256+SUMIF(IGA_BD!$F:$F,$A256,IGA_BD!$W:$W)),"")</f>
        <v/>
      </c>
      <c r="R256" s="141" t="str">
        <f>IFERROR(1-SUMIF(Grid_BD!$F:$F,$A256,Grid_BD!$Y:$Y)/($AA256+SUMIF(Grid_BD!$F:$F,$A256,Grid_BD!$Y:$Y)),"")</f>
        <v/>
      </c>
      <c r="S256" s="108"/>
      <c r="T256" s="140"/>
      <c r="U256" s="141"/>
      <c r="V256" s="108"/>
      <c r="W256" s="142" t="str">
        <f t="shared" si="26"/>
        <v/>
      </c>
      <c r="X256" s="108" t="str">
        <f>IFERROR(_xlfn.XLOOKUP($A256,Input_Raw!$A:$A,Input_Raw!$CP:$CP)*1000,"")</f>
        <v/>
      </c>
      <c r="Y256" s="108" t="str">
        <f>IFERROR(_xlfn.XLOOKUP($A256,Input_Raw!$A:$A,Input_Raw!DJ:DJ)*1000,"")</f>
        <v/>
      </c>
      <c r="Z256" s="108" t="str">
        <f>IFERROR(_xlfn.XLOOKUP($A256,Input_Raw!$A:$A,Input_Raw!DK:DK)*1000,"")</f>
        <v/>
      </c>
      <c r="AA256" s="138" t="str">
        <f t="shared" si="27"/>
        <v/>
      </c>
      <c r="AB256" s="108" t="str">
        <f>IFERROR(_xlfn.XLOOKUP($A256,Input_Raw!$A:$A,Input_Raw!$DR:$DR),"")</f>
        <v/>
      </c>
      <c r="AC256" s="143">
        <f>IFERROR(_xlfn.XLOOKUP($D256,'Modelling New'!$D:$D,'Modelling New'!$J:$J),"")</f>
        <v>4.79</v>
      </c>
      <c r="AD256" s="138">
        <f>IFERROR(_xlfn.XLOOKUP($D256,'Modelling New'!$D:$D,'Modelling New'!$T:$T)*1000,"")</f>
        <v>233936.54337157667</v>
      </c>
      <c r="AE256" s="142"/>
      <c r="AF256" s="142">
        <f>IFERROR(_xlfn.XLOOKUP($D256,'Modelling New'!$D:$D,'Modelling New'!$W:$W),"")</f>
        <v>0.13845676099170021</v>
      </c>
      <c r="AG256" s="142">
        <f>IFERROR(_xlfn.XLOOKUP($D256,'Modelling New'!$D:$D,'Modelling New'!$AE:$AE),"")</f>
        <v>0.96029999999999993</v>
      </c>
      <c r="AH256" s="142">
        <f>IFERROR(_xlfn.XLOOKUP($D256,'Modelling New'!$D:$D,'Modelling New'!$AF:$AF),"")</f>
        <v>0.995</v>
      </c>
      <c r="AI256" s="109" t="str">
        <f>IFERROR(_xlfn.XLOOKUP($A256,Input_Raw!$A:$A,Input_Raw!$DP:$DP),"")</f>
        <v/>
      </c>
      <c r="AJ256" s="108"/>
      <c r="AK256" s="108"/>
      <c r="AL256" s="108"/>
      <c r="AM256" s="108"/>
      <c r="AN256" s="132" t="str">
        <f>IFERROR(_xlfn.XLOOKUP($A256,Input_Raw!$A:$A,Input_Raw!$DL:$DL),"")</f>
        <v/>
      </c>
      <c r="AO256" s="142" t="str">
        <f>IFERROR((_xlfn.XLOOKUP($A256,'WTG Reactive Power'!$A:$A,'WTG Reactive Power'!$AW:$AW))/X256,"")</f>
        <v/>
      </c>
      <c r="AP256" s="142">
        <f>IFERROR(_xlfn.XLOOKUP($D256,'Modelling New'!$D:$D,'Modelling New'!$AK:$AK),"")</f>
        <v>0.05</v>
      </c>
      <c r="AQ256" s="142">
        <f>IFERROR(_xlfn.XLOOKUP($D256,'Modelling New'!$D:$D,'Modelling New'!$AL:$AL),"")</f>
        <v>0.05</v>
      </c>
      <c r="AR256" s="198">
        <f>IFERROR(_xlfn.XLOOKUP($D256,'Modelling New'!$D:$D,'Modelling New'!$N:$N),"")</f>
        <v>70.400000000000006</v>
      </c>
      <c r="AS256" s="198"/>
    </row>
    <row r="257" spans="1:45">
      <c r="A257" s="137">
        <f t="shared" si="28"/>
        <v>46000</v>
      </c>
      <c r="B257" s="138">
        <f>YEAR(Daily_KPI[[#This Row],[Date]])+IF(MONTH(Daily_KPI[[#This Row],[Date]])&gt;=4,1,0)</f>
        <v>2026</v>
      </c>
      <c r="C257" s="108">
        <f>YEAR(Daily_KPI[[#This Row],[Date]])</f>
        <v>2025</v>
      </c>
      <c r="D257" s="139">
        <f>Daily_KPI[[#This Row],[Date]]-DAY(Daily_KPI[[#This Row],[Date]])+1</f>
        <v>45992</v>
      </c>
      <c r="E257" s="108">
        <f t="shared" si="24"/>
        <v>31</v>
      </c>
      <c r="F257" s="109"/>
      <c r="G257" s="110"/>
      <c r="H257" s="110"/>
      <c r="I257" s="110"/>
      <c r="J257" s="110"/>
      <c r="K257" s="111"/>
      <c r="L257" s="110"/>
      <c r="M257" s="110" t="str">
        <f>IFERROR(_xlfn.XLOOKUP($A257,Input_Raw!$A:$A,Input_Raw!$CQ:$CQ),"")</f>
        <v/>
      </c>
      <c r="N257" s="110" t="str">
        <f>IFERROR(_xlfn.XLOOKUP($A257,Input_Raw!$A:$A,Input_Raw!$CR:$CR),"")</f>
        <v/>
      </c>
      <c r="O257" s="141" t="str">
        <f t="shared" si="25"/>
        <v/>
      </c>
      <c r="P257" s="141" t="str">
        <f>IFERROR(1-SUMIF(WTG_BD!$F:$F,$A257,WTG_BD!$AA:$AA)/($AA257+SUMIF(WTG_BD!$F:$F,$A257,WTG_BD!$AA:$AA)),"")</f>
        <v/>
      </c>
      <c r="Q257" s="141" t="str">
        <f>IFERROR(1-SUMIF(IGA_BD!$F:$F,$A257,IGA_BD!$W:$W)/($AA257+SUMIF(IGA_BD!$F:$F,$A257,IGA_BD!$W:$W)),"")</f>
        <v/>
      </c>
      <c r="R257" s="141" t="str">
        <f>IFERROR(1-SUMIF(Grid_BD!$F:$F,$A257,Grid_BD!$Y:$Y)/($AA257+SUMIF(Grid_BD!$F:$F,$A257,Grid_BD!$Y:$Y)),"")</f>
        <v/>
      </c>
      <c r="S257" s="108"/>
      <c r="T257" s="140"/>
      <c r="U257" s="141"/>
      <c r="V257" s="108"/>
      <c r="W257" s="142" t="str">
        <f t="shared" si="26"/>
        <v/>
      </c>
      <c r="X257" s="108" t="str">
        <f>IFERROR(_xlfn.XLOOKUP($A257,Input_Raw!$A:$A,Input_Raw!$CP:$CP)*1000,"")</f>
        <v/>
      </c>
      <c r="Y257" s="108" t="str">
        <f>IFERROR(_xlfn.XLOOKUP($A257,Input_Raw!$A:$A,Input_Raw!DJ:DJ)*1000,"")</f>
        <v/>
      </c>
      <c r="Z257" s="108" t="str">
        <f>IFERROR(_xlfn.XLOOKUP($A257,Input_Raw!$A:$A,Input_Raw!DK:DK)*1000,"")</f>
        <v/>
      </c>
      <c r="AA257" s="138" t="str">
        <f t="shared" si="27"/>
        <v/>
      </c>
      <c r="AB257" s="108" t="str">
        <f>IFERROR(_xlfn.XLOOKUP($A257,Input_Raw!$A:$A,Input_Raw!$DR:$DR),"")</f>
        <v/>
      </c>
      <c r="AC257" s="143">
        <f>IFERROR(_xlfn.XLOOKUP($D257,'Modelling New'!$D:$D,'Modelling New'!$J:$J),"")</f>
        <v>4.79</v>
      </c>
      <c r="AD257" s="138">
        <f>IFERROR(_xlfn.XLOOKUP($D257,'Modelling New'!$D:$D,'Modelling New'!$T:$T)*1000,"")</f>
        <v>233936.54337157667</v>
      </c>
      <c r="AE257" s="142"/>
      <c r="AF257" s="142">
        <f>IFERROR(_xlfn.XLOOKUP($D257,'Modelling New'!$D:$D,'Modelling New'!$W:$W),"")</f>
        <v>0.13845676099170021</v>
      </c>
      <c r="AG257" s="142">
        <f>IFERROR(_xlfn.XLOOKUP($D257,'Modelling New'!$D:$D,'Modelling New'!$AE:$AE),"")</f>
        <v>0.96029999999999993</v>
      </c>
      <c r="AH257" s="142">
        <f>IFERROR(_xlfn.XLOOKUP($D257,'Modelling New'!$D:$D,'Modelling New'!$AF:$AF),"")</f>
        <v>0.995</v>
      </c>
      <c r="AI257" s="109" t="str">
        <f>IFERROR(_xlfn.XLOOKUP($A257,Input_Raw!$A:$A,Input_Raw!$DP:$DP),"")</f>
        <v/>
      </c>
      <c r="AJ257" s="108"/>
      <c r="AK257" s="108"/>
      <c r="AL257" s="108"/>
      <c r="AM257" s="108"/>
      <c r="AN257" s="132" t="str">
        <f>IFERROR(_xlfn.XLOOKUP($A257,Input_Raw!$A:$A,Input_Raw!$DL:$DL),"")</f>
        <v/>
      </c>
      <c r="AO257" s="142" t="str">
        <f>IFERROR((_xlfn.XLOOKUP($A257,'WTG Reactive Power'!$A:$A,'WTG Reactive Power'!$AW:$AW))/X257,"")</f>
        <v/>
      </c>
      <c r="AP257" s="142">
        <f>IFERROR(_xlfn.XLOOKUP($D257,'Modelling New'!$D:$D,'Modelling New'!$AK:$AK),"")</f>
        <v>0.05</v>
      </c>
      <c r="AQ257" s="142">
        <f>IFERROR(_xlfn.XLOOKUP($D257,'Modelling New'!$D:$D,'Modelling New'!$AL:$AL),"")</f>
        <v>0.05</v>
      </c>
      <c r="AR257" s="198">
        <f>IFERROR(_xlfn.XLOOKUP($D257,'Modelling New'!$D:$D,'Modelling New'!$N:$N),"")</f>
        <v>70.400000000000006</v>
      </c>
      <c r="AS257" s="198"/>
    </row>
    <row r="258" spans="1:45">
      <c r="A258" s="137">
        <f t="shared" si="28"/>
        <v>46001</v>
      </c>
      <c r="B258" s="138">
        <f>YEAR(Daily_KPI[[#This Row],[Date]])+IF(MONTH(Daily_KPI[[#This Row],[Date]])&gt;=4,1,0)</f>
        <v>2026</v>
      </c>
      <c r="C258" s="108">
        <f>YEAR(Daily_KPI[[#This Row],[Date]])</f>
        <v>2025</v>
      </c>
      <c r="D258" s="139">
        <f>Daily_KPI[[#This Row],[Date]]-DAY(Daily_KPI[[#This Row],[Date]])+1</f>
        <v>45992</v>
      </c>
      <c r="E258" s="108">
        <f t="shared" si="24"/>
        <v>31</v>
      </c>
      <c r="F258" s="109"/>
      <c r="G258" s="143"/>
      <c r="H258" s="143"/>
      <c r="I258" s="143"/>
      <c r="J258" s="143"/>
      <c r="K258" s="111"/>
      <c r="L258" s="110"/>
      <c r="M258" s="110" t="str">
        <f>IFERROR(_xlfn.XLOOKUP($A258,Input_Raw!$A:$A,Input_Raw!$CQ:$CQ),"")</f>
        <v/>
      </c>
      <c r="N258" s="110" t="str">
        <f>IFERROR(_xlfn.XLOOKUP($A258,Input_Raw!$A:$A,Input_Raw!$CR:$CR),"")</f>
        <v/>
      </c>
      <c r="O258" s="141" t="str">
        <f t="shared" si="25"/>
        <v/>
      </c>
      <c r="P258" s="141" t="str">
        <f>IFERROR(1-SUMIF(WTG_BD!$F:$F,$A258,WTG_BD!$AA:$AA)/($AA258+SUMIF(WTG_BD!$F:$F,$A258,WTG_BD!$AA:$AA)),"")</f>
        <v/>
      </c>
      <c r="Q258" s="141" t="str">
        <f>IFERROR(1-SUMIF(IGA_BD!$F:$F,$A258,IGA_BD!$W:$W)/($AA258+SUMIF(IGA_BD!$F:$F,$A258,IGA_BD!$W:$W)),"")</f>
        <v/>
      </c>
      <c r="R258" s="141" t="str">
        <f>IFERROR(1-SUMIF(Grid_BD!$F:$F,$A258,Grid_BD!$Y:$Y)/($AA258+SUMIF(Grid_BD!$F:$F,$A258,Grid_BD!$Y:$Y)),"")</f>
        <v/>
      </c>
      <c r="S258" s="108"/>
      <c r="T258" s="140"/>
      <c r="U258" s="141"/>
      <c r="V258" s="108"/>
      <c r="W258" s="142" t="str">
        <f t="shared" si="26"/>
        <v/>
      </c>
      <c r="X258" s="108" t="str">
        <f>IFERROR(_xlfn.XLOOKUP($A258,Input_Raw!$A:$A,Input_Raw!$CP:$CP)*1000,"")</f>
        <v/>
      </c>
      <c r="Y258" s="108" t="str">
        <f>IFERROR(_xlfn.XLOOKUP($A258,Input_Raw!$A:$A,Input_Raw!DJ:DJ)*1000,"")</f>
        <v/>
      </c>
      <c r="Z258" s="108" t="str">
        <f>IFERROR(_xlfn.XLOOKUP($A258,Input_Raw!$A:$A,Input_Raw!DK:DK)*1000,"")</f>
        <v/>
      </c>
      <c r="AA258" s="138" t="str">
        <f t="shared" si="27"/>
        <v/>
      </c>
      <c r="AB258" s="108" t="str">
        <f>IFERROR(_xlfn.XLOOKUP($A258,Input_Raw!$A:$A,Input_Raw!$DR:$DR),"")</f>
        <v/>
      </c>
      <c r="AC258" s="143">
        <f>IFERROR(_xlfn.XLOOKUP($D258,'Modelling New'!$D:$D,'Modelling New'!$J:$J),"")</f>
        <v>4.79</v>
      </c>
      <c r="AD258" s="138">
        <f>IFERROR(_xlfn.XLOOKUP($D258,'Modelling New'!$D:$D,'Modelling New'!$T:$T)*1000,"")</f>
        <v>233936.54337157667</v>
      </c>
      <c r="AE258" s="142"/>
      <c r="AF258" s="142">
        <f>IFERROR(_xlfn.XLOOKUP($D258,'Modelling New'!$D:$D,'Modelling New'!$W:$W),"")</f>
        <v>0.13845676099170021</v>
      </c>
      <c r="AG258" s="142">
        <f>IFERROR(_xlfn.XLOOKUP($D258,'Modelling New'!$D:$D,'Modelling New'!$AE:$AE),"")</f>
        <v>0.96029999999999993</v>
      </c>
      <c r="AH258" s="142">
        <f>IFERROR(_xlfn.XLOOKUP($D258,'Modelling New'!$D:$D,'Modelling New'!$AF:$AF),"")</f>
        <v>0.995</v>
      </c>
      <c r="AI258" s="109" t="str">
        <f>IFERROR(_xlfn.XLOOKUP($A258,Input_Raw!$A:$A,Input_Raw!$DP:$DP),"")</f>
        <v/>
      </c>
      <c r="AJ258" s="108"/>
      <c r="AK258" s="108"/>
      <c r="AL258" s="108"/>
      <c r="AM258" s="108"/>
      <c r="AN258" s="132" t="str">
        <f>IFERROR(_xlfn.XLOOKUP($A258,Input_Raw!$A:$A,Input_Raw!$DL:$DL),"")</f>
        <v/>
      </c>
      <c r="AO258" s="142" t="str">
        <f>IFERROR((_xlfn.XLOOKUP($A258,'WTG Reactive Power'!$A:$A,'WTG Reactive Power'!$AW:$AW))/X258,"")</f>
        <v/>
      </c>
      <c r="AP258" s="142">
        <f>IFERROR(_xlfn.XLOOKUP($D258,'Modelling New'!$D:$D,'Modelling New'!$AK:$AK),"")</f>
        <v>0.05</v>
      </c>
      <c r="AQ258" s="142">
        <f>IFERROR(_xlfn.XLOOKUP($D258,'Modelling New'!$D:$D,'Modelling New'!$AL:$AL),"")</f>
        <v>0.05</v>
      </c>
      <c r="AR258" s="198">
        <f>IFERROR(_xlfn.XLOOKUP($D258,'Modelling New'!$D:$D,'Modelling New'!$N:$N),"")</f>
        <v>70.400000000000006</v>
      </c>
      <c r="AS258" s="198"/>
    </row>
    <row r="259" spans="1:45">
      <c r="A259" s="137">
        <f t="shared" si="28"/>
        <v>46002</v>
      </c>
      <c r="B259" s="138">
        <f>YEAR(Daily_KPI[[#This Row],[Date]])+IF(MONTH(Daily_KPI[[#This Row],[Date]])&gt;=4,1,0)</f>
        <v>2026</v>
      </c>
      <c r="C259" s="108">
        <f>YEAR(Daily_KPI[[#This Row],[Date]])</f>
        <v>2025</v>
      </c>
      <c r="D259" s="139">
        <f>Daily_KPI[[#This Row],[Date]]-DAY(Daily_KPI[[#This Row],[Date]])+1</f>
        <v>45992</v>
      </c>
      <c r="E259" s="108">
        <f t="shared" si="24"/>
        <v>31</v>
      </c>
      <c r="F259" s="109"/>
      <c r="G259" s="110"/>
      <c r="H259" s="110"/>
      <c r="I259" s="110"/>
      <c r="J259" s="110"/>
      <c r="K259" s="111"/>
      <c r="L259" s="110"/>
      <c r="M259" s="110" t="str">
        <f>IFERROR(_xlfn.XLOOKUP($A259,Input_Raw!$A:$A,Input_Raw!$CQ:$CQ),"")</f>
        <v/>
      </c>
      <c r="N259" s="110" t="str">
        <f>IFERROR(_xlfn.XLOOKUP($A259,Input_Raw!$A:$A,Input_Raw!$CR:$CR),"")</f>
        <v/>
      </c>
      <c r="O259" s="141" t="str">
        <f t="shared" si="25"/>
        <v/>
      </c>
      <c r="P259" s="141" t="str">
        <f>IFERROR(1-SUMIF(WTG_BD!$F:$F,$A259,WTG_BD!$AA:$AA)/($AA259+SUMIF(WTG_BD!$F:$F,$A259,WTG_BD!$AA:$AA)),"")</f>
        <v/>
      </c>
      <c r="Q259" s="141" t="str">
        <f>IFERROR(1-SUMIF(IGA_BD!$F:$F,$A259,IGA_BD!$W:$W)/($AA259+SUMIF(IGA_BD!$F:$F,$A259,IGA_BD!$W:$W)),"")</f>
        <v/>
      </c>
      <c r="R259" s="141" t="str">
        <f>IFERROR(1-SUMIF(Grid_BD!$F:$F,$A259,Grid_BD!$Y:$Y)/($AA259+SUMIF(Grid_BD!$F:$F,$A259,Grid_BD!$Y:$Y)),"")</f>
        <v/>
      </c>
      <c r="S259" s="108"/>
      <c r="T259" s="140"/>
      <c r="U259" s="141"/>
      <c r="V259" s="108"/>
      <c r="W259" s="142" t="str">
        <f t="shared" si="26"/>
        <v/>
      </c>
      <c r="X259" s="108" t="str">
        <f>IFERROR(_xlfn.XLOOKUP($A259,Input_Raw!$A:$A,Input_Raw!$CP:$CP)*1000,"")</f>
        <v/>
      </c>
      <c r="Y259" s="108" t="str">
        <f>IFERROR(_xlfn.XLOOKUP($A259,Input_Raw!$A:$A,Input_Raw!DJ:DJ)*1000,"")</f>
        <v/>
      </c>
      <c r="Z259" s="108" t="str">
        <f>IFERROR(_xlfn.XLOOKUP($A259,Input_Raw!$A:$A,Input_Raw!DK:DK)*1000,"")</f>
        <v/>
      </c>
      <c r="AA259" s="138" t="str">
        <f t="shared" si="27"/>
        <v/>
      </c>
      <c r="AB259" s="108" t="str">
        <f>IFERROR(_xlfn.XLOOKUP($A259,Input_Raw!$A:$A,Input_Raw!$DR:$DR),"")</f>
        <v/>
      </c>
      <c r="AC259" s="143">
        <f>IFERROR(_xlfn.XLOOKUP($D259,'Modelling New'!$D:$D,'Modelling New'!$J:$J),"")</f>
        <v>4.79</v>
      </c>
      <c r="AD259" s="138">
        <f>IFERROR(_xlfn.XLOOKUP($D259,'Modelling New'!$D:$D,'Modelling New'!$T:$T)*1000,"")</f>
        <v>233936.54337157667</v>
      </c>
      <c r="AE259" s="142"/>
      <c r="AF259" s="142">
        <f>IFERROR(_xlfn.XLOOKUP($D259,'Modelling New'!$D:$D,'Modelling New'!$W:$W),"")</f>
        <v>0.13845676099170021</v>
      </c>
      <c r="AG259" s="142">
        <f>IFERROR(_xlfn.XLOOKUP($D259,'Modelling New'!$D:$D,'Modelling New'!$AE:$AE),"")</f>
        <v>0.96029999999999993</v>
      </c>
      <c r="AH259" s="142">
        <f>IFERROR(_xlfn.XLOOKUP($D259,'Modelling New'!$D:$D,'Modelling New'!$AF:$AF),"")</f>
        <v>0.995</v>
      </c>
      <c r="AI259" s="109" t="str">
        <f>IFERROR(_xlfn.XLOOKUP($A259,Input_Raw!$A:$A,Input_Raw!$DP:$DP),"")</f>
        <v/>
      </c>
      <c r="AJ259" s="108"/>
      <c r="AK259" s="108"/>
      <c r="AL259" s="108"/>
      <c r="AM259" s="108"/>
      <c r="AN259" s="132" t="str">
        <f>IFERROR(_xlfn.XLOOKUP($A259,Input_Raw!$A:$A,Input_Raw!$DL:$DL),"")</f>
        <v/>
      </c>
      <c r="AO259" s="142" t="str">
        <f>IFERROR((_xlfn.XLOOKUP($A259,'WTG Reactive Power'!$A:$A,'WTG Reactive Power'!$AW:$AW))/X259,"")</f>
        <v/>
      </c>
      <c r="AP259" s="142">
        <f>IFERROR(_xlfn.XLOOKUP($D259,'Modelling New'!$D:$D,'Modelling New'!$AK:$AK),"")</f>
        <v>0.05</v>
      </c>
      <c r="AQ259" s="142">
        <f>IFERROR(_xlfn.XLOOKUP($D259,'Modelling New'!$D:$D,'Modelling New'!$AL:$AL),"")</f>
        <v>0.05</v>
      </c>
      <c r="AR259" s="198">
        <f>IFERROR(_xlfn.XLOOKUP($D259,'Modelling New'!$D:$D,'Modelling New'!$N:$N),"")</f>
        <v>70.400000000000006</v>
      </c>
      <c r="AS259" s="198"/>
    </row>
    <row r="260" spans="1:45">
      <c r="A260" s="137">
        <f t="shared" si="28"/>
        <v>46003</v>
      </c>
      <c r="B260" s="138">
        <f>YEAR(Daily_KPI[[#This Row],[Date]])+IF(MONTH(Daily_KPI[[#This Row],[Date]])&gt;=4,1,0)</f>
        <v>2026</v>
      </c>
      <c r="C260" s="108">
        <f>YEAR(Daily_KPI[[#This Row],[Date]])</f>
        <v>2025</v>
      </c>
      <c r="D260" s="139">
        <f>Daily_KPI[[#This Row],[Date]]-DAY(Daily_KPI[[#This Row],[Date]])+1</f>
        <v>45992</v>
      </c>
      <c r="E260" s="108">
        <f t="shared" si="24"/>
        <v>31</v>
      </c>
      <c r="F260" s="109"/>
      <c r="G260" s="143"/>
      <c r="H260" s="143"/>
      <c r="I260" s="143"/>
      <c r="J260" s="143"/>
      <c r="K260" s="111"/>
      <c r="L260" s="110"/>
      <c r="M260" s="110" t="str">
        <f>IFERROR(_xlfn.XLOOKUP($A260,Input_Raw!$A:$A,Input_Raw!$CQ:$CQ),"")</f>
        <v/>
      </c>
      <c r="N260" s="110" t="str">
        <f>IFERROR(_xlfn.XLOOKUP($A260,Input_Raw!$A:$A,Input_Raw!$CR:$CR),"")</f>
        <v/>
      </c>
      <c r="O260" s="141" t="str">
        <f t="shared" si="25"/>
        <v/>
      </c>
      <c r="P260" s="141" t="str">
        <f>IFERROR(1-SUMIF(WTG_BD!$F:$F,$A260,WTG_BD!$AA:$AA)/($AA260+SUMIF(WTG_BD!$F:$F,$A260,WTG_BD!$AA:$AA)),"")</f>
        <v/>
      </c>
      <c r="Q260" s="141" t="str">
        <f>IFERROR(1-SUMIF(IGA_BD!$F:$F,$A260,IGA_BD!$W:$W)/($AA260+SUMIF(IGA_BD!$F:$F,$A260,IGA_BD!$W:$W)),"")</f>
        <v/>
      </c>
      <c r="R260" s="141" t="str">
        <f>IFERROR(1-SUMIF(Grid_BD!$F:$F,$A260,Grid_BD!$Y:$Y)/($AA260+SUMIF(Grid_BD!$F:$F,$A260,Grid_BD!$Y:$Y)),"")</f>
        <v/>
      </c>
      <c r="S260" s="108"/>
      <c r="T260" s="140"/>
      <c r="U260" s="141"/>
      <c r="V260" s="108"/>
      <c r="W260" s="142" t="str">
        <f t="shared" si="26"/>
        <v/>
      </c>
      <c r="X260" s="108" t="str">
        <f>IFERROR(_xlfn.XLOOKUP($A260,Input_Raw!$A:$A,Input_Raw!$CP:$CP)*1000,"")</f>
        <v/>
      </c>
      <c r="Y260" s="108" t="str">
        <f>IFERROR(_xlfn.XLOOKUP($A260,Input_Raw!$A:$A,Input_Raw!DJ:DJ)*1000,"")</f>
        <v/>
      </c>
      <c r="Z260" s="108" t="str">
        <f>IFERROR(_xlfn.XLOOKUP($A260,Input_Raw!$A:$A,Input_Raw!DK:DK)*1000,"")</f>
        <v/>
      </c>
      <c r="AA260" s="138" t="str">
        <f t="shared" si="27"/>
        <v/>
      </c>
      <c r="AB260" s="108" t="str">
        <f>IFERROR(_xlfn.XLOOKUP($A260,Input_Raw!$A:$A,Input_Raw!$DR:$DR),"")</f>
        <v/>
      </c>
      <c r="AC260" s="143">
        <f>IFERROR(_xlfn.XLOOKUP($D260,'Modelling New'!$D:$D,'Modelling New'!$J:$J),"")</f>
        <v>4.79</v>
      </c>
      <c r="AD260" s="138">
        <f>IFERROR(_xlfn.XLOOKUP($D260,'Modelling New'!$D:$D,'Modelling New'!$T:$T)*1000,"")</f>
        <v>233936.54337157667</v>
      </c>
      <c r="AE260" s="142"/>
      <c r="AF260" s="142">
        <f>IFERROR(_xlfn.XLOOKUP($D260,'Modelling New'!$D:$D,'Modelling New'!$W:$W),"")</f>
        <v>0.13845676099170021</v>
      </c>
      <c r="AG260" s="142">
        <f>IFERROR(_xlfn.XLOOKUP($D260,'Modelling New'!$D:$D,'Modelling New'!$AE:$AE),"")</f>
        <v>0.96029999999999993</v>
      </c>
      <c r="AH260" s="142">
        <f>IFERROR(_xlfn.XLOOKUP($D260,'Modelling New'!$D:$D,'Modelling New'!$AF:$AF),"")</f>
        <v>0.995</v>
      </c>
      <c r="AI260" s="109" t="str">
        <f>IFERROR(_xlfn.XLOOKUP($A260,Input_Raw!$A:$A,Input_Raw!$DP:$DP),"")</f>
        <v/>
      </c>
      <c r="AJ260" s="108"/>
      <c r="AK260" s="108"/>
      <c r="AL260" s="108"/>
      <c r="AM260" s="108"/>
      <c r="AN260" s="132" t="str">
        <f>IFERROR(_xlfn.XLOOKUP($A260,Input_Raw!$A:$A,Input_Raw!$DL:$DL),"")</f>
        <v/>
      </c>
      <c r="AO260" s="142" t="str">
        <f>IFERROR((_xlfn.XLOOKUP($A260,'WTG Reactive Power'!$A:$A,'WTG Reactive Power'!$AW:$AW))/X260,"")</f>
        <v/>
      </c>
      <c r="AP260" s="142">
        <f>IFERROR(_xlfn.XLOOKUP($D260,'Modelling New'!$D:$D,'Modelling New'!$AK:$AK),"")</f>
        <v>0.05</v>
      </c>
      <c r="AQ260" s="142">
        <f>IFERROR(_xlfn.XLOOKUP($D260,'Modelling New'!$D:$D,'Modelling New'!$AL:$AL),"")</f>
        <v>0.05</v>
      </c>
      <c r="AR260" s="198">
        <f>IFERROR(_xlfn.XLOOKUP($D260,'Modelling New'!$D:$D,'Modelling New'!$N:$N),"")</f>
        <v>70.400000000000006</v>
      </c>
      <c r="AS260" s="198"/>
    </row>
    <row r="261" spans="1:45">
      <c r="A261" s="137">
        <f t="shared" si="28"/>
        <v>46004</v>
      </c>
      <c r="B261" s="138">
        <f>YEAR(Daily_KPI[[#This Row],[Date]])+IF(MONTH(Daily_KPI[[#This Row],[Date]])&gt;=4,1,0)</f>
        <v>2026</v>
      </c>
      <c r="C261" s="108">
        <f>YEAR(Daily_KPI[[#This Row],[Date]])</f>
        <v>2025</v>
      </c>
      <c r="D261" s="139">
        <f>Daily_KPI[[#This Row],[Date]]-DAY(Daily_KPI[[#This Row],[Date]])+1</f>
        <v>45992</v>
      </c>
      <c r="E261" s="108">
        <f t="shared" si="24"/>
        <v>31</v>
      </c>
      <c r="F261" s="109"/>
      <c r="G261" s="110"/>
      <c r="H261" s="110"/>
      <c r="I261" s="110"/>
      <c r="J261" s="110"/>
      <c r="K261" s="111"/>
      <c r="L261" s="110"/>
      <c r="M261" s="110" t="str">
        <f>IFERROR(_xlfn.XLOOKUP($A261,Input_Raw!$A:$A,Input_Raw!$CQ:$CQ),"")</f>
        <v/>
      </c>
      <c r="N261" s="110" t="str">
        <f>IFERROR(_xlfn.XLOOKUP($A261,Input_Raw!$A:$A,Input_Raw!$CR:$CR),"")</f>
        <v/>
      </c>
      <c r="O261" s="141" t="str">
        <f t="shared" si="25"/>
        <v/>
      </c>
      <c r="P261" s="141" t="str">
        <f>IFERROR(1-SUMIF(WTG_BD!$F:$F,$A261,WTG_BD!$AA:$AA)/($AA261+SUMIF(WTG_BD!$F:$F,$A261,WTG_BD!$AA:$AA)),"")</f>
        <v/>
      </c>
      <c r="Q261" s="141" t="str">
        <f>IFERROR(1-SUMIF(IGA_BD!$F:$F,$A261,IGA_BD!$W:$W)/($AA261+SUMIF(IGA_BD!$F:$F,$A261,IGA_BD!$W:$W)),"")</f>
        <v/>
      </c>
      <c r="R261" s="141" t="str">
        <f>IFERROR(1-SUMIF(Grid_BD!$F:$F,$A261,Grid_BD!$Y:$Y)/($AA261+SUMIF(Grid_BD!$F:$F,$A261,Grid_BD!$Y:$Y)),"")</f>
        <v/>
      </c>
      <c r="S261" s="108"/>
      <c r="T261" s="140"/>
      <c r="U261" s="141"/>
      <c r="V261" s="108"/>
      <c r="W261" s="142" t="str">
        <f t="shared" si="26"/>
        <v/>
      </c>
      <c r="X261" s="108" t="str">
        <f>IFERROR(_xlfn.XLOOKUP($A261,Input_Raw!$A:$A,Input_Raw!$CP:$CP)*1000,"")</f>
        <v/>
      </c>
      <c r="Y261" s="108" t="str">
        <f>IFERROR(_xlfn.XLOOKUP($A261,Input_Raw!$A:$A,Input_Raw!DJ:DJ)*1000,"")</f>
        <v/>
      </c>
      <c r="Z261" s="108" t="str">
        <f>IFERROR(_xlfn.XLOOKUP($A261,Input_Raw!$A:$A,Input_Raw!DK:DK)*1000,"")</f>
        <v/>
      </c>
      <c r="AA261" s="138" t="str">
        <f t="shared" si="27"/>
        <v/>
      </c>
      <c r="AB261" s="108" t="str">
        <f>IFERROR(_xlfn.XLOOKUP($A261,Input_Raw!$A:$A,Input_Raw!$DR:$DR),"")</f>
        <v/>
      </c>
      <c r="AC261" s="143">
        <f>IFERROR(_xlfn.XLOOKUP($D261,'Modelling New'!$D:$D,'Modelling New'!$J:$J),"")</f>
        <v>4.79</v>
      </c>
      <c r="AD261" s="138">
        <f>IFERROR(_xlfn.XLOOKUP($D261,'Modelling New'!$D:$D,'Modelling New'!$T:$T)*1000,"")</f>
        <v>233936.54337157667</v>
      </c>
      <c r="AE261" s="142"/>
      <c r="AF261" s="142">
        <f>IFERROR(_xlfn.XLOOKUP($D261,'Modelling New'!$D:$D,'Modelling New'!$W:$W),"")</f>
        <v>0.13845676099170021</v>
      </c>
      <c r="AG261" s="142">
        <f>IFERROR(_xlfn.XLOOKUP($D261,'Modelling New'!$D:$D,'Modelling New'!$AE:$AE),"")</f>
        <v>0.96029999999999993</v>
      </c>
      <c r="AH261" s="142">
        <f>IFERROR(_xlfn.XLOOKUP($D261,'Modelling New'!$D:$D,'Modelling New'!$AF:$AF),"")</f>
        <v>0.995</v>
      </c>
      <c r="AI261" s="109" t="str">
        <f>IFERROR(_xlfn.XLOOKUP($A261,Input_Raw!$A:$A,Input_Raw!$DP:$DP),"")</f>
        <v/>
      </c>
      <c r="AJ261" s="108"/>
      <c r="AK261" s="108"/>
      <c r="AL261" s="108"/>
      <c r="AM261" s="108"/>
      <c r="AN261" s="132" t="str">
        <f>IFERROR(_xlfn.XLOOKUP($A261,Input_Raw!$A:$A,Input_Raw!$DL:$DL),"")</f>
        <v/>
      </c>
      <c r="AO261" s="142" t="str">
        <f>IFERROR((_xlfn.XLOOKUP($A261,'WTG Reactive Power'!$A:$A,'WTG Reactive Power'!$AW:$AW))/X261,"")</f>
        <v/>
      </c>
      <c r="AP261" s="142">
        <f>IFERROR(_xlfn.XLOOKUP($D261,'Modelling New'!$D:$D,'Modelling New'!$AK:$AK),"")</f>
        <v>0.05</v>
      </c>
      <c r="AQ261" s="142">
        <f>IFERROR(_xlfn.XLOOKUP($D261,'Modelling New'!$D:$D,'Modelling New'!$AL:$AL),"")</f>
        <v>0.05</v>
      </c>
      <c r="AR261" s="198">
        <f>IFERROR(_xlfn.XLOOKUP($D261,'Modelling New'!$D:$D,'Modelling New'!$N:$N),"")</f>
        <v>70.400000000000006</v>
      </c>
      <c r="AS261" s="198"/>
    </row>
    <row r="262" spans="1:45">
      <c r="A262" s="137">
        <f t="shared" si="28"/>
        <v>46005</v>
      </c>
      <c r="B262" s="138">
        <f>YEAR(Daily_KPI[[#This Row],[Date]])+IF(MONTH(Daily_KPI[[#This Row],[Date]])&gt;=4,1,0)</f>
        <v>2026</v>
      </c>
      <c r="C262" s="108">
        <f>YEAR(Daily_KPI[[#This Row],[Date]])</f>
        <v>2025</v>
      </c>
      <c r="D262" s="139">
        <f>Daily_KPI[[#This Row],[Date]]-DAY(Daily_KPI[[#This Row],[Date]])+1</f>
        <v>45992</v>
      </c>
      <c r="E262" s="108">
        <f t="shared" si="24"/>
        <v>31</v>
      </c>
      <c r="F262" s="109"/>
      <c r="G262" s="143"/>
      <c r="H262" s="143"/>
      <c r="I262" s="143"/>
      <c r="J262" s="143"/>
      <c r="K262" s="111"/>
      <c r="L262" s="110"/>
      <c r="M262" s="110" t="str">
        <f>IFERROR(_xlfn.XLOOKUP($A262,Input_Raw!$A:$A,Input_Raw!$CQ:$CQ),"")</f>
        <v/>
      </c>
      <c r="N262" s="110" t="str">
        <f>IFERROR(_xlfn.XLOOKUP($A262,Input_Raw!$A:$A,Input_Raw!$CR:$CR),"")</f>
        <v/>
      </c>
      <c r="O262" s="141" t="str">
        <f t="shared" si="25"/>
        <v/>
      </c>
      <c r="P262" s="141" t="str">
        <f>IFERROR(1-SUMIF(WTG_BD!$F:$F,$A262,WTG_BD!$AA:$AA)/($AA262+SUMIF(WTG_BD!$F:$F,$A262,WTG_BD!$AA:$AA)),"")</f>
        <v/>
      </c>
      <c r="Q262" s="141" t="str">
        <f>IFERROR(1-SUMIF(IGA_BD!$F:$F,$A262,IGA_BD!$W:$W)/($AA262+SUMIF(IGA_BD!$F:$F,$A262,IGA_BD!$W:$W)),"")</f>
        <v/>
      </c>
      <c r="R262" s="141" t="str">
        <f>IFERROR(1-SUMIF(Grid_BD!$F:$F,$A262,Grid_BD!$Y:$Y)/($AA262+SUMIF(Grid_BD!$F:$F,$A262,Grid_BD!$Y:$Y)),"")</f>
        <v/>
      </c>
      <c r="S262" s="108"/>
      <c r="T262" s="140"/>
      <c r="U262" s="141"/>
      <c r="V262" s="108"/>
      <c r="W262" s="142" t="str">
        <f t="shared" si="26"/>
        <v/>
      </c>
      <c r="X262" s="108" t="str">
        <f>IFERROR(_xlfn.XLOOKUP($A262,Input_Raw!$A:$A,Input_Raw!$CP:$CP)*1000,"")</f>
        <v/>
      </c>
      <c r="Y262" s="108" t="str">
        <f>IFERROR(_xlfn.XLOOKUP($A262,Input_Raw!$A:$A,Input_Raw!DJ:DJ)*1000,"")</f>
        <v/>
      </c>
      <c r="Z262" s="108" t="str">
        <f>IFERROR(_xlfn.XLOOKUP($A262,Input_Raw!$A:$A,Input_Raw!DK:DK)*1000,"")</f>
        <v/>
      </c>
      <c r="AA262" s="138" t="str">
        <f t="shared" si="27"/>
        <v/>
      </c>
      <c r="AB262" s="108" t="str">
        <f>IFERROR(_xlfn.XLOOKUP($A262,Input_Raw!$A:$A,Input_Raw!$DR:$DR),"")</f>
        <v/>
      </c>
      <c r="AC262" s="143">
        <f>IFERROR(_xlfn.XLOOKUP($D262,'Modelling New'!$D:$D,'Modelling New'!$J:$J),"")</f>
        <v>4.79</v>
      </c>
      <c r="AD262" s="138">
        <f>IFERROR(_xlfn.XLOOKUP($D262,'Modelling New'!$D:$D,'Modelling New'!$T:$T)*1000,"")</f>
        <v>233936.54337157667</v>
      </c>
      <c r="AE262" s="142"/>
      <c r="AF262" s="142">
        <f>IFERROR(_xlfn.XLOOKUP($D262,'Modelling New'!$D:$D,'Modelling New'!$W:$W),"")</f>
        <v>0.13845676099170021</v>
      </c>
      <c r="AG262" s="142">
        <f>IFERROR(_xlfn.XLOOKUP($D262,'Modelling New'!$D:$D,'Modelling New'!$AE:$AE),"")</f>
        <v>0.96029999999999993</v>
      </c>
      <c r="AH262" s="142">
        <f>IFERROR(_xlfn.XLOOKUP($D262,'Modelling New'!$D:$D,'Modelling New'!$AF:$AF),"")</f>
        <v>0.995</v>
      </c>
      <c r="AI262" s="109" t="str">
        <f>IFERROR(_xlfn.XLOOKUP($A262,Input_Raw!$A:$A,Input_Raw!$DP:$DP),"")</f>
        <v/>
      </c>
      <c r="AJ262" s="108"/>
      <c r="AK262" s="108"/>
      <c r="AL262" s="108"/>
      <c r="AM262" s="108"/>
      <c r="AN262" s="132" t="str">
        <f>IFERROR(_xlfn.XLOOKUP($A262,Input_Raw!$A:$A,Input_Raw!$DL:$DL),"")</f>
        <v/>
      </c>
      <c r="AO262" s="142" t="str">
        <f>IFERROR((_xlfn.XLOOKUP($A262,'WTG Reactive Power'!$A:$A,'WTG Reactive Power'!$AW:$AW))/X262,"")</f>
        <v/>
      </c>
      <c r="AP262" s="142">
        <f>IFERROR(_xlfn.XLOOKUP($D262,'Modelling New'!$D:$D,'Modelling New'!$AK:$AK),"")</f>
        <v>0.05</v>
      </c>
      <c r="AQ262" s="142">
        <f>IFERROR(_xlfn.XLOOKUP($D262,'Modelling New'!$D:$D,'Modelling New'!$AL:$AL),"")</f>
        <v>0.05</v>
      </c>
      <c r="AR262" s="198">
        <f>IFERROR(_xlfn.XLOOKUP($D262,'Modelling New'!$D:$D,'Modelling New'!$N:$N),"")</f>
        <v>70.400000000000006</v>
      </c>
      <c r="AS262" s="198"/>
    </row>
    <row r="263" spans="1:45">
      <c r="A263" s="137">
        <f t="shared" si="28"/>
        <v>46006</v>
      </c>
      <c r="B263" s="138">
        <f>YEAR(Daily_KPI[[#This Row],[Date]])+IF(MONTH(Daily_KPI[[#This Row],[Date]])&gt;=4,1,0)</f>
        <v>2026</v>
      </c>
      <c r="C263" s="108">
        <f>YEAR(Daily_KPI[[#This Row],[Date]])</f>
        <v>2025</v>
      </c>
      <c r="D263" s="139">
        <f>Daily_KPI[[#This Row],[Date]]-DAY(Daily_KPI[[#This Row],[Date]])+1</f>
        <v>45992</v>
      </c>
      <c r="E263" s="108">
        <f t="shared" si="24"/>
        <v>31</v>
      </c>
      <c r="F263" s="109"/>
      <c r="G263" s="110"/>
      <c r="H263" s="110"/>
      <c r="I263" s="110"/>
      <c r="J263" s="110"/>
      <c r="K263" s="111"/>
      <c r="L263" s="110"/>
      <c r="M263" s="110" t="str">
        <f>IFERROR(_xlfn.XLOOKUP($A263,Input_Raw!$A:$A,Input_Raw!$CQ:$CQ),"")</f>
        <v/>
      </c>
      <c r="N263" s="110" t="str">
        <f>IFERROR(_xlfn.XLOOKUP($A263,Input_Raw!$A:$A,Input_Raw!$CR:$CR),"")</f>
        <v/>
      </c>
      <c r="O263" s="141" t="str">
        <f t="shared" si="25"/>
        <v/>
      </c>
      <c r="P263" s="141" t="str">
        <f>IFERROR(1-SUMIF(WTG_BD!$F:$F,$A263,WTG_BD!$AA:$AA)/($AA263+SUMIF(WTG_BD!$F:$F,$A263,WTG_BD!$AA:$AA)),"")</f>
        <v/>
      </c>
      <c r="Q263" s="141" t="str">
        <f>IFERROR(1-SUMIF(IGA_BD!$F:$F,$A263,IGA_BD!$W:$W)/($AA263+SUMIF(IGA_BD!$F:$F,$A263,IGA_BD!$W:$W)),"")</f>
        <v/>
      </c>
      <c r="R263" s="141" t="str">
        <f>IFERROR(1-SUMIF(Grid_BD!$F:$F,$A263,Grid_BD!$Y:$Y)/($AA263+SUMIF(Grid_BD!$F:$F,$A263,Grid_BD!$Y:$Y)),"")</f>
        <v/>
      </c>
      <c r="S263" s="108"/>
      <c r="T263" s="140"/>
      <c r="U263" s="141"/>
      <c r="V263" s="108"/>
      <c r="W263" s="142" t="str">
        <f t="shared" si="26"/>
        <v/>
      </c>
      <c r="X263" s="108" t="str">
        <f>IFERROR(_xlfn.XLOOKUP($A263,Input_Raw!$A:$A,Input_Raw!$CP:$CP)*1000,"")</f>
        <v/>
      </c>
      <c r="Y263" s="108" t="str">
        <f>IFERROR(_xlfn.XLOOKUP($A263,Input_Raw!$A:$A,Input_Raw!DJ:DJ)*1000,"")</f>
        <v/>
      </c>
      <c r="Z263" s="108" t="str">
        <f>IFERROR(_xlfn.XLOOKUP($A263,Input_Raw!$A:$A,Input_Raw!DK:DK)*1000,"")</f>
        <v/>
      </c>
      <c r="AA263" s="138" t="str">
        <f t="shared" si="27"/>
        <v/>
      </c>
      <c r="AB263" s="108" t="str">
        <f>IFERROR(_xlfn.XLOOKUP($A263,Input_Raw!$A:$A,Input_Raw!$DR:$DR),"")</f>
        <v/>
      </c>
      <c r="AC263" s="143">
        <f>IFERROR(_xlfn.XLOOKUP($D263,'Modelling New'!$D:$D,'Modelling New'!$J:$J),"")</f>
        <v>4.79</v>
      </c>
      <c r="AD263" s="138">
        <f>IFERROR(_xlfn.XLOOKUP($D263,'Modelling New'!$D:$D,'Modelling New'!$T:$T)*1000,"")</f>
        <v>233936.54337157667</v>
      </c>
      <c r="AE263" s="142"/>
      <c r="AF263" s="142">
        <f>IFERROR(_xlfn.XLOOKUP($D263,'Modelling New'!$D:$D,'Modelling New'!$W:$W),"")</f>
        <v>0.13845676099170021</v>
      </c>
      <c r="AG263" s="142">
        <f>IFERROR(_xlfn.XLOOKUP($D263,'Modelling New'!$D:$D,'Modelling New'!$AE:$AE),"")</f>
        <v>0.96029999999999993</v>
      </c>
      <c r="AH263" s="142">
        <f>IFERROR(_xlfn.XLOOKUP($D263,'Modelling New'!$D:$D,'Modelling New'!$AF:$AF),"")</f>
        <v>0.995</v>
      </c>
      <c r="AI263" s="109" t="str">
        <f>IFERROR(_xlfn.XLOOKUP($A263,Input_Raw!$A:$A,Input_Raw!$DP:$DP),"")</f>
        <v/>
      </c>
      <c r="AJ263" s="108"/>
      <c r="AK263" s="108"/>
      <c r="AL263" s="108"/>
      <c r="AM263" s="108"/>
      <c r="AN263" s="132" t="str">
        <f>IFERROR(_xlfn.XLOOKUP($A263,Input_Raw!$A:$A,Input_Raw!$DL:$DL),"")</f>
        <v/>
      </c>
      <c r="AO263" s="142" t="str">
        <f>IFERROR((_xlfn.XLOOKUP($A263,'WTG Reactive Power'!$A:$A,'WTG Reactive Power'!$AW:$AW))/X263,"")</f>
        <v/>
      </c>
      <c r="AP263" s="142">
        <f>IFERROR(_xlfn.XLOOKUP($D263,'Modelling New'!$D:$D,'Modelling New'!$AK:$AK),"")</f>
        <v>0.05</v>
      </c>
      <c r="AQ263" s="142">
        <f>IFERROR(_xlfn.XLOOKUP($D263,'Modelling New'!$D:$D,'Modelling New'!$AL:$AL),"")</f>
        <v>0.05</v>
      </c>
      <c r="AR263" s="198">
        <f>IFERROR(_xlfn.XLOOKUP($D263,'Modelling New'!$D:$D,'Modelling New'!$N:$N),"")</f>
        <v>70.400000000000006</v>
      </c>
      <c r="AS263" s="198"/>
    </row>
    <row r="264" spans="1:45">
      <c r="A264" s="137">
        <f t="shared" si="28"/>
        <v>46007</v>
      </c>
      <c r="B264" s="138">
        <f>YEAR(Daily_KPI[[#This Row],[Date]])+IF(MONTH(Daily_KPI[[#This Row],[Date]])&gt;=4,1,0)</f>
        <v>2026</v>
      </c>
      <c r="C264" s="108">
        <f>YEAR(Daily_KPI[[#This Row],[Date]])</f>
        <v>2025</v>
      </c>
      <c r="D264" s="139">
        <f>Daily_KPI[[#This Row],[Date]]-DAY(Daily_KPI[[#This Row],[Date]])+1</f>
        <v>45992</v>
      </c>
      <c r="E264" s="108">
        <f t="shared" si="24"/>
        <v>31</v>
      </c>
      <c r="F264" s="109"/>
      <c r="G264" s="143"/>
      <c r="H264" s="143"/>
      <c r="I264" s="143"/>
      <c r="J264" s="143"/>
      <c r="K264" s="111"/>
      <c r="L264" s="110"/>
      <c r="M264" s="110" t="str">
        <f>IFERROR(_xlfn.XLOOKUP($A264,Input_Raw!$A:$A,Input_Raw!$CQ:$CQ),"")</f>
        <v/>
      </c>
      <c r="N264" s="110" t="str">
        <f>IFERROR(_xlfn.XLOOKUP($A264,Input_Raw!$A:$A,Input_Raw!$CR:$CR),"")</f>
        <v/>
      </c>
      <c r="O264" s="141" t="str">
        <f t="shared" si="25"/>
        <v/>
      </c>
      <c r="P264" s="141" t="str">
        <f>IFERROR(1-SUMIF(WTG_BD!$F:$F,$A264,WTG_BD!$AA:$AA)/($AA264+SUMIF(WTG_BD!$F:$F,$A264,WTG_BD!$AA:$AA)),"")</f>
        <v/>
      </c>
      <c r="Q264" s="141" t="str">
        <f>IFERROR(1-SUMIF(IGA_BD!$F:$F,$A264,IGA_BD!$W:$W)/($AA264+SUMIF(IGA_BD!$F:$F,$A264,IGA_BD!$W:$W)),"")</f>
        <v/>
      </c>
      <c r="R264" s="141" t="str">
        <f>IFERROR(1-SUMIF(Grid_BD!$F:$F,$A264,Grid_BD!$Y:$Y)/($AA264+SUMIF(Grid_BD!$F:$F,$A264,Grid_BD!$Y:$Y)),"")</f>
        <v/>
      </c>
      <c r="S264" s="108"/>
      <c r="T264" s="140"/>
      <c r="U264" s="141"/>
      <c r="V264" s="108"/>
      <c r="W264" s="142" t="str">
        <f t="shared" si="26"/>
        <v/>
      </c>
      <c r="X264" s="108" t="str">
        <f>IFERROR(_xlfn.XLOOKUP($A264,Input_Raw!$A:$A,Input_Raw!$CP:$CP)*1000,"")</f>
        <v/>
      </c>
      <c r="Y264" s="108" t="str">
        <f>IFERROR(_xlfn.XLOOKUP($A264,Input_Raw!$A:$A,Input_Raw!DJ:DJ)*1000,"")</f>
        <v/>
      </c>
      <c r="Z264" s="108" t="str">
        <f>IFERROR(_xlfn.XLOOKUP($A264,Input_Raw!$A:$A,Input_Raw!DK:DK)*1000,"")</f>
        <v/>
      </c>
      <c r="AA264" s="138" t="str">
        <f t="shared" si="27"/>
        <v/>
      </c>
      <c r="AB264" s="108" t="str">
        <f>IFERROR(_xlfn.XLOOKUP($A264,Input_Raw!$A:$A,Input_Raw!$DR:$DR),"")</f>
        <v/>
      </c>
      <c r="AC264" s="143">
        <f>IFERROR(_xlfn.XLOOKUP($D264,'Modelling New'!$D:$D,'Modelling New'!$J:$J),"")</f>
        <v>4.79</v>
      </c>
      <c r="AD264" s="138">
        <f>IFERROR(_xlfn.XLOOKUP($D264,'Modelling New'!$D:$D,'Modelling New'!$T:$T)*1000,"")</f>
        <v>233936.54337157667</v>
      </c>
      <c r="AE264" s="142"/>
      <c r="AF264" s="142">
        <f>IFERROR(_xlfn.XLOOKUP($D264,'Modelling New'!$D:$D,'Modelling New'!$W:$W),"")</f>
        <v>0.13845676099170021</v>
      </c>
      <c r="AG264" s="142">
        <f>IFERROR(_xlfn.XLOOKUP($D264,'Modelling New'!$D:$D,'Modelling New'!$AE:$AE),"")</f>
        <v>0.96029999999999993</v>
      </c>
      <c r="AH264" s="142">
        <f>IFERROR(_xlfn.XLOOKUP($D264,'Modelling New'!$D:$D,'Modelling New'!$AF:$AF),"")</f>
        <v>0.995</v>
      </c>
      <c r="AI264" s="109" t="str">
        <f>IFERROR(_xlfn.XLOOKUP($A264,Input_Raw!$A:$A,Input_Raw!$DP:$DP),"")</f>
        <v/>
      </c>
      <c r="AJ264" s="108"/>
      <c r="AK264" s="108"/>
      <c r="AL264" s="108"/>
      <c r="AM264" s="108"/>
      <c r="AN264" s="132" t="str">
        <f>IFERROR(_xlfn.XLOOKUP($A264,Input_Raw!$A:$A,Input_Raw!$DL:$DL),"")</f>
        <v/>
      </c>
      <c r="AO264" s="142" t="str">
        <f>IFERROR((_xlfn.XLOOKUP($A264,'WTG Reactive Power'!$A:$A,'WTG Reactive Power'!$AW:$AW))/X264,"")</f>
        <v/>
      </c>
      <c r="AP264" s="142">
        <f>IFERROR(_xlfn.XLOOKUP($D264,'Modelling New'!$D:$D,'Modelling New'!$AK:$AK),"")</f>
        <v>0.05</v>
      </c>
      <c r="AQ264" s="142">
        <f>IFERROR(_xlfn.XLOOKUP($D264,'Modelling New'!$D:$D,'Modelling New'!$AL:$AL),"")</f>
        <v>0.05</v>
      </c>
      <c r="AR264" s="198">
        <f>IFERROR(_xlfn.XLOOKUP($D264,'Modelling New'!$D:$D,'Modelling New'!$N:$N),"")</f>
        <v>70.400000000000006</v>
      </c>
      <c r="AS264" s="198"/>
    </row>
    <row r="265" spans="1:45">
      <c r="A265" s="137">
        <f t="shared" si="28"/>
        <v>46008</v>
      </c>
      <c r="B265" s="138">
        <f>YEAR(Daily_KPI[[#This Row],[Date]])+IF(MONTH(Daily_KPI[[#This Row],[Date]])&gt;=4,1,0)</f>
        <v>2026</v>
      </c>
      <c r="C265" s="108">
        <f>YEAR(Daily_KPI[[#This Row],[Date]])</f>
        <v>2025</v>
      </c>
      <c r="D265" s="139">
        <f>Daily_KPI[[#This Row],[Date]]-DAY(Daily_KPI[[#This Row],[Date]])+1</f>
        <v>45992</v>
      </c>
      <c r="E265" s="108">
        <f t="shared" si="24"/>
        <v>31</v>
      </c>
      <c r="F265" s="109"/>
      <c r="G265" s="110"/>
      <c r="H265" s="110"/>
      <c r="I265" s="110"/>
      <c r="J265" s="110"/>
      <c r="K265" s="111"/>
      <c r="L265" s="110"/>
      <c r="M265" s="110" t="str">
        <f>IFERROR(_xlfn.XLOOKUP($A265,Input_Raw!$A:$A,Input_Raw!$CQ:$CQ),"")</f>
        <v/>
      </c>
      <c r="N265" s="110" t="str">
        <f>IFERROR(_xlfn.XLOOKUP($A265,Input_Raw!$A:$A,Input_Raw!$CR:$CR),"")</f>
        <v/>
      </c>
      <c r="O265" s="141" t="str">
        <f t="shared" si="25"/>
        <v/>
      </c>
      <c r="P265" s="141" t="str">
        <f>IFERROR(1-SUMIF(WTG_BD!$F:$F,$A265,WTG_BD!$AA:$AA)/($AA265+SUMIF(WTG_BD!$F:$F,$A265,WTG_BD!$AA:$AA)),"")</f>
        <v/>
      </c>
      <c r="Q265" s="141" t="str">
        <f>IFERROR(1-SUMIF(IGA_BD!$F:$F,$A265,IGA_BD!$W:$W)/($AA265+SUMIF(IGA_BD!$F:$F,$A265,IGA_BD!$W:$W)),"")</f>
        <v/>
      </c>
      <c r="R265" s="141" t="str">
        <f>IFERROR(1-SUMIF(Grid_BD!$F:$F,$A265,Grid_BD!$Y:$Y)/($AA265+SUMIF(Grid_BD!$F:$F,$A265,Grid_BD!$Y:$Y)),"")</f>
        <v/>
      </c>
      <c r="S265" s="108"/>
      <c r="T265" s="140"/>
      <c r="U265" s="141"/>
      <c r="V265" s="108"/>
      <c r="W265" s="142" t="str">
        <f t="shared" si="26"/>
        <v/>
      </c>
      <c r="X265" s="108" t="str">
        <f>IFERROR(_xlfn.XLOOKUP($A265,Input_Raw!$A:$A,Input_Raw!$CP:$CP)*1000,"")</f>
        <v/>
      </c>
      <c r="Y265" s="108" t="str">
        <f>IFERROR(_xlfn.XLOOKUP($A265,Input_Raw!$A:$A,Input_Raw!DJ:DJ)*1000,"")</f>
        <v/>
      </c>
      <c r="Z265" s="108" t="str">
        <f>IFERROR(_xlfn.XLOOKUP($A265,Input_Raw!$A:$A,Input_Raw!DK:DK)*1000,"")</f>
        <v/>
      </c>
      <c r="AA265" s="138" t="str">
        <f t="shared" si="27"/>
        <v/>
      </c>
      <c r="AB265" s="108" t="str">
        <f>IFERROR(_xlfn.XLOOKUP($A265,Input_Raw!$A:$A,Input_Raw!$DR:$DR),"")</f>
        <v/>
      </c>
      <c r="AC265" s="143">
        <f>IFERROR(_xlfn.XLOOKUP($D265,'Modelling New'!$D:$D,'Modelling New'!$J:$J),"")</f>
        <v>4.79</v>
      </c>
      <c r="AD265" s="138">
        <f>IFERROR(_xlfn.XLOOKUP($D265,'Modelling New'!$D:$D,'Modelling New'!$T:$T)*1000,"")</f>
        <v>233936.54337157667</v>
      </c>
      <c r="AE265" s="142"/>
      <c r="AF265" s="142">
        <f>IFERROR(_xlfn.XLOOKUP($D265,'Modelling New'!$D:$D,'Modelling New'!$W:$W),"")</f>
        <v>0.13845676099170021</v>
      </c>
      <c r="AG265" s="142">
        <f>IFERROR(_xlfn.XLOOKUP($D265,'Modelling New'!$D:$D,'Modelling New'!$AE:$AE),"")</f>
        <v>0.96029999999999993</v>
      </c>
      <c r="AH265" s="142">
        <f>IFERROR(_xlfn.XLOOKUP($D265,'Modelling New'!$D:$D,'Modelling New'!$AF:$AF),"")</f>
        <v>0.995</v>
      </c>
      <c r="AI265" s="109" t="str">
        <f>IFERROR(_xlfn.XLOOKUP($A265,Input_Raw!$A:$A,Input_Raw!$DP:$DP),"")</f>
        <v/>
      </c>
      <c r="AJ265" s="108"/>
      <c r="AK265" s="108"/>
      <c r="AL265" s="108"/>
      <c r="AM265" s="108"/>
      <c r="AN265" s="132" t="str">
        <f>IFERROR(_xlfn.XLOOKUP($A265,Input_Raw!$A:$A,Input_Raw!$DL:$DL),"")</f>
        <v/>
      </c>
      <c r="AO265" s="142" t="str">
        <f>IFERROR((_xlfn.XLOOKUP($A265,'WTG Reactive Power'!$A:$A,'WTG Reactive Power'!$AW:$AW))/X265,"")</f>
        <v/>
      </c>
      <c r="AP265" s="142">
        <f>IFERROR(_xlfn.XLOOKUP($D265,'Modelling New'!$D:$D,'Modelling New'!$AK:$AK),"")</f>
        <v>0.05</v>
      </c>
      <c r="AQ265" s="142">
        <f>IFERROR(_xlfn.XLOOKUP($D265,'Modelling New'!$D:$D,'Modelling New'!$AL:$AL),"")</f>
        <v>0.05</v>
      </c>
      <c r="AR265" s="198">
        <f>IFERROR(_xlfn.XLOOKUP($D265,'Modelling New'!$D:$D,'Modelling New'!$N:$N),"")</f>
        <v>70.400000000000006</v>
      </c>
      <c r="AS265" s="198"/>
    </row>
    <row r="266" spans="1:45">
      <c r="A266" s="137">
        <f t="shared" si="28"/>
        <v>46009</v>
      </c>
      <c r="B266" s="138">
        <f>YEAR(Daily_KPI[[#This Row],[Date]])+IF(MONTH(Daily_KPI[[#This Row],[Date]])&gt;=4,1,0)</f>
        <v>2026</v>
      </c>
      <c r="C266" s="108">
        <f>YEAR(Daily_KPI[[#This Row],[Date]])</f>
        <v>2025</v>
      </c>
      <c r="D266" s="139">
        <f>Daily_KPI[[#This Row],[Date]]-DAY(Daily_KPI[[#This Row],[Date]])+1</f>
        <v>45992</v>
      </c>
      <c r="E266" s="108">
        <f t="shared" si="24"/>
        <v>31</v>
      </c>
      <c r="F266" s="109"/>
      <c r="G266" s="143"/>
      <c r="H266" s="143"/>
      <c r="I266" s="143"/>
      <c r="J266" s="143"/>
      <c r="K266" s="111"/>
      <c r="L266" s="110"/>
      <c r="M266" s="110" t="str">
        <f>IFERROR(_xlfn.XLOOKUP($A266,Input_Raw!$A:$A,Input_Raw!$CQ:$CQ),"")</f>
        <v/>
      </c>
      <c r="N266" s="110" t="str">
        <f>IFERROR(_xlfn.XLOOKUP($A266,Input_Raw!$A:$A,Input_Raw!$CR:$CR),"")</f>
        <v/>
      </c>
      <c r="O266" s="141" t="str">
        <f t="shared" si="25"/>
        <v/>
      </c>
      <c r="P266" s="141" t="str">
        <f>IFERROR(1-SUMIF(WTG_BD!$F:$F,$A266,WTG_BD!$AA:$AA)/($AA266+SUMIF(WTG_BD!$F:$F,$A266,WTG_BD!$AA:$AA)),"")</f>
        <v/>
      </c>
      <c r="Q266" s="141" t="str">
        <f>IFERROR(1-SUMIF(IGA_BD!$F:$F,$A266,IGA_BD!$W:$W)/($AA266+SUMIF(IGA_BD!$F:$F,$A266,IGA_BD!$W:$W)),"")</f>
        <v/>
      </c>
      <c r="R266" s="141" t="str">
        <f>IFERROR(1-SUMIF(Grid_BD!$F:$F,$A266,Grid_BD!$Y:$Y)/($AA266+SUMIF(Grid_BD!$F:$F,$A266,Grid_BD!$Y:$Y)),"")</f>
        <v/>
      </c>
      <c r="S266" s="108"/>
      <c r="T266" s="140"/>
      <c r="U266" s="141"/>
      <c r="V266" s="108"/>
      <c r="W266" s="142" t="str">
        <f t="shared" si="26"/>
        <v/>
      </c>
      <c r="X266" s="108" t="str">
        <f>IFERROR(_xlfn.XLOOKUP($A266,Input_Raw!$A:$A,Input_Raw!$CP:$CP)*1000,"")</f>
        <v/>
      </c>
      <c r="Y266" s="108" t="str">
        <f>IFERROR(_xlfn.XLOOKUP($A266,Input_Raw!$A:$A,Input_Raw!DJ:DJ)*1000,"")</f>
        <v/>
      </c>
      <c r="Z266" s="108" t="str">
        <f>IFERROR(_xlfn.XLOOKUP($A266,Input_Raw!$A:$A,Input_Raw!DK:DK)*1000,"")</f>
        <v/>
      </c>
      <c r="AA266" s="138" t="str">
        <f t="shared" si="27"/>
        <v/>
      </c>
      <c r="AB266" s="108" t="str">
        <f>IFERROR(_xlfn.XLOOKUP($A266,Input_Raw!$A:$A,Input_Raw!$DR:$DR),"")</f>
        <v/>
      </c>
      <c r="AC266" s="143">
        <f>IFERROR(_xlfn.XLOOKUP($D266,'Modelling New'!$D:$D,'Modelling New'!$J:$J),"")</f>
        <v>4.79</v>
      </c>
      <c r="AD266" s="138">
        <f>IFERROR(_xlfn.XLOOKUP($D266,'Modelling New'!$D:$D,'Modelling New'!$T:$T)*1000,"")</f>
        <v>233936.54337157667</v>
      </c>
      <c r="AE266" s="142"/>
      <c r="AF266" s="142">
        <f>IFERROR(_xlfn.XLOOKUP($D266,'Modelling New'!$D:$D,'Modelling New'!$W:$W),"")</f>
        <v>0.13845676099170021</v>
      </c>
      <c r="AG266" s="142">
        <f>IFERROR(_xlfn.XLOOKUP($D266,'Modelling New'!$D:$D,'Modelling New'!$AE:$AE),"")</f>
        <v>0.96029999999999993</v>
      </c>
      <c r="AH266" s="142">
        <f>IFERROR(_xlfn.XLOOKUP($D266,'Modelling New'!$D:$D,'Modelling New'!$AF:$AF),"")</f>
        <v>0.995</v>
      </c>
      <c r="AI266" s="109" t="str">
        <f>IFERROR(_xlfn.XLOOKUP($A266,Input_Raw!$A:$A,Input_Raw!$DP:$DP),"")</f>
        <v/>
      </c>
      <c r="AJ266" s="108"/>
      <c r="AK266" s="108"/>
      <c r="AL266" s="108"/>
      <c r="AM266" s="108"/>
      <c r="AN266" s="132" t="str">
        <f>IFERROR(_xlfn.XLOOKUP($A266,Input_Raw!$A:$A,Input_Raw!$DL:$DL),"")</f>
        <v/>
      </c>
      <c r="AO266" s="142" t="str">
        <f>IFERROR((_xlfn.XLOOKUP($A266,'WTG Reactive Power'!$A:$A,'WTG Reactive Power'!$AW:$AW))/X266,"")</f>
        <v/>
      </c>
      <c r="AP266" s="142">
        <f>IFERROR(_xlfn.XLOOKUP($D266,'Modelling New'!$D:$D,'Modelling New'!$AK:$AK),"")</f>
        <v>0.05</v>
      </c>
      <c r="AQ266" s="142">
        <f>IFERROR(_xlfn.XLOOKUP($D266,'Modelling New'!$D:$D,'Modelling New'!$AL:$AL),"")</f>
        <v>0.05</v>
      </c>
      <c r="AR266" s="198">
        <f>IFERROR(_xlfn.XLOOKUP($D266,'Modelling New'!$D:$D,'Modelling New'!$N:$N),"")</f>
        <v>70.400000000000006</v>
      </c>
      <c r="AS266" s="198"/>
    </row>
    <row r="267" spans="1:45">
      <c r="A267" s="137">
        <f t="shared" si="28"/>
        <v>46010</v>
      </c>
      <c r="B267" s="138">
        <f>YEAR(Daily_KPI[[#This Row],[Date]])+IF(MONTH(Daily_KPI[[#This Row],[Date]])&gt;=4,1,0)</f>
        <v>2026</v>
      </c>
      <c r="C267" s="108">
        <f>YEAR(Daily_KPI[[#This Row],[Date]])</f>
        <v>2025</v>
      </c>
      <c r="D267" s="139">
        <f>Daily_KPI[[#This Row],[Date]]-DAY(Daily_KPI[[#This Row],[Date]])+1</f>
        <v>45992</v>
      </c>
      <c r="E267" s="108">
        <f t="shared" si="24"/>
        <v>31</v>
      </c>
      <c r="F267" s="109"/>
      <c r="G267" s="110"/>
      <c r="H267" s="110"/>
      <c r="I267" s="110"/>
      <c r="J267" s="110"/>
      <c r="K267" s="111"/>
      <c r="L267" s="110"/>
      <c r="M267" s="110" t="str">
        <f>IFERROR(_xlfn.XLOOKUP($A267,Input_Raw!$A:$A,Input_Raw!$CQ:$CQ),"")</f>
        <v/>
      </c>
      <c r="N267" s="110" t="str">
        <f>IFERROR(_xlfn.XLOOKUP($A267,Input_Raw!$A:$A,Input_Raw!$CR:$CR),"")</f>
        <v/>
      </c>
      <c r="O267" s="141" t="str">
        <f t="shared" si="25"/>
        <v/>
      </c>
      <c r="P267" s="141" t="str">
        <f>IFERROR(1-SUMIF(WTG_BD!$F:$F,$A267,WTG_BD!$AA:$AA)/($AA267+SUMIF(WTG_BD!$F:$F,$A267,WTG_BD!$AA:$AA)),"")</f>
        <v/>
      </c>
      <c r="Q267" s="141" t="str">
        <f>IFERROR(1-SUMIF(IGA_BD!$F:$F,$A267,IGA_BD!$W:$W)/($AA267+SUMIF(IGA_BD!$F:$F,$A267,IGA_BD!$W:$W)),"")</f>
        <v/>
      </c>
      <c r="R267" s="141" t="str">
        <f>IFERROR(1-SUMIF(Grid_BD!$F:$F,$A267,Grid_BD!$Y:$Y)/($AA267+SUMIF(Grid_BD!$F:$F,$A267,Grid_BD!$Y:$Y)),"")</f>
        <v/>
      </c>
      <c r="S267" s="108"/>
      <c r="T267" s="140"/>
      <c r="U267" s="141"/>
      <c r="V267" s="108"/>
      <c r="W267" s="142" t="str">
        <f t="shared" si="26"/>
        <v/>
      </c>
      <c r="X267" s="108" t="str">
        <f>IFERROR(_xlfn.XLOOKUP($A267,Input_Raw!$A:$A,Input_Raw!$CP:$CP)*1000,"")</f>
        <v/>
      </c>
      <c r="Y267" s="108" t="str">
        <f>IFERROR(_xlfn.XLOOKUP($A267,Input_Raw!$A:$A,Input_Raw!DJ:DJ)*1000,"")</f>
        <v/>
      </c>
      <c r="Z267" s="108" t="str">
        <f>IFERROR(_xlfn.XLOOKUP($A267,Input_Raw!$A:$A,Input_Raw!DK:DK)*1000,"")</f>
        <v/>
      </c>
      <c r="AA267" s="138" t="str">
        <f t="shared" si="27"/>
        <v/>
      </c>
      <c r="AB267" s="108" t="str">
        <f>IFERROR(_xlfn.XLOOKUP($A267,Input_Raw!$A:$A,Input_Raw!$DR:$DR),"")</f>
        <v/>
      </c>
      <c r="AC267" s="143">
        <f>IFERROR(_xlfn.XLOOKUP($D267,'Modelling New'!$D:$D,'Modelling New'!$J:$J),"")</f>
        <v>4.79</v>
      </c>
      <c r="AD267" s="138">
        <f>IFERROR(_xlfn.XLOOKUP($D267,'Modelling New'!$D:$D,'Modelling New'!$T:$T)*1000,"")</f>
        <v>233936.54337157667</v>
      </c>
      <c r="AE267" s="142"/>
      <c r="AF267" s="142">
        <f>IFERROR(_xlfn.XLOOKUP($D267,'Modelling New'!$D:$D,'Modelling New'!$W:$W),"")</f>
        <v>0.13845676099170021</v>
      </c>
      <c r="AG267" s="142">
        <f>IFERROR(_xlfn.XLOOKUP($D267,'Modelling New'!$D:$D,'Modelling New'!$AE:$AE),"")</f>
        <v>0.96029999999999993</v>
      </c>
      <c r="AH267" s="142">
        <f>IFERROR(_xlfn.XLOOKUP($D267,'Modelling New'!$D:$D,'Modelling New'!$AF:$AF),"")</f>
        <v>0.995</v>
      </c>
      <c r="AI267" s="109" t="str">
        <f>IFERROR(_xlfn.XLOOKUP($A267,Input_Raw!$A:$A,Input_Raw!$DP:$DP),"")</f>
        <v/>
      </c>
      <c r="AJ267" s="108"/>
      <c r="AK267" s="108"/>
      <c r="AL267" s="108"/>
      <c r="AM267" s="108"/>
      <c r="AN267" s="132" t="str">
        <f>IFERROR(_xlfn.XLOOKUP($A267,Input_Raw!$A:$A,Input_Raw!$DL:$DL),"")</f>
        <v/>
      </c>
      <c r="AO267" s="142" t="str">
        <f>IFERROR((_xlfn.XLOOKUP($A267,'WTG Reactive Power'!$A:$A,'WTG Reactive Power'!$AW:$AW))/X267,"")</f>
        <v/>
      </c>
      <c r="AP267" s="142">
        <f>IFERROR(_xlfn.XLOOKUP($D267,'Modelling New'!$D:$D,'Modelling New'!$AK:$AK),"")</f>
        <v>0.05</v>
      </c>
      <c r="AQ267" s="142">
        <f>IFERROR(_xlfn.XLOOKUP($D267,'Modelling New'!$D:$D,'Modelling New'!$AL:$AL),"")</f>
        <v>0.05</v>
      </c>
      <c r="AR267" s="198">
        <f>IFERROR(_xlfn.XLOOKUP($D267,'Modelling New'!$D:$D,'Modelling New'!$N:$N),"")</f>
        <v>70.400000000000006</v>
      </c>
      <c r="AS267" s="198"/>
    </row>
    <row r="268" spans="1:45">
      <c r="A268" s="137">
        <f t="shared" si="28"/>
        <v>46011</v>
      </c>
      <c r="B268" s="138">
        <f>YEAR(Daily_KPI[[#This Row],[Date]])+IF(MONTH(Daily_KPI[[#This Row],[Date]])&gt;=4,1,0)</f>
        <v>2026</v>
      </c>
      <c r="C268" s="108">
        <f>YEAR(Daily_KPI[[#This Row],[Date]])</f>
        <v>2025</v>
      </c>
      <c r="D268" s="139">
        <f>Daily_KPI[[#This Row],[Date]]-DAY(Daily_KPI[[#This Row],[Date]])+1</f>
        <v>45992</v>
      </c>
      <c r="E268" s="108">
        <f t="shared" si="24"/>
        <v>31</v>
      </c>
      <c r="F268" s="109"/>
      <c r="G268" s="143"/>
      <c r="H268" s="143"/>
      <c r="I268" s="143"/>
      <c r="J268" s="143"/>
      <c r="K268" s="111"/>
      <c r="L268" s="110"/>
      <c r="M268" s="110" t="str">
        <f>IFERROR(_xlfn.XLOOKUP($A268,Input_Raw!$A:$A,Input_Raw!$CQ:$CQ),"")</f>
        <v/>
      </c>
      <c r="N268" s="110" t="str">
        <f>IFERROR(_xlfn.XLOOKUP($A268,Input_Raw!$A:$A,Input_Raw!$CR:$CR),"")</f>
        <v/>
      </c>
      <c r="O268" s="141" t="str">
        <f t="shared" si="25"/>
        <v/>
      </c>
      <c r="P268" s="141" t="str">
        <f>IFERROR(1-SUMIF(WTG_BD!$F:$F,$A268,WTG_BD!$AA:$AA)/($AA268+SUMIF(WTG_BD!$F:$F,$A268,WTG_BD!$AA:$AA)),"")</f>
        <v/>
      </c>
      <c r="Q268" s="141" t="str">
        <f>IFERROR(1-SUMIF(IGA_BD!$F:$F,$A268,IGA_BD!$W:$W)/($AA268+SUMIF(IGA_BD!$F:$F,$A268,IGA_BD!$W:$W)),"")</f>
        <v/>
      </c>
      <c r="R268" s="141" t="str">
        <f>IFERROR(1-SUMIF(Grid_BD!$F:$F,$A268,Grid_BD!$Y:$Y)/($AA268+SUMIF(Grid_BD!$F:$F,$A268,Grid_BD!$Y:$Y)),"")</f>
        <v/>
      </c>
      <c r="S268" s="108"/>
      <c r="T268" s="140"/>
      <c r="U268" s="141"/>
      <c r="V268" s="108"/>
      <c r="W268" s="142" t="str">
        <f t="shared" si="26"/>
        <v/>
      </c>
      <c r="X268" s="108" t="str">
        <f>IFERROR(_xlfn.XLOOKUP($A268,Input_Raw!$A:$A,Input_Raw!$CP:$CP)*1000,"")</f>
        <v/>
      </c>
      <c r="Y268" s="108" t="str">
        <f>IFERROR(_xlfn.XLOOKUP($A268,Input_Raw!$A:$A,Input_Raw!DJ:DJ)*1000,"")</f>
        <v/>
      </c>
      <c r="Z268" s="108" t="str">
        <f>IFERROR(_xlfn.XLOOKUP($A268,Input_Raw!$A:$A,Input_Raw!DK:DK)*1000,"")</f>
        <v/>
      </c>
      <c r="AA268" s="138" t="str">
        <f t="shared" si="27"/>
        <v/>
      </c>
      <c r="AB268" s="108" t="str">
        <f>IFERROR(_xlfn.XLOOKUP($A268,Input_Raw!$A:$A,Input_Raw!$DR:$DR),"")</f>
        <v/>
      </c>
      <c r="AC268" s="143">
        <f>IFERROR(_xlfn.XLOOKUP($D268,'Modelling New'!$D:$D,'Modelling New'!$J:$J),"")</f>
        <v>4.79</v>
      </c>
      <c r="AD268" s="138">
        <f>IFERROR(_xlfn.XLOOKUP($D268,'Modelling New'!$D:$D,'Modelling New'!$T:$T)*1000,"")</f>
        <v>233936.54337157667</v>
      </c>
      <c r="AE268" s="142"/>
      <c r="AF268" s="142">
        <f>IFERROR(_xlfn.XLOOKUP($D268,'Modelling New'!$D:$D,'Modelling New'!$W:$W),"")</f>
        <v>0.13845676099170021</v>
      </c>
      <c r="AG268" s="142">
        <f>IFERROR(_xlfn.XLOOKUP($D268,'Modelling New'!$D:$D,'Modelling New'!$AE:$AE),"")</f>
        <v>0.96029999999999993</v>
      </c>
      <c r="AH268" s="142">
        <f>IFERROR(_xlfn.XLOOKUP($D268,'Modelling New'!$D:$D,'Modelling New'!$AF:$AF),"")</f>
        <v>0.995</v>
      </c>
      <c r="AI268" s="109" t="str">
        <f>IFERROR(_xlfn.XLOOKUP($A268,Input_Raw!$A:$A,Input_Raw!$DP:$DP),"")</f>
        <v/>
      </c>
      <c r="AJ268" s="108"/>
      <c r="AK268" s="108"/>
      <c r="AL268" s="108"/>
      <c r="AM268" s="108"/>
      <c r="AN268" s="132" t="str">
        <f>IFERROR(_xlfn.XLOOKUP($A268,Input_Raw!$A:$A,Input_Raw!$DL:$DL),"")</f>
        <v/>
      </c>
      <c r="AO268" s="142" t="str">
        <f>IFERROR((_xlfn.XLOOKUP($A268,'WTG Reactive Power'!$A:$A,'WTG Reactive Power'!$AW:$AW))/X268,"")</f>
        <v/>
      </c>
      <c r="AP268" s="142">
        <f>IFERROR(_xlfn.XLOOKUP($D268,'Modelling New'!$D:$D,'Modelling New'!$AK:$AK),"")</f>
        <v>0.05</v>
      </c>
      <c r="AQ268" s="142">
        <f>IFERROR(_xlfn.XLOOKUP($D268,'Modelling New'!$D:$D,'Modelling New'!$AL:$AL),"")</f>
        <v>0.05</v>
      </c>
      <c r="AR268" s="198">
        <f>IFERROR(_xlfn.XLOOKUP($D268,'Modelling New'!$D:$D,'Modelling New'!$N:$N),"")</f>
        <v>70.400000000000006</v>
      </c>
      <c r="AS268" s="198"/>
    </row>
    <row r="269" spans="1:45">
      <c r="A269" s="137">
        <f t="shared" si="28"/>
        <v>46012</v>
      </c>
      <c r="B269" s="138">
        <f>YEAR(Daily_KPI[[#This Row],[Date]])+IF(MONTH(Daily_KPI[[#This Row],[Date]])&gt;=4,1,0)</f>
        <v>2026</v>
      </c>
      <c r="C269" s="108">
        <f>YEAR(Daily_KPI[[#This Row],[Date]])</f>
        <v>2025</v>
      </c>
      <c r="D269" s="139">
        <f>Daily_KPI[[#This Row],[Date]]-DAY(Daily_KPI[[#This Row],[Date]])+1</f>
        <v>45992</v>
      </c>
      <c r="E269" s="108">
        <f t="shared" si="24"/>
        <v>31</v>
      </c>
      <c r="F269" s="109"/>
      <c r="G269" s="110"/>
      <c r="H269" s="110"/>
      <c r="I269" s="110"/>
      <c r="J269" s="110"/>
      <c r="K269" s="111"/>
      <c r="L269" s="110"/>
      <c r="M269" s="110" t="str">
        <f>IFERROR(_xlfn.XLOOKUP($A269,Input_Raw!$A:$A,Input_Raw!$CQ:$CQ),"")</f>
        <v/>
      </c>
      <c r="N269" s="110" t="str">
        <f>IFERROR(_xlfn.XLOOKUP($A269,Input_Raw!$A:$A,Input_Raw!$CR:$CR),"")</f>
        <v/>
      </c>
      <c r="O269" s="141" t="str">
        <f t="shared" si="25"/>
        <v/>
      </c>
      <c r="P269" s="141" t="str">
        <f>IFERROR(1-SUMIF(WTG_BD!$F:$F,$A269,WTG_BD!$AA:$AA)/($AA269+SUMIF(WTG_BD!$F:$F,$A269,WTG_BD!$AA:$AA)),"")</f>
        <v/>
      </c>
      <c r="Q269" s="141" t="str">
        <f>IFERROR(1-SUMIF(IGA_BD!$F:$F,$A269,IGA_BD!$W:$W)/($AA269+SUMIF(IGA_BD!$F:$F,$A269,IGA_BD!$W:$W)),"")</f>
        <v/>
      </c>
      <c r="R269" s="141" t="str">
        <f>IFERROR(1-SUMIF(Grid_BD!$F:$F,$A269,Grid_BD!$Y:$Y)/($AA269+SUMIF(Grid_BD!$F:$F,$A269,Grid_BD!$Y:$Y)),"")</f>
        <v/>
      </c>
      <c r="S269" s="108"/>
      <c r="T269" s="140"/>
      <c r="U269" s="141"/>
      <c r="V269" s="108"/>
      <c r="W269" s="142" t="str">
        <f t="shared" si="26"/>
        <v/>
      </c>
      <c r="X269" s="108" t="str">
        <f>IFERROR(_xlfn.XLOOKUP($A269,Input_Raw!$A:$A,Input_Raw!$CP:$CP)*1000,"")</f>
        <v/>
      </c>
      <c r="Y269" s="108" t="str">
        <f>IFERROR(_xlfn.XLOOKUP($A269,Input_Raw!$A:$A,Input_Raw!DJ:DJ)*1000,"")</f>
        <v/>
      </c>
      <c r="Z269" s="108" t="str">
        <f>IFERROR(_xlfn.XLOOKUP($A269,Input_Raw!$A:$A,Input_Raw!DK:DK)*1000,"")</f>
        <v/>
      </c>
      <c r="AA269" s="138" t="str">
        <f t="shared" si="27"/>
        <v/>
      </c>
      <c r="AB269" s="108" t="str">
        <f>IFERROR(_xlfn.XLOOKUP($A269,Input_Raw!$A:$A,Input_Raw!$DR:$DR),"")</f>
        <v/>
      </c>
      <c r="AC269" s="143">
        <f>IFERROR(_xlfn.XLOOKUP($D269,'Modelling New'!$D:$D,'Modelling New'!$J:$J),"")</f>
        <v>4.79</v>
      </c>
      <c r="AD269" s="138">
        <f>IFERROR(_xlfn.XLOOKUP($D269,'Modelling New'!$D:$D,'Modelling New'!$T:$T)*1000,"")</f>
        <v>233936.54337157667</v>
      </c>
      <c r="AE269" s="142"/>
      <c r="AF269" s="142">
        <f>IFERROR(_xlfn.XLOOKUP($D269,'Modelling New'!$D:$D,'Modelling New'!$W:$W),"")</f>
        <v>0.13845676099170021</v>
      </c>
      <c r="AG269" s="142">
        <f>IFERROR(_xlfn.XLOOKUP($D269,'Modelling New'!$D:$D,'Modelling New'!$AE:$AE),"")</f>
        <v>0.96029999999999993</v>
      </c>
      <c r="AH269" s="142">
        <f>IFERROR(_xlfn.XLOOKUP($D269,'Modelling New'!$D:$D,'Modelling New'!$AF:$AF),"")</f>
        <v>0.995</v>
      </c>
      <c r="AI269" s="109" t="str">
        <f>IFERROR(_xlfn.XLOOKUP($A269,Input_Raw!$A:$A,Input_Raw!$DP:$DP),"")</f>
        <v/>
      </c>
      <c r="AJ269" s="108"/>
      <c r="AK269" s="108"/>
      <c r="AL269" s="108"/>
      <c r="AM269" s="108"/>
      <c r="AN269" s="132" t="str">
        <f>IFERROR(_xlfn.XLOOKUP($A269,Input_Raw!$A:$A,Input_Raw!$DL:$DL),"")</f>
        <v/>
      </c>
      <c r="AO269" s="142" t="str">
        <f>IFERROR((_xlfn.XLOOKUP($A269,'WTG Reactive Power'!$A:$A,'WTG Reactive Power'!$AW:$AW))/X269,"")</f>
        <v/>
      </c>
      <c r="AP269" s="142">
        <f>IFERROR(_xlfn.XLOOKUP($D269,'Modelling New'!$D:$D,'Modelling New'!$AK:$AK),"")</f>
        <v>0.05</v>
      </c>
      <c r="AQ269" s="142">
        <f>IFERROR(_xlfn.XLOOKUP($D269,'Modelling New'!$D:$D,'Modelling New'!$AL:$AL),"")</f>
        <v>0.05</v>
      </c>
      <c r="AR269" s="198">
        <f>IFERROR(_xlfn.XLOOKUP($D269,'Modelling New'!$D:$D,'Modelling New'!$N:$N),"")</f>
        <v>70.400000000000006</v>
      </c>
      <c r="AS269" s="198"/>
    </row>
    <row r="270" spans="1:45">
      <c r="A270" s="137">
        <f t="shared" si="28"/>
        <v>46013</v>
      </c>
      <c r="B270" s="138">
        <f>YEAR(Daily_KPI[[#This Row],[Date]])+IF(MONTH(Daily_KPI[[#This Row],[Date]])&gt;=4,1,0)</f>
        <v>2026</v>
      </c>
      <c r="C270" s="108">
        <f>YEAR(Daily_KPI[[#This Row],[Date]])</f>
        <v>2025</v>
      </c>
      <c r="D270" s="139">
        <f>Daily_KPI[[#This Row],[Date]]-DAY(Daily_KPI[[#This Row],[Date]])+1</f>
        <v>45992</v>
      </c>
      <c r="E270" s="108">
        <f t="shared" si="24"/>
        <v>31</v>
      </c>
      <c r="F270" s="109"/>
      <c r="G270" s="143"/>
      <c r="H270" s="143"/>
      <c r="I270" s="143"/>
      <c r="J270" s="143"/>
      <c r="K270" s="111"/>
      <c r="L270" s="110"/>
      <c r="M270" s="110" t="str">
        <f>IFERROR(_xlfn.XLOOKUP($A270,Input_Raw!$A:$A,Input_Raw!$CQ:$CQ),"")</f>
        <v/>
      </c>
      <c r="N270" s="110" t="str">
        <f>IFERROR(_xlfn.XLOOKUP($A270,Input_Raw!$A:$A,Input_Raw!$CR:$CR),"")</f>
        <v/>
      </c>
      <c r="O270" s="141" t="str">
        <f t="shared" si="25"/>
        <v/>
      </c>
      <c r="P270" s="141" t="str">
        <f>IFERROR(1-SUMIF(WTG_BD!$F:$F,$A270,WTG_BD!$AA:$AA)/($AA270+SUMIF(WTG_BD!$F:$F,$A270,WTG_BD!$AA:$AA)),"")</f>
        <v/>
      </c>
      <c r="Q270" s="141" t="str">
        <f>IFERROR(1-SUMIF(IGA_BD!$F:$F,$A270,IGA_BD!$W:$W)/($AA270+SUMIF(IGA_BD!$F:$F,$A270,IGA_BD!$W:$W)),"")</f>
        <v/>
      </c>
      <c r="R270" s="141" t="str">
        <f>IFERROR(1-SUMIF(Grid_BD!$F:$F,$A270,Grid_BD!$Y:$Y)/($AA270+SUMIF(Grid_BD!$F:$F,$A270,Grid_BD!$Y:$Y)),"")</f>
        <v/>
      </c>
      <c r="S270" s="108"/>
      <c r="T270" s="140"/>
      <c r="U270" s="141"/>
      <c r="V270" s="108"/>
      <c r="W270" s="142" t="str">
        <f t="shared" si="26"/>
        <v/>
      </c>
      <c r="X270" s="108" t="str">
        <f>IFERROR(_xlfn.XLOOKUP($A270,Input_Raw!$A:$A,Input_Raw!$CP:$CP)*1000,"")</f>
        <v/>
      </c>
      <c r="Y270" s="108" t="str">
        <f>IFERROR(_xlfn.XLOOKUP($A270,Input_Raw!$A:$A,Input_Raw!DJ:DJ)*1000,"")</f>
        <v/>
      </c>
      <c r="Z270" s="108" t="str">
        <f>IFERROR(_xlfn.XLOOKUP($A270,Input_Raw!$A:$A,Input_Raw!DK:DK)*1000,"")</f>
        <v/>
      </c>
      <c r="AA270" s="138" t="str">
        <f t="shared" si="27"/>
        <v/>
      </c>
      <c r="AB270" s="108" t="str">
        <f>IFERROR(_xlfn.XLOOKUP($A270,Input_Raw!$A:$A,Input_Raw!$DR:$DR),"")</f>
        <v/>
      </c>
      <c r="AC270" s="143">
        <f>IFERROR(_xlfn.XLOOKUP($D270,'Modelling New'!$D:$D,'Modelling New'!$J:$J),"")</f>
        <v>4.79</v>
      </c>
      <c r="AD270" s="138">
        <f>IFERROR(_xlfn.XLOOKUP($D270,'Modelling New'!$D:$D,'Modelling New'!$T:$T)*1000,"")</f>
        <v>233936.54337157667</v>
      </c>
      <c r="AE270" s="142"/>
      <c r="AF270" s="142">
        <f>IFERROR(_xlfn.XLOOKUP($D270,'Modelling New'!$D:$D,'Modelling New'!$W:$W),"")</f>
        <v>0.13845676099170021</v>
      </c>
      <c r="AG270" s="142">
        <f>IFERROR(_xlfn.XLOOKUP($D270,'Modelling New'!$D:$D,'Modelling New'!$AE:$AE),"")</f>
        <v>0.96029999999999993</v>
      </c>
      <c r="AH270" s="142">
        <f>IFERROR(_xlfn.XLOOKUP($D270,'Modelling New'!$D:$D,'Modelling New'!$AF:$AF),"")</f>
        <v>0.995</v>
      </c>
      <c r="AI270" s="109" t="str">
        <f>IFERROR(_xlfn.XLOOKUP($A270,Input_Raw!$A:$A,Input_Raw!$DP:$DP),"")</f>
        <v/>
      </c>
      <c r="AJ270" s="108"/>
      <c r="AK270" s="108"/>
      <c r="AL270" s="108"/>
      <c r="AM270" s="108"/>
      <c r="AN270" s="132" t="str">
        <f>IFERROR(_xlfn.XLOOKUP($A270,Input_Raw!$A:$A,Input_Raw!$DL:$DL),"")</f>
        <v/>
      </c>
      <c r="AO270" s="142" t="str">
        <f>IFERROR((_xlfn.XLOOKUP($A270,'WTG Reactive Power'!$A:$A,'WTG Reactive Power'!$AW:$AW))/X270,"")</f>
        <v/>
      </c>
      <c r="AP270" s="142">
        <f>IFERROR(_xlfn.XLOOKUP($D270,'Modelling New'!$D:$D,'Modelling New'!$AK:$AK),"")</f>
        <v>0.05</v>
      </c>
      <c r="AQ270" s="142">
        <f>IFERROR(_xlfn.XLOOKUP($D270,'Modelling New'!$D:$D,'Modelling New'!$AL:$AL),"")</f>
        <v>0.05</v>
      </c>
      <c r="AR270" s="198">
        <f>IFERROR(_xlfn.XLOOKUP($D270,'Modelling New'!$D:$D,'Modelling New'!$N:$N),"")</f>
        <v>70.400000000000006</v>
      </c>
      <c r="AS270" s="198"/>
    </row>
    <row r="271" spans="1:45">
      <c r="A271" s="137">
        <f t="shared" si="28"/>
        <v>46014</v>
      </c>
      <c r="B271" s="138">
        <f>YEAR(Daily_KPI[[#This Row],[Date]])+IF(MONTH(Daily_KPI[[#This Row],[Date]])&gt;=4,1,0)</f>
        <v>2026</v>
      </c>
      <c r="C271" s="108">
        <f>YEAR(Daily_KPI[[#This Row],[Date]])</f>
        <v>2025</v>
      </c>
      <c r="D271" s="139">
        <f>Daily_KPI[[#This Row],[Date]]-DAY(Daily_KPI[[#This Row],[Date]])+1</f>
        <v>45992</v>
      </c>
      <c r="E271" s="108">
        <f t="shared" si="24"/>
        <v>31</v>
      </c>
      <c r="F271" s="109"/>
      <c r="G271" s="110"/>
      <c r="H271" s="110"/>
      <c r="I271" s="110"/>
      <c r="J271" s="110"/>
      <c r="K271" s="111"/>
      <c r="L271" s="110"/>
      <c r="M271" s="110" t="str">
        <f>IFERROR(_xlfn.XLOOKUP($A271,Input_Raw!$A:$A,Input_Raw!$CQ:$CQ),"")</f>
        <v/>
      </c>
      <c r="N271" s="110" t="str">
        <f>IFERROR(_xlfn.XLOOKUP($A271,Input_Raw!$A:$A,Input_Raw!$CR:$CR),"")</f>
        <v/>
      </c>
      <c r="O271" s="141" t="str">
        <f t="shared" si="25"/>
        <v/>
      </c>
      <c r="P271" s="141" t="str">
        <f>IFERROR(1-SUMIF(WTG_BD!$F:$F,$A271,WTG_BD!$AA:$AA)/($AA271+SUMIF(WTG_BD!$F:$F,$A271,WTG_BD!$AA:$AA)),"")</f>
        <v/>
      </c>
      <c r="Q271" s="141" t="str">
        <f>IFERROR(1-SUMIF(IGA_BD!$F:$F,$A271,IGA_BD!$W:$W)/($AA271+SUMIF(IGA_BD!$F:$F,$A271,IGA_BD!$W:$W)),"")</f>
        <v/>
      </c>
      <c r="R271" s="141" t="str">
        <f>IFERROR(1-SUMIF(Grid_BD!$F:$F,$A271,Grid_BD!$Y:$Y)/($AA271+SUMIF(Grid_BD!$F:$F,$A271,Grid_BD!$Y:$Y)),"")</f>
        <v/>
      </c>
      <c r="S271" s="108"/>
      <c r="T271" s="140"/>
      <c r="U271" s="141"/>
      <c r="V271" s="108"/>
      <c r="W271" s="142" t="str">
        <f t="shared" si="26"/>
        <v/>
      </c>
      <c r="X271" s="108" t="str">
        <f>IFERROR(_xlfn.XLOOKUP($A271,Input_Raw!$A:$A,Input_Raw!$CP:$CP)*1000,"")</f>
        <v/>
      </c>
      <c r="Y271" s="108" t="str">
        <f>IFERROR(_xlfn.XLOOKUP($A271,Input_Raw!$A:$A,Input_Raw!DJ:DJ)*1000,"")</f>
        <v/>
      </c>
      <c r="Z271" s="108" t="str">
        <f>IFERROR(_xlfn.XLOOKUP($A271,Input_Raw!$A:$A,Input_Raw!DK:DK)*1000,"")</f>
        <v/>
      </c>
      <c r="AA271" s="138" t="str">
        <f t="shared" si="27"/>
        <v/>
      </c>
      <c r="AB271" s="108" t="str">
        <f>IFERROR(_xlfn.XLOOKUP($A271,Input_Raw!$A:$A,Input_Raw!$DR:$DR),"")</f>
        <v/>
      </c>
      <c r="AC271" s="143">
        <f>IFERROR(_xlfn.XLOOKUP($D271,'Modelling New'!$D:$D,'Modelling New'!$J:$J),"")</f>
        <v>4.79</v>
      </c>
      <c r="AD271" s="138">
        <f>IFERROR(_xlfn.XLOOKUP($D271,'Modelling New'!$D:$D,'Modelling New'!$T:$T)*1000,"")</f>
        <v>233936.54337157667</v>
      </c>
      <c r="AE271" s="142"/>
      <c r="AF271" s="142">
        <f>IFERROR(_xlfn.XLOOKUP($D271,'Modelling New'!$D:$D,'Modelling New'!$W:$W),"")</f>
        <v>0.13845676099170021</v>
      </c>
      <c r="AG271" s="142">
        <f>IFERROR(_xlfn.XLOOKUP($D271,'Modelling New'!$D:$D,'Modelling New'!$AE:$AE),"")</f>
        <v>0.96029999999999993</v>
      </c>
      <c r="AH271" s="142">
        <f>IFERROR(_xlfn.XLOOKUP($D271,'Modelling New'!$D:$D,'Modelling New'!$AF:$AF),"")</f>
        <v>0.995</v>
      </c>
      <c r="AI271" s="109" t="str">
        <f>IFERROR(_xlfn.XLOOKUP($A271,Input_Raw!$A:$A,Input_Raw!$DP:$DP),"")</f>
        <v/>
      </c>
      <c r="AJ271" s="108"/>
      <c r="AK271" s="108"/>
      <c r="AL271" s="108"/>
      <c r="AM271" s="108"/>
      <c r="AN271" s="132" t="str">
        <f>IFERROR(_xlfn.XLOOKUP($A271,Input_Raw!$A:$A,Input_Raw!$DL:$DL),"")</f>
        <v/>
      </c>
      <c r="AO271" s="142" t="str">
        <f>IFERROR((_xlfn.XLOOKUP($A271,'WTG Reactive Power'!$A:$A,'WTG Reactive Power'!$AW:$AW))/X271,"")</f>
        <v/>
      </c>
      <c r="AP271" s="142">
        <f>IFERROR(_xlfn.XLOOKUP($D271,'Modelling New'!$D:$D,'Modelling New'!$AK:$AK),"")</f>
        <v>0.05</v>
      </c>
      <c r="AQ271" s="142">
        <f>IFERROR(_xlfn.XLOOKUP($D271,'Modelling New'!$D:$D,'Modelling New'!$AL:$AL),"")</f>
        <v>0.05</v>
      </c>
      <c r="AR271" s="198">
        <f>IFERROR(_xlfn.XLOOKUP($D271,'Modelling New'!$D:$D,'Modelling New'!$N:$N),"")</f>
        <v>70.400000000000006</v>
      </c>
      <c r="AS271" s="198"/>
    </row>
    <row r="272" spans="1:45">
      <c r="A272" s="137">
        <f t="shared" si="28"/>
        <v>46015</v>
      </c>
      <c r="B272" s="138">
        <f>YEAR(Daily_KPI[[#This Row],[Date]])+IF(MONTH(Daily_KPI[[#This Row],[Date]])&gt;=4,1,0)</f>
        <v>2026</v>
      </c>
      <c r="C272" s="108">
        <f>YEAR(Daily_KPI[[#This Row],[Date]])</f>
        <v>2025</v>
      </c>
      <c r="D272" s="139">
        <f>Daily_KPI[[#This Row],[Date]]-DAY(Daily_KPI[[#This Row],[Date]])+1</f>
        <v>45992</v>
      </c>
      <c r="E272" s="108">
        <f t="shared" si="24"/>
        <v>31</v>
      </c>
      <c r="F272" s="109"/>
      <c r="G272" s="143"/>
      <c r="H272" s="143"/>
      <c r="I272" s="143"/>
      <c r="J272" s="143"/>
      <c r="K272" s="111"/>
      <c r="L272" s="110"/>
      <c r="M272" s="110" t="str">
        <f>IFERROR(_xlfn.XLOOKUP($A272,Input_Raw!$A:$A,Input_Raw!$CQ:$CQ),"")</f>
        <v/>
      </c>
      <c r="N272" s="110" t="str">
        <f>IFERROR(_xlfn.XLOOKUP($A272,Input_Raw!$A:$A,Input_Raw!$CR:$CR),"")</f>
        <v/>
      </c>
      <c r="O272" s="141" t="str">
        <f t="shared" si="25"/>
        <v/>
      </c>
      <c r="P272" s="141" t="str">
        <f>IFERROR(1-SUMIF(WTG_BD!$F:$F,$A272,WTG_BD!$AA:$AA)/($AA272+SUMIF(WTG_BD!$F:$F,$A272,WTG_BD!$AA:$AA)),"")</f>
        <v/>
      </c>
      <c r="Q272" s="141" t="str">
        <f>IFERROR(1-SUMIF(IGA_BD!$F:$F,$A272,IGA_BD!$W:$W)/($AA272+SUMIF(IGA_BD!$F:$F,$A272,IGA_BD!$W:$W)),"")</f>
        <v/>
      </c>
      <c r="R272" s="141" t="str">
        <f>IFERROR(1-SUMIF(Grid_BD!$F:$F,$A272,Grid_BD!$Y:$Y)/($AA272+SUMIF(Grid_BD!$F:$F,$A272,Grid_BD!$Y:$Y)),"")</f>
        <v/>
      </c>
      <c r="S272" s="108"/>
      <c r="T272" s="140"/>
      <c r="U272" s="141"/>
      <c r="V272" s="108"/>
      <c r="W272" s="142" t="str">
        <f t="shared" si="26"/>
        <v/>
      </c>
      <c r="X272" s="108" t="str">
        <f>IFERROR(_xlfn.XLOOKUP($A272,Input_Raw!$A:$A,Input_Raw!$CP:$CP)*1000,"")</f>
        <v/>
      </c>
      <c r="Y272" s="108" t="str">
        <f>IFERROR(_xlfn.XLOOKUP($A272,Input_Raw!$A:$A,Input_Raw!DJ:DJ)*1000,"")</f>
        <v/>
      </c>
      <c r="Z272" s="108" t="str">
        <f>IFERROR(_xlfn.XLOOKUP($A272,Input_Raw!$A:$A,Input_Raw!DK:DK)*1000,"")</f>
        <v/>
      </c>
      <c r="AA272" s="138" t="str">
        <f t="shared" si="27"/>
        <v/>
      </c>
      <c r="AB272" s="108" t="str">
        <f>IFERROR(_xlfn.XLOOKUP($A272,Input_Raw!$A:$A,Input_Raw!$DR:$DR),"")</f>
        <v/>
      </c>
      <c r="AC272" s="143">
        <f>IFERROR(_xlfn.XLOOKUP($D272,'Modelling New'!$D:$D,'Modelling New'!$J:$J),"")</f>
        <v>4.79</v>
      </c>
      <c r="AD272" s="138">
        <f>IFERROR(_xlfn.XLOOKUP($D272,'Modelling New'!$D:$D,'Modelling New'!$T:$T)*1000,"")</f>
        <v>233936.54337157667</v>
      </c>
      <c r="AE272" s="142"/>
      <c r="AF272" s="142">
        <f>IFERROR(_xlfn.XLOOKUP($D272,'Modelling New'!$D:$D,'Modelling New'!$W:$W),"")</f>
        <v>0.13845676099170021</v>
      </c>
      <c r="AG272" s="142">
        <f>IFERROR(_xlfn.XLOOKUP($D272,'Modelling New'!$D:$D,'Modelling New'!$AE:$AE),"")</f>
        <v>0.96029999999999993</v>
      </c>
      <c r="AH272" s="142">
        <f>IFERROR(_xlfn.XLOOKUP($D272,'Modelling New'!$D:$D,'Modelling New'!$AF:$AF),"")</f>
        <v>0.995</v>
      </c>
      <c r="AI272" s="109" t="str">
        <f>IFERROR(_xlfn.XLOOKUP($A272,Input_Raw!$A:$A,Input_Raw!$DP:$DP),"")</f>
        <v/>
      </c>
      <c r="AJ272" s="108"/>
      <c r="AK272" s="108"/>
      <c r="AL272" s="108"/>
      <c r="AM272" s="108"/>
      <c r="AN272" s="132" t="str">
        <f>IFERROR(_xlfn.XLOOKUP($A272,Input_Raw!$A:$A,Input_Raw!$DL:$DL),"")</f>
        <v/>
      </c>
      <c r="AO272" s="142" t="str">
        <f>IFERROR((_xlfn.XLOOKUP($A272,'WTG Reactive Power'!$A:$A,'WTG Reactive Power'!$AW:$AW))/X272,"")</f>
        <v/>
      </c>
      <c r="AP272" s="142">
        <f>IFERROR(_xlfn.XLOOKUP($D272,'Modelling New'!$D:$D,'Modelling New'!$AK:$AK),"")</f>
        <v>0.05</v>
      </c>
      <c r="AQ272" s="142">
        <f>IFERROR(_xlfn.XLOOKUP($D272,'Modelling New'!$D:$D,'Modelling New'!$AL:$AL),"")</f>
        <v>0.05</v>
      </c>
      <c r="AR272" s="198">
        <f>IFERROR(_xlfn.XLOOKUP($D272,'Modelling New'!$D:$D,'Modelling New'!$N:$N),"")</f>
        <v>70.400000000000006</v>
      </c>
      <c r="AS272" s="198"/>
    </row>
    <row r="273" spans="1:45">
      <c r="A273" s="137">
        <f t="shared" si="28"/>
        <v>46016</v>
      </c>
      <c r="B273" s="138">
        <f>YEAR(Daily_KPI[[#This Row],[Date]])+IF(MONTH(Daily_KPI[[#This Row],[Date]])&gt;=4,1,0)</f>
        <v>2026</v>
      </c>
      <c r="C273" s="108">
        <f>YEAR(Daily_KPI[[#This Row],[Date]])</f>
        <v>2025</v>
      </c>
      <c r="D273" s="139">
        <f>Daily_KPI[[#This Row],[Date]]-DAY(Daily_KPI[[#This Row],[Date]])+1</f>
        <v>45992</v>
      </c>
      <c r="E273" s="108">
        <f t="shared" si="24"/>
        <v>31</v>
      </c>
      <c r="F273" s="109"/>
      <c r="G273" s="110"/>
      <c r="H273" s="110"/>
      <c r="I273" s="110"/>
      <c r="J273" s="110"/>
      <c r="K273" s="111"/>
      <c r="L273" s="110"/>
      <c r="M273" s="110" t="str">
        <f>IFERROR(_xlfn.XLOOKUP($A273,Input_Raw!$A:$A,Input_Raw!$CQ:$CQ),"")</f>
        <v/>
      </c>
      <c r="N273" s="110" t="str">
        <f>IFERROR(_xlfn.XLOOKUP($A273,Input_Raw!$A:$A,Input_Raw!$CR:$CR),"")</f>
        <v/>
      </c>
      <c r="O273" s="141" t="str">
        <f t="shared" si="25"/>
        <v/>
      </c>
      <c r="P273" s="141" t="str">
        <f>IFERROR(1-SUMIF(WTG_BD!$F:$F,$A273,WTG_BD!$AA:$AA)/($AA273+SUMIF(WTG_BD!$F:$F,$A273,WTG_BD!$AA:$AA)),"")</f>
        <v/>
      </c>
      <c r="Q273" s="141" t="str">
        <f>IFERROR(1-SUMIF(IGA_BD!$F:$F,$A273,IGA_BD!$W:$W)/($AA273+SUMIF(IGA_BD!$F:$F,$A273,IGA_BD!$W:$W)),"")</f>
        <v/>
      </c>
      <c r="R273" s="141" t="str">
        <f>IFERROR(1-SUMIF(Grid_BD!$F:$F,$A273,Grid_BD!$Y:$Y)/($AA273+SUMIF(Grid_BD!$F:$F,$A273,Grid_BD!$Y:$Y)),"")</f>
        <v/>
      </c>
      <c r="S273" s="108"/>
      <c r="T273" s="140"/>
      <c r="U273" s="141"/>
      <c r="V273" s="108"/>
      <c r="W273" s="142" t="str">
        <f t="shared" si="26"/>
        <v/>
      </c>
      <c r="X273" s="108" t="str">
        <f>IFERROR(_xlfn.XLOOKUP($A273,Input_Raw!$A:$A,Input_Raw!$CP:$CP)*1000,"")</f>
        <v/>
      </c>
      <c r="Y273" s="108" t="str">
        <f>IFERROR(_xlfn.XLOOKUP($A273,Input_Raw!$A:$A,Input_Raw!DJ:DJ)*1000,"")</f>
        <v/>
      </c>
      <c r="Z273" s="108" t="str">
        <f>IFERROR(_xlfn.XLOOKUP($A273,Input_Raw!$A:$A,Input_Raw!DK:DK)*1000,"")</f>
        <v/>
      </c>
      <c r="AA273" s="138" t="str">
        <f t="shared" si="27"/>
        <v/>
      </c>
      <c r="AB273" s="108" t="str">
        <f>IFERROR(_xlfn.XLOOKUP($A273,Input_Raw!$A:$A,Input_Raw!$DR:$DR),"")</f>
        <v/>
      </c>
      <c r="AC273" s="143">
        <f>IFERROR(_xlfn.XLOOKUP($D273,'Modelling New'!$D:$D,'Modelling New'!$J:$J),"")</f>
        <v>4.79</v>
      </c>
      <c r="AD273" s="138">
        <f>IFERROR(_xlfn.XLOOKUP($D273,'Modelling New'!$D:$D,'Modelling New'!$T:$T)*1000,"")</f>
        <v>233936.54337157667</v>
      </c>
      <c r="AE273" s="142"/>
      <c r="AF273" s="142">
        <f>IFERROR(_xlfn.XLOOKUP($D273,'Modelling New'!$D:$D,'Modelling New'!$W:$W),"")</f>
        <v>0.13845676099170021</v>
      </c>
      <c r="AG273" s="142">
        <f>IFERROR(_xlfn.XLOOKUP($D273,'Modelling New'!$D:$D,'Modelling New'!$AE:$AE),"")</f>
        <v>0.96029999999999993</v>
      </c>
      <c r="AH273" s="142">
        <f>IFERROR(_xlfn.XLOOKUP($D273,'Modelling New'!$D:$D,'Modelling New'!$AF:$AF),"")</f>
        <v>0.995</v>
      </c>
      <c r="AI273" s="109" t="str">
        <f>IFERROR(_xlfn.XLOOKUP($A273,Input_Raw!$A:$A,Input_Raw!$DP:$DP),"")</f>
        <v/>
      </c>
      <c r="AJ273" s="108"/>
      <c r="AK273" s="108"/>
      <c r="AL273" s="108"/>
      <c r="AM273" s="108"/>
      <c r="AN273" s="132" t="str">
        <f>IFERROR(_xlfn.XLOOKUP($A273,Input_Raw!$A:$A,Input_Raw!$DL:$DL),"")</f>
        <v/>
      </c>
      <c r="AO273" s="142" t="str">
        <f>IFERROR((_xlfn.XLOOKUP($A273,'WTG Reactive Power'!$A:$A,'WTG Reactive Power'!$AW:$AW))/X273,"")</f>
        <v/>
      </c>
      <c r="AP273" s="142">
        <f>IFERROR(_xlfn.XLOOKUP($D273,'Modelling New'!$D:$D,'Modelling New'!$AK:$AK),"")</f>
        <v>0.05</v>
      </c>
      <c r="AQ273" s="142">
        <f>IFERROR(_xlfn.XLOOKUP($D273,'Modelling New'!$D:$D,'Modelling New'!$AL:$AL),"")</f>
        <v>0.05</v>
      </c>
      <c r="AR273" s="198">
        <f>IFERROR(_xlfn.XLOOKUP($D273,'Modelling New'!$D:$D,'Modelling New'!$N:$N),"")</f>
        <v>70.400000000000006</v>
      </c>
      <c r="AS273" s="198"/>
    </row>
    <row r="274" spans="1:45">
      <c r="A274" s="137">
        <f t="shared" si="28"/>
        <v>46017</v>
      </c>
      <c r="B274" s="138">
        <f>YEAR(Daily_KPI[[#This Row],[Date]])+IF(MONTH(Daily_KPI[[#This Row],[Date]])&gt;=4,1,0)</f>
        <v>2026</v>
      </c>
      <c r="C274" s="108">
        <f>YEAR(Daily_KPI[[#This Row],[Date]])</f>
        <v>2025</v>
      </c>
      <c r="D274" s="139">
        <f>Daily_KPI[[#This Row],[Date]]-DAY(Daily_KPI[[#This Row],[Date]])+1</f>
        <v>45992</v>
      </c>
      <c r="E274" s="108">
        <f t="shared" si="24"/>
        <v>31</v>
      </c>
      <c r="F274" s="109"/>
      <c r="G274" s="143"/>
      <c r="H274" s="143"/>
      <c r="I274" s="143"/>
      <c r="J274" s="143"/>
      <c r="K274" s="111"/>
      <c r="L274" s="110"/>
      <c r="M274" s="110" t="str">
        <f>IFERROR(_xlfn.XLOOKUP($A274,Input_Raw!$A:$A,Input_Raw!$CQ:$CQ),"")</f>
        <v/>
      </c>
      <c r="N274" s="110" t="str">
        <f>IFERROR(_xlfn.XLOOKUP($A274,Input_Raw!$A:$A,Input_Raw!$CR:$CR),"")</f>
        <v/>
      </c>
      <c r="O274" s="141" t="str">
        <f t="shared" si="25"/>
        <v/>
      </c>
      <c r="P274" s="141" t="str">
        <f>IFERROR(1-SUMIF(WTG_BD!$F:$F,$A274,WTG_BD!$AA:$AA)/($AA274+SUMIF(WTG_BD!$F:$F,$A274,WTG_BD!$AA:$AA)),"")</f>
        <v/>
      </c>
      <c r="Q274" s="141" t="str">
        <f>IFERROR(1-SUMIF(IGA_BD!$F:$F,$A274,IGA_BD!$W:$W)/($AA274+SUMIF(IGA_BD!$F:$F,$A274,IGA_BD!$W:$W)),"")</f>
        <v/>
      </c>
      <c r="R274" s="141" t="str">
        <f>IFERROR(1-SUMIF(Grid_BD!$F:$F,$A274,Grid_BD!$Y:$Y)/($AA274+SUMIF(Grid_BD!$F:$F,$A274,Grid_BD!$Y:$Y)),"")</f>
        <v/>
      </c>
      <c r="S274" s="108"/>
      <c r="T274" s="140"/>
      <c r="U274" s="141"/>
      <c r="V274" s="108"/>
      <c r="W274" s="142" t="str">
        <f t="shared" si="26"/>
        <v/>
      </c>
      <c r="X274" s="108" t="str">
        <f>IFERROR(_xlfn.XLOOKUP($A274,Input_Raw!$A:$A,Input_Raw!$CP:$CP)*1000,"")</f>
        <v/>
      </c>
      <c r="Y274" s="108" t="str">
        <f>IFERROR(_xlfn.XLOOKUP($A274,Input_Raw!$A:$A,Input_Raw!DJ:DJ)*1000,"")</f>
        <v/>
      </c>
      <c r="Z274" s="108" t="str">
        <f>IFERROR(_xlfn.XLOOKUP($A274,Input_Raw!$A:$A,Input_Raw!DK:DK)*1000,"")</f>
        <v/>
      </c>
      <c r="AA274" s="138" t="str">
        <f t="shared" si="27"/>
        <v/>
      </c>
      <c r="AB274" s="108" t="str">
        <f>IFERROR(_xlfn.XLOOKUP($A274,Input_Raw!$A:$A,Input_Raw!$DR:$DR),"")</f>
        <v/>
      </c>
      <c r="AC274" s="143">
        <f>IFERROR(_xlfn.XLOOKUP($D274,'Modelling New'!$D:$D,'Modelling New'!$J:$J),"")</f>
        <v>4.79</v>
      </c>
      <c r="AD274" s="138">
        <f>IFERROR(_xlfn.XLOOKUP($D274,'Modelling New'!$D:$D,'Modelling New'!$T:$T)*1000,"")</f>
        <v>233936.54337157667</v>
      </c>
      <c r="AE274" s="142"/>
      <c r="AF274" s="142">
        <f>IFERROR(_xlfn.XLOOKUP($D274,'Modelling New'!$D:$D,'Modelling New'!$W:$W),"")</f>
        <v>0.13845676099170021</v>
      </c>
      <c r="AG274" s="142">
        <f>IFERROR(_xlfn.XLOOKUP($D274,'Modelling New'!$D:$D,'Modelling New'!$AE:$AE),"")</f>
        <v>0.96029999999999993</v>
      </c>
      <c r="AH274" s="142">
        <f>IFERROR(_xlfn.XLOOKUP($D274,'Modelling New'!$D:$D,'Modelling New'!$AF:$AF),"")</f>
        <v>0.995</v>
      </c>
      <c r="AI274" s="109" t="str">
        <f>IFERROR(_xlfn.XLOOKUP($A274,Input_Raw!$A:$A,Input_Raw!$DP:$DP),"")</f>
        <v/>
      </c>
      <c r="AJ274" s="108"/>
      <c r="AK274" s="108"/>
      <c r="AL274" s="108"/>
      <c r="AM274" s="108"/>
      <c r="AN274" s="132" t="str">
        <f>IFERROR(_xlfn.XLOOKUP($A274,Input_Raw!$A:$A,Input_Raw!$DL:$DL),"")</f>
        <v/>
      </c>
      <c r="AO274" s="142" t="str">
        <f>IFERROR((_xlfn.XLOOKUP($A274,'WTG Reactive Power'!$A:$A,'WTG Reactive Power'!$AW:$AW))/X274,"")</f>
        <v/>
      </c>
      <c r="AP274" s="142">
        <f>IFERROR(_xlfn.XLOOKUP($D274,'Modelling New'!$D:$D,'Modelling New'!$AK:$AK),"")</f>
        <v>0.05</v>
      </c>
      <c r="AQ274" s="142">
        <f>IFERROR(_xlfn.XLOOKUP($D274,'Modelling New'!$D:$D,'Modelling New'!$AL:$AL),"")</f>
        <v>0.05</v>
      </c>
      <c r="AR274" s="198">
        <f>IFERROR(_xlfn.XLOOKUP($D274,'Modelling New'!$D:$D,'Modelling New'!$N:$N),"")</f>
        <v>70.400000000000006</v>
      </c>
      <c r="AS274" s="198"/>
    </row>
    <row r="275" spans="1:45">
      <c r="A275" s="137">
        <f t="shared" si="28"/>
        <v>46018</v>
      </c>
      <c r="B275" s="138">
        <f>YEAR(Daily_KPI[[#This Row],[Date]])+IF(MONTH(Daily_KPI[[#This Row],[Date]])&gt;=4,1,0)</f>
        <v>2026</v>
      </c>
      <c r="C275" s="108">
        <f>YEAR(Daily_KPI[[#This Row],[Date]])</f>
        <v>2025</v>
      </c>
      <c r="D275" s="139">
        <f>Daily_KPI[[#This Row],[Date]]-DAY(Daily_KPI[[#This Row],[Date]])+1</f>
        <v>45992</v>
      </c>
      <c r="E275" s="108">
        <f t="shared" si="24"/>
        <v>31</v>
      </c>
      <c r="F275" s="109"/>
      <c r="G275" s="110"/>
      <c r="H275" s="110"/>
      <c r="I275" s="110"/>
      <c r="J275" s="110"/>
      <c r="K275" s="111"/>
      <c r="L275" s="110"/>
      <c r="M275" s="110" t="str">
        <f>IFERROR(_xlfn.XLOOKUP($A275,Input_Raw!$A:$A,Input_Raw!$CQ:$CQ),"")</f>
        <v/>
      </c>
      <c r="N275" s="110" t="str">
        <f>IFERROR(_xlfn.XLOOKUP($A275,Input_Raw!$A:$A,Input_Raw!$CR:$CR),"")</f>
        <v/>
      </c>
      <c r="O275" s="141" t="str">
        <f t="shared" si="25"/>
        <v/>
      </c>
      <c r="P275" s="141" t="str">
        <f>IFERROR(1-SUMIF(WTG_BD!$F:$F,$A275,WTG_BD!$AA:$AA)/($AA275+SUMIF(WTG_BD!$F:$F,$A275,WTG_BD!$AA:$AA)),"")</f>
        <v/>
      </c>
      <c r="Q275" s="141" t="str">
        <f>IFERROR(1-SUMIF(IGA_BD!$F:$F,$A275,IGA_BD!$W:$W)/($AA275+SUMIF(IGA_BD!$F:$F,$A275,IGA_BD!$W:$W)),"")</f>
        <v/>
      </c>
      <c r="R275" s="141" t="str">
        <f>IFERROR(1-SUMIF(Grid_BD!$F:$F,$A275,Grid_BD!$Y:$Y)/($AA275+SUMIF(Grid_BD!$F:$F,$A275,Grid_BD!$Y:$Y)),"")</f>
        <v/>
      </c>
      <c r="S275" s="108"/>
      <c r="T275" s="140"/>
      <c r="U275" s="141"/>
      <c r="V275" s="108"/>
      <c r="W275" s="142" t="str">
        <f t="shared" si="26"/>
        <v/>
      </c>
      <c r="X275" s="108" t="str">
        <f>IFERROR(_xlfn.XLOOKUP($A275,Input_Raw!$A:$A,Input_Raw!$CP:$CP)*1000,"")</f>
        <v/>
      </c>
      <c r="Y275" s="108" t="str">
        <f>IFERROR(_xlfn.XLOOKUP($A275,Input_Raw!$A:$A,Input_Raw!DJ:DJ)*1000,"")</f>
        <v/>
      </c>
      <c r="Z275" s="108" t="str">
        <f>IFERROR(_xlfn.XLOOKUP($A275,Input_Raw!$A:$A,Input_Raw!DK:DK)*1000,"")</f>
        <v/>
      </c>
      <c r="AA275" s="138" t="str">
        <f t="shared" si="27"/>
        <v/>
      </c>
      <c r="AB275" s="108" t="str">
        <f>IFERROR(_xlfn.XLOOKUP($A275,Input_Raw!$A:$A,Input_Raw!$DR:$DR),"")</f>
        <v/>
      </c>
      <c r="AC275" s="143">
        <f>IFERROR(_xlfn.XLOOKUP($D275,'Modelling New'!$D:$D,'Modelling New'!$J:$J),"")</f>
        <v>4.79</v>
      </c>
      <c r="AD275" s="138">
        <f>IFERROR(_xlfn.XLOOKUP($D275,'Modelling New'!$D:$D,'Modelling New'!$T:$T)*1000,"")</f>
        <v>233936.54337157667</v>
      </c>
      <c r="AE275" s="142"/>
      <c r="AF275" s="142">
        <f>IFERROR(_xlfn.XLOOKUP($D275,'Modelling New'!$D:$D,'Modelling New'!$W:$W),"")</f>
        <v>0.13845676099170021</v>
      </c>
      <c r="AG275" s="142">
        <f>IFERROR(_xlfn.XLOOKUP($D275,'Modelling New'!$D:$D,'Modelling New'!$AE:$AE),"")</f>
        <v>0.96029999999999993</v>
      </c>
      <c r="AH275" s="142">
        <f>IFERROR(_xlfn.XLOOKUP($D275,'Modelling New'!$D:$D,'Modelling New'!$AF:$AF),"")</f>
        <v>0.995</v>
      </c>
      <c r="AI275" s="109" t="str">
        <f>IFERROR(_xlfn.XLOOKUP($A275,Input_Raw!$A:$A,Input_Raw!$DP:$DP),"")</f>
        <v/>
      </c>
      <c r="AJ275" s="108"/>
      <c r="AK275" s="108"/>
      <c r="AL275" s="108"/>
      <c r="AM275" s="108"/>
      <c r="AN275" s="132" t="str">
        <f>IFERROR(_xlfn.XLOOKUP($A275,Input_Raw!$A:$A,Input_Raw!$DL:$DL),"")</f>
        <v/>
      </c>
      <c r="AO275" s="142" t="str">
        <f>IFERROR((_xlfn.XLOOKUP($A275,'WTG Reactive Power'!$A:$A,'WTG Reactive Power'!$AW:$AW))/X275,"")</f>
        <v/>
      </c>
      <c r="AP275" s="142">
        <f>IFERROR(_xlfn.XLOOKUP($D275,'Modelling New'!$D:$D,'Modelling New'!$AK:$AK),"")</f>
        <v>0.05</v>
      </c>
      <c r="AQ275" s="142">
        <f>IFERROR(_xlfn.XLOOKUP($D275,'Modelling New'!$D:$D,'Modelling New'!$AL:$AL),"")</f>
        <v>0.05</v>
      </c>
      <c r="AR275" s="198">
        <f>IFERROR(_xlfn.XLOOKUP($D275,'Modelling New'!$D:$D,'Modelling New'!$N:$N),"")</f>
        <v>70.400000000000006</v>
      </c>
      <c r="AS275" s="198"/>
    </row>
    <row r="276" spans="1:45">
      <c r="A276" s="137">
        <f t="shared" si="28"/>
        <v>46019</v>
      </c>
      <c r="B276" s="138">
        <f>YEAR(Daily_KPI[[#This Row],[Date]])+IF(MONTH(Daily_KPI[[#This Row],[Date]])&gt;=4,1,0)</f>
        <v>2026</v>
      </c>
      <c r="C276" s="108">
        <f>YEAR(Daily_KPI[[#This Row],[Date]])</f>
        <v>2025</v>
      </c>
      <c r="D276" s="139">
        <f>Daily_KPI[[#This Row],[Date]]-DAY(Daily_KPI[[#This Row],[Date]])+1</f>
        <v>45992</v>
      </c>
      <c r="E276" s="108">
        <f t="shared" si="24"/>
        <v>31</v>
      </c>
      <c r="F276" s="109"/>
      <c r="G276" s="143"/>
      <c r="H276" s="143"/>
      <c r="I276" s="143"/>
      <c r="J276" s="143"/>
      <c r="K276" s="111"/>
      <c r="L276" s="110"/>
      <c r="M276" s="110" t="str">
        <f>IFERROR(_xlfn.XLOOKUP($A276,Input_Raw!$A:$A,Input_Raw!$CQ:$CQ),"")</f>
        <v/>
      </c>
      <c r="N276" s="110" t="str">
        <f>IFERROR(_xlfn.XLOOKUP($A276,Input_Raw!$A:$A,Input_Raw!$CR:$CR),"")</f>
        <v/>
      </c>
      <c r="O276" s="141" t="str">
        <f t="shared" si="25"/>
        <v/>
      </c>
      <c r="P276" s="141" t="str">
        <f>IFERROR(1-SUMIF(WTG_BD!$F:$F,$A276,WTG_BD!$AA:$AA)/($AA276+SUMIF(WTG_BD!$F:$F,$A276,WTG_BD!$AA:$AA)),"")</f>
        <v/>
      </c>
      <c r="Q276" s="141" t="str">
        <f>IFERROR(1-SUMIF(IGA_BD!$F:$F,$A276,IGA_BD!$W:$W)/($AA276+SUMIF(IGA_BD!$F:$F,$A276,IGA_BD!$W:$W)),"")</f>
        <v/>
      </c>
      <c r="R276" s="141" t="str">
        <f>IFERROR(1-SUMIF(Grid_BD!$F:$F,$A276,Grid_BD!$Y:$Y)/($AA276+SUMIF(Grid_BD!$F:$F,$A276,Grid_BD!$Y:$Y)),"")</f>
        <v/>
      </c>
      <c r="S276" s="108"/>
      <c r="T276" s="140"/>
      <c r="U276" s="141"/>
      <c r="V276" s="108"/>
      <c r="W276" s="142" t="str">
        <f t="shared" si="26"/>
        <v/>
      </c>
      <c r="X276" s="108" t="str">
        <f>IFERROR(_xlfn.XLOOKUP($A276,Input_Raw!$A:$A,Input_Raw!$CP:$CP)*1000,"")</f>
        <v/>
      </c>
      <c r="Y276" s="108" t="str">
        <f>IFERROR(_xlfn.XLOOKUP($A276,Input_Raw!$A:$A,Input_Raw!DJ:DJ)*1000,"")</f>
        <v/>
      </c>
      <c r="Z276" s="108" t="str">
        <f>IFERROR(_xlfn.XLOOKUP($A276,Input_Raw!$A:$A,Input_Raw!DK:DK)*1000,"")</f>
        <v/>
      </c>
      <c r="AA276" s="138" t="str">
        <f t="shared" si="27"/>
        <v/>
      </c>
      <c r="AB276" s="108" t="str">
        <f>IFERROR(_xlfn.XLOOKUP($A276,Input_Raw!$A:$A,Input_Raw!$DR:$DR),"")</f>
        <v/>
      </c>
      <c r="AC276" s="143">
        <f>IFERROR(_xlfn.XLOOKUP($D276,'Modelling New'!$D:$D,'Modelling New'!$J:$J),"")</f>
        <v>4.79</v>
      </c>
      <c r="AD276" s="138">
        <f>IFERROR(_xlfn.XLOOKUP($D276,'Modelling New'!$D:$D,'Modelling New'!$T:$T)*1000,"")</f>
        <v>233936.54337157667</v>
      </c>
      <c r="AE276" s="142"/>
      <c r="AF276" s="142">
        <f>IFERROR(_xlfn.XLOOKUP($D276,'Modelling New'!$D:$D,'Modelling New'!$W:$W),"")</f>
        <v>0.13845676099170021</v>
      </c>
      <c r="AG276" s="142">
        <f>IFERROR(_xlfn.XLOOKUP($D276,'Modelling New'!$D:$D,'Modelling New'!$AE:$AE),"")</f>
        <v>0.96029999999999993</v>
      </c>
      <c r="AH276" s="142">
        <f>IFERROR(_xlfn.XLOOKUP($D276,'Modelling New'!$D:$D,'Modelling New'!$AF:$AF),"")</f>
        <v>0.995</v>
      </c>
      <c r="AI276" s="109" t="str">
        <f>IFERROR(_xlfn.XLOOKUP($A276,Input_Raw!$A:$A,Input_Raw!$DP:$DP),"")</f>
        <v/>
      </c>
      <c r="AJ276" s="108"/>
      <c r="AK276" s="108"/>
      <c r="AL276" s="108"/>
      <c r="AM276" s="108"/>
      <c r="AN276" s="132" t="str">
        <f>IFERROR(_xlfn.XLOOKUP($A276,Input_Raw!$A:$A,Input_Raw!$DL:$DL),"")</f>
        <v/>
      </c>
      <c r="AO276" s="142" t="str">
        <f>IFERROR((_xlfn.XLOOKUP($A276,'WTG Reactive Power'!$A:$A,'WTG Reactive Power'!$AW:$AW))/X276,"")</f>
        <v/>
      </c>
      <c r="AP276" s="142">
        <f>IFERROR(_xlfn.XLOOKUP($D276,'Modelling New'!$D:$D,'Modelling New'!$AK:$AK),"")</f>
        <v>0.05</v>
      </c>
      <c r="AQ276" s="142">
        <f>IFERROR(_xlfn.XLOOKUP($D276,'Modelling New'!$D:$D,'Modelling New'!$AL:$AL),"")</f>
        <v>0.05</v>
      </c>
      <c r="AR276" s="198">
        <f>IFERROR(_xlfn.XLOOKUP($D276,'Modelling New'!$D:$D,'Modelling New'!$N:$N),"")</f>
        <v>70.400000000000006</v>
      </c>
      <c r="AS276" s="198"/>
    </row>
    <row r="277" spans="1:45">
      <c r="A277" s="137">
        <f t="shared" si="28"/>
        <v>46020</v>
      </c>
      <c r="B277" s="138">
        <f>YEAR(Daily_KPI[[#This Row],[Date]])+IF(MONTH(Daily_KPI[[#This Row],[Date]])&gt;=4,1,0)</f>
        <v>2026</v>
      </c>
      <c r="C277" s="108">
        <f>YEAR(Daily_KPI[[#This Row],[Date]])</f>
        <v>2025</v>
      </c>
      <c r="D277" s="139">
        <f>Daily_KPI[[#This Row],[Date]]-DAY(Daily_KPI[[#This Row],[Date]])+1</f>
        <v>45992</v>
      </c>
      <c r="E277" s="108">
        <f t="shared" si="24"/>
        <v>31</v>
      </c>
      <c r="F277" s="109"/>
      <c r="G277" s="110"/>
      <c r="H277" s="110"/>
      <c r="I277" s="110"/>
      <c r="J277" s="110"/>
      <c r="K277" s="111"/>
      <c r="L277" s="110"/>
      <c r="M277" s="110" t="str">
        <f>IFERROR(_xlfn.XLOOKUP($A277,Input_Raw!$A:$A,Input_Raw!$CQ:$CQ),"")</f>
        <v/>
      </c>
      <c r="N277" s="110" t="str">
        <f>IFERROR(_xlfn.XLOOKUP($A277,Input_Raw!$A:$A,Input_Raw!$CR:$CR),"")</f>
        <v/>
      </c>
      <c r="O277" s="141" t="str">
        <f t="shared" si="25"/>
        <v/>
      </c>
      <c r="P277" s="141" t="str">
        <f>IFERROR(1-SUMIF(WTG_BD!$F:$F,$A277,WTG_BD!$AA:$AA)/($AA277+SUMIF(WTG_BD!$F:$F,$A277,WTG_BD!$AA:$AA)),"")</f>
        <v/>
      </c>
      <c r="Q277" s="141" t="str">
        <f>IFERROR(1-SUMIF(IGA_BD!$F:$F,$A277,IGA_BD!$W:$W)/($AA277+SUMIF(IGA_BD!$F:$F,$A277,IGA_BD!$W:$W)),"")</f>
        <v/>
      </c>
      <c r="R277" s="141" t="str">
        <f>IFERROR(1-SUMIF(Grid_BD!$F:$F,$A277,Grid_BD!$Y:$Y)/($AA277+SUMIF(Grid_BD!$F:$F,$A277,Grid_BD!$Y:$Y)),"")</f>
        <v/>
      </c>
      <c r="S277" s="108"/>
      <c r="T277" s="140"/>
      <c r="U277" s="141"/>
      <c r="V277" s="108"/>
      <c r="W277" s="142" t="str">
        <f t="shared" si="26"/>
        <v/>
      </c>
      <c r="X277" s="108" t="str">
        <f>IFERROR(_xlfn.XLOOKUP($A277,Input_Raw!$A:$A,Input_Raw!$CP:$CP)*1000,"")</f>
        <v/>
      </c>
      <c r="Y277" s="108" t="str">
        <f>IFERROR(_xlfn.XLOOKUP($A277,Input_Raw!$A:$A,Input_Raw!DJ:DJ)*1000,"")</f>
        <v/>
      </c>
      <c r="Z277" s="108" t="str">
        <f>IFERROR(_xlfn.XLOOKUP($A277,Input_Raw!$A:$A,Input_Raw!DK:DK)*1000,"")</f>
        <v/>
      </c>
      <c r="AA277" s="138" t="str">
        <f t="shared" si="27"/>
        <v/>
      </c>
      <c r="AB277" s="108" t="str">
        <f>IFERROR(_xlfn.XLOOKUP($A277,Input_Raw!$A:$A,Input_Raw!$DR:$DR),"")</f>
        <v/>
      </c>
      <c r="AC277" s="143">
        <f>IFERROR(_xlfn.XLOOKUP($D277,'Modelling New'!$D:$D,'Modelling New'!$J:$J),"")</f>
        <v>4.79</v>
      </c>
      <c r="AD277" s="138">
        <f>IFERROR(_xlfn.XLOOKUP($D277,'Modelling New'!$D:$D,'Modelling New'!$T:$T)*1000,"")</f>
        <v>233936.54337157667</v>
      </c>
      <c r="AE277" s="142"/>
      <c r="AF277" s="142">
        <f>IFERROR(_xlfn.XLOOKUP($D277,'Modelling New'!$D:$D,'Modelling New'!$W:$W),"")</f>
        <v>0.13845676099170021</v>
      </c>
      <c r="AG277" s="142">
        <f>IFERROR(_xlfn.XLOOKUP($D277,'Modelling New'!$D:$D,'Modelling New'!$AE:$AE),"")</f>
        <v>0.96029999999999993</v>
      </c>
      <c r="AH277" s="142">
        <f>IFERROR(_xlfn.XLOOKUP($D277,'Modelling New'!$D:$D,'Modelling New'!$AF:$AF),"")</f>
        <v>0.995</v>
      </c>
      <c r="AI277" s="109" t="str">
        <f>IFERROR(_xlfn.XLOOKUP($A277,Input_Raw!$A:$A,Input_Raw!$DP:$DP),"")</f>
        <v/>
      </c>
      <c r="AJ277" s="108"/>
      <c r="AK277" s="108"/>
      <c r="AL277" s="108"/>
      <c r="AM277" s="108"/>
      <c r="AN277" s="132" t="str">
        <f>IFERROR(_xlfn.XLOOKUP($A277,Input_Raw!$A:$A,Input_Raw!$DL:$DL),"")</f>
        <v/>
      </c>
      <c r="AO277" s="142" t="str">
        <f>IFERROR((_xlfn.XLOOKUP($A277,'WTG Reactive Power'!$A:$A,'WTG Reactive Power'!$AW:$AW))/X277,"")</f>
        <v/>
      </c>
      <c r="AP277" s="142">
        <f>IFERROR(_xlfn.XLOOKUP($D277,'Modelling New'!$D:$D,'Modelling New'!$AK:$AK),"")</f>
        <v>0.05</v>
      </c>
      <c r="AQ277" s="142">
        <f>IFERROR(_xlfn.XLOOKUP($D277,'Modelling New'!$D:$D,'Modelling New'!$AL:$AL),"")</f>
        <v>0.05</v>
      </c>
      <c r="AR277" s="198">
        <f>IFERROR(_xlfn.XLOOKUP($D277,'Modelling New'!$D:$D,'Modelling New'!$N:$N),"")</f>
        <v>70.400000000000006</v>
      </c>
      <c r="AS277" s="198"/>
    </row>
    <row r="278" spans="1:45">
      <c r="A278" s="137">
        <f t="shared" si="28"/>
        <v>46021</v>
      </c>
      <c r="B278" s="138">
        <f>YEAR(Daily_KPI[[#This Row],[Date]])+IF(MONTH(Daily_KPI[[#This Row],[Date]])&gt;=4,1,0)</f>
        <v>2026</v>
      </c>
      <c r="C278" s="108">
        <f>YEAR(Daily_KPI[[#This Row],[Date]])</f>
        <v>2025</v>
      </c>
      <c r="D278" s="139">
        <f>Daily_KPI[[#This Row],[Date]]-DAY(Daily_KPI[[#This Row],[Date]])+1</f>
        <v>45992</v>
      </c>
      <c r="E278" s="108">
        <f t="shared" si="24"/>
        <v>31</v>
      </c>
      <c r="F278" s="109"/>
      <c r="G278" s="143"/>
      <c r="H278" s="143"/>
      <c r="I278" s="143"/>
      <c r="J278" s="143"/>
      <c r="K278" s="111"/>
      <c r="L278" s="110"/>
      <c r="M278" s="110" t="str">
        <f>IFERROR(_xlfn.XLOOKUP($A278,Input_Raw!$A:$A,Input_Raw!$CQ:$CQ),"")</f>
        <v/>
      </c>
      <c r="N278" s="110" t="str">
        <f>IFERROR(_xlfn.XLOOKUP($A278,Input_Raw!$A:$A,Input_Raw!$CR:$CR),"")</f>
        <v/>
      </c>
      <c r="O278" s="141" t="str">
        <f t="shared" si="25"/>
        <v/>
      </c>
      <c r="P278" s="141" t="str">
        <f>IFERROR(1-SUMIF(WTG_BD!$F:$F,$A278,WTG_BD!$AA:$AA)/($AA278+SUMIF(WTG_BD!$F:$F,$A278,WTG_BD!$AA:$AA)),"")</f>
        <v/>
      </c>
      <c r="Q278" s="141" t="str">
        <f>IFERROR(1-SUMIF(IGA_BD!$F:$F,$A278,IGA_BD!$W:$W)/($AA278+SUMIF(IGA_BD!$F:$F,$A278,IGA_BD!$W:$W)),"")</f>
        <v/>
      </c>
      <c r="R278" s="141" t="str">
        <f>IFERROR(1-SUMIF(Grid_BD!$F:$F,$A278,Grid_BD!$Y:$Y)/($AA278+SUMIF(Grid_BD!$F:$F,$A278,Grid_BD!$Y:$Y)),"")</f>
        <v/>
      </c>
      <c r="S278" s="108"/>
      <c r="T278" s="140"/>
      <c r="U278" s="141"/>
      <c r="V278" s="108"/>
      <c r="W278" s="142" t="str">
        <f t="shared" si="26"/>
        <v/>
      </c>
      <c r="X278" s="108" t="str">
        <f>IFERROR(_xlfn.XLOOKUP($A278,Input_Raw!$A:$A,Input_Raw!$CP:$CP)*1000,"")</f>
        <v/>
      </c>
      <c r="Y278" s="108" t="str">
        <f>IFERROR(_xlfn.XLOOKUP($A278,Input_Raw!$A:$A,Input_Raw!DJ:DJ)*1000,"")</f>
        <v/>
      </c>
      <c r="Z278" s="108" t="str">
        <f>IFERROR(_xlfn.XLOOKUP($A278,Input_Raw!$A:$A,Input_Raw!DK:DK)*1000,"")</f>
        <v/>
      </c>
      <c r="AA278" s="138" t="str">
        <f t="shared" si="27"/>
        <v/>
      </c>
      <c r="AB278" s="108" t="str">
        <f>IFERROR(_xlfn.XLOOKUP($A278,Input_Raw!$A:$A,Input_Raw!$DR:$DR),"")</f>
        <v/>
      </c>
      <c r="AC278" s="143">
        <f>IFERROR(_xlfn.XLOOKUP($D278,'Modelling New'!$D:$D,'Modelling New'!$J:$J),"")</f>
        <v>4.79</v>
      </c>
      <c r="AD278" s="138">
        <f>IFERROR(_xlfn.XLOOKUP($D278,'Modelling New'!$D:$D,'Modelling New'!$T:$T)*1000,"")</f>
        <v>233936.54337157667</v>
      </c>
      <c r="AE278" s="142"/>
      <c r="AF278" s="142">
        <f>IFERROR(_xlfn.XLOOKUP($D278,'Modelling New'!$D:$D,'Modelling New'!$W:$W),"")</f>
        <v>0.13845676099170021</v>
      </c>
      <c r="AG278" s="142">
        <f>IFERROR(_xlfn.XLOOKUP($D278,'Modelling New'!$D:$D,'Modelling New'!$AE:$AE),"")</f>
        <v>0.96029999999999993</v>
      </c>
      <c r="AH278" s="142">
        <f>IFERROR(_xlfn.XLOOKUP($D278,'Modelling New'!$D:$D,'Modelling New'!$AF:$AF),"")</f>
        <v>0.995</v>
      </c>
      <c r="AI278" s="109" t="str">
        <f>IFERROR(_xlfn.XLOOKUP($A278,Input_Raw!$A:$A,Input_Raw!$DP:$DP),"")</f>
        <v/>
      </c>
      <c r="AJ278" s="108"/>
      <c r="AK278" s="108"/>
      <c r="AL278" s="108"/>
      <c r="AM278" s="108"/>
      <c r="AN278" s="132" t="str">
        <f>IFERROR(_xlfn.XLOOKUP($A278,Input_Raw!$A:$A,Input_Raw!$DL:$DL),"")</f>
        <v/>
      </c>
      <c r="AO278" s="142" t="str">
        <f>IFERROR((_xlfn.XLOOKUP($A278,'WTG Reactive Power'!$A:$A,'WTG Reactive Power'!$AW:$AW))/X278,"")</f>
        <v/>
      </c>
      <c r="AP278" s="142">
        <f>IFERROR(_xlfn.XLOOKUP($D278,'Modelling New'!$D:$D,'Modelling New'!$AK:$AK),"")</f>
        <v>0.05</v>
      </c>
      <c r="AQ278" s="142">
        <f>IFERROR(_xlfn.XLOOKUP($D278,'Modelling New'!$D:$D,'Modelling New'!$AL:$AL),"")</f>
        <v>0.05</v>
      </c>
      <c r="AR278" s="198">
        <f>IFERROR(_xlfn.XLOOKUP($D278,'Modelling New'!$D:$D,'Modelling New'!$N:$N),"")</f>
        <v>70.400000000000006</v>
      </c>
      <c r="AS278" s="198"/>
    </row>
    <row r="279" spans="1:45">
      <c r="A279" s="137">
        <f t="shared" si="28"/>
        <v>46022</v>
      </c>
      <c r="B279" s="138">
        <f>YEAR(Daily_KPI[[#This Row],[Date]])+IF(MONTH(Daily_KPI[[#This Row],[Date]])&gt;=4,1,0)</f>
        <v>2026</v>
      </c>
      <c r="C279" s="108">
        <f>YEAR(Daily_KPI[[#This Row],[Date]])</f>
        <v>2025</v>
      </c>
      <c r="D279" s="139">
        <f>Daily_KPI[[#This Row],[Date]]-DAY(Daily_KPI[[#This Row],[Date]])+1</f>
        <v>45992</v>
      </c>
      <c r="E279" s="108">
        <f t="shared" si="24"/>
        <v>31</v>
      </c>
      <c r="F279" s="109"/>
      <c r="G279" s="110"/>
      <c r="H279" s="110"/>
      <c r="I279" s="110"/>
      <c r="J279" s="110"/>
      <c r="K279" s="111"/>
      <c r="L279" s="110"/>
      <c r="M279" s="110" t="str">
        <f>IFERROR(_xlfn.XLOOKUP($A279,Input_Raw!$A:$A,Input_Raw!$CQ:$CQ),"")</f>
        <v/>
      </c>
      <c r="N279" s="110" t="str">
        <f>IFERROR(_xlfn.XLOOKUP($A279,Input_Raw!$A:$A,Input_Raw!$CR:$CR),"")</f>
        <v/>
      </c>
      <c r="O279" s="141" t="str">
        <f t="shared" si="25"/>
        <v/>
      </c>
      <c r="P279" s="141" t="str">
        <f>IFERROR(1-SUMIF(WTG_BD!$F:$F,$A279,WTG_BD!$AA:$AA)/($AA279+SUMIF(WTG_BD!$F:$F,$A279,WTG_BD!$AA:$AA)),"")</f>
        <v/>
      </c>
      <c r="Q279" s="141" t="str">
        <f>IFERROR(1-SUMIF(IGA_BD!$F:$F,$A279,IGA_BD!$W:$W)/($AA279+SUMIF(IGA_BD!$F:$F,$A279,IGA_BD!$W:$W)),"")</f>
        <v/>
      </c>
      <c r="R279" s="141" t="str">
        <f>IFERROR(1-SUMIF(Grid_BD!$F:$F,$A279,Grid_BD!$Y:$Y)/($AA279+SUMIF(Grid_BD!$F:$F,$A279,Grid_BD!$Y:$Y)),"")</f>
        <v/>
      </c>
      <c r="S279" s="108"/>
      <c r="T279" s="140"/>
      <c r="U279" s="141"/>
      <c r="V279" s="108"/>
      <c r="W279" s="142" t="str">
        <f t="shared" si="26"/>
        <v/>
      </c>
      <c r="X279" s="108" t="str">
        <f>IFERROR(_xlfn.XLOOKUP($A279,Input_Raw!$A:$A,Input_Raw!$CP:$CP)*1000,"")</f>
        <v/>
      </c>
      <c r="Y279" s="108" t="str">
        <f>IFERROR(_xlfn.XLOOKUP($A279,Input_Raw!$A:$A,Input_Raw!DJ:DJ)*1000,"")</f>
        <v/>
      </c>
      <c r="Z279" s="108" t="str">
        <f>IFERROR(_xlfn.XLOOKUP($A279,Input_Raw!$A:$A,Input_Raw!DK:DK)*1000,"")</f>
        <v/>
      </c>
      <c r="AA279" s="138" t="str">
        <f t="shared" si="27"/>
        <v/>
      </c>
      <c r="AB279" s="108" t="str">
        <f>IFERROR(_xlfn.XLOOKUP($A279,Input_Raw!$A:$A,Input_Raw!$DR:$DR),"")</f>
        <v/>
      </c>
      <c r="AC279" s="143">
        <f>IFERROR(_xlfn.XLOOKUP($D279,'Modelling New'!$D:$D,'Modelling New'!$J:$J),"")</f>
        <v>4.79</v>
      </c>
      <c r="AD279" s="138">
        <f>IFERROR(_xlfn.XLOOKUP($D279,'Modelling New'!$D:$D,'Modelling New'!$T:$T)*1000,"")</f>
        <v>233936.54337157667</v>
      </c>
      <c r="AE279" s="142"/>
      <c r="AF279" s="142">
        <f>IFERROR(_xlfn.XLOOKUP($D279,'Modelling New'!$D:$D,'Modelling New'!$W:$W),"")</f>
        <v>0.13845676099170021</v>
      </c>
      <c r="AG279" s="142">
        <f>IFERROR(_xlfn.XLOOKUP($D279,'Modelling New'!$D:$D,'Modelling New'!$AE:$AE),"")</f>
        <v>0.96029999999999993</v>
      </c>
      <c r="AH279" s="142">
        <f>IFERROR(_xlfn.XLOOKUP($D279,'Modelling New'!$D:$D,'Modelling New'!$AF:$AF),"")</f>
        <v>0.995</v>
      </c>
      <c r="AI279" s="109" t="str">
        <f>IFERROR(_xlfn.XLOOKUP($A279,Input_Raw!$A:$A,Input_Raw!$DP:$DP),"")</f>
        <v/>
      </c>
      <c r="AJ279" s="108"/>
      <c r="AK279" s="108"/>
      <c r="AL279" s="108"/>
      <c r="AM279" s="108"/>
      <c r="AN279" s="132" t="str">
        <f>IFERROR(_xlfn.XLOOKUP($A279,Input_Raw!$A:$A,Input_Raw!$DL:$DL),"")</f>
        <v/>
      </c>
      <c r="AO279" s="142" t="str">
        <f>IFERROR((_xlfn.XLOOKUP($A279,'WTG Reactive Power'!$A:$A,'WTG Reactive Power'!$AW:$AW))/X279,"")</f>
        <v/>
      </c>
      <c r="AP279" s="142">
        <f>IFERROR(_xlfn.XLOOKUP($D279,'Modelling New'!$D:$D,'Modelling New'!$AK:$AK),"")</f>
        <v>0.05</v>
      </c>
      <c r="AQ279" s="142">
        <f>IFERROR(_xlfn.XLOOKUP($D279,'Modelling New'!$D:$D,'Modelling New'!$AL:$AL),"")</f>
        <v>0.05</v>
      </c>
      <c r="AR279" s="198">
        <f>IFERROR(_xlfn.XLOOKUP($D279,'Modelling New'!$D:$D,'Modelling New'!$N:$N),"")</f>
        <v>70.400000000000006</v>
      </c>
      <c r="AS279" s="198"/>
    </row>
    <row r="280" spans="1:45">
      <c r="A280" s="137">
        <f t="shared" si="28"/>
        <v>46023</v>
      </c>
      <c r="B280" s="138">
        <f>YEAR(Daily_KPI[[#This Row],[Date]])+IF(MONTH(Daily_KPI[[#This Row],[Date]])&gt;=4,1,0)</f>
        <v>2026</v>
      </c>
      <c r="C280" s="108">
        <f>YEAR(Daily_KPI[[#This Row],[Date]])</f>
        <v>2026</v>
      </c>
      <c r="D280" s="139">
        <f>Daily_KPI[[#This Row],[Date]]-DAY(Daily_KPI[[#This Row],[Date]])+1</f>
        <v>46023</v>
      </c>
      <c r="E280" s="108">
        <f t="shared" ref="E280:E311" si="29">DAY(EOMONTH(A280,0))</f>
        <v>31</v>
      </c>
      <c r="F280" s="109"/>
      <c r="G280" s="110"/>
      <c r="H280" s="110"/>
      <c r="I280" s="110"/>
      <c r="J280" s="110"/>
      <c r="K280" s="111"/>
      <c r="L280" s="110"/>
      <c r="M280" s="110" t="str">
        <f>IFERROR(_xlfn.XLOOKUP($A280,Input_Raw!$A:$A,Input_Raw!$CQ:$CQ),"")</f>
        <v/>
      </c>
      <c r="N280" s="110" t="str">
        <f>IFERROR(_xlfn.XLOOKUP($A280,Input_Raw!$A:$A,Input_Raw!$CR:$CR),"")</f>
        <v/>
      </c>
      <c r="O280" s="141" t="str">
        <f t="shared" ref="O280:O311" si="30">IFERROR(P280*Q280,"")</f>
        <v/>
      </c>
      <c r="P280" s="141" t="str">
        <f>IFERROR(1-SUMIF(WTG_BD!$F:$F,$A280,WTG_BD!$AA:$AA)/($AA280+SUMIF(WTG_BD!$F:$F,$A280,WTG_BD!$AA:$AA)),"")</f>
        <v/>
      </c>
      <c r="Q280" s="141" t="str">
        <f>IFERROR(1-SUMIF(IGA_BD!$F:$F,$A280,IGA_BD!$W:$W)/($AA280+SUMIF(IGA_BD!$F:$F,$A280,IGA_BD!$W:$W)),"")</f>
        <v/>
      </c>
      <c r="R280" s="141" t="str">
        <f>IFERROR(1-SUMIF(Grid_BD!$F:$F,$A280,Grid_BD!$Y:$Y)/($AA280+SUMIF(Grid_BD!$F:$F,$A280,Grid_BD!$Y:$Y)),"")</f>
        <v/>
      </c>
      <c r="S280" s="108"/>
      <c r="T280" s="140"/>
      <c r="U280" s="141"/>
      <c r="V280" s="108"/>
      <c r="W280" s="142" t="str">
        <f t="shared" ref="W280:W311" si="31">IFERROR(X280/(24*AB280*1000),"")</f>
        <v/>
      </c>
      <c r="X280" s="108" t="str">
        <f>IFERROR(_xlfn.XLOOKUP($A280,Input_Raw!$A:$A,Input_Raw!$CP:$CP)*1000,"")</f>
        <v/>
      </c>
      <c r="Y280" s="108" t="str">
        <f>IFERROR(_xlfn.XLOOKUP($A280,Input_Raw!$A:$A,Input_Raw!DJ:DJ)*1000,"")</f>
        <v/>
      </c>
      <c r="Z280" s="108" t="str">
        <f>IFERROR(_xlfn.XLOOKUP($A280,Input_Raw!$A:$A,Input_Raw!DK:DK)*1000,"")</f>
        <v/>
      </c>
      <c r="AA280" s="138" t="str">
        <f t="shared" ref="AA280:AA311" si="32">IFERROR(Y280-Z280,"")</f>
        <v/>
      </c>
      <c r="AB280" s="108" t="str">
        <f>IFERROR(_xlfn.XLOOKUP($A280,Input_Raw!$A:$A,Input_Raw!$DR:$DR),"")</f>
        <v/>
      </c>
      <c r="AC280" s="143">
        <f>IFERROR(_xlfn.XLOOKUP($D280,'Modelling New'!$D:$D,'Modelling New'!$J:$J),"")</f>
        <v>3.75</v>
      </c>
      <c r="AD280" s="138">
        <f>IFERROR(_xlfn.XLOOKUP($D280,'Modelling New'!$D:$D,'Modelling New'!$T:$T)*1000,"")</f>
        <v>106720.09220527501</v>
      </c>
      <c r="AE280" s="142"/>
      <c r="AF280" s="142">
        <f>IFERROR(_xlfn.XLOOKUP($D280,'Modelling New'!$D:$D,'Modelling New'!$W:$W),"")</f>
        <v>6.3162933360129611E-2</v>
      </c>
      <c r="AG280" s="142">
        <f>IFERROR(_xlfn.XLOOKUP($D280,'Modelling New'!$D:$D,'Modelling New'!$AE:$AE),"")</f>
        <v>0.96029999999999993</v>
      </c>
      <c r="AH280" s="142">
        <f>IFERROR(_xlfn.XLOOKUP($D280,'Modelling New'!$D:$D,'Modelling New'!$AF:$AF),"")</f>
        <v>0.995</v>
      </c>
      <c r="AI280" s="109" t="str">
        <f>IFERROR(_xlfn.XLOOKUP($A280,Input_Raw!$A:$A,Input_Raw!$DP:$DP),"")</f>
        <v/>
      </c>
      <c r="AJ280" s="108"/>
      <c r="AK280" s="108"/>
      <c r="AL280" s="108"/>
      <c r="AM280" s="108"/>
      <c r="AN280" s="132" t="str">
        <f>IFERROR(_xlfn.XLOOKUP($A280,Input_Raw!$A:$A,Input_Raw!$DL:$DL),"")</f>
        <v/>
      </c>
      <c r="AO280" s="142" t="str">
        <f>IFERROR((_xlfn.XLOOKUP($A280,'WTG Reactive Power'!$A:$A,'WTG Reactive Power'!$AW:$AW))/X280,"")</f>
        <v/>
      </c>
      <c r="AP280" s="142">
        <f>IFERROR(_xlfn.XLOOKUP($D280,'Modelling New'!$D:$D,'Modelling New'!$AK:$AK),"")</f>
        <v>0.05</v>
      </c>
      <c r="AQ280" s="142">
        <f>IFERROR(_xlfn.XLOOKUP($D280,'Modelling New'!$D:$D,'Modelling New'!$AL:$AL),"")</f>
        <v>0.05</v>
      </c>
      <c r="AR280" s="198">
        <f>IFERROR(_xlfn.XLOOKUP($D280,'Modelling New'!$D:$D,'Modelling New'!$N:$N),"")</f>
        <v>70.400000000000006</v>
      </c>
      <c r="AS280" s="198"/>
    </row>
    <row r="281" spans="1:45">
      <c r="A281" s="137">
        <f t="shared" si="28"/>
        <v>46024</v>
      </c>
      <c r="B281" s="138">
        <f>YEAR(Daily_KPI[[#This Row],[Date]])+IF(MONTH(Daily_KPI[[#This Row],[Date]])&gt;=4,1,0)</f>
        <v>2026</v>
      </c>
      <c r="C281" s="108">
        <f>YEAR(Daily_KPI[[#This Row],[Date]])</f>
        <v>2026</v>
      </c>
      <c r="D281" s="139">
        <f>Daily_KPI[[#This Row],[Date]]-DAY(Daily_KPI[[#This Row],[Date]])+1</f>
        <v>46023</v>
      </c>
      <c r="E281" s="108">
        <f t="shared" si="29"/>
        <v>31</v>
      </c>
      <c r="F281" s="109"/>
      <c r="G281" s="110"/>
      <c r="H281" s="110"/>
      <c r="I281" s="110"/>
      <c r="J281" s="110"/>
      <c r="K281" s="111"/>
      <c r="L281" s="110"/>
      <c r="M281" s="110" t="str">
        <f>IFERROR(_xlfn.XLOOKUP($A281,Input_Raw!$A:$A,Input_Raw!$CQ:$CQ),"")</f>
        <v/>
      </c>
      <c r="N281" s="110" t="str">
        <f>IFERROR(_xlfn.XLOOKUP($A281,Input_Raw!$A:$A,Input_Raw!$CR:$CR),"")</f>
        <v/>
      </c>
      <c r="O281" s="141" t="str">
        <f t="shared" si="30"/>
        <v/>
      </c>
      <c r="P281" s="141" t="str">
        <f>IFERROR(1-SUMIF(WTG_BD!$F:$F,$A281,WTG_BD!$AA:$AA)/($AA281+SUMIF(WTG_BD!$F:$F,$A281,WTG_BD!$AA:$AA)),"")</f>
        <v/>
      </c>
      <c r="Q281" s="141" t="str">
        <f>IFERROR(1-SUMIF(IGA_BD!$F:$F,$A281,IGA_BD!$W:$W)/($AA281+SUMIF(IGA_BD!$F:$F,$A281,IGA_BD!$W:$W)),"")</f>
        <v/>
      </c>
      <c r="R281" s="141" t="str">
        <f>IFERROR(1-SUMIF(Grid_BD!$F:$F,$A281,Grid_BD!$Y:$Y)/($AA281+SUMIF(Grid_BD!$F:$F,$A281,Grid_BD!$Y:$Y)),"")</f>
        <v/>
      </c>
      <c r="S281" s="108"/>
      <c r="T281" s="140"/>
      <c r="U281" s="141"/>
      <c r="V281" s="108"/>
      <c r="W281" s="142" t="str">
        <f t="shared" si="31"/>
        <v/>
      </c>
      <c r="X281" s="108" t="str">
        <f>IFERROR(_xlfn.XLOOKUP($A281,Input_Raw!$A:$A,Input_Raw!$CP:$CP)*1000,"")</f>
        <v/>
      </c>
      <c r="Y281" s="108" t="str">
        <f>IFERROR(_xlfn.XLOOKUP($A281,Input_Raw!$A:$A,Input_Raw!DJ:DJ)*1000,"")</f>
        <v/>
      </c>
      <c r="Z281" s="108" t="str">
        <f>IFERROR(_xlfn.XLOOKUP($A281,Input_Raw!$A:$A,Input_Raw!DK:DK)*1000,"")</f>
        <v/>
      </c>
      <c r="AA281" s="138" t="str">
        <f t="shared" si="32"/>
        <v/>
      </c>
      <c r="AB281" s="108" t="str">
        <f>IFERROR(_xlfn.XLOOKUP($A281,Input_Raw!$A:$A,Input_Raw!$DR:$DR),"")</f>
        <v/>
      </c>
      <c r="AC281" s="143">
        <f>IFERROR(_xlfn.XLOOKUP($D281,'Modelling New'!$D:$D,'Modelling New'!$J:$J),"")</f>
        <v>3.75</v>
      </c>
      <c r="AD281" s="138">
        <f>IFERROR(_xlfn.XLOOKUP($D281,'Modelling New'!$D:$D,'Modelling New'!$T:$T)*1000,"")</f>
        <v>106720.09220527501</v>
      </c>
      <c r="AE281" s="142"/>
      <c r="AF281" s="142">
        <f>IFERROR(_xlfn.XLOOKUP($D281,'Modelling New'!$D:$D,'Modelling New'!$W:$W),"")</f>
        <v>6.3162933360129611E-2</v>
      </c>
      <c r="AG281" s="142">
        <f>IFERROR(_xlfn.XLOOKUP($D281,'Modelling New'!$D:$D,'Modelling New'!$AE:$AE),"")</f>
        <v>0.96029999999999993</v>
      </c>
      <c r="AH281" s="142">
        <f>IFERROR(_xlfn.XLOOKUP($D281,'Modelling New'!$D:$D,'Modelling New'!$AF:$AF),"")</f>
        <v>0.995</v>
      </c>
      <c r="AI281" s="109" t="str">
        <f>IFERROR(_xlfn.XLOOKUP($A281,Input_Raw!$A:$A,Input_Raw!$DP:$DP),"")</f>
        <v/>
      </c>
      <c r="AJ281" s="108"/>
      <c r="AK281" s="108"/>
      <c r="AL281" s="108"/>
      <c r="AM281" s="108"/>
      <c r="AN281" s="132" t="str">
        <f>IFERROR(_xlfn.XLOOKUP($A281,Input_Raw!$A:$A,Input_Raw!$DL:$DL),"")</f>
        <v/>
      </c>
      <c r="AO281" s="142" t="str">
        <f>IFERROR((_xlfn.XLOOKUP($A281,'WTG Reactive Power'!$A:$A,'WTG Reactive Power'!$AW:$AW))/X281,"")</f>
        <v/>
      </c>
      <c r="AP281" s="142">
        <f>IFERROR(_xlfn.XLOOKUP($D281,'Modelling New'!$D:$D,'Modelling New'!$AK:$AK),"")</f>
        <v>0.05</v>
      </c>
      <c r="AQ281" s="142">
        <f>IFERROR(_xlfn.XLOOKUP($D281,'Modelling New'!$D:$D,'Modelling New'!$AL:$AL),"")</f>
        <v>0.05</v>
      </c>
      <c r="AR281" s="198">
        <f>IFERROR(_xlfn.XLOOKUP($D281,'Modelling New'!$D:$D,'Modelling New'!$N:$N),"")</f>
        <v>70.400000000000006</v>
      </c>
      <c r="AS281" s="198"/>
    </row>
    <row r="282" spans="1:45">
      <c r="A282" s="137">
        <f t="shared" si="28"/>
        <v>46025</v>
      </c>
      <c r="B282" s="138">
        <f>YEAR(Daily_KPI[[#This Row],[Date]])+IF(MONTH(Daily_KPI[[#This Row],[Date]])&gt;=4,1,0)</f>
        <v>2026</v>
      </c>
      <c r="C282" s="108">
        <f>YEAR(Daily_KPI[[#This Row],[Date]])</f>
        <v>2026</v>
      </c>
      <c r="D282" s="139">
        <f>Daily_KPI[[#This Row],[Date]]-DAY(Daily_KPI[[#This Row],[Date]])+1</f>
        <v>46023</v>
      </c>
      <c r="E282" s="108">
        <f t="shared" si="29"/>
        <v>31</v>
      </c>
      <c r="F282" s="109"/>
      <c r="G282" s="110"/>
      <c r="H282" s="110"/>
      <c r="I282" s="110"/>
      <c r="J282" s="110"/>
      <c r="K282" s="111"/>
      <c r="L282" s="110"/>
      <c r="M282" s="110" t="str">
        <f>IFERROR(_xlfn.XLOOKUP($A282,Input_Raw!$A:$A,Input_Raw!$CQ:$CQ),"")</f>
        <v/>
      </c>
      <c r="N282" s="110" t="str">
        <f>IFERROR(_xlfn.XLOOKUP($A282,Input_Raw!$A:$A,Input_Raw!$CR:$CR),"")</f>
        <v/>
      </c>
      <c r="O282" s="141" t="str">
        <f t="shared" si="30"/>
        <v/>
      </c>
      <c r="P282" s="141" t="str">
        <f>IFERROR(1-SUMIF(WTG_BD!$F:$F,$A282,WTG_BD!$AA:$AA)/($AA282+SUMIF(WTG_BD!$F:$F,$A282,WTG_BD!$AA:$AA)),"")</f>
        <v/>
      </c>
      <c r="Q282" s="141" t="str">
        <f>IFERROR(1-SUMIF(IGA_BD!$F:$F,$A282,IGA_BD!$W:$W)/($AA282+SUMIF(IGA_BD!$F:$F,$A282,IGA_BD!$W:$W)),"")</f>
        <v/>
      </c>
      <c r="R282" s="141" t="str">
        <f>IFERROR(1-SUMIF(Grid_BD!$F:$F,$A282,Grid_BD!$Y:$Y)/($AA282+SUMIF(Grid_BD!$F:$F,$A282,Grid_BD!$Y:$Y)),"")</f>
        <v/>
      </c>
      <c r="S282" s="108"/>
      <c r="T282" s="140"/>
      <c r="U282" s="141"/>
      <c r="V282" s="108"/>
      <c r="W282" s="142" t="str">
        <f t="shared" si="31"/>
        <v/>
      </c>
      <c r="X282" s="108" t="str">
        <f>IFERROR(_xlfn.XLOOKUP($A282,Input_Raw!$A:$A,Input_Raw!$CP:$CP)*1000,"")</f>
        <v/>
      </c>
      <c r="Y282" s="108" t="str">
        <f>IFERROR(_xlfn.XLOOKUP($A282,Input_Raw!$A:$A,Input_Raw!DJ:DJ)*1000,"")</f>
        <v/>
      </c>
      <c r="Z282" s="108" t="str">
        <f>IFERROR(_xlfn.XLOOKUP($A282,Input_Raw!$A:$A,Input_Raw!DK:DK)*1000,"")</f>
        <v/>
      </c>
      <c r="AA282" s="138" t="str">
        <f t="shared" si="32"/>
        <v/>
      </c>
      <c r="AB282" s="108" t="str">
        <f>IFERROR(_xlfn.XLOOKUP($A282,Input_Raw!$A:$A,Input_Raw!$DR:$DR),"")</f>
        <v/>
      </c>
      <c r="AC282" s="143">
        <f>IFERROR(_xlfn.XLOOKUP($D282,'Modelling New'!$D:$D,'Modelling New'!$J:$J),"")</f>
        <v>3.75</v>
      </c>
      <c r="AD282" s="138">
        <f>IFERROR(_xlfn.XLOOKUP($D282,'Modelling New'!$D:$D,'Modelling New'!$T:$T)*1000,"")</f>
        <v>106720.09220527501</v>
      </c>
      <c r="AE282" s="142"/>
      <c r="AF282" s="142">
        <f>IFERROR(_xlfn.XLOOKUP($D282,'Modelling New'!$D:$D,'Modelling New'!$W:$W),"")</f>
        <v>6.3162933360129611E-2</v>
      </c>
      <c r="AG282" s="142">
        <f>IFERROR(_xlfn.XLOOKUP($D282,'Modelling New'!$D:$D,'Modelling New'!$AE:$AE),"")</f>
        <v>0.96029999999999993</v>
      </c>
      <c r="AH282" s="142">
        <f>IFERROR(_xlfn.XLOOKUP($D282,'Modelling New'!$D:$D,'Modelling New'!$AF:$AF),"")</f>
        <v>0.995</v>
      </c>
      <c r="AI282" s="109" t="str">
        <f>IFERROR(_xlfn.XLOOKUP($A282,Input_Raw!$A:$A,Input_Raw!$DP:$DP),"")</f>
        <v/>
      </c>
      <c r="AJ282" s="108"/>
      <c r="AK282" s="108"/>
      <c r="AL282" s="108"/>
      <c r="AM282" s="108"/>
      <c r="AN282" s="132" t="str">
        <f>IFERROR(_xlfn.XLOOKUP($A282,Input_Raw!$A:$A,Input_Raw!$DL:$DL),"")</f>
        <v/>
      </c>
      <c r="AO282" s="142" t="str">
        <f>IFERROR((_xlfn.XLOOKUP($A282,'WTG Reactive Power'!$A:$A,'WTG Reactive Power'!$AW:$AW))/X282,"")</f>
        <v/>
      </c>
      <c r="AP282" s="142">
        <f>IFERROR(_xlfn.XLOOKUP($D282,'Modelling New'!$D:$D,'Modelling New'!$AK:$AK),"")</f>
        <v>0.05</v>
      </c>
      <c r="AQ282" s="142">
        <f>IFERROR(_xlfn.XLOOKUP($D282,'Modelling New'!$D:$D,'Modelling New'!$AL:$AL),"")</f>
        <v>0.05</v>
      </c>
      <c r="AR282" s="198">
        <f>IFERROR(_xlfn.XLOOKUP($D282,'Modelling New'!$D:$D,'Modelling New'!$N:$N),"")</f>
        <v>70.400000000000006</v>
      </c>
      <c r="AS282" s="198"/>
    </row>
    <row r="283" spans="1:45">
      <c r="A283" s="137">
        <f t="shared" si="28"/>
        <v>46026</v>
      </c>
      <c r="B283" s="138">
        <f>YEAR(Daily_KPI[[#This Row],[Date]])+IF(MONTH(Daily_KPI[[#This Row],[Date]])&gt;=4,1,0)</f>
        <v>2026</v>
      </c>
      <c r="C283" s="108">
        <f>YEAR(Daily_KPI[[#This Row],[Date]])</f>
        <v>2026</v>
      </c>
      <c r="D283" s="139">
        <f>Daily_KPI[[#This Row],[Date]]-DAY(Daily_KPI[[#This Row],[Date]])+1</f>
        <v>46023</v>
      </c>
      <c r="E283" s="108">
        <f t="shared" si="29"/>
        <v>31</v>
      </c>
      <c r="F283" s="109"/>
      <c r="G283" s="110"/>
      <c r="H283" s="110"/>
      <c r="I283" s="110"/>
      <c r="J283" s="110"/>
      <c r="K283" s="111"/>
      <c r="L283" s="110"/>
      <c r="M283" s="110" t="str">
        <f>IFERROR(_xlfn.XLOOKUP($A283,Input_Raw!$A:$A,Input_Raw!$CQ:$CQ),"")</f>
        <v/>
      </c>
      <c r="N283" s="110" t="str">
        <f>IFERROR(_xlfn.XLOOKUP($A283,Input_Raw!$A:$A,Input_Raw!$CR:$CR),"")</f>
        <v/>
      </c>
      <c r="O283" s="141" t="str">
        <f t="shared" si="30"/>
        <v/>
      </c>
      <c r="P283" s="141" t="str">
        <f>IFERROR(1-SUMIF(WTG_BD!$F:$F,$A283,WTG_BD!$AA:$AA)/($AA283+SUMIF(WTG_BD!$F:$F,$A283,WTG_BD!$AA:$AA)),"")</f>
        <v/>
      </c>
      <c r="Q283" s="141" t="str">
        <f>IFERROR(1-SUMIF(IGA_BD!$F:$F,$A283,IGA_BD!$W:$W)/($AA283+SUMIF(IGA_BD!$F:$F,$A283,IGA_BD!$W:$W)),"")</f>
        <v/>
      </c>
      <c r="R283" s="141" t="str">
        <f>IFERROR(1-SUMIF(Grid_BD!$F:$F,$A283,Grid_BD!$Y:$Y)/($AA283+SUMIF(Grid_BD!$F:$F,$A283,Grid_BD!$Y:$Y)),"")</f>
        <v/>
      </c>
      <c r="S283" s="108"/>
      <c r="T283" s="140"/>
      <c r="U283" s="141"/>
      <c r="V283" s="108"/>
      <c r="W283" s="142" t="str">
        <f t="shared" si="31"/>
        <v/>
      </c>
      <c r="X283" s="108" t="str">
        <f>IFERROR(_xlfn.XLOOKUP($A283,Input_Raw!$A:$A,Input_Raw!$CP:$CP)*1000,"")</f>
        <v/>
      </c>
      <c r="Y283" s="108" t="str">
        <f>IFERROR(_xlfn.XLOOKUP($A283,Input_Raw!$A:$A,Input_Raw!DJ:DJ)*1000,"")</f>
        <v/>
      </c>
      <c r="Z283" s="108" t="str">
        <f>IFERROR(_xlfn.XLOOKUP($A283,Input_Raw!$A:$A,Input_Raw!DK:DK)*1000,"")</f>
        <v/>
      </c>
      <c r="AA283" s="138" t="str">
        <f t="shared" si="32"/>
        <v/>
      </c>
      <c r="AB283" s="108" t="str">
        <f>IFERROR(_xlfn.XLOOKUP($A283,Input_Raw!$A:$A,Input_Raw!$DR:$DR),"")</f>
        <v/>
      </c>
      <c r="AC283" s="143">
        <f>IFERROR(_xlfn.XLOOKUP($D283,'Modelling New'!$D:$D,'Modelling New'!$J:$J),"")</f>
        <v>3.75</v>
      </c>
      <c r="AD283" s="138">
        <f>IFERROR(_xlfn.XLOOKUP($D283,'Modelling New'!$D:$D,'Modelling New'!$T:$T)*1000,"")</f>
        <v>106720.09220527501</v>
      </c>
      <c r="AE283" s="142"/>
      <c r="AF283" s="142">
        <f>IFERROR(_xlfn.XLOOKUP($D283,'Modelling New'!$D:$D,'Modelling New'!$W:$W),"")</f>
        <v>6.3162933360129611E-2</v>
      </c>
      <c r="AG283" s="142">
        <f>IFERROR(_xlfn.XLOOKUP($D283,'Modelling New'!$D:$D,'Modelling New'!$AE:$AE),"")</f>
        <v>0.96029999999999993</v>
      </c>
      <c r="AH283" s="142">
        <f>IFERROR(_xlfn.XLOOKUP($D283,'Modelling New'!$D:$D,'Modelling New'!$AF:$AF),"")</f>
        <v>0.995</v>
      </c>
      <c r="AI283" s="109" t="str">
        <f>IFERROR(_xlfn.XLOOKUP($A283,Input_Raw!$A:$A,Input_Raw!$DP:$DP),"")</f>
        <v/>
      </c>
      <c r="AJ283" s="108"/>
      <c r="AK283" s="108"/>
      <c r="AL283" s="108"/>
      <c r="AM283" s="108"/>
      <c r="AN283" s="132" t="str">
        <f>IFERROR(_xlfn.XLOOKUP($A283,Input_Raw!$A:$A,Input_Raw!$DL:$DL),"")</f>
        <v/>
      </c>
      <c r="AO283" s="142" t="str">
        <f>IFERROR((_xlfn.XLOOKUP($A283,'WTG Reactive Power'!$A:$A,'WTG Reactive Power'!$AW:$AW))/X283,"")</f>
        <v/>
      </c>
      <c r="AP283" s="142">
        <f>IFERROR(_xlfn.XLOOKUP($D283,'Modelling New'!$D:$D,'Modelling New'!$AK:$AK),"")</f>
        <v>0.05</v>
      </c>
      <c r="AQ283" s="142">
        <f>IFERROR(_xlfn.XLOOKUP($D283,'Modelling New'!$D:$D,'Modelling New'!$AL:$AL),"")</f>
        <v>0.05</v>
      </c>
      <c r="AR283" s="198">
        <f>IFERROR(_xlfn.XLOOKUP($D283,'Modelling New'!$D:$D,'Modelling New'!$N:$N),"")</f>
        <v>70.400000000000006</v>
      </c>
      <c r="AS283" s="198"/>
    </row>
    <row r="284" spans="1:45">
      <c r="A284" s="137">
        <f t="shared" si="28"/>
        <v>46027</v>
      </c>
      <c r="B284" s="138">
        <f>YEAR(Daily_KPI[[#This Row],[Date]])+IF(MONTH(Daily_KPI[[#This Row],[Date]])&gt;=4,1,0)</f>
        <v>2026</v>
      </c>
      <c r="C284" s="108">
        <f>YEAR(Daily_KPI[[#This Row],[Date]])</f>
        <v>2026</v>
      </c>
      <c r="D284" s="139">
        <f>Daily_KPI[[#This Row],[Date]]-DAY(Daily_KPI[[#This Row],[Date]])+1</f>
        <v>46023</v>
      </c>
      <c r="E284" s="108">
        <f t="shared" si="29"/>
        <v>31</v>
      </c>
      <c r="F284" s="109"/>
      <c r="G284" s="110"/>
      <c r="H284" s="110"/>
      <c r="I284" s="110"/>
      <c r="J284" s="110"/>
      <c r="K284" s="111"/>
      <c r="L284" s="110"/>
      <c r="M284" s="110" t="str">
        <f>IFERROR(_xlfn.XLOOKUP($A284,Input_Raw!$A:$A,Input_Raw!$CQ:$CQ),"")</f>
        <v/>
      </c>
      <c r="N284" s="110" t="str">
        <f>IFERROR(_xlfn.XLOOKUP($A284,Input_Raw!$A:$A,Input_Raw!$CR:$CR),"")</f>
        <v/>
      </c>
      <c r="O284" s="141" t="str">
        <f t="shared" si="30"/>
        <v/>
      </c>
      <c r="P284" s="141" t="str">
        <f>IFERROR(1-SUMIF(WTG_BD!$F:$F,$A284,WTG_BD!$AA:$AA)/($AA284+SUMIF(WTG_BD!$F:$F,$A284,WTG_BD!$AA:$AA)),"")</f>
        <v/>
      </c>
      <c r="Q284" s="141" t="str">
        <f>IFERROR(1-SUMIF(IGA_BD!$F:$F,$A284,IGA_BD!$W:$W)/($AA284+SUMIF(IGA_BD!$F:$F,$A284,IGA_BD!$W:$W)),"")</f>
        <v/>
      </c>
      <c r="R284" s="141" t="str">
        <f>IFERROR(1-SUMIF(Grid_BD!$F:$F,$A284,Grid_BD!$Y:$Y)/($AA284+SUMIF(Grid_BD!$F:$F,$A284,Grid_BD!$Y:$Y)),"")</f>
        <v/>
      </c>
      <c r="S284" s="108"/>
      <c r="T284" s="140"/>
      <c r="U284" s="141"/>
      <c r="V284" s="108"/>
      <c r="W284" s="142" t="str">
        <f t="shared" si="31"/>
        <v/>
      </c>
      <c r="X284" s="108" t="str">
        <f>IFERROR(_xlfn.XLOOKUP($A284,Input_Raw!$A:$A,Input_Raw!$CP:$CP)*1000,"")</f>
        <v/>
      </c>
      <c r="Y284" s="108" t="str">
        <f>IFERROR(_xlfn.XLOOKUP($A284,Input_Raw!$A:$A,Input_Raw!DJ:DJ)*1000,"")</f>
        <v/>
      </c>
      <c r="Z284" s="108" t="str">
        <f>IFERROR(_xlfn.XLOOKUP($A284,Input_Raw!$A:$A,Input_Raw!DK:DK)*1000,"")</f>
        <v/>
      </c>
      <c r="AA284" s="138" t="str">
        <f t="shared" si="32"/>
        <v/>
      </c>
      <c r="AB284" s="108" t="str">
        <f>IFERROR(_xlfn.XLOOKUP($A284,Input_Raw!$A:$A,Input_Raw!$DR:$DR),"")</f>
        <v/>
      </c>
      <c r="AC284" s="143">
        <f>IFERROR(_xlfn.XLOOKUP($D284,'Modelling New'!$D:$D,'Modelling New'!$J:$J),"")</f>
        <v>3.75</v>
      </c>
      <c r="AD284" s="138">
        <f>IFERROR(_xlfn.XLOOKUP($D284,'Modelling New'!$D:$D,'Modelling New'!$T:$T)*1000,"")</f>
        <v>106720.09220527501</v>
      </c>
      <c r="AE284" s="142"/>
      <c r="AF284" s="142">
        <f>IFERROR(_xlfn.XLOOKUP($D284,'Modelling New'!$D:$D,'Modelling New'!$W:$W),"")</f>
        <v>6.3162933360129611E-2</v>
      </c>
      <c r="AG284" s="142">
        <f>IFERROR(_xlfn.XLOOKUP($D284,'Modelling New'!$D:$D,'Modelling New'!$AE:$AE),"")</f>
        <v>0.96029999999999993</v>
      </c>
      <c r="AH284" s="142">
        <f>IFERROR(_xlfn.XLOOKUP($D284,'Modelling New'!$D:$D,'Modelling New'!$AF:$AF),"")</f>
        <v>0.995</v>
      </c>
      <c r="AI284" s="109" t="str">
        <f>IFERROR(_xlfn.XLOOKUP($A284,Input_Raw!$A:$A,Input_Raw!$DP:$DP),"")</f>
        <v/>
      </c>
      <c r="AJ284" s="108"/>
      <c r="AK284" s="108"/>
      <c r="AL284" s="108"/>
      <c r="AM284" s="108"/>
      <c r="AN284" s="132" t="str">
        <f>IFERROR(_xlfn.XLOOKUP($A284,Input_Raw!$A:$A,Input_Raw!$DL:$DL),"")</f>
        <v/>
      </c>
      <c r="AO284" s="142" t="str">
        <f>IFERROR((_xlfn.XLOOKUP($A284,'WTG Reactive Power'!$A:$A,'WTG Reactive Power'!$AW:$AW))/X284,"")</f>
        <v/>
      </c>
      <c r="AP284" s="142">
        <f>IFERROR(_xlfn.XLOOKUP($D284,'Modelling New'!$D:$D,'Modelling New'!$AK:$AK),"")</f>
        <v>0.05</v>
      </c>
      <c r="AQ284" s="142">
        <f>IFERROR(_xlfn.XLOOKUP($D284,'Modelling New'!$D:$D,'Modelling New'!$AL:$AL),"")</f>
        <v>0.05</v>
      </c>
      <c r="AR284" s="198">
        <f>IFERROR(_xlfn.XLOOKUP($D284,'Modelling New'!$D:$D,'Modelling New'!$N:$N),"")</f>
        <v>70.400000000000006</v>
      </c>
      <c r="AS284" s="198"/>
    </row>
    <row r="285" spans="1:45">
      <c r="A285" s="137">
        <f t="shared" si="28"/>
        <v>46028</v>
      </c>
      <c r="B285" s="138">
        <f>YEAR(Daily_KPI[[#This Row],[Date]])+IF(MONTH(Daily_KPI[[#This Row],[Date]])&gt;=4,1,0)</f>
        <v>2026</v>
      </c>
      <c r="C285" s="108">
        <f>YEAR(Daily_KPI[[#This Row],[Date]])</f>
        <v>2026</v>
      </c>
      <c r="D285" s="139">
        <f>Daily_KPI[[#This Row],[Date]]-DAY(Daily_KPI[[#This Row],[Date]])+1</f>
        <v>46023</v>
      </c>
      <c r="E285" s="108">
        <f t="shared" si="29"/>
        <v>31</v>
      </c>
      <c r="F285" s="109"/>
      <c r="G285" s="110"/>
      <c r="H285" s="110"/>
      <c r="I285" s="110"/>
      <c r="J285" s="110"/>
      <c r="K285" s="111"/>
      <c r="L285" s="110"/>
      <c r="M285" s="110" t="str">
        <f>IFERROR(_xlfn.XLOOKUP($A285,Input_Raw!$A:$A,Input_Raw!$CQ:$CQ),"")</f>
        <v/>
      </c>
      <c r="N285" s="110" t="str">
        <f>IFERROR(_xlfn.XLOOKUP($A285,Input_Raw!$A:$A,Input_Raw!$CR:$CR),"")</f>
        <v/>
      </c>
      <c r="O285" s="141" t="str">
        <f t="shared" si="30"/>
        <v/>
      </c>
      <c r="P285" s="141" t="str">
        <f>IFERROR(1-SUMIF(WTG_BD!$F:$F,$A285,WTG_BD!$AA:$AA)/($AA285+SUMIF(WTG_BD!$F:$F,$A285,WTG_BD!$AA:$AA)),"")</f>
        <v/>
      </c>
      <c r="Q285" s="141" t="str">
        <f>IFERROR(1-SUMIF(IGA_BD!$F:$F,$A285,IGA_BD!$W:$W)/($AA285+SUMIF(IGA_BD!$F:$F,$A285,IGA_BD!$W:$W)),"")</f>
        <v/>
      </c>
      <c r="R285" s="141" t="str">
        <f>IFERROR(1-SUMIF(Grid_BD!$F:$F,$A285,Grid_BD!$Y:$Y)/($AA285+SUMIF(Grid_BD!$F:$F,$A285,Grid_BD!$Y:$Y)),"")</f>
        <v/>
      </c>
      <c r="S285" s="108"/>
      <c r="T285" s="140"/>
      <c r="U285" s="141"/>
      <c r="V285" s="108"/>
      <c r="W285" s="142" t="str">
        <f t="shared" si="31"/>
        <v/>
      </c>
      <c r="X285" s="108" t="str">
        <f>IFERROR(_xlfn.XLOOKUP($A285,Input_Raw!$A:$A,Input_Raw!$CP:$CP)*1000,"")</f>
        <v/>
      </c>
      <c r="Y285" s="108" t="str">
        <f>IFERROR(_xlfn.XLOOKUP($A285,Input_Raw!$A:$A,Input_Raw!DJ:DJ)*1000,"")</f>
        <v/>
      </c>
      <c r="Z285" s="108" t="str">
        <f>IFERROR(_xlfn.XLOOKUP($A285,Input_Raw!$A:$A,Input_Raw!DK:DK)*1000,"")</f>
        <v/>
      </c>
      <c r="AA285" s="138" t="str">
        <f t="shared" si="32"/>
        <v/>
      </c>
      <c r="AB285" s="108" t="str">
        <f>IFERROR(_xlfn.XLOOKUP($A285,Input_Raw!$A:$A,Input_Raw!$DR:$DR),"")</f>
        <v/>
      </c>
      <c r="AC285" s="143">
        <f>IFERROR(_xlfn.XLOOKUP($D285,'Modelling New'!$D:$D,'Modelling New'!$J:$J),"")</f>
        <v>3.75</v>
      </c>
      <c r="AD285" s="138">
        <f>IFERROR(_xlfn.XLOOKUP($D285,'Modelling New'!$D:$D,'Modelling New'!$T:$T)*1000,"")</f>
        <v>106720.09220527501</v>
      </c>
      <c r="AE285" s="142"/>
      <c r="AF285" s="142">
        <f>IFERROR(_xlfn.XLOOKUP($D285,'Modelling New'!$D:$D,'Modelling New'!$W:$W),"")</f>
        <v>6.3162933360129611E-2</v>
      </c>
      <c r="AG285" s="142">
        <f>IFERROR(_xlfn.XLOOKUP($D285,'Modelling New'!$D:$D,'Modelling New'!$AE:$AE),"")</f>
        <v>0.96029999999999993</v>
      </c>
      <c r="AH285" s="142">
        <f>IFERROR(_xlfn.XLOOKUP($D285,'Modelling New'!$D:$D,'Modelling New'!$AF:$AF),"")</f>
        <v>0.995</v>
      </c>
      <c r="AI285" s="109" t="str">
        <f>IFERROR(_xlfn.XLOOKUP($A285,Input_Raw!$A:$A,Input_Raw!$DP:$DP),"")</f>
        <v/>
      </c>
      <c r="AJ285" s="108"/>
      <c r="AK285" s="108"/>
      <c r="AL285" s="108"/>
      <c r="AM285" s="108"/>
      <c r="AN285" s="132" t="str">
        <f>IFERROR(_xlfn.XLOOKUP($A285,Input_Raw!$A:$A,Input_Raw!$DL:$DL),"")</f>
        <v/>
      </c>
      <c r="AO285" s="142" t="str">
        <f>IFERROR((_xlfn.XLOOKUP($A285,'WTG Reactive Power'!$A:$A,'WTG Reactive Power'!$AW:$AW))/X285,"")</f>
        <v/>
      </c>
      <c r="AP285" s="142">
        <f>IFERROR(_xlfn.XLOOKUP($D285,'Modelling New'!$D:$D,'Modelling New'!$AK:$AK),"")</f>
        <v>0.05</v>
      </c>
      <c r="AQ285" s="142">
        <f>IFERROR(_xlfn.XLOOKUP($D285,'Modelling New'!$D:$D,'Modelling New'!$AL:$AL),"")</f>
        <v>0.05</v>
      </c>
      <c r="AR285" s="198">
        <f>IFERROR(_xlfn.XLOOKUP($D285,'Modelling New'!$D:$D,'Modelling New'!$N:$N),"")</f>
        <v>70.400000000000006</v>
      </c>
      <c r="AS285" s="198"/>
    </row>
    <row r="286" spans="1:45">
      <c r="A286" s="137">
        <f t="shared" si="28"/>
        <v>46029</v>
      </c>
      <c r="B286" s="138">
        <f>YEAR(Daily_KPI[[#This Row],[Date]])+IF(MONTH(Daily_KPI[[#This Row],[Date]])&gt;=4,1,0)</f>
        <v>2026</v>
      </c>
      <c r="C286" s="108">
        <f>YEAR(Daily_KPI[[#This Row],[Date]])</f>
        <v>2026</v>
      </c>
      <c r="D286" s="139">
        <f>Daily_KPI[[#This Row],[Date]]-DAY(Daily_KPI[[#This Row],[Date]])+1</f>
        <v>46023</v>
      </c>
      <c r="E286" s="108">
        <f t="shared" si="29"/>
        <v>31</v>
      </c>
      <c r="F286" s="109"/>
      <c r="G286" s="110"/>
      <c r="H286" s="110"/>
      <c r="I286" s="110"/>
      <c r="J286" s="110"/>
      <c r="K286" s="111"/>
      <c r="L286" s="110"/>
      <c r="M286" s="110" t="str">
        <f>IFERROR(_xlfn.XLOOKUP($A286,Input_Raw!$A:$A,Input_Raw!$CQ:$CQ),"")</f>
        <v/>
      </c>
      <c r="N286" s="110" t="str">
        <f>IFERROR(_xlfn.XLOOKUP($A286,Input_Raw!$A:$A,Input_Raw!$CR:$CR),"")</f>
        <v/>
      </c>
      <c r="O286" s="141" t="str">
        <f t="shared" si="30"/>
        <v/>
      </c>
      <c r="P286" s="141" t="str">
        <f>IFERROR(1-SUMIF(WTG_BD!$F:$F,$A286,WTG_BD!$AA:$AA)/($AA286+SUMIF(WTG_BD!$F:$F,$A286,WTG_BD!$AA:$AA)),"")</f>
        <v/>
      </c>
      <c r="Q286" s="141" t="str">
        <f>IFERROR(1-SUMIF(IGA_BD!$F:$F,$A286,IGA_BD!$W:$W)/($AA286+SUMIF(IGA_BD!$F:$F,$A286,IGA_BD!$W:$W)),"")</f>
        <v/>
      </c>
      <c r="R286" s="141" t="str">
        <f>IFERROR(1-SUMIF(Grid_BD!$F:$F,$A286,Grid_BD!$Y:$Y)/($AA286+SUMIF(Grid_BD!$F:$F,$A286,Grid_BD!$Y:$Y)),"")</f>
        <v/>
      </c>
      <c r="S286" s="108"/>
      <c r="T286" s="140"/>
      <c r="U286" s="141"/>
      <c r="V286" s="108"/>
      <c r="W286" s="142" t="str">
        <f t="shared" si="31"/>
        <v/>
      </c>
      <c r="X286" s="108" t="str">
        <f>IFERROR(_xlfn.XLOOKUP($A286,Input_Raw!$A:$A,Input_Raw!$CP:$CP)*1000,"")</f>
        <v/>
      </c>
      <c r="Y286" s="108" t="str">
        <f>IFERROR(_xlfn.XLOOKUP($A286,Input_Raw!$A:$A,Input_Raw!DJ:DJ)*1000,"")</f>
        <v/>
      </c>
      <c r="Z286" s="108" t="str">
        <f>IFERROR(_xlfn.XLOOKUP($A286,Input_Raw!$A:$A,Input_Raw!DK:DK)*1000,"")</f>
        <v/>
      </c>
      <c r="AA286" s="138" t="str">
        <f t="shared" si="32"/>
        <v/>
      </c>
      <c r="AB286" s="108" t="str">
        <f>IFERROR(_xlfn.XLOOKUP($A286,Input_Raw!$A:$A,Input_Raw!$DR:$DR),"")</f>
        <v/>
      </c>
      <c r="AC286" s="143">
        <f>IFERROR(_xlfn.XLOOKUP($D286,'Modelling New'!$D:$D,'Modelling New'!$J:$J),"")</f>
        <v>3.75</v>
      </c>
      <c r="AD286" s="138">
        <f>IFERROR(_xlfn.XLOOKUP($D286,'Modelling New'!$D:$D,'Modelling New'!$T:$T)*1000,"")</f>
        <v>106720.09220527501</v>
      </c>
      <c r="AE286" s="142"/>
      <c r="AF286" s="142">
        <f>IFERROR(_xlfn.XLOOKUP($D286,'Modelling New'!$D:$D,'Modelling New'!$W:$W),"")</f>
        <v>6.3162933360129611E-2</v>
      </c>
      <c r="AG286" s="142">
        <f>IFERROR(_xlfn.XLOOKUP($D286,'Modelling New'!$D:$D,'Modelling New'!$AE:$AE),"")</f>
        <v>0.96029999999999993</v>
      </c>
      <c r="AH286" s="142">
        <f>IFERROR(_xlfn.XLOOKUP($D286,'Modelling New'!$D:$D,'Modelling New'!$AF:$AF),"")</f>
        <v>0.995</v>
      </c>
      <c r="AI286" s="109" t="str">
        <f>IFERROR(_xlfn.XLOOKUP($A286,Input_Raw!$A:$A,Input_Raw!$DP:$DP),"")</f>
        <v/>
      </c>
      <c r="AJ286" s="108"/>
      <c r="AK286" s="108"/>
      <c r="AL286" s="108"/>
      <c r="AM286" s="108"/>
      <c r="AN286" s="132" t="str">
        <f>IFERROR(_xlfn.XLOOKUP($A286,Input_Raw!$A:$A,Input_Raw!$DL:$DL),"")</f>
        <v/>
      </c>
      <c r="AO286" s="142" t="str">
        <f>IFERROR((_xlfn.XLOOKUP($A286,'WTG Reactive Power'!$A:$A,'WTG Reactive Power'!$AW:$AW))/X286,"")</f>
        <v/>
      </c>
      <c r="AP286" s="142">
        <f>IFERROR(_xlfn.XLOOKUP($D286,'Modelling New'!$D:$D,'Modelling New'!$AK:$AK),"")</f>
        <v>0.05</v>
      </c>
      <c r="AQ286" s="142">
        <f>IFERROR(_xlfn.XLOOKUP($D286,'Modelling New'!$D:$D,'Modelling New'!$AL:$AL),"")</f>
        <v>0.05</v>
      </c>
      <c r="AR286" s="198">
        <f>IFERROR(_xlfn.XLOOKUP($D286,'Modelling New'!$D:$D,'Modelling New'!$N:$N),"")</f>
        <v>70.400000000000006</v>
      </c>
      <c r="AS286" s="198"/>
    </row>
    <row r="287" spans="1:45">
      <c r="A287" s="137">
        <f t="shared" si="28"/>
        <v>46030</v>
      </c>
      <c r="B287" s="138">
        <f>YEAR(Daily_KPI[[#This Row],[Date]])+IF(MONTH(Daily_KPI[[#This Row],[Date]])&gt;=4,1,0)</f>
        <v>2026</v>
      </c>
      <c r="C287" s="108">
        <f>YEAR(Daily_KPI[[#This Row],[Date]])</f>
        <v>2026</v>
      </c>
      <c r="D287" s="139">
        <f>Daily_KPI[[#This Row],[Date]]-DAY(Daily_KPI[[#This Row],[Date]])+1</f>
        <v>46023</v>
      </c>
      <c r="E287" s="108">
        <f t="shared" si="29"/>
        <v>31</v>
      </c>
      <c r="F287" s="109"/>
      <c r="G287" s="110"/>
      <c r="H287" s="110"/>
      <c r="I287" s="110"/>
      <c r="J287" s="110"/>
      <c r="K287" s="111"/>
      <c r="L287" s="110"/>
      <c r="M287" s="110" t="str">
        <f>IFERROR(_xlfn.XLOOKUP($A287,Input_Raw!$A:$A,Input_Raw!$CQ:$CQ),"")</f>
        <v/>
      </c>
      <c r="N287" s="110" t="str">
        <f>IFERROR(_xlfn.XLOOKUP($A287,Input_Raw!$A:$A,Input_Raw!$CR:$CR),"")</f>
        <v/>
      </c>
      <c r="O287" s="141" t="str">
        <f t="shared" si="30"/>
        <v/>
      </c>
      <c r="P287" s="141" t="str">
        <f>IFERROR(1-SUMIF(WTG_BD!$F:$F,$A287,WTG_BD!$AA:$AA)/($AA287+SUMIF(WTG_BD!$F:$F,$A287,WTG_BD!$AA:$AA)),"")</f>
        <v/>
      </c>
      <c r="Q287" s="141" t="str">
        <f>IFERROR(1-SUMIF(IGA_BD!$F:$F,$A287,IGA_BD!$W:$W)/($AA287+SUMIF(IGA_BD!$F:$F,$A287,IGA_BD!$W:$W)),"")</f>
        <v/>
      </c>
      <c r="R287" s="141" t="str">
        <f>IFERROR(1-SUMIF(Grid_BD!$F:$F,$A287,Grid_BD!$Y:$Y)/($AA287+SUMIF(Grid_BD!$F:$F,$A287,Grid_BD!$Y:$Y)),"")</f>
        <v/>
      </c>
      <c r="S287" s="108"/>
      <c r="T287" s="140"/>
      <c r="U287" s="141"/>
      <c r="V287" s="108"/>
      <c r="W287" s="142" t="str">
        <f t="shared" si="31"/>
        <v/>
      </c>
      <c r="X287" s="108" t="str">
        <f>IFERROR(_xlfn.XLOOKUP($A287,Input_Raw!$A:$A,Input_Raw!$CP:$CP)*1000,"")</f>
        <v/>
      </c>
      <c r="Y287" s="108" t="str">
        <f>IFERROR(_xlfn.XLOOKUP($A287,Input_Raw!$A:$A,Input_Raw!DJ:DJ)*1000,"")</f>
        <v/>
      </c>
      <c r="Z287" s="108" t="str">
        <f>IFERROR(_xlfn.XLOOKUP($A287,Input_Raw!$A:$A,Input_Raw!DK:DK)*1000,"")</f>
        <v/>
      </c>
      <c r="AA287" s="138" t="str">
        <f t="shared" si="32"/>
        <v/>
      </c>
      <c r="AB287" s="108" t="str">
        <f>IFERROR(_xlfn.XLOOKUP($A287,Input_Raw!$A:$A,Input_Raw!$DR:$DR),"")</f>
        <v/>
      </c>
      <c r="AC287" s="143">
        <f>IFERROR(_xlfn.XLOOKUP($D287,'Modelling New'!$D:$D,'Modelling New'!$J:$J),"")</f>
        <v>3.75</v>
      </c>
      <c r="AD287" s="138">
        <f>IFERROR(_xlfn.XLOOKUP($D287,'Modelling New'!$D:$D,'Modelling New'!$T:$T)*1000,"")</f>
        <v>106720.09220527501</v>
      </c>
      <c r="AE287" s="142"/>
      <c r="AF287" s="142">
        <f>IFERROR(_xlfn.XLOOKUP($D287,'Modelling New'!$D:$D,'Modelling New'!$W:$W),"")</f>
        <v>6.3162933360129611E-2</v>
      </c>
      <c r="AG287" s="142">
        <f>IFERROR(_xlfn.XLOOKUP($D287,'Modelling New'!$D:$D,'Modelling New'!$AE:$AE),"")</f>
        <v>0.96029999999999993</v>
      </c>
      <c r="AH287" s="142">
        <f>IFERROR(_xlfn.XLOOKUP($D287,'Modelling New'!$D:$D,'Modelling New'!$AF:$AF),"")</f>
        <v>0.995</v>
      </c>
      <c r="AI287" s="109" t="str">
        <f>IFERROR(_xlfn.XLOOKUP($A287,Input_Raw!$A:$A,Input_Raw!$DP:$DP),"")</f>
        <v/>
      </c>
      <c r="AJ287" s="108"/>
      <c r="AK287" s="108"/>
      <c r="AL287" s="108"/>
      <c r="AM287" s="108"/>
      <c r="AN287" s="132" t="str">
        <f>IFERROR(_xlfn.XLOOKUP($A287,Input_Raw!$A:$A,Input_Raw!$DL:$DL),"")</f>
        <v/>
      </c>
      <c r="AO287" s="142" t="str">
        <f>IFERROR((_xlfn.XLOOKUP($A287,'WTG Reactive Power'!$A:$A,'WTG Reactive Power'!$AW:$AW))/X287,"")</f>
        <v/>
      </c>
      <c r="AP287" s="142">
        <f>IFERROR(_xlfn.XLOOKUP($D287,'Modelling New'!$D:$D,'Modelling New'!$AK:$AK),"")</f>
        <v>0.05</v>
      </c>
      <c r="AQ287" s="142">
        <f>IFERROR(_xlfn.XLOOKUP($D287,'Modelling New'!$D:$D,'Modelling New'!$AL:$AL),"")</f>
        <v>0.05</v>
      </c>
      <c r="AR287" s="198">
        <f>IFERROR(_xlfn.XLOOKUP($D287,'Modelling New'!$D:$D,'Modelling New'!$N:$N),"")</f>
        <v>70.400000000000006</v>
      </c>
      <c r="AS287" s="198"/>
    </row>
    <row r="288" spans="1:45">
      <c r="A288" s="137">
        <f t="shared" si="28"/>
        <v>46031</v>
      </c>
      <c r="B288" s="138">
        <f>YEAR(Daily_KPI[[#This Row],[Date]])+IF(MONTH(Daily_KPI[[#This Row],[Date]])&gt;=4,1,0)</f>
        <v>2026</v>
      </c>
      <c r="C288" s="108">
        <f>YEAR(Daily_KPI[[#This Row],[Date]])</f>
        <v>2026</v>
      </c>
      <c r="D288" s="139">
        <f>Daily_KPI[[#This Row],[Date]]-DAY(Daily_KPI[[#This Row],[Date]])+1</f>
        <v>46023</v>
      </c>
      <c r="E288" s="108">
        <f t="shared" si="29"/>
        <v>31</v>
      </c>
      <c r="F288" s="109"/>
      <c r="G288" s="110"/>
      <c r="H288" s="110"/>
      <c r="I288" s="110"/>
      <c r="J288" s="110"/>
      <c r="K288" s="111"/>
      <c r="L288" s="110"/>
      <c r="M288" s="110" t="str">
        <f>IFERROR(_xlfn.XLOOKUP($A288,Input_Raw!$A:$A,Input_Raw!$CQ:$CQ),"")</f>
        <v/>
      </c>
      <c r="N288" s="110" t="str">
        <f>IFERROR(_xlfn.XLOOKUP($A288,Input_Raw!$A:$A,Input_Raw!$CR:$CR),"")</f>
        <v/>
      </c>
      <c r="O288" s="141" t="str">
        <f t="shared" si="30"/>
        <v/>
      </c>
      <c r="P288" s="141" t="str">
        <f>IFERROR(1-SUMIF(WTG_BD!$F:$F,$A288,WTG_BD!$AA:$AA)/($AA288+SUMIF(WTG_BD!$F:$F,$A288,WTG_BD!$AA:$AA)),"")</f>
        <v/>
      </c>
      <c r="Q288" s="141" t="str">
        <f>IFERROR(1-SUMIF(IGA_BD!$F:$F,$A288,IGA_BD!$W:$W)/($AA288+SUMIF(IGA_BD!$F:$F,$A288,IGA_BD!$W:$W)),"")</f>
        <v/>
      </c>
      <c r="R288" s="141" t="str">
        <f>IFERROR(1-SUMIF(Grid_BD!$F:$F,$A288,Grid_BD!$Y:$Y)/($AA288+SUMIF(Grid_BD!$F:$F,$A288,Grid_BD!$Y:$Y)),"")</f>
        <v/>
      </c>
      <c r="S288" s="108"/>
      <c r="T288" s="140"/>
      <c r="U288" s="141"/>
      <c r="V288" s="108"/>
      <c r="W288" s="142" t="str">
        <f t="shared" si="31"/>
        <v/>
      </c>
      <c r="X288" s="108" t="str">
        <f>IFERROR(_xlfn.XLOOKUP($A288,Input_Raw!$A:$A,Input_Raw!$CP:$CP)*1000,"")</f>
        <v/>
      </c>
      <c r="Y288" s="108" t="str">
        <f>IFERROR(_xlfn.XLOOKUP($A288,Input_Raw!$A:$A,Input_Raw!DJ:DJ)*1000,"")</f>
        <v/>
      </c>
      <c r="Z288" s="108" t="str">
        <f>IFERROR(_xlfn.XLOOKUP($A288,Input_Raw!$A:$A,Input_Raw!DK:DK)*1000,"")</f>
        <v/>
      </c>
      <c r="AA288" s="138" t="str">
        <f t="shared" si="32"/>
        <v/>
      </c>
      <c r="AB288" s="108" t="str">
        <f>IFERROR(_xlfn.XLOOKUP($A288,Input_Raw!$A:$A,Input_Raw!$DR:$DR),"")</f>
        <v/>
      </c>
      <c r="AC288" s="143">
        <f>IFERROR(_xlfn.XLOOKUP($D288,'Modelling New'!$D:$D,'Modelling New'!$J:$J),"")</f>
        <v>3.75</v>
      </c>
      <c r="AD288" s="138">
        <f>IFERROR(_xlfn.XLOOKUP($D288,'Modelling New'!$D:$D,'Modelling New'!$T:$T)*1000,"")</f>
        <v>106720.09220527501</v>
      </c>
      <c r="AE288" s="142"/>
      <c r="AF288" s="142">
        <f>IFERROR(_xlfn.XLOOKUP($D288,'Modelling New'!$D:$D,'Modelling New'!$W:$W),"")</f>
        <v>6.3162933360129611E-2</v>
      </c>
      <c r="AG288" s="142">
        <f>IFERROR(_xlfn.XLOOKUP($D288,'Modelling New'!$D:$D,'Modelling New'!$AE:$AE),"")</f>
        <v>0.96029999999999993</v>
      </c>
      <c r="AH288" s="142">
        <f>IFERROR(_xlfn.XLOOKUP($D288,'Modelling New'!$D:$D,'Modelling New'!$AF:$AF),"")</f>
        <v>0.995</v>
      </c>
      <c r="AI288" s="109" t="str">
        <f>IFERROR(_xlfn.XLOOKUP($A288,Input_Raw!$A:$A,Input_Raw!$DP:$DP),"")</f>
        <v/>
      </c>
      <c r="AJ288" s="108"/>
      <c r="AK288" s="108"/>
      <c r="AL288" s="108"/>
      <c r="AM288" s="108"/>
      <c r="AN288" s="132" t="str">
        <f>IFERROR(_xlfn.XLOOKUP($A288,Input_Raw!$A:$A,Input_Raw!$DL:$DL),"")</f>
        <v/>
      </c>
      <c r="AO288" s="142" t="str">
        <f>IFERROR((_xlfn.XLOOKUP($A288,'WTG Reactive Power'!$A:$A,'WTG Reactive Power'!$AW:$AW))/X288,"")</f>
        <v/>
      </c>
      <c r="AP288" s="142">
        <f>IFERROR(_xlfn.XLOOKUP($D288,'Modelling New'!$D:$D,'Modelling New'!$AK:$AK),"")</f>
        <v>0.05</v>
      </c>
      <c r="AQ288" s="142">
        <f>IFERROR(_xlfn.XLOOKUP($D288,'Modelling New'!$D:$D,'Modelling New'!$AL:$AL),"")</f>
        <v>0.05</v>
      </c>
      <c r="AR288" s="198">
        <f>IFERROR(_xlfn.XLOOKUP($D288,'Modelling New'!$D:$D,'Modelling New'!$N:$N),"")</f>
        <v>70.400000000000006</v>
      </c>
      <c r="AS288" s="198"/>
    </row>
    <row r="289" spans="1:45">
      <c r="A289" s="137">
        <f t="shared" si="28"/>
        <v>46032</v>
      </c>
      <c r="B289" s="138">
        <f>YEAR(Daily_KPI[[#This Row],[Date]])+IF(MONTH(Daily_KPI[[#This Row],[Date]])&gt;=4,1,0)</f>
        <v>2026</v>
      </c>
      <c r="C289" s="108">
        <f>YEAR(Daily_KPI[[#This Row],[Date]])</f>
        <v>2026</v>
      </c>
      <c r="D289" s="139">
        <f>Daily_KPI[[#This Row],[Date]]-DAY(Daily_KPI[[#This Row],[Date]])+1</f>
        <v>46023</v>
      </c>
      <c r="E289" s="108">
        <f t="shared" si="29"/>
        <v>31</v>
      </c>
      <c r="F289" s="109"/>
      <c r="G289" s="110"/>
      <c r="H289" s="110"/>
      <c r="I289" s="110"/>
      <c r="J289" s="110"/>
      <c r="K289" s="111"/>
      <c r="L289" s="110"/>
      <c r="M289" s="110" t="str">
        <f>IFERROR(_xlfn.XLOOKUP($A289,Input_Raw!$A:$A,Input_Raw!$CQ:$CQ),"")</f>
        <v/>
      </c>
      <c r="N289" s="110" t="str">
        <f>IFERROR(_xlfn.XLOOKUP($A289,Input_Raw!$A:$A,Input_Raw!$CR:$CR),"")</f>
        <v/>
      </c>
      <c r="O289" s="141" t="str">
        <f t="shared" si="30"/>
        <v/>
      </c>
      <c r="P289" s="141" t="str">
        <f>IFERROR(1-SUMIF(WTG_BD!$F:$F,$A289,WTG_BD!$AA:$AA)/($AA289+SUMIF(WTG_BD!$F:$F,$A289,WTG_BD!$AA:$AA)),"")</f>
        <v/>
      </c>
      <c r="Q289" s="141" t="str">
        <f>IFERROR(1-SUMIF(IGA_BD!$F:$F,$A289,IGA_BD!$W:$W)/($AA289+SUMIF(IGA_BD!$F:$F,$A289,IGA_BD!$W:$W)),"")</f>
        <v/>
      </c>
      <c r="R289" s="141" t="str">
        <f>IFERROR(1-SUMIF(Grid_BD!$F:$F,$A289,Grid_BD!$Y:$Y)/($AA289+SUMIF(Grid_BD!$F:$F,$A289,Grid_BD!$Y:$Y)),"")</f>
        <v/>
      </c>
      <c r="S289" s="108"/>
      <c r="T289" s="140"/>
      <c r="U289" s="141"/>
      <c r="V289" s="108"/>
      <c r="W289" s="142" t="str">
        <f t="shared" si="31"/>
        <v/>
      </c>
      <c r="X289" s="108" t="str">
        <f>IFERROR(_xlfn.XLOOKUP($A289,Input_Raw!$A:$A,Input_Raw!$CP:$CP)*1000,"")</f>
        <v/>
      </c>
      <c r="Y289" s="108" t="str">
        <f>IFERROR(_xlfn.XLOOKUP($A289,Input_Raw!$A:$A,Input_Raw!DJ:DJ)*1000,"")</f>
        <v/>
      </c>
      <c r="Z289" s="108" t="str">
        <f>IFERROR(_xlfn.XLOOKUP($A289,Input_Raw!$A:$A,Input_Raw!DK:DK)*1000,"")</f>
        <v/>
      </c>
      <c r="AA289" s="138" t="str">
        <f t="shared" si="32"/>
        <v/>
      </c>
      <c r="AB289" s="108" t="str">
        <f>IFERROR(_xlfn.XLOOKUP($A289,Input_Raw!$A:$A,Input_Raw!$DR:$DR),"")</f>
        <v/>
      </c>
      <c r="AC289" s="143">
        <f>IFERROR(_xlfn.XLOOKUP($D289,'Modelling New'!$D:$D,'Modelling New'!$J:$J),"")</f>
        <v>3.75</v>
      </c>
      <c r="AD289" s="138">
        <f>IFERROR(_xlfn.XLOOKUP($D289,'Modelling New'!$D:$D,'Modelling New'!$T:$T)*1000,"")</f>
        <v>106720.09220527501</v>
      </c>
      <c r="AE289" s="142"/>
      <c r="AF289" s="142">
        <f>IFERROR(_xlfn.XLOOKUP($D289,'Modelling New'!$D:$D,'Modelling New'!$W:$W),"")</f>
        <v>6.3162933360129611E-2</v>
      </c>
      <c r="AG289" s="142">
        <f>IFERROR(_xlfn.XLOOKUP($D289,'Modelling New'!$D:$D,'Modelling New'!$AE:$AE),"")</f>
        <v>0.96029999999999993</v>
      </c>
      <c r="AH289" s="142">
        <f>IFERROR(_xlfn.XLOOKUP($D289,'Modelling New'!$D:$D,'Modelling New'!$AF:$AF),"")</f>
        <v>0.995</v>
      </c>
      <c r="AI289" s="109" t="str">
        <f>IFERROR(_xlfn.XLOOKUP($A289,Input_Raw!$A:$A,Input_Raw!$DP:$DP),"")</f>
        <v/>
      </c>
      <c r="AJ289" s="108"/>
      <c r="AK289" s="108"/>
      <c r="AL289" s="108"/>
      <c r="AM289" s="108"/>
      <c r="AN289" s="132" t="str">
        <f>IFERROR(_xlfn.XLOOKUP($A289,Input_Raw!$A:$A,Input_Raw!$DL:$DL),"")</f>
        <v/>
      </c>
      <c r="AO289" s="142" t="str">
        <f>IFERROR((_xlfn.XLOOKUP($A289,'WTG Reactive Power'!$A:$A,'WTG Reactive Power'!$AW:$AW))/X289,"")</f>
        <v/>
      </c>
      <c r="AP289" s="142">
        <f>IFERROR(_xlfn.XLOOKUP($D289,'Modelling New'!$D:$D,'Modelling New'!$AK:$AK),"")</f>
        <v>0.05</v>
      </c>
      <c r="AQ289" s="142">
        <f>IFERROR(_xlfn.XLOOKUP($D289,'Modelling New'!$D:$D,'Modelling New'!$AL:$AL),"")</f>
        <v>0.05</v>
      </c>
      <c r="AR289" s="198">
        <f>IFERROR(_xlfn.XLOOKUP($D289,'Modelling New'!$D:$D,'Modelling New'!$N:$N),"")</f>
        <v>70.400000000000006</v>
      </c>
      <c r="AS289" s="198"/>
    </row>
    <row r="290" spans="1:45">
      <c r="A290" s="137">
        <f t="shared" si="28"/>
        <v>46033</v>
      </c>
      <c r="B290" s="138">
        <f>YEAR(Daily_KPI[[#This Row],[Date]])+IF(MONTH(Daily_KPI[[#This Row],[Date]])&gt;=4,1,0)</f>
        <v>2026</v>
      </c>
      <c r="C290" s="108">
        <f>YEAR(Daily_KPI[[#This Row],[Date]])</f>
        <v>2026</v>
      </c>
      <c r="D290" s="139">
        <f>Daily_KPI[[#This Row],[Date]]-DAY(Daily_KPI[[#This Row],[Date]])+1</f>
        <v>46023</v>
      </c>
      <c r="E290" s="108">
        <f t="shared" si="29"/>
        <v>31</v>
      </c>
      <c r="F290" s="109"/>
      <c r="G290" s="110"/>
      <c r="H290" s="110"/>
      <c r="I290" s="110"/>
      <c r="J290" s="110"/>
      <c r="K290" s="111"/>
      <c r="L290" s="110"/>
      <c r="M290" s="110" t="str">
        <f>IFERROR(_xlfn.XLOOKUP($A290,Input_Raw!$A:$A,Input_Raw!$CQ:$CQ),"")</f>
        <v/>
      </c>
      <c r="N290" s="110" t="str">
        <f>IFERROR(_xlfn.XLOOKUP($A290,Input_Raw!$A:$A,Input_Raw!$CR:$CR),"")</f>
        <v/>
      </c>
      <c r="O290" s="141" t="str">
        <f t="shared" si="30"/>
        <v/>
      </c>
      <c r="P290" s="141" t="str">
        <f>IFERROR(1-SUMIF(WTG_BD!$F:$F,$A290,WTG_BD!$AA:$AA)/($AA290+SUMIF(WTG_BD!$F:$F,$A290,WTG_BD!$AA:$AA)),"")</f>
        <v/>
      </c>
      <c r="Q290" s="141" t="str">
        <f>IFERROR(1-SUMIF(IGA_BD!$F:$F,$A290,IGA_BD!$W:$W)/($AA290+SUMIF(IGA_BD!$F:$F,$A290,IGA_BD!$W:$W)),"")</f>
        <v/>
      </c>
      <c r="R290" s="141" t="str">
        <f>IFERROR(1-SUMIF(Grid_BD!$F:$F,$A290,Grid_BD!$Y:$Y)/($AA290+SUMIF(Grid_BD!$F:$F,$A290,Grid_BD!$Y:$Y)),"")</f>
        <v/>
      </c>
      <c r="S290" s="108"/>
      <c r="T290" s="140"/>
      <c r="U290" s="141"/>
      <c r="V290" s="108"/>
      <c r="W290" s="142" t="str">
        <f t="shared" si="31"/>
        <v/>
      </c>
      <c r="X290" s="108" t="str">
        <f>IFERROR(_xlfn.XLOOKUP($A290,Input_Raw!$A:$A,Input_Raw!$CP:$CP)*1000,"")</f>
        <v/>
      </c>
      <c r="Y290" s="108" t="str">
        <f>IFERROR(_xlfn.XLOOKUP($A290,Input_Raw!$A:$A,Input_Raw!DJ:DJ)*1000,"")</f>
        <v/>
      </c>
      <c r="Z290" s="108" t="str">
        <f>IFERROR(_xlfn.XLOOKUP($A290,Input_Raw!$A:$A,Input_Raw!DK:DK)*1000,"")</f>
        <v/>
      </c>
      <c r="AA290" s="138" t="str">
        <f t="shared" si="32"/>
        <v/>
      </c>
      <c r="AB290" s="108" t="str">
        <f>IFERROR(_xlfn.XLOOKUP($A290,Input_Raw!$A:$A,Input_Raw!$DR:$DR),"")</f>
        <v/>
      </c>
      <c r="AC290" s="143">
        <f>IFERROR(_xlfn.XLOOKUP($D290,'Modelling New'!$D:$D,'Modelling New'!$J:$J),"")</f>
        <v>3.75</v>
      </c>
      <c r="AD290" s="138">
        <f>IFERROR(_xlfn.XLOOKUP($D290,'Modelling New'!$D:$D,'Modelling New'!$T:$T)*1000,"")</f>
        <v>106720.09220527501</v>
      </c>
      <c r="AE290" s="142"/>
      <c r="AF290" s="142">
        <f>IFERROR(_xlfn.XLOOKUP($D290,'Modelling New'!$D:$D,'Modelling New'!$W:$W),"")</f>
        <v>6.3162933360129611E-2</v>
      </c>
      <c r="AG290" s="142">
        <f>IFERROR(_xlfn.XLOOKUP($D290,'Modelling New'!$D:$D,'Modelling New'!$AE:$AE),"")</f>
        <v>0.96029999999999993</v>
      </c>
      <c r="AH290" s="142">
        <f>IFERROR(_xlfn.XLOOKUP($D290,'Modelling New'!$D:$D,'Modelling New'!$AF:$AF),"")</f>
        <v>0.995</v>
      </c>
      <c r="AI290" s="109" t="str">
        <f>IFERROR(_xlfn.XLOOKUP($A290,Input_Raw!$A:$A,Input_Raw!$DP:$DP),"")</f>
        <v/>
      </c>
      <c r="AJ290" s="108"/>
      <c r="AK290" s="108"/>
      <c r="AL290" s="108"/>
      <c r="AM290" s="108"/>
      <c r="AN290" s="132" t="str">
        <f>IFERROR(_xlfn.XLOOKUP($A290,Input_Raw!$A:$A,Input_Raw!$DL:$DL),"")</f>
        <v/>
      </c>
      <c r="AO290" s="142" t="str">
        <f>IFERROR((_xlfn.XLOOKUP($A290,'WTG Reactive Power'!$A:$A,'WTG Reactive Power'!$AW:$AW))/X290,"")</f>
        <v/>
      </c>
      <c r="AP290" s="142">
        <f>IFERROR(_xlfn.XLOOKUP($D290,'Modelling New'!$D:$D,'Modelling New'!$AK:$AK),"")</f>
        <v>0.05</v>
      </c>
      <c r="AQ290" s="142">
        <f>IFERROR(_xlfn.XLOOKUP($D290,'Modelling New'!$D:$D,'Modelling New'!$AL:$AL),"")</f>
        <v>0.05</v>
      </c>
      <c r="AR290" s="198">
        <f>IFERROR(_xlfn.XLOOKUP($D290,'Modelling New'!$D:$D,'Modelling New'!$N:$N),"")</f>
        <v>70.400000000000006</v>
      </c>
      <c r="AS290" s="198"/>
    </row>
    <row r="291" spans="1:45">
      <c r="A291" s="137">
        <f t="shared" si="28"/>
        <v>46034</v>
      </c>
      <c r="B291" s="138">
        <f>YEAR(Daily_KPI[[#This Row],[Date]])+IF(MONTH(Daily_KPI[[#This Row],[Date]])&gt;=4,1,0)</f>
        <v>2026</v>
      </c>
      <c r="C291" s="108">
        <f>YEAR(Daily_KPI[[#This Row],[Date]])</f>
        <v>2026</v>
      </c>
      <c r="D291" s="139">
        <f>Daily_KPI[[#This Row],[Date]]-DAY(Daily_KPI[[#This Row],[Date]])+1</f>
        <v>46023</v>
      </c>
      <c r="E291" s="108">
        <f t="shared" si="29"/>
        <v>31</v>
      </c>
      <c r="F291" s="109"/>
      <c r="G291" s="110"/>
      <c r="H291" s="110"/>
      <c r="I291" s="110"/>
      <c r="J291" s="110"/>
      <c r="K291" s="111"/>
      <c r="L291" s="110"/>
      <c r="M291" s="110" t="str">
        <f>IFERROR(_xlfn.XLOOKUP($A291,Input_Raw!$A:$A,Input_Raw!$CQ:$CQ),"")</f>
        <v/>
      </c>
      <c r="N291" s="110" t="str">
        <f>IFERROR(_xlfn.XLOOKUP($A291,Input_Raw!$A:$A,Input_Raw!$CR:$CR),"")</f>
        <v/>
      </c>
      <c r="O291" s="141" t="str">
        <f t="shared" si="30"/>
        <v/>
      </c>
      <c r="P291" s="141" t="str">
        <f>IFERROR(1-SUMIF(WTG_BD!$F:$F,$A291,WTG_BD!$AA:$AA)/($AA291+SUMIF(WTG_BD!$F:$F,$A291,WTG_BD!$AA:$AA)),"")</f>
        <v/>
      </c>
      <c r="Q291" s="141" t="str">
        <f>IFERROR(1-SUMIF(IGA_BD!$F:$F,$A291,IGA_BD!$W:$W)/($AA291+SUMIF(IGA_BD!$F:$F,$A291,IGA_BD!$W:$W)),"")</f>
        <v/>
      </c>
      <c r="R291" s="141" t="str">
        <f>IFERROR(1-SUMIF(Grid_BD!$F:$F,$A291,Grid_BD!$Y:$Y)/($AA291+SUMIF(Grid_BD!$F:$F,$A291,Grid_BD!$Y:$Y)),"")</f>
        <v/>
      </c>
      <c r="S291" s="108"/>
      <c r="T291" s="140"/>
      <c r="U291" s="141"/>
      <c r="V291" s="108"/>
      <c r="W291" s="142" t="str">
        <f t="shared" si="31"/>
        <v/>
      </c>
      <c r="X291" s="108" t="str">
        <f>IFERROR(_xlfn.XLOOKUP($A291,Input_Raw!$A:$A,Input_Raw!$CP:$CP)*1000,"")</f>
        <v/>
      </c>
      <c r="Y291" s="108" t="str">
        <f>IFERROR(_xlfn.XLOOKUP($A291,Input_Raw!$A:$A,Input_Raw!DJ:DJ)*1000,"")</f>
        <v/>
      </c>
      <c r="Z291" s="108" t="str">
        <f>IFERROR(_xlfn.XLOOKUP($A291,Input_Raw!$A:$A,Input_Raw!DK:DK)*1000,"")</f>
        <v/>
      </c>
      <c r="AA291" s="138" t="str">
        <f t="shared" si="32"/>
        <v/>
      </c>
      <c r="AB291" s="108" t="str">
        <f>IFERROR(_xlfn.XLOOKUP($A291,Input_Raw!$A:$A,Input_Raw!$DR:$DR),"")</f>
        <v/>
      </c>
      <c r="AC291" s="143">
        <f>IFERROR(_xlfn.XLOOKUP($D291,'Modelling New'!$D:$D,'Modelling New'!$J:$J),"")</f>
        <v>3.75</v>
      </c>
      <c r="AD291" s="138">
        <f>IFERROR(_xlfn.XLOOKUP($D291,'Modelling New'!$D:$D,'Modelling New'!$T:$T)*1000,"")</f>
        <v>106720.09220527501</v>
      </c>
      <c r="AE291" s="142"/>
      <c r="AF291" s="142">
        <f>IFERROR(_xlfn.XLOOKUP($D291,'Modelling New'!$D:$D,'Modelling New'!$W:$W),"")</f>
        <v>6.3162933360129611E-2</v>
      </c>
      <c r="AG291" s="142">
        <f>IFERROR(_xlfn.XLOOKUP($D291,'Modelling New'!$D:$D,'Modelling New'!$AE:$AE),"")</f>
        <v>0.96029999999999993</v>
      </c>
      <c r="AH291" s="142">
        <f>IFERROR(_xlfn.XLOOKUP($D291,'Modelling New'!$D:$D,'Modelling New'!$AF:$AF),"")</f>
        <v>0.995</v>
      </c>
      <c r="AI291" s="109" t="str">
        <f>IFERROR(_xlfn.XLOOKUP($A291,Input_Raw!$A:$A,Input_Raw!$DP:$DP),"")</f>
        <v/>
      </c>
      <c r="AJ291" s="108"/>
      <c r="AK291" s="108"/>
      <c r="AL291" s="108"/>
      <c r="AM291" s="108"/>
      <c r="AN291" s="132" t="str">
        <f>IFERROR(_xlfn.XLOOKUP($A291,Input_Raw!$A:$A,Input_Raw!$DL:$DL),"")</f>
        <v/>
      </c>
      <c r="AO291" s="142" t="str">
        <f>IFERROR((_xlfn.XLOOKUP($A291,'WTG Reactive Power'!$A:$A,'WTG Reactive Power'!$AW:$AW))/X291,"")</f>
        <v/>
      </c>
      <c r="AP291" s="142">
        <f>IFERROR(_xlfn.XLOOKUP($D291,'Modelling New'!$D:$D,'Modelling New'!$AK:$AK),"")</f>
        <v>0.05</v>
      </c>
      <c r="AQ291" s="142">
        <f>IFERROR(_xlfn.XLOOKUP($D291,'Modelling New'!$D:$D,'Modelling New'!$AL:$AL),"")</f>
        <v>0.05</v>
      </c>
      <c r="AR291" s="198">
        <f>IFERROR(_xlfn.XLOOKUP($D291,'Modelling New'!$D:$D,'Modelling New'!$N:$N),"")</f>
        <v>70.400000000000006</v>
      </c>
      <c r="AS291" s="198"/>
    </row>
    <row r="292" spans="1:45">
      <c r="A292" s="137">
        <f t="shared" si="28"/>
        <v>46035</v>
      </c>
      <c r="B292" s="138">
        <f>YEAR(Daily_KPI[[#This Row],[Date]])+IF(MONTH(Daily_KPI[[#This Row],[Date]])&gt;=4,1,0)</f>
        <v>2026</v>
      </c>
      <c r="C292" s="108">
        <f>YEAR(Daily_KPI[[#This Row],[Date]])</f>
        <v>2026</v>
      </c>
      <c r="D292" s="139">
        <f>Daily_KPI[[#This Row],[Date]]-DAY(Daily_KPI[[#This Row],[Date]])+1</f>
        <v>46023</v>
      </c>
      <c r="E292" s="108">
        <f t="shared" si="29"/>
        <v>31</v>
      </c>
      <c r="F292" s="109"/>
      <c r="G292" s="110"/>
      <c r="H292" s="110"/>
      <c r="I292" s="110"/>
      <c r="J292" s="110"/>
      <c r="K292" s="111"/>
      <c r="L292" s="110"/>
      <c r="M292" s="110" t="str">
        <f>IFERROR(_xlfn.XLOOKUP($A292,Input_Raw!$A:$A,Input_Raw!$CQ:$CQ),"")</f>
        <v/>
      </c>
      <c r="N292" s="110" t="str">
        <f>IFERROR(_xlfn.XLOOKUP($A292,Input_Raw!$A:$A,Input_Raw!$CR:$CR),"")</f>
        <v/>
      </c>
      <c r="O292" s="141" t="str">
        <f t="shared" si="30"/>
        <v/>
      </c>
      <c r="P292" s="141" t="str">
        <f>IFERROR(1-SUMIF(WTG_BD!$F:$F,$A292,WTG_BD!$AA:$AA)/($AA292+SUMIF(WTG_BD!$F:$F,$A292,WTG_BD!$AA:$AA)),"")</f>
        <v/>
      </c>
      <c r="Q292" s="141" t="str">
        <f>IFERROR(1-SUMIF(IGA_BD!$F:$F,$A292,IGA_BD!$W:$W)/($AA292+SUMIF(IGA_BD!$F:$F,$A292,IGA_BD!$W:$W)),"")</f>
        <v/>
      </c>
      <c r="R292" s="141" t="str">
        <f>IFERROR(1-SUMIF(Grid_BD!$F:$F,$A292,Grid_BD!$Y:$Y)/($AA292+SUMIF(Grid_BD!$F:$F,$A292,Grid_BD!$Y:$Y)),"")</f>
        <v/>
      </c>
      <c r="S292" s="108"/>
      <c r="T292" s="140"/>
      <c r="U292" s="141"/>
      <c r="V292" s="108"/>
      <c r="W292" s="142" t="str">
        <f t="shared" si="31"/>
        <v/>
      </c>
      <c r="X292" s="108" t="str">
        <f>IFERROR(_xlfn.XLOOKUP($A292,Input_Raw!$A:$A,Input_Raw!$CP:$CP)*1000,"")</f>
        <v/>
      </c>
      <c r="Y292" s="108" t="str">
        <f>IFERROR(_xlfn.XLOOKUP($A292,Input_Raw!$A:$A,Input_Raw!DJ:DJ)*1000,"")</f>
        <v/>
      </c>
      <c r="Z292" s="108" t="str">
        <f>IFERROR(_xlfn.XLOOKUP($A292,Input_Raw!$A:$A,Input_Raw!DK:DK)*1000,"")</f>
        <v/>
      </c>
      <c r="AA292" s="138" t="str">
        <f t="shared" si="32"/>
        <v/>
      </c>
      <c r="AB292" s="108" t="str">
        <f>IFERROR(_xlfn.XLOOKUP($A292,Input_Raw!$A:$A,Input_Raw!$DR:$DR),"")</f>
        <v/>
      </c>
      <c r="AC292" s="143">
        <f>IFERROR(_xlfn.XLOOKUP($D292,'Modelling New'!$D:$D,'Modelling New'!$J:$J),"")</f>
        <v>3.75</v>
      </c>
      <c r="AD292" s="138">
        <f>IFERROR(_xlfn.XLOOKUP($D292,'Modelling New'!$D:$D,'Modelling New'!$T:$T)*1000,"")</f>
        <v>106720.09220527501</v>
      </c>
      <c r="AE292" s="142"/>
      <c r="AF292" s="142">
        <f>IFERROR(_xlfn.XLOOKUP($D292,'Modelling New'!$D:$D,'Modelling New'!$W:$W),"")</f>
        <v>6.3162933360129611E-2</v>
      </c>
      <c r="AG292" s="142">
        <f>IFERROR(_xlfn.XLOOKUP($D292,'Modelling New'!$D:$D,'Modelling New'!$AE:$AE),"")</f>
        <v>0.96029999999999993</v>
      </c>
      <c r="AH292" s="142">
        <f>IFERROR(_xlfn.XLOOKUP($D292,'Modelling New'!$D:$D,'Modelling New'!$AF:$AF),"")</f>
        <v>0.995</v>
      </c>
      <c r="AI292" s="109" t="str">
        <f>IFERROR(_xlfn.XLOOKUP($A292,Input_Raw!$A:$A,Input_Raw!$DP:$DP),"")</f>
        <v/>
      </c>
      <c r="AJ292" s="108"/>
      <c r="AK292" s="108"/>
      <c r="AL292" s="108"/>
      <c r="AM292" s="108"/>
      <c r="AN292" s="132" t="str">
        <f>IFERROR(_xlfn.XLOOKUP($A292,Input_Raw!$A:$A,Input_Raw!$DL:$DL),"")</f>
        <v/>
      </c>
      <c r="AO292" s="142" t="str">
        <f>IFERROR((_xlfn.XLOOKUP($A292,'WTG Reactive Power'!$A:$A,'WTG Reactive Power'!$AW:$AW))/X292,"")</f>
        <v/>
      </c>
      <c r="AP292" s="142">
        <f>IFERROR(_xlfn.XLOOKUP($D292,'Modelling New'!$D:$D,'Modelling New'!$AK:$AK),"")</f>
        <v>0.05</v>
      </c>
      <c r="AQ292" s="142">
        <f>IFERROR(_xlfn.XLOOKUP($D292,'Modelling New'!$D:$D,'Modelling New'!$AL:$AL),"")</f>
        <v>0.05</v>
      </c>
      <c r="AR292" s="198">
        <f>IFERROR(_xlfn.XLOOKUP($D292,'Modelling New'!$D:$D,'Modelling New'!$N:$N),"")</f>
        <v>70.400000000000006</v>
      </c>
      <c r="AS292" s="198"/>
    </row>
    <row r="293" spans="1:45">
      <c r="A293" s="137">
        <f t="shared" si="28"/>
        <v>46036</v>
      </c>
      <c r="B293" s="138">
        <f>YEAR(Daily_KPI[[#This Row],[Date]])+IF(MONTH(Daily_KPI[[#This Row],[Date]])&gt;=4,1,0)</f>
        <v>2026</v>
      </c>
      <c r="C293" s="108">
        <f>YEAR(Daily_KPI[[#This Row],[Date]])</f>
        <v>2026</v>
      </c>
      <c r="D293" s="139">
        <f>Daily_KPI[[#This Row],[Date]]-DAY(Daily_KPI[[#This Row],[Date]])+1</f>
        <v>46023</v>
      </c>
      <c r="E293" s="108">
        <f t="shared" si="29"/>
        <v>31</v>
      </c>
      <c r="F293" s="109"/>
      <c r="G293" s="110"/>
      <c r="H293" s="110"/>
      <c r="I293" s="110"/>
      <c r="J293" s="110"/>
      <c r="K293" s="111"/>
      <c r="L293" s="110"/>
      <c r="M293" s="110" t="str">
        <f>IFERROR(_xlfn.XLOOKUP($A293,Input_Raw!$A:$A,Input_Raw!$CQ:$CQ),"")</f>
        <v/>
      </c>
      <c r="N293" s="110" t="str">
        <f>IFERROR(_xlfn.XLOOKUP($A293,Input_Raw!$A:$A,Input_Raw!$CR:$CR),"")</f>
        <v/>
      </c>
      <c r="O293" s="141" t="str">
        <f t="shared" si="30"/>
        <v/>
      </c>
      <c r="P293" s="141" t="str">
        <f>IFERROR(1-SUMIF(WTG_BD!$F:$F,$A293,WTG_BD!$AA:$AA)/($AA293+SUMIF(WTG_BD!$F:$F,$A293,WTG_BD!$AA:$AA)),"")</f>
        <v/>
      </c>
      <c r="Q293" s="141" t="str">
        <f>IFERROR(1-SUMIF(IGA_BD!$F:$F,$A293,IGA_BD!$W:$W)/($AA293+SUMIF(IGA_BD!$F:$F,$A293,IGA_BD!$W:$W)),"")</f>
        <v/>
      </c>
      <c r="R293" s="141" t="str">
        <f>IFERROR(1-SUMIF(Grid_BD!$F:$F,$A293,Grid_BD!$Y:$Y)/($AA293+SUMIF(Grid_BD!$F:$F,$A293,Grid_BD!$Y:$Y)),"")</f>
        <v/>
      </c>
      <c r="S293" s="108"/>
      <c r="T293" s="140"/>
      <c r="U293" s="141"/>
      <c r="V293" s="108"/>
      <c r="W293" s="142" t="str">
        <f t="shared" si="31"/>
        <v/>
      </c>
      <c r="X293" s="108" t="str">
        <f>IFERROR(_xlfn.XLOOKUP($A293,Input_Raw!$A:$A,Input_Raw!$CP:$CP)*1000,"")</f>
        <v/>
      </c>
      <c r="Y293" s="108" t="str">
        <f>IFERROR(_xlfn.XLOOKUP($A293,Input_Raw!$A:$A,Input_Raw!DJ:DJ)*1000,"")</f>
        <v/>
      </c>
      <c r="Z293" s="108" t="str">
        <f>IFERROR(_xlfn.XLOOKUP($A293,Input_Raw!$A:$A,Input_Raw!DK:DK)*1000,"")</f>
        <v/>
      </c>
      <c r="AA293" s="138" t="str">
        <f t="shared" si="32"/>
        <v/>
      </c>
      <c r="AB293" s="108" t="str">
        <f>IFERROR(_xlfn.XLOOKUP($A293,Input_Raw!$A:$A,Input_Raw!$DR:$DR),"")</f>
        <v/>
      </c>
      <c r="AC293" s="143">
        <f>IFERROR(_xlfn.XLOOKUP($D293,'Modelling New'!$D:$D,'Modelling New'!$J:$J),"")</f>
        <v>3.75</v>
      </c>
      <c r="AD293" s="138">
        <f>IFERROR(_xlfn.XLOOKUP($D293,'Modelling New'!$D:$D,'Modelling New'!$T:$T)*1000,"")</f>
        <v>106720.09220527501</v>
      </c>
      <c r="AE293" s="142"/>
      <c r="AF293" s="142">
        <f>IFERROR(_xlfn.XLOOKUP($D293,'Modelling New'!$D:$D,'Modelling New'!$W:$W),"")</f>
        <v>6.3162933360129611E-2</v>
      </c>
      <c r="AG293" s="142">
        <f>IFERROR(_xlfn.XLOOKUP($D293,'Modelling New'!$D:$D,'Modelling New'!$AE:$AE),"")</f>
        <v>0.96029999999999993</v>
      </c>
      <c r="AH293" s="142">
        <f>IFERROR(_xlfn.XLOOKUP($D293,'Modelling New'!$D:$D,'Modelling New'!$AF:$AF),"")</f>
        <v>0.995</v>
      </c>
      <c r="AI293" s="109" t="str">
        <f>IFERROR(_xlfn.XLOOKUP($A293,Input_Raw!$A:$A,Input_Raw!$DP:$DP),"")</f>
        <v/>
      </c>
      <c r="AJ293" s="108"/>
      <c r="AK293" s="108"/>
      <c r="AL293" s="108"/>
      <c r="AM293" s="108"/>
      <c r="AN293" s="132" t="str">
        <f>IFERROR(_xlfn.XLOOKUP($A293,Input_Raw!$A:$A,Input_Raw!$DL:$DL),"")</f>
        <v/>
      </c>
      <c r="AO293" s="142" t="str">
        <f>IFERROR((_xlfn.XLOOKUP($A293,'WTG Reactive Power'!$A:$A,'WTG Reactive Power'!$AW:$AW))/X293,"")</f>
        <v/>
      </c>
      <c r="AP293" s="142">
        <f>IFERROR(_xlfn.XLOOKUP($D293,'Modelling New'!$D:$D,'Modelling New'!$AK:$AK),"")</f>
        <v>0.05</v>
      </c>
      <c r="AQ293" s="142">
        <f>IFERROR(_xlfn.XLOOKUP($D293,'Modelling New'!$D:$D,'Modelling New'!$AL:$AL),"")</f>
        <v>0.05</v>
      </c>
      <c r="AR293" s="198">
        <f>IFERROR(_xlfn.XLOOKUP($D293,'Modelling New'!$D:$D,'Modelling New'!$N:$N),"")</f>
        <v>70.400000000000006</v>
      </c>
      <c r="AS293" s="198"/>
    </row>
    <row r="294" spans="1:45">
      <c r="A294" s="137">
        <f t="shared" si="28"/>
        <v>46037</v>
      </c>
      <c r="B294" s="138">
        <f>YEAR(Daily_KPI[[#This Row],[Date]])+IF(MONTH(Daily_KPI[[#This Row],[Date]])&gt;=4,1,0)</f>
        <v>2026</v>
      </c>
      <c r="C294" s="108">
        <f>YEAR(Daily_KPI[[#This Row],[Date]])</f>
        <v>2026</v>
      </c>
      <c r="D294" s="139">
        <f>Daily_KPI[[#This Row],[Date]]-DAY(Daily_KPI[[#This Row],[Date]])+1</f>
        <v>46023</v>
      </c>
      <c r="E294" s="108">
        <f t="shared" si="29"/>
        <v>31</v>
      </c>
      <c r="F294" s="109"/>
      <c r="G294" s="110"/>
      <c r="H294" s="110"/>
      <c r="I294" s="110"/>
      <c r="J294" s="110"/>
      <c r="K294" s="111"/>
      <c r="L294" s="110"/>
      <c r="M294" s="110" t="str">
        <f>IFERROR(_xlfn.XLOOKUP($A294,Input_Raw!$A:$A,Input_Raw!$CQ:$CQ),"")</f>
        <v/>
      </c>
      <c r="N294" s="110" t="str">
        <f>IFERROR(_xlfn.XLOOKUP($A294,Input_Raw!$A:$A,Input_Raw!$CR:$CR),"")</f>
        <v/>
      </c>
      <c r="O294" s="141" t="str">
        <f t="shared" si="30"/>
        <v/>
      </c>
      <c r="P294" s="141" t="str">
        <f>IFERROR(1-SUMIF(WTG_BD!$F:$F,$A294,WTG_BD!$AA:$AA)/($AA294+SUMIF(WTG_BD!$F:$F,$A294,WTG_BD!$AA:$AA)),"")</f>
        <v/>
      </c>
      <c r="Q294" s="141" t="str">
        <f>IFERROR(1-SUMIF(IGA_BD!$F:$F,$A294,IGA_BD!$W:$W)/($AA294+SUMIF(IGA_BD!$F:$F,$A294,IGA_BD!$W:$W)),"")</f>
        <v/>
      </c>
      <c r="R294" s="141" t="str">
        <f>IFERROR(1-SUMIF(Grid_BD!$F:$F,$A294,Grid_BD!$Y:$Y)/($AA294+SUMIF(Grid_BD!$F:$F,$A294,Grid_BD!$Y:$Y)),"")</f>
        <v/>
      </c>
      <c r="S294" s="108"/>
      <c r="T294" s="140"/>
      <c r="U294" s="141"/>
      <c r="V294" s="108"/>
      <c r="W294" s="142" t="str">
        <f t="shared" si="31"/>
        <v/>
      </c>
      <c r="X294" s="108" t="str">
        <f>IFERROR(_xlfn.XLOOKUP($A294,Input_Raw!$A:$A,Input_Raw!$CP:$CP)*1000,"")</f>
        <v/>
      </c>
      <c r="Y294" s="108" t="str">
        <f>IFERROR(_xlfn.XLOOKUP($A294,Input_Raw!$A:$A,Input_Raw!DJ:DJ)*1000,"")</f>
        <v/>
      </c>
      <c r="Z294" s="108" t="str">
        <f>IFERROR(_xlfn.XLOOKUP($A294,Input_Raw!$A:$A,Input_Raw!DK:DK)*1000,"")</f>
        <v/>
      </c>
      <c r="AA294" s="138" t="str">
        <f t="shared" si="32"/>
        <v/>
      </c>
      <c r="AB294" s="108" t="str">
        <f>IFERROR(_xlfn.XLOOKUP($A294,Input_Raw!$A:$A,Input_Raw!$DR:$DR),"")</f>
        <v/>
      </c>
      <c r="AC294" s="143">
        <f>IFERROR(_xlfn.XLOOKUP($D294,'Modelling New'!$D:$D,'Modelling New'!$J:$J),"")</f>
        <v>3.75</v>
      </c>
      <c r="AD294" s="138">
        <f>IFERROR(_xlfn.XLOOKUP($D294,'Modelling New'!$D:$D,'Modelling New'!$T:$T)*1000,"")</f>
        <v>106720.09220527501</v>
      </c>
      <c r="AE294" s="142"/>
      <c r="AF294" s="142">
        <f>IFERROR(_xlfn.XLOOKUP($D294,'Modelling New'!$D:$D,'Modelling New'!$W:$W),"")</f>
        <v>6.3162933360129611E-2</v>
      </c>
      <c r="AG294" s="142">
        <f>IFERROR(_xlfn.XLOOKUP($D294,'Modelling New'!$D:$D,'Modelling New'!$AE:$AE),"")</f>
        <v>0.96029999999999993</v>
      </c>
      <c r="AH294" s="142">
        <f>IFERROR(_xlfn.XLOOKUP($D294,'Modelling New'!$D:$D,'Modelling New'!$AF:$AF),"")</f>
        <v>0.995</v>
      </c>
      <c r="AI294" s="109" t="str">
        <f>IFERROR(_xlfn.XLOOKUP($A294,Input_Raw!$A:$A,Input_Raw!$DP:$DP),"")</f>
        <v/>
      </c>
      <c r="AJ294" s="108"/>
      <c r="AK294" s="108"/>
      <c r="AL294" s="108"/>
      <c r="AM294" s="108"/>
      <c r="AN294" s="132" t="str">
        <f>IFERROR(_xlfn.XLOOKUP($A294,Input_Raw!$A:$A,Input_Raw!$DL:$DL),"")</f>
        <v/>
      </c>
      <c r="AO294" s="142" t="str">
        <f>IFERROR((_xlfn.XLOOKUP($A294,'WTG Reactive Power'!$A:$A,'WTG Reactive Power'!$AW:$AW))/X294,"")</f>
        <v/>
      </c>
      <c r="AP294" s="142">
        <f>IFERROR(_xlfn.XLOOKUP($D294,'Modelling New'!$D:$D,'Modelling New'!$AK:$AK),"")</f>
        <v>0.05</v>
      </c>
      <c r="AQ294" s="142">
        <f>IFERROR(_xlfn.XLOOKUP($D294,'Modelling New'!$D:$D,'Modelling New'!$AL:$AL),"")</f>
        <v>0.05</v>
      </c>
      <c r="AR294" s="198">
        <f>IFERROR(_xlfn.XLOOKUP($D294,'Modelling New'!$D:$D,'Modelling New'!$N:$N),"")</f>
        <v>70.400000000000006</v>
      </c>
      <c r="AS294" s="198"/>
    </row>
    <row r="295" spans="1:45">
      <c r="A295" s="137">
        <f t="shared" si="28"/>
        <v>46038</v>
      </c>
      <c r="B295" s="138">
        <f>YEAR(Daily_KPI[[#This Row],[Date]])+IF(MONTH(Daily_KPI[[#This Row],[Date]])&gt;=4,1,0)</f>
        <v>2026</v>
      </c>
      <c r="C295" s="108">
        <f>YEAR(Daily_KPI[[#This Row],[Date]])</f>
        <v>2026</v>
      </c>
      <c r="D295" s="139">
        <f>Daily_KPI[[#This Row],[Date]]-DAY(Daily_KPI[[#This Row],[Date]])+1</f>
        <v>46023</v>
      </c>
      <c r="E295" s="108">
        <f t="shared" si="29"/>
        <v>31</v>
      </c>
      <c r="F295" s="109"/>
      <c r="G295" s="110"/>
      <c r="H295" s="110"/>
      <c r="I295" s="110"/>
      <c r="J295" s="110"/>
      <c r="K295" s="111"/>
      <c r="L295" s="110"/>
      <c r="M295" s="110" t="str">
        <f>IFERROR(_xlfn.XLOOKUP($A295,Input_Raw!$A:$A,Input_Raw!$CQ:$CQ),"")</f>
        <v/>
      </c>
      <c r="N295" s="110" t="str">
        <f>IFERROR(_xlfn.XLOOKUP($A295,Input_Raw!$A:$A,Input_Raw!$CR:$CR),"")</f>
        <v/>
      </c>
      <c r="O295" s="141" t="str">
        <f t="shared" si="30"/>
        <v/>
      </c>
      <c r="P295" s="141" t="str">
        <f>IFERROR(1-SUMIF(WTG_BD!$F:$F,$A295,WTG_BD!$AA:$AA)/($AA295+SUMIF(WTG_BD!$F:$F,$A295,WTG_BD!$AA:$AA)),"")</f>
        <v/>
      </c>
      <c r="Q295" s="141" t="str">
        <f>IFERROR(1-SUMIF(IGA_BD!$F:$F,$A295,IGA_BD!$W:$W)/($AA295+SUMIF(IGA_BD!$F:$F,$A295,IGA_BD!$W:$W)),"")</f>
        <v/>
      </c>
      <c r="R295" s="141" t="str">
        <f>IFERROR(1-SUMIF(Grid_BD!$F:$F,$A295,Grid_BD!$Y:$Y)/($AA295+SUMIF(Grid_BD!$F:$F,$A295,Grid_BD!$Y:$Y)),"")</f>
        <v/>
      </c>
      <c r="S295" s="108"/>
      <c r="T295" s="140"/>
      <c r="U295" s="141"/>
      <c r="V295" s="108"/>
      <c r="W295" s="142" t="str">
        <f t="shared" si="31"/>
        <v/>
      </c>
      <c r="X295" s="108" t="str">
        <f>IFERROR(_xlfn.XLOOKUP($A295,Input_Raw!$A:$A,Input_Raw!$CP:$CP)*1000,"")</f>
        <v/>
      </c>
      <c r="Y295" s="108" t="str">
        <f>IFERROR(_xlfn.XLOOKUP($A295,Input_Raw!$A:$A,Input_Raw!DJ:DJ)*1000,"")</f>
        <v/>
      </c>
      <c r="Z295" s="108" t="str">
        <f>IFERROR(_xlfn.XLOOKUP($A295,Input_Raw!$A:$A,Input_Raw!DK:DK)*1000,"")</f>
        <v/>
      </c>
      <c r="AA295" s="138" t="str">
        <f t="shared" si="32"/>
        <v/>
      </c>
      <c r="AB295" s="108" t="str">
        <f>IFERROR(_xlfn.XLOOKUP($A295,Input_Raw!$A:$A,Input_Raw!$DR:$DR),"")</f>
        <v/>
      </c>
      <c r="AC295" s="143">
        <f>IFERROR(_xlfn.XLOOKUP($D295,'Modelling New'!$D:$D,'Modelling New'!$J:$J),"")</f>
        <v>3.75</v>
      </c>
      <c r="AD295" s="138">
        <f>IFERROR(_xlfn.XLOOKUP($D295,'Modelling New'!$D:$D,'Modelling New'!$T:$T)*1000,"")</f>
        <v>106720.09220527501</v>
      </c>
      <c r="AE295" s="142"/>
      <c r="AF295" s="142">
        <f>IFERROR(_xlfn.XLOOKUP($D295,'Modelling New'!$D:$D,'Modelling New'!$W:$W),"")</f>
        <v>6.3162933360129611E-2</v>
      </c>
      <c r="AG295" s="142">
        <f>IFERROR(_xlfn.XLOOKUP($D295,'Modelling New'!$D:$D,'Modelling New'!$AE:$AE),"")</f>
        <v>0.96029999999999993</v>
      </c>
      <c r="AH295" s="142">
        <f>IFERROR(_xlfn.XLOOKUP($D295,'Modelling New'!$D:$D,'Modelling New'!$AF:$AF),"")</f>
        <v>0.995</v>
      </c>
      <c r="AI295" s="109" t="str">
        <f>IFERROR(_xlfn.XLOOKUP($A295,Input_Raw!$A:$A,Input_Raw!$DP:$DP),"")</f>
        <v/>
      </c>
      <c r="AJ295" s="108"/>
      <c r="AK295" s="108"/>
      <c r="AL295" s="108"/>
      <c r="AM295" s="108"/>
      <c r="AN295" s="132" t="str">
        <f>IFERROR(_xlfn.XLOOKUP($A295,Input_Raw!$A:$A,Input_Raw!$DL:$DL),"")</f>
        <v/>
      </c>
      <c r="AO295" s="142" t="str">
        <f>IFERROR((_xlfn.XLOOKUP($A295,'WTG Reactive Power'!$A:$A,'WTG Reactive Power'!$AW:$AW))/X295,"")</f>
        <v/>
      </c>
      <c r="AP295" s="142">
        <f>IFERROR(_xlfn.XLOOKUP($D295,'Modelling New'!$D:$D,'Modelling New'!$AK:$AK),"")</f>
        <v>0.05</v>
      </c>
      <c r="AQ295" s="142">
        <f>IFERROR(_xlfn.XLOOKUP($D295,'Modelling New'!$D:$D,'Modelling New'!$AL:$AL),"")</f>
        <v>0.05</v>
      </c>
      <c r="AR295" s="198">
        <f>IFERROR(_xlfn.XLOOKUP($D295,'Modelling New'!$D:$D,'Modelling New'!$N:$N),"")</f>
        <v>70.400000000000006</v>
      </c>
      <c r="AS295" s="198"/>
    </row>
    <row r="296" spans="1:45">
      <c r="A296" s="137">
        <f t="shared" si="28"/>
        <v>46039</v>
      </c>
      <c r="B296" s="138">
        <f>YEAR(Daily_KPI[[#This Row],[Date]])+IF(MONTH(Daily_KPI[[#This Row],[Date]])&gt;=4,1,0)</f>
        <v>2026</v>
      </c>
      <c r="C296" s="108">
        <f>YEAR(Daily_KPI[[#This Row],[Date]])</f>
        <v>2026</v>
      </c>
      <c r="D296" s="139">
        <f>Daily_KPI[[#This Row],[Date]]-DAY(Daily_KPI[[#This Row],[Date]])+1</f>
        <v>46023</v>
      </c>
      <c r="E296" s="108">
        <f t="shared" si="29"/>
        <v>31</v>
      </c>
      <c r="F296" s="109"/>
      <c r="G296" s="110"/>
      <c r="H296" s="110"/>
      <c r="I296" s="110"/>
      <c r="J296" s="110"/>
      <c r="K296" s="111"/>
      <c r="L296" s="110"/>
      <c r="M296" s="110" t="str">
        <f>IFERROR(_xlfn.XLOOKUP($A296,Input_Raw!$A:$A,Input_Raw!$CQ:$CQ),"")</f>
        <v/>
      </c>
      <c r="N296" s="110" t="str">
        <f>IFERROR(_xlfn.XLOOKUP($A296,Input_Raw!$A:$A,Input_Raw!$CR:$CR),"")</f>
        <v/>
      </c>
      <c r="O296" s="141" t="str">
        <f t="shared" si="30"/>
        <v/>
      </c>
      <c r="P296" s="141" t="str">
        <f>IFERROR(1-SUMIF(WTG_BD!$F:$F,$A296,WTG_BD!$AA:$AA)/($AA296+SUMIF(WTG_BD!$F:$F,$A296,WTG_BD!$AA:$AA)),"")</f>
        <v/>
      </c>
      <c r="Q296" s="141" t="str">
        <f>IFERROR(1-SUMIF(IGA_BD!$F:$F,$A296,IGA_BD!$W:$W)/($AA296+SUMIF(IGA_BD!$F:$F,$A296,IGA_BD!$W:$W)),"")</f>
        <v/>
      </c>
      <c r="R296" s="141" t="str">
        <f>IFERROR(1-SUMIF(Grid_BD!$F:$F,$A296,Grid_BD!$Y:$Y)/($AA296+SUMIF(Grid_BD!$F:$F,$A296,Grid_BD!$Y:$Y)),"")</f>
        <v/>
      </c>
      <c r="S296" s="108"/>
      <c r="T296" s="140"/>
      <c r="U296" s="141"/>
      <c r="V296" s="108"/>
      <c r="W296" s="142" t="str">
        <f t="shared" si="31"/>
        <v/>
      </c>
      <c r="X296" s="108" t="str">
        <f>IFERROR(_xlfn.XLOOKUP($A296,Input_Raw!$A:$A,Input_Raw!$CP:$CP)*1000,"")</f>
        <v/>
      </c>
      <c r="Y296" s="108" t="str">
        <f>IFERROR(_xlfn.XLOOKUP($A296,Input_Raw!$A:$A,Input_Raw!DJ:DJ)*1000,"")</f>
        <v/>
      </c>
      <c r="Z296" s="108" t="str">
        <f>IFERROR(_xlfn.XLOOKUP($A296,Input_Raw!$A:$A,Input_Raw!DK:DK)*1000,"")</f>
        <v/>
      </c>
      <c r="AA296" s="138" t="str">
        <f t="shared" si="32"/>
        <v/>
      </c>
      <c r="AB296" s="108" t="str">
        <f>IFERROR(_xlfn.XLOOKUP($A296,Input_Raw!$A:$A,Input_Raw!$DR:$DR),"")</f>
        <v/>
      </c>
      <c r="AC296" s="143">
        <f>IFERROR(_xlfn.XLOOKUP($D296,'Modelling New'!$D:$D,'Modelling New'!$J:$J),"")</f>
        <v>3.75</v>
      </c>
      <c r="AD296" s="138">
        <f>IFERROR(_xlfn.XLOOKUP($D296,'Modelling New'!$D:$D,'Modelling New'!$T:$T)*1000,"")</f>
        <v>106720.09220527501</v>
      </c>
      <c r="AE296" s="142"/>
      <c r="AF296" s="142">
        <f>IFERROR(_xlfn.XLOOKUP($D296,'Modelling New'!$D:$D,'Modelling New'!$W:$W),"")</f>
        <v>6.3162933360129611E-2</v>
      </c>
      <c r="AG296" s="142">
        <f>IFERROR(_xlfn.XLOOKUP($D296,'Modelling New'!$D:$D,'Modelling New'!$AE:$AE),"")</f>
        <v>0.96029999999999993</v>
      </c>
      <c r="AH296" s="142">
        <f>IFERROR(_xlfn.XLOOKUP($D296,'Modelling New'!$D:$D,'Modelling New'!$AF:$AF),"")</f>
        <v>0.995</v>
      </c>
      <c r="AI296" s="109" t="str">
        <f>IFERROR(_xlfn.XLOOKUP($A296,Input_Raw!$A:$A,Input_Raw!$DP:$DP),"")</f>
        <v/>
      </c>
      <c r="AJ296" s="108"/>
      <c r="AK296" s="108"/>
      <c r="AL296" s="108"/>
      <c r="AM296" s="108"/>
      <c r="AN296" s="132" t="str">
        <f>IFERROR(_xlfn.XLOOKUP($A296,Input_Raw!$A:$A,Input_Raw!$DL:$DL),"")</f>
        <v/>
      </c>
      <c r="AO296" s="142" t="str">
        <f>IFERROR((_xlfn.XLOOKUP($A296,'WTG Reactive Power'!$A:$A,'WTG Reactive Power'!$AW:$AW))/X296,"")</f>
        <v/>
      </c>
      <c r="AP296" s="142">
        <f>IFERROR(_xlfn.XLOOKUP($D296,'Modelling New'!$D:$D,'Modelling New'!$AK:$AK),"")</f>
        <v>0.05</v>
      </c>
      <c r="AQ296" s="142">
        <f>IFERROR(_xlfn.XLOOKUP($D296,'Modelling New'!$D:$D,'Modelling New'!$AL:$AL),"")</f>
        <v>0.05</v>
      </c>
      <c r="AR296" s="198">
        <f>IFERROR(_xlfn.XLOOKUP($D296,'Modelling New'!$D:$D,'Modelling New'!$N:$N),"")</f>
        <v>70.400000000000006</v>
      </c>
      <c r="AS296" s="198"/>
    </row>
    <row r="297" spans="1:45">
      <c r="A297" s="137">
        <f t="shared" si="28"/>
        <v>46040</v>
      </c>
      <c r="B297" s="138">
        <f>YEAR(Daily_KPI[[#This Row],[Date]])+IF(MONTH(Daily_KPI[[#This Row],[Date]])&gt;=4,1,0)</f>
        <v>2026</v>
      </c>
      <c r="C297" s="108">
        <f>YEAR(Daily_KPI[[#This Row],[Date]])</f>
        <v>2026</v>
      </c>
      <c r="D297" s="139">
        <f>Daily_KPI[[#This Row],[Date]]-DAY(Daily_KPI[[#This Row],[Date]])+1</f>
        <v>46023</v>
      </c>
      <c r="E297" s="108">
        <f t="shared" si="29"/>
        <v>31</v>
      </c>
      <c r="F297" s="109"/>
      <c r="G297" s="110"/>
      <c r="H297" s="110"/>
      <c r="I297" s="110"/>
      <c r="J297" s="110"/>
      <c r="K297" s="111"/>
      <c r="L297" s="110"/>
      <c r="M297" s="110" t="str">
        <f>IFERROR(_xlfn.XLOOKUP($A297,Input_Raw!$A:$A,Input_Raw!$CQ:$CQ),"")</f>
        <v/>
      </c>
      <c r="N297" s="110" t="str">
        <f>IFERROR(_xlfn.XLOOKUP($A297,Input_Raw!$A:$A,Input_Raw!$CR:$CR),"")</f>
        <v/>
      </c>
      <c r="O297" s="141" t="str">
        <f t="shared" si="30"/>
        <v/>
      </c>
      <c r="P297" s="141" t="str">
        <f>IFERROR(1-SUMIF(WTG_BD!$F:$F,$A297,WTG_BD!$AA:$AA)/($AA297+SUMIF(WTG_BD!$F:$F,$A297,WTG_BD!$AA:$AA)),"")</f>
        <v/>
      </c>
      <c r="Q297" s="141" t="str">
        <f>IFERROR(1-SUMIF(IGA_BD!$F:$F,$A297,IGA_BD!$W:$W)/($AA297+SUMIF(IGA_BD!$F:$F,$A297,IGA_BD!$W:$W)),"")</f>
        <v/>
      </c>
      <c r="R297" s="141" t="str">
        <f>IFERROR(1-SUMIF(Grid_BD!$F:$F,$A297,Grid_BD!$Y:$Y)/($AA297+SUMIF(Grid_BD!$F:$F,$A297,Grid_BD!$Y:$Y)),"")</f>
        <v/>
      </c>
      <c r="S297" s="108"/>
      <c r="T297" s="140"/>
      <c r="U297" s="141"/>
      <c r="V297" s="108"/>
      <c r="W297" s="142" t="str">
        <f t="shared" si="31"/>
        <v/>
      </c>
      <c r="X297" s="108" t="str">
        <f>IFERROR(_xlfn.XLOOKUP($A297,Input_Raw!$A:$A,Input_Raw!$CP:$CP)*1000,"")</f>
        <v/>
      </c>
      <c r="Y297" s="108" t="str">
        <f>IFERROR(_xlfn.XLOOKUP($A297,Input_Raw!$A:$A,Input_Raw!DJ:DJ)*1000,"")</f>
        <v/>
      </c>
      <c r="Z297" s="108" t="str">
        <f>IFERROR(_xlfn.XLOOKUP($A297,Input_Raw!$A:$A,Input_Raw!DK:DK)*1000,"")</f>
        <v/>
      </c>
      <c r="AA297" s="138" t="str">
        <f t="shared" si="32"/>
        <v/>
      </c>
      <c r="AB297" s="108" t="str">
        <f>IFERROR(_xlfn.XLOOKUP($A297,Input_Raw!$A:$A,Input_Raw!$DR:$DR),"")</f>
        <v/>
      </c>
      <c r="AC297" s="143">
        <f>IFERROR(_xlfn.XLOOKUP($D297,'Modelling New'!$D:$D,'Modelling New'!$J:$J),"")</f>
        <v>3.75</v>
      </c>
      <c r="AD297" s="138">
        <f>IFERROR(_xlfn.XLOOKUP($D297,'Modelling New'!$D:$D,'Modelling New'!$T:$T)*1000,"")</f>
        <v>106720.09220527501</v>
      </c>
      <c r="AE297" s="142"/>
      <c r="AF297" s="142">
        <f>IFERROR(_xlfn.XLOOKUP($D297,'Modelling New'!$D:$D,'Modelling New'!$W:$W),"")</f>
        <v>6.3162933360129611E-2</v>
      </c>
      <c r="AG297" s="142">
        <f>IFERROR(_xlfn.XLOOKUP($D297,'Modelling New'!$D:$D,'Modelling New'!$AE:$AE),"")</f>
        <v>0.96029999999999993</v>
      </c>
      <c r="AH297" s="142">
        <f>IFERROR(_xlfn.XLOOKUP($D297,'Modelling New'!$D:$D,'Modelling New'!$AF:$AF),"")</f>
        <v>0.995</v>
      </c>
      <c r="AI297" s="109" t="str">
        <f>IFERROR(_xlfn.XLOOKUP($A297,Input_Raw!$A:$A,Input_Raw!$DP:$DP),"")</f>
        <v/>
      </c>
      <c r="AJ297" s="108"/>
      <c r="AK297" s="108"/>
      <c r="AL297" s="108"/>
      <c r="AM297" s="108"/>
      <c r="AN297" s="132" t="str">
        <f>IFERROR(_xlfn.XLOOKUP($A297,Input_Raw!$A:$A,Input_Raw!$DL:$DL),"")</f>
        <v/>
      </c>
      <c r="AO297" s="142" t="str">
        <f>IFERROR((_xlfn.XLOOKUP($A297,'WTG Reactive Power'!$A:$A,'WTG Reactive Power'!$AW:$AW))/X297,"")</f>
        <v/>
      </c>
      <c r="AP297" s="142">
        <f>IFERROR(_xlfn.XLOOKUP($D297,'Modelling New'!$D:$D,'Modelling New'!$AK:$AK),"")</f>
        <v>0.05</v>
      </c>
      <c r="AQ297" s="142">
        <f>IFERROR(_xlfn.XLOOKUP($D297,'Modelling New'!$D:$D,'Modelling New'!$AL:$AL),"")</f>
        <v>0.05</v>
      </c>
      <c r="AR297" s="198">
        <f>IFERROR(_xlfn.XLOOKUP($D297,'Modelling New'!$D:$D,'Modelling New'!$N:$N),"")</f>
        <v>70.400000000000006</v>
      </c>
      <c r="AS297" s="198"/>
    </row>
    <row r="298" spans="1:45">
      <c r="A298" s="137">
        <f t="shared" si="28"/>
        <v>46041</v>
      </c>
      <c r="B298" s="138">
        <f>YEAR(Daily_KPI[[#This Row],[Date]])+IF(MONTH(Daily_KPI[[#This Row],[Date]])&gt;=4,1,0)</f>
        <v>2026</v>
      </c>
      <c r="C298" s="108">
        <f>YEAR(Daily_KPI[[#This Row],[Date]])</f>
        <v>2026</v>
      </c>
      <c r="D298" s="139">
        <f>Daily_KPI[[#This Row],[Date]]-DAY(Daily_KPI[[#This Row],[Date]])+1</f>
        <v>46023</v>
      </c>
      <c r="E298" s="108">
        <f t="shared" si="29"/>
        <v>31</v>
      </c>
      <c r="F298" s="109"/>
      <c r="G298" s="110"/>
      <c r="H298" s="110"/>
      <c r="I298" s="110"/>
      <c r="J298" s="110"/>
      <c r="K298" s="111"/>
      <c r="L298" s="110"/>
      <c r="M298" s="110" t="str">
        <f>IFERROR(_xlfn.XLOOKUP($A298,Input_Raw!$A:$A,Input_Raw!$CQ:$CQ),"")</f>
        <v/>
      </c>
      <c r="N298" s="110" t="str">
        <f>IFERROR(_xlfn.XLOOKUP($A298,Input_Raw!$A:$A,Input_Raw!$CR:$CR),"")</f>
        <v/>
      </c>
      <c r="O298" s="141" t="str">
        <f t="shared" si="30"/>
        <v/>
      </c>
      <c r="P298" s="141" t="str">
        <f>IFERROR(1-SUMIF(WTG_BD!$F:$F,$A298,WTG_BD!$AA:$AA)/($AA298+SUMIF(WTG_BD!$F:$F,$A298,WTG_BD!$AA:$AA)),"")</f>
        <v/>
      </c>
      <c r="Q298" s="141" t="str">
        <f>IFERROR(1-SUMIF(IGA_BD!$F:$F,$A298,IGA_BD!$W:$W)/($AA298+SUMIF(IGA_BD!$F:$F,$A298,IGA_BD!$W:$W)),"")</f>
        <v/>
      </c>
      <c r="R298" s="141" t="str">
        <f>IFERROR(1-SUMIF(Grid_BD!$F:$F,$A298,Grid_BD!$Y:$Y)/($AA298+SUMIF(Grid_BD!$F:$F,$A298,Grid_BD!$Y:$Y)),"")</f>
        <v/>
      </c>
      <c r="S298" s="108"/>
      <c r="T298" s="140"/>
      <c r="U298" s="141"/>
      <c r="V298" s="108"/>
      <c r="W298" s="142" t="str">
        <f t="shared" si="31"/>
        <v/>
      </c>
      <c r="X298" s="108" t="str">
        <f>IFERROR(_xlfn.XLOOKUP($A298,Input_Raw!$A:$A,Input_Raw!$CP:$CP)*1000,"")</f>
        <v/>
      </c>
      <c r="Y298" s="108" t="str">
        <f>IFERROR(_xlfn.XLOOKUP($A298,Input_Raw!$A:$A,Input_Raw!DJ:DJ)*1000,"")</f>
        <v/>
      </c>
      <c r="Z298" s="108" t="str">
        <f>IFERROR(_xlfn.XLOOKUP($A298,Input_Raw!$A:$A,Input_Raw!DK:DK)*1000,"")</f>
        <v/>
      </c>
      <c r="AA298" s="138" t="str">
        <f t="shared" si="32"/>
        <v/>
      </c>
      <c r="AB298" s="108" t="str">
        <f>IFERROR(_xlfn.XLOOKUP($A298,Input_Raw!$A:$A,Input_Raw!$DR:$DR),"")</f>
        <v/>
      </c>
      <c r="AC298" s="143">
        <f>IFERROR(_xlfn.XLOOKUP($D298,'Modelling New'!$D:$D,'Modelling New'!$J:$J),"")</f>
        <v>3.75</v>
      </c>
      <c r="AD298" s="138">
        <f>IFERROR(_xlfn.XLOOKUP($D298,'Modelling New'!$D:$D,'Modelling New'!$T:$T)*1000,"")</f>
        <v>106720.09220527501</v>
      </c>
      <c r="AE298" s="142"/>
      <c r="AF298" s="142">
        <f>IFERROR(_xlfn.XLOOKUP($D298,'Modelling New'!$D:$D,'Modelling New'!$W:$W),"")</f>
        <v>6.3162933360129611E-2</v>
      </c>
      <c r="AG298" s="142">
        <f>IFERROR(_xlfn.XLOOKUP($D298,'Modelling New'!$D:$D,'Modelling New'!$AE:$AE),"")</f>
        <v>0.96029999999999993</v>
      </c>
      <c r="AH298" s="142">
        <f>IFERROR(_xlfn.XLOOKUP($D298,'Modelling New'!$D:$D,'Modelling New'!$AF:$AF),"")</f>
        <v>0.995</v>
      </c>
      <c r="AI298" s="109" t="str">
        <f>IFERROR(_xlfn.XLOOKUP($A298,Input_Raw!$A:$A,Input_Raw!$DP:$DP),"")</f>
        <v/>
      </c>
      <c r="AJ298" s="108"/>
      <c r="AK298" s="108"/>
      <c r="AL298" s="108"/>
      <c r="AM298" s="108"/>
      <c r="AN298" s="132" t="str">
        <f>IFERROR(_xlfn.XLOOKUP($A298,Input_Raw!$A:$A,Input_Raw!$DL:$DL),"")</f>
        <v/>
      </c>
      <c r="AO298" s="142" t="str">
        <f>IFERROR((_xlfn.XLOOKUP($A298,'WTG Reactive Power'!$A:$A,'WTG Reactive Power'!$AW:$AW))/X298,"")</f>
        <v/>
      </c>
      <c r="AP298" s="142">
        <f>IFERROR(_xlfn.XLOOKUP($D298,'Modelling New'!$D:$D,'Modelling New'!$AK:$AK),"")</f>
        <v>0.05</v>
      </c>
      <c r="AQ298" s="142">
        <f>IFERROR(_xlfn.XLOOKUP($D298,'Modelling New'!$D:$D,'Modelling New'!$AL:$AL),"")</f>
        <v>0.05</v>
      </c>
      <c r="AR298" s="198">
        <f>IFERROR(_xlfn.XLOOKUP($D298,'Modelling New'!$D:$D,'Modelling New'!$N:$N),"")</f>
        <v>70.400000000000006</v>
      </c>
      <c r="AS298" s="198"/>
    </row>
    <row r="299" spans="1:45">
      <c r="A299" s="137">
        <f t="shared" si="28"/>
        <v>46042</v>
      </c>
      <c r="B299" s="138">
        <f>YEAR(Daily_KPI[[#This Row],[Date]])+IF(MONTH(Daily_KPI[[#This Row],[Date]])&gt;=4,1,0)</f>
        <v>2026</v>
      </c>
      <c r="C299" s="108">
        <f>YEAR(Daily_KPI[[#This Row],[Date]])</f>
        <v>2026</v>
      </c>
      <c r="D299" s="139">
        <f>Daily_KPI[[#This Row],[Date]]-DAY(Daily_KPI[[#This Row],[Date]])+1</f>
        <v>46023</v>
      </c>
      <c r="E299" s="108">
        <f t="shared" si="29"/>
        <v>31</v>
      </c>
      <c r="F299" s="109"/>
      <c r="G299" s="110"/>
      <c r="H299" s="110"/>
      <c r="I299" s="110"/>
      <c r="J299" s="110"/>
      <c r="K299" s="111"/>
      <c r="L299" s="110"/>
      <c r="M299" s="110" t="str">
        <f>IFERROR(_xlfn.XLOOKUP($A299,Input_Raw!$A:$A,Input_Raw!$CQ:$CQ),"")</f>
        <v/>
      </c>
      <c r="N299" s="110" t="str">
        <f>IFERROR(_xlfn.XLOOKUP($A299,Input_Raw!$A:$A,Input_Raw!$CR:$CR),"")</f>
        <v/>
      </c>
      <c r="O299" s="141" t="str">
        <f t="shared" si="30"/>
        <v/>
      </c>
      <c r="P299" s="141" t="str">
        <f>IFERROR(1-SUMIF(WTG_BD!$F:$F,$A299,WTG_BD!$AA:$AA)/($AA299+SUMIF(WTG_BD!$F:$F,$A299,WTG_BD!$AA:$AA)),"")</f>
        <v/>
      </c>
      <c r="Q299" s="141" t="str">
        <f>IFERROR(1-SUMIF(IGA_BD!$F:$F,$A299,IGA_BD!$W:$W)/($AA299+SUMIF(IGA_BD!$F:$F,$A299,IGA_BD!$W:$W)),"")</f>
        <v/>
      </c>
      <c r="R299" s="141" t="str">
        <f>IFERROR(1-SUMIF(Grid_BD!$F:$F,$A299,Grid_BD!$Y:$Y)/($AA299+SUMIF(Grid_BD!$F:$F,$A299,Grid_BD!$Y:$Y)),"")</f>
        <v/>
      </c>
      <c r="S299" s="108"/>
      <c r="T299" s="140"/>
      <c r="U299" s="141"/>
      <c r="V299" s="108"/>
      <c r="W299" s="142" t="str">
        <f t="shared" si="31"/>
        <v/>
      </c>
      <c r="X299" s="108" t="str">
        <f>IFERROR(_xlfn.XLOOKUP($A299,Input_Raw!$A:$A,Input_Raw!$CP:$CP)*1000,"")</f>
        <v/>
      </c>
      <c r="Y299" s="108" t="str">
        <f>IFERROR(_xlfn.XLOOKUP($A299,Input_Raw!$A:$A,Input_Raw!DJ:DJ)*1000,"")</f>
        <v/>
      </c>
      <c r="Z299" s="108" t="str">
        <f>IFERROR(_xlfn.XLOOKUP($A299,Input_Raw!$A:$A,Input_Raw!DK:DK)*1000,"")</f>
        <v/>
      </c>
      <c r="AA299" s="138" t="str">
        <f t="shared" si="32"/>
        <v/>
      </c>
      <c r="AB299" s="108" t="str">
        <f>IFERROR(_xlfn.XLOOKUP($A299,Input_Raw!$A:$A,Input_Raw!$DR:$DR),"")</f>
        <v/>
      </c>
      <c r="AC299" s="143">
        <f>IFERROR(_xlfn.XLOOKUP($D299,'Modelling New'!$D:$D,'Modelling New'!$J:$J),"")</f>
        <v>3.75</v>
      </c>
      <c r="AD299" s="138">
        <f>IFERROR(_xlfn.XLOOKUP($D299,'Modelling New'!$D:$D,'Modelling New'!$T:$T)*1000,"")</f>
        <v>106720.09220527501</v>
      </c>
      <c r="AE299" s="142"/>
      <c r="AF299" s="142">
        <f>IFERROR(_xlfn.XLOOKUP($D299,'Modelling New'!$D:$D,'Modelling New'!$W:$W),"")</f>
        <v>6.3162933360129611E-2</v>
      </c>
      <c r="AG299" s="142">
        <f>IFERROR(_xlfn.XLOOKUP($D299,'Modelling New'!$D:$D,'Modelling New'!$AE:$AE),"")</f>
        <v>0.96029999999999993</v>
      </c>
      <c r="AH299" s="142">
        <f>IFERROR(_xlfn.XLOOKUP($D299,'Modelling New'!$D:$D,'Modelling New'!$AF:$AF),"")</f>
        <v>0.995</v>
      </c>
      <c r="AI299" s="109" t="str">
        <f>IFERROR(_xlfn.XLOOKUP($A299,Input_Raw!$A:$A,Input_Raw!$DP:$DP),"")</f>
        <v/>
      </c>
      <c r="AJ299" s="108"/>
      <c r="AK299" s="108"/>
      <c r="AL299" s="108"/>
      <c r="AM299" s="108"/>
      <c r="AN299" s="132" t="str">
        <f>IFERROR(_xlfn.XLOOKUP($A299,Input_Raw!$A:$A,Input_Raw!$DL:$DL),"")</f>
        <v/>
      </c>
      <c r="AO299" s="142" t="str">
        <f>IFERROR((_xlfn.XLOOKUP($A299,'WTG Reactive Power'!$A:$A,'WTG Reactive Power'!$AW:$AW))/X299,"")</f>
        <v/>
      </c>
      <c r="AP299" s="142">
        <f>IFERROR(_xlfn.XLOOKUP($D299,'Modelling New'!$D:$D,'Modelling New'!$AK:$AK),"")</f>
        <v>0.05</v>
      </c>
      <c r="AQ299" s="142">
        <f>IFERROR(_xlfn.XLOOKUP($D299,'Modelling New'!$D:$D,'Modelling New'!$AL:$AL),"")</f>
        <v>0.05</v>
      </c>
      <c r="AR299" s="198">
        <f>IFERROR(_xlfn.XLOOKUP($D299,'Modelling New'!$D:$D,'Modelling New'!$N:$N),"")</f>
        <v>70.400000000000006</v>
      </c>
      <c r="AS299" s="198"/>
    </row>
    <row r="300" spans="1:45">
      <c r="A300" s="137">
        <f t="shared" si="28"/>
        <v>46043</v>
      </c>
      <c r="B300" s="138">
        <f>YEAR(Daily_KPI[[#This Row],[Date]])+IF(MONTH(Daily_KPI[[#This Row],[Date]])&gt;=4,1,0)</f>
        <v>2026</v>
      </c>
      <c r="C300" s="108">
        <f>YEAR(Daily_KPI[[#This Row],[Date]])</f>
        <v>2026</v>
      </c>
      <c r="D300" s="139">
        <f>Daily_KPI[[#This Row],[Date]]-DAY(Daily_KPI[[#This Row],[Date]])+1</f>
        <v>46023</v>
      </c>
      <c r="E300" s="108">
        <f t="shared" si="29"/>
        <v>31</v>
      </c>
      <c r="F300" s="109"/>
      <c r="G300" s="110"/>
      <c r="H300" s="110"/>
      <c r="I300" s="110"/>
      <c r="J300" s="110"/>
      <c r="K300" s="111"/>
      <c r="L300" s="110"/>
      <c r="M300" s="110" t="str">
        <f>IFERROR(_xlfn.XLOOKUP($A300,Input_Raw!$A:$A,Input_Raw!$CQ:$CQ),"")</f>
        <v/>
      </c>
      <c r="N300" s="110" t="str">
        <f>IFERROR(_xlfn.XLOOKUP($A300,Input_Raw!$A:$A,Input_Raw!$CR:$CR),"")</f>
        <v/>
      </c>
      <c r="O300" s="141" t="str">
        <f t="shared" si="30"/>
        <v/>
      </c>
      <c r="P300" s="141" t="str">
        <f>IFERROR(1-SUMIF(WTG_BD!$F:$F,$A300,WTG_BD!$AA:$AA)/($AA300+SUMIF(WTG_BD!$F:$F,$A300,WTG_BD!$AA:$AA)),"")</f>
        <v/>
      </c>
      <c r="Q300" s="141" t="str">
        <f>IFERROR(1-SUMIF(IGA_BD!$F:$F,$A300,IGA_BD!$W:$W)/($AA300+SUMIF(IGA_BD!$F:$F,$A300,IGA_BD!$W:$W)),"")</f>
        <v/>
      </c>
      <c r="R300" s="141" t="str">
        <f>IFERROR(1-SUMIF(Grid_BD!$F:$F,$A300,Grid_BD!$Y:$Y)/($AA300+SUMIF(Grid_BD!$F:$F,$A300,Grid_BD!$Y:$Y)),"")</f>
        <v/>
      </c>
      <c r="S300" s="108"/>
      <c r="T300" s="140"/>
      <c r="U300" s="141"/>
      <c r="V300" s="108"/>
      <c r="W300" s="142" t="str">
        <f t="shared" si="31"/>
        <v/>
      </c>
      <c r="X300" s="108" t="str">
        <f>IFERROR(_xlfn.XLOOKUP($A300,Input_Raw!$A:$A,Input_Raw!$CP:$CP)*1000,"")</f>
        <v/>
      </c>
      <c r="Y300" s="108" t="str">
        <f>IFERROR(_xlfn.XLOOKUP($A300,Input_Raw!$A:$A,Input_Raw!DJ:DJ)*1000,"")</f>
        <v/>
      </c>
      <c r="Z300" s="108" t="str">
        <f>IFERROR(_xlfn.XLOOKUP($A300,Input_Raw!$A:$A,Input_Raw!DK:DK)*1000,"")</f>
        <v/>
      </c>
      <c r="AA300" s="138" t="str">
        <f t="shared" si="32"/>
        <v/>
      </c>
      <c r="AB300" s="108" t="str">
        <f>IFERROR(_xlfn.XLOOKUP($A300,Input_Raw!$A:$A,Input_Raw!$DR:$DR),"")</f>
        <v/>
      </c>
      <c r="AC300" s="143">
        <f>IFERROR(_xlfn.XLOOKUP($D300,'Modelling New'!$D:$D,'Modelling New'!$J:$J),"")</f>
        <v>3.75</v>
      </c>
      <c r="AD300" s="138">
        <f>IFERROR(_xlfn.XLOOKUP($D300,'Modelling New'!$D:$D,'Modelling New'!$T:$T)*1000,"")</f>
        <v>106720.09220527501</v>
      </c>
      <c r="AE300" s="142"/>
      <c r="AF300" s="142">
        <f>IFERROR(_xlfn.XLOOKUP($D300,'Modelling New'!$D:$D,'Modelling New'!$W:$W),"")</f>
        <v>6.3162933360129611E-2</v>
      </c>
      <c r="AG300" s="142">
        <f>IFERROR(_xlfn.XLOOKUP($D300,'Modelling New'!$D:$D,'Modelling New'!$AE:$AE),"")</f>
        <v>0.96029999999999993</v>
      </c>
      <c r="AH300" s="142">
        <f>IFERROR(_xlfn.XLOOKUP($D300,'Modelling New'!$D:$D,'Modelling New'!$AF:$AF),"")</f>
        <v>0.995</v>
      </c>
      <c r="AI300" s="109" t="str">
        <f>IFERROR(_xlfn.XLOOKUP($A300,Input_Raw!$A:$A,Input_Raw!$DP:$DP),"")</f>
        <v/>
      </c>
      <c r="AJ300" s="108"/>
      <c r="AK300" s="108"/>
      <c r="AL300" s="108"/>
      <c r="AM300" s="108"/>
      <c r="AN300" s="132" t="str">
        <f>IFERROR(_xlfn.XLOOKUP($A300,Input_Raw!$A:$A,Input_Raw!$DL:$DL),"")</f>
        <v/>
      </c>
      <c r="AO300" s="142" t="str">
        <f>IFERROR((_xlfn.XLOOKUP($A300,'WTG Reactive Power'!$A:$A,'WTG Reactive Power'!$AW:$AW))/X300,"")</f>
        <v/>
      </c>
      <c r="AP300" s="142">
        <f>IFERROR(_xlfn.XLOOKUP($D300,'Modelling New'!$D:$D,'Modelling New'!$AK:$AK),"")</f>
        <v>0.05</v>
      </c>
      <c r="AQ300" s="142">
        <f>IFERROR(_xlfn.XLOOKUP($D300,'Modelling New'!$D:$D,'Modelling New'!$AL:$AL),"")</f>
        <v>0.05</v>
      </c>
      <c r="AR300" s="198">
        <f>IFERROR(_xlfn.XLOOKUP($D300,'Modelling New'!$D:$D,'Modelling New'!$N:$N),"")</f>
        <v>70.400000000000006</v>
      </c>
      <c r="AS300" s="198"/>
    </row>
    <row r="301" spans="1:45">
      <c r="A301" s="137">
        <f t="shared" si="28"/>
        <v>46044</v>
      </c>
      <c r="B301" s="138">
        <f>YEAR(Daily_KPI[[#This Row],[Date]])+IF(MONTH(Daily_KPI[[#This Row],[Date]])&gt;=4,1,0)</f>
        <v>2026</v>
      </c>
      <c r="C301" s="108">
        <f>YEAR(Daily_KPI[[#This Row],[Date]])</f>
        <v>2026</v>
      </c>
      <c r="D301" s="139">
        <f>Daily_KPI[[#This Row],[Date]]-DAY(Daily_KPI[[#This Row],[Date]])+1</f>
        <v>46023</v>
      </c>
      <c r="E301" s="108">
        <f t="shared" si="29"/>
        <v>31</v>
      </c>
      <c r="F301" s="109"/>
      <c r="G301" s="110"/>
      <c r="H301" s="110"/>
      <c r="I301" s="110"/>
      <c r="J301" s="110"/>
      <c r="K301" s="111"/>
      <c r="L301" s="110"/>
      <c r="M301" s="110" t="str">
        <f>IFERROR(_xlfn.XLOOKUP($A301,Input_Raw!$A:$A,Input_Raw!$CQ:$CQ),"")</f>
        <v/>
      </c>
      <c r="N301" s="110" t="str">
        <f>IFERROR(_xlfn.XLOOKUP($A301,Input_Raw!$A:$A,Input_Raw!$CR:$CR),"")</f>
        <v/>
      </c>
      <c r="O301" s="141" t="str">
        <f t="shared" si="30"/>
        <v/>
      </c>
      <c r="P301" s="141" t="str">
        <f>IFERROR(1-SUMIF(WTG_BD!$F:$F,$A301,WTG_BD!$AA:$AA)/($AA301+SUMIF(WTG_BD!$F:$F,$A301,WTG_BD!$AA:$AA)),"")</f>
        <v/>
      </c>
      <c r="Q301" s="141" t="str">
        <f>IFERROR(1-SUMIF(IGA_BD!$F:$F,$A301,IGA_BD!$W:$W)/($AA301+SUMIF(IGA_BD!$F:$F,$A301,IGA_BD!$W:$W)),"")</f>
        <v/>
      </c>
      <c r="R301" s="141" t="str">
        <f>IFERROR(1-SUMIF(Grid_BD!$F:$F,$A301,Grid_BD!$Y:$Y)/($AA301+SUMIF(Grid_BD!$F:$F,$A301,Grid_BD!$Y:$Y)),"")</f>
        <v/>
      </c>
      <c r="S301" s="108"/>
      <c r="T301" s="140"/>
      <c r="U301" s="141"/>
      <c r="V301" s="108"/>
      <c r="W301" s="142" t="str">
        <f t="shared" si="31"/>
        <v/>
      </c>
      <c r="X301" s="108" t="str">
        <f>IFERROR(_xlfn.XLOOKUP($A301,Input_Raw!$A:$A,Input_Raw!$CP:$CP)*1000,"")</f>
        <v/>
      </c>
      <c r="Y301" s="108" t="str">
        <f>IFERROR(_xlfn.XLOOKUP($A301,Input_Raw!$A:$A,Input_Raw!DJ:DJ)*1000,"")</f>
        <v/>
      </c>
      <c r="Z301" s="108" t="str">
        <f>IFERROR(_xlfn.XLOOKUP($A301,Input_Raw!$A:$A,Input_Raw!DK:DK)*1000,"")</f>
        <v/>
      </c>
      <c r="AA301" s="138" t="str">
        <f t="shared" si="32"/>
        <v/>
      </c>
      <c r="AB301" s="108" t="str">
        <f>IFERROR(_xlfn.XLOOKUP($A301,Input_Raw!$A:$A,Input_Raw!$DR:$DR),"")</f>
        <v/>
      </c>
      <c r="AC301" s="143">
        <f>IFERROR(_xlfn.XLOOKUP($D301,'Modelling New'!$D:$D,'Modelling New'!$J:$J),"")</f>
        <v>3.75</v>
      </c>
      <c r="AD301" s="138">
        <f>IFERROR(_xlfn.XLOOKUP($D301,'Modelling New'!$D:$D,'Modelling New'!$T:$T)*1000,"")</f>
        <v>106720.09220527501</v>
      </c>
      <c r="AE301" s="142"/>
      <c r="AF301" s="142">
        <f>IFERROR(_xlfn.XLOOKUP($D301,'Modelling New'!$D:$D,'Modelling New'!$W:$W),"")</f>
        <v>6.3162933360129611E-2</v>
      </c>
      <c r="AG301" s="142">
        <f>IFERROR(_xlfn.XLOOKUP($D301,'Modelling New'!$D:$D,'Modelling New'!$AE:$AE),"")</f>
        <v>0.96029999999999993</v>
      </c>
      <c r="AH301" s="142">
        <f>IFERROR(_xlfn.XLOOKUP($D301,'Modelling New'!$D:$D,'Modelling New'!$AF:$AF),"")</f>
        <v>0.995</v>
      </c>
      <c r="AI301" s="109" t="str">
        <f>IFERROR(_xlfn.XLOOKUP($A301,Input_Raw!$A:$A,Input_Raw!$DP:$DP),"")</f>
        <v/>
      </c>
      <c r="AJ301" s="108"/>
      <c r="AK301" s="108"/>
      <c r="AL301" s="108"/>
      <c r="AM301" s="108"/>
      <c r="AN301" s="132" t="str">
        <f>IFERROR(_xlfn.XLOOKUP($A301,Input_Raw!$A:$A,Input_Raw!$DL:$DL),"")</f>
        <v/>
      </c>
      <c r="AO301" s="142" t="str">
        <f>IFERROR((_xlfn.XLOOKUP($A301,'WTG Reactive Power'!$A:$A,'WTG Reactive Power'!$AW:$AW))/X301,"")</f>
        <v/>
      </c>
      <c r="AP301" s="142">
        <f>IFERROR(_xlfn.XLOOKUP($D301,'Modelling New'!$D:$D,'Modelling New'!$AK:$AK),"")</f>
        <v>0.05</v>
      </c>
      <c r="AQ301" s="142">
        <f>IFERROR(_xlfn.XLOOKUP($D301,'Modelling New'!$D:$D,'Modelling New'!$AL:$AL),"")</f>
        <v>0.05</v>
      </c>
      <c r="AR301" s="198">
        <f>IFERROR(_xlfn.XLOOKUP($D301,'Modelling New'!$D:$D,'Modelling New'!$N:$N),"")</f>
        <v>70.400000000000006</v>
      </c>
      <c r="AS301" s="198"/>
    </row>
    <row r="302" spans="1:45">
      <c r="A302" s="137">
        <f t="shared" si="28"/>
        <v>46045</v>
      </c>
      <c r="B302" s="138">
        <f>YEAR(Daily_KPI[[#This Row],[Date]])+IF(MONTH(Daily_KPI[[#This Row],[Date]])&gt;=4,1,0)</f>
        <v>2026</v>
      </c>
      <c r="C302" s="108">
        <f>YEAR(Daily_KPI[[#This Row],[Date]])</f>
        <v>2026</v>
      </c>
      <c r="D302" s="139">
        <f>Daily_KPI[[#This Row],[Date]]-DAY(Daily_KPI[[#This Row],[Date]])+1</f>
        <v>46023</v>
      </c>
      <c r="E302" s="108">
        <f t="shared" si="29"/>
        <v>31</v>
      </c>
      <c r="F302" s="109"/>
      <c r="G302" s="110"/>
      <c r="H302" s="110"/>
      <c r="I302" s="110"/>
      <c r="J302" s="110"/>
      <c r="K302" s="111"/>
      <c r="L302" s="110"/>
      <c r="M302" s="110" t="str">
        <f>IFERROR(_xlfn.XLOOKUP($A302,Input_Raw!$A:$A,Input_Raw!$CQ:$CQ),"")</f>
        <v/>
      </c>
      <c r="N302" s="110" t="str">
        <f>IFERROR(_xlfn.XLOOKUP($A302,Input_Raw!$A:$A,Input_Raw!$CR:$CR),"")</f>
        <v/>
      </c>
      <c r="O302" s="141" t="str">
        <f t="shared" si="30"/>
        <v/>
      </c>
      <c r="P302" s="141" t="str">
        <f>IFERROR(1-SUMIF(WTG_BD!$F:$F,$A302,WTG_BD!$AA:$AA)/($AA302+SUMIF(WTG_BD!$F:$F,$A302,WTG_BD!$AA:$AA)),"")</f>
        <v/>
      </c>
      <c r="Q302" s="141" t="str">
        <f>IFERROR(1-SUMIF(IGA_BD!$F:$F,$A302,IGA_BD!$W:$W)/($AA302+SUMIF(IGA_BD!$F:$F,$A302,IGA_BD!$W:$W)),"")</f>
        <v/>
      </c>
      <c r="R302" s="141" t="str">
        <f>IFERROR(1-SUMIF(Grid_BD!$F:$F,$A302,Grid_BD!$Y:$Y)/($AA302+SUMIF(Grid_BD!$F:$F,$A302,Grid_BD!$Y:$Y)),"")</f>
        <v/>
      </c>
      <c r="S302" s="108"/>
      <c r="T302" s="140"/>
      <c r="U302" s="141"/>
      <c r="V302" s="108"/>
      <c r="W302" s="142" t="str">
        <f t="shared" si="31"/>
        <v/>
      </c>
      <c r="X302" s="108" t="str">
        <f>IFERROR(_xlfn.XLOOKUP($A302,Input_Raw!$A:$A,Input_Raw!$CP:$CP)*1000,"")</f>
        <v/>
      </c>
      <c r="Y302" s="108" t="str">
        <f>IFERROR(_xlfn.XLOOKUP($A302,Input_Raw!$A:$A,Input_Raw!DJ:DJ)*1000,"")</f>
        <v/>
      </c>
      <c r="Z302" s="108" t="str">
        <f>IFERROR(_xlfn.XLOOKUP($A302,Input_Raw!$A:$A,Input_Raw!DK:DK)*1000,"")</f>
        <v/>
      </c>
      <c r="AA302" s="138" t="str">
        <f t="shared" si="32"/>
        <v/>
      </c>
      <c r="AB302" s="108" t="str">
        <f>IFERROR(_xlfn.XLOOKUP($A302,Input_Raw!$A:$A,Input_Raw!$DR:$DR),"")</f>
        <v/>
      </c>
      <c r="AC302" s="143">
        <f>IFERROR(_xlfn.XLOOKUP($D302,'Modelling New'!$D:$D,'Modelling New'!$J:$J),"")</f>
        <v>3.75</v>
      </c>
      <c r="AD302" s="138">
        <f>IFERROR(_xlfn.XLOOKUP($D302,'Modelling New'!$D:$D,'Modelling New'!$T:$T)*1000,"")</f>
        <v>106720.09220527501</v>
      </c>
      <c r="AE302" s="142"/>
      <c r="AF302" s="142">
        <f>IFERROR(_xlfn.XLOOKUP($D302,'Modelling New'!$D:$D,'Modelling New'!$W:$W),"")</f>
        <v>6.3162933360129611E-2</v>
      </c>
      <c r="AG302" s="142">
        <f>IFERROR(_xlfn.XLOOKUP($D302,'Modelling New'!$D:$D,'Modelling New'!$AE:$AE),"")</f>
        <v>0.96029999999999993</v>
      </c>
      <c r="AH302" s="142">
        <f>IFERROR(_xlfn.XLOOKUP($D302,'Modelling New'!$D:$D,'Modelling New'!$AF:$AF),"")</f>
        <v>0.995</v>
      </c>
      <c r="AI302" s="109" t="str">
        <f>IFERROR(_xlfn.XLOOKUP($A302,Input_Raw!$A:$A,Input_Raw!$DP:$DP),"")</f>
        <v/>
      </c>
      <c r="AJ302" s="108"/>
      <c r="AK302" s="108"/>
      <c r="AL302" s="108"/>
      <c r="AM302" s="108"/>
      <c r="AN302" s="132" t="str">
        <f>IFERROR(_xlfn.XLOOKUP($A302,Input_Raw!$A:$A,Input_Raw!$DL:$DL),"")</f>
        <v/>
      </c>
      <c r="AO302" s="142" t="str">
        <f>IFERROR((_xlfn.XLOOKUP($A302,'WTG Reactive Power'!$A:$A,'WTG Reactive Power'!$AW:$AW))/X302,"")</f>
        <v/>
      </c>
      <c r="AP302" s="142">
        <f>IFERROR(_xlfn.XLOOKUP($D302,'Modelling New'!$D:$D,'Modelling New'!$AK:$AK),"")</f>
        <v>0.05</v>
      </c>
      <c r="AQ302" s="142">
        <f>IFERROR(_xlfn.XLOOKUP($D302,'Modelling New'!$D:$D,'Modelling New'!$AL:$AL),"")</f>
        <v>0.05</v>
      </c>
      <c r="AR302" s="198">
        <f>IFERROR(_xlfn.XLOOKUP($D302,'Modelling New'!$D:$D,'Modelling New'!$N:$N),"")</f>
        <v>70.400000000000006</v>
      </c>
      <c r="AS302" s="198"/>
    </row>
    <row r="303" spans="1:45">
      <c r="A303" s="137">
        <f t="shared" si="28"/>
        <v>46046</v>
      </c>
      <c r="B303" s="138">
        <f>YEAR(Daily_KPI[[#This Row],[Date]])+IF(MONTH(Daily_KPI[[#This Row],[Date]])&gt;=4,1,0)</f>
        <v>2026</v>
      </c>
      <c r="C303" s="108">
        <f>YEAR(Daily_KPI[[#This Row],[Date]])</f>
        <v>2026</v>
      </c>
      <c r="D303" s="139">
        <f>Daily_KPI[[#This Row],[Date]]-DAY(Daily_KPI[[#This Row],[Date]])+1</f>
        <v>46023</v>
      </c>
      <c r="E303" s="108">
        <f t="shared" si="29"/>
        <v>31</v>
      </c>
      <c r="F303" s="109"/>
      <c r="G303" s="110"/>
      <c r="H303" s="110"/>
      <c r="I303" s="110"/>
      <c r="J303" s="110"/>
      <c r="K303" s="111"/>
      <c r="L303" s="110"/>
      <c r="M303" s="110" t="str">
        <f>IFERROR(_xlfn.XLOOKUP($A303,Input_Raw!$A:$A,Input_Raw!$CQ:$CQ),"")</f>
        <v/>
      </c>
      <c r="N303" s="110" t="str">
        <f>IFERROR(_xlfn.XLOOKUP($A303,Input_Raw!$A:$A,Input_Raw!$CR:$CR),"")</f>
        <v/>
      </c>
      <c r="O303" s="141" t="str">
        <f t="shared" si="30"/>
        <v/>
      </c>
      <c r="P303" s="141" t="str">
        <f>IFERROR(1-SUMIF(WTG_BD!$F:$F,$A303,WTG_BD!$AA:$AA)/($AA303+SUMIF(WTG_BD!$F:$F,$A303,WTG_BD!$AA:$AA)),"")</f>
        <v/>
      </c>
      <c r="Q303" s="141" t="str">
        <f>IFERROR(1-SUMIF(IGA_BD!$F:$F,$A303,IGA_BD!$W:$W)/($AA303+SUMIF(IGA_BD!$F:$F,$A303,IGA_BD!$W:$W)),"")</f>
        <v/>
      </c>
      <c r="R303" s="141" t="str">
        <f>IFERROR(1-SUMIF(Grid_BD!$F:$F,$A303,Grid_BD!$Y:$Y)/($AA303+SUMIF(Grid_BD!$F:$F,$A303,Grid_BD!$Y:$Y)),"")</f>
        <v/>
      </c>
      <c r="S303" s="108"/>
      <c r="T303" s="140"/>
      <c r="U303" s="141"/>
      <c r="V303" s="108"/>
      <c r="W303" s="142" t="str">
        <f t="shared" si="31"/>
        <v/>
      </c>
      <c r="X303" s="108" t="str">
        <f>IFERROR(_xlfn.XLOOKUP($A303,Input_Raw!$A:$A,Input_Raw!$CP:$CP)*1000,"")</f>
        <v/>
      </c>
      <c r="Y303" s="108" t="str">
        <f>IFERROR(_xlfn.XLOOKUP($A303,Input_Raw!$A:$A,Input_Raw!DJ:DJ)*1000,"")</f>
        <v/>
      </c>
      <c r="Z303" s="108" t="str">
        <f>IFERROR(_xlfn.XLOOKUP($A303,Input_Raw!$A:$A,Input_Raw!DK:DK)*1000,"")</f>
        <v/>
      </c>
      <c r="AA303" s="138" t="str">
        <f t="shared" si="32"/>
        <v/>
      </c>
      <c r="AB303" s="108" t="str">
        <f>IFERROR(_xlfn.XLOOKUP($A303,Input_Raw!$A:$A,Input_Raw!$DR:$DR),"")</f>
        <v/>
      </c>
      <c r="AC303" s="143">
        <f>IFERROR(_xlfn.XLOOKUP($D303,'Modelling New'!$D:$D,'Modelling New'!$J:$J),"")</f>
        <v>3.75</v>
      </c>
      <c r="AD303" s="138">
        <f>IFERROR(_xlfn.XLOOKUP($D303,'Modelling New'!$D:$D,'Modelling New'!$T:$T)*1000,"")</f>
        <v>106720.09220527501</v>
      </c>
      <c r="AE303" s="142"/>
      <c r="AF303" s="142">
        <f>IFERROR(_xlfn.XLOOKUP($D303,'Modelling New'!$D:$D,'Modelling New'!$W:$W),"")</f>
        <v>6.3162933360129611E-2</v>
      </c>
      <c r="AG303" s="142">
        <f>IFERROR(_xlfn.XLOOKUP($D303,'Modelling New'!$D:$D,'Modelling New'!$AE:$AE),"")</f>
        <v>0.96029999999999993</v>
      </c>
      <c r="AH303" s="142">
        <f>IFERROR(_xlfn.XLOOKUP($D303,'Modelling New'!$D:$D,'Modelling New'!$AF:$AF),"")</f>
        <v>0.995</v>
      </c>
      <c r="AI303" s="109" t="str">
        <f>IFERROR(_xlfn.XLOOKUP($A303,Input_Raw!$A:$A,Input_Raw!$DP:$DP),"")</f>
        <v/>
      </c>
      <c r="AJ303" s="108"/>
      <c r="AK303" s="108"/>
      <c r="AL303" s="108"/>
      <c r="AM303" s="108"/>
      <c r="AN303" s="132" t="str">
        <f>IFERROR(_xlfn.XLOOKUP($A303,Input_Raw!$A:$A,Input_Raw!$DL:$DL),"")</f>
        <v/>
      </c>
      <c r="AO303" s="142" t="str">
        <f>IFERROR((_xlfn.XLOOKUP($A303,'WTG Reactive Power'!$A:$A,'WTG Reactive Power'!$AW:$AW))/X303,"")</f>
        <v/>
      </c>
      <c r="AP303" s="142">
        <f>IFERROR(_xlfn.XLOOKUP($D303,'Modelling New'!$D:$D,'Modelling New'!$AK:$AK),"")</f>
        <v>0.05</v>
      </c>
      <c r="AQ303" s="142">
        <f>IFERROR(_xlfn.XLOOKUP($D303,'Modelling New'!$D:$D,'Modelling New'!$AL:$AL),"")</f>
        <v>0.05</v>
      </c>
      <c r="AR303" s="198">
        <f>IFERROR(_xlfn.XLOOKUP($D303,'Modelling New'!$D:$D,'Modelling New'!$N:$N),"")</f>
        <v>70.400000000000006</v>
      </c>
      <c r="AS303" s="198"/>
    </row>
    <row r="304" spans="1:45">
      <c r="A304" s="137">
        <f t="shared" si="28"/>
        <v>46047</v>
      </c>
      <c r="B304" s="138">
        <f>YEAR(Daily_KPI[[#This Row],[Date]])+IF(MONTH(Daily_KPI[[#This Row],[Date]])&gt;=4,1,0)</f>
        <v>2026</v>
      </c>
      <c r="C304" s="108">
        <f>YEAR(Daily_KPI[[#This Row],[Date]])</f>
        <v>2026</v>
      </c>
      <c r="D304" s="139">
        <f>Daily_KPI[[#This Row],[Date]]-DAY(Daily_KPI[[#This Row],[Date]])+1</f>
        <v>46023</v>
      </c>
      <c r="E304" s="108">
        <f t="shared" si="29"/>
        <v>31</v>
      </c>
      <c r="F304" s="109"/>
      <c r="G304" s="110"/>
      <c r="H304" s="110"/>
      <c r="I304" s="110"/>
      <c r="J304" s="110"/>
      <c r="K304" s="111"/>
      <c r="L304" s="110"/>
      <c r="M304" s="110" t="str">
        <f>IFERROR(_xlfn.XLOOKUP($A304,Input_Raw!$A:$A,Input_Raw!$CQ:$CQ),"")</f>
        <v/>
      </c>
      <c r="N304" s="110" t="str">
        <f>IFERROR(_xlfn.XLOOKUP($A304,Input_Raw!$A:$A,Input_Raw!$CR:$CR),"")</f>
        <v/>
      </c>
      <c r="O304" s="141" t="str">
        <f t="shared" si="30"/>
        <v/>
      </c>
      <c r="P304" s="141" t="str">
        <f>IFERROR(1-SUMIF(WTG_BD!$F:$F,$A304,WTG_BD!$AA:$AA)/($AA304+SUMIF(WTG_BD!$F:$F,$A304,WTG_BD!$AA:$AA)),"")</f>
        <v/>
      </c>
      <c r="Q304" s="141" t="str">
        <f>IFERROR(1-SUMIF(IGA_BD!$F:$F,$A304,IGA_BD!$W:$W)/($AA304+SUMIF(IGA_BD!$F:$F,$A304,IGA_BD!$W:$W)),"")</f>
        <v/>
      </c>
      <c r="R304" s="141" t="str">
        <f>IFERROR(1-SUMIF(Grid_BD!$F:$F,$A304,Grid_BD!$Y:$Y)/($AA304+SUMIF(Grid_BD!$F:$F,$A304,Grid_BD!$Y:$Y)),"")</f>
        <v/>
      </c>
      <c r="S304" s="108"/>
      <c r="T304" s="140"/>
      <c r="U304" s="141"/>
      <c r="V304" s="108"/>
      <c r="W304" s="142" t="str">
        <f t="shared" si="31"/>
        <v/>
      </c>
      <c r="X304" s="108" t="str">
        <f>IFERROR(_xlfn.XLOOKUP($A304,Input_Raw!$A:$A,Input_Raw!$CP:$CP)*1000,"")</f>
        <v/>
      </c>
      <c r="Y304" s="108" t="str">
        <f>IFERROR(_xlfn.XLOOKUP($A304,Input_Raw!$A:$A,Input_Raw!DJ:DJ)*1000,"")</f>
        <v/>
      </c>
      <c r="Z304" s="108" t="str">
        <f>IFERROR(_xlfn.XLOOKUP($A304,Input_Raw!$A:$A,Input_Raw!DK:DK)*1000,"")</f>
        <v/>
      </c>
      <c r="AA304" s="138" t="str">
        <f t="shared" si="32"/>
        <v/>
      </c>
      <c r="AB304" s="108" t="str">
        <f>IFERROR(_xlfn.XLOOKUP($A304,Input_Raw!$A:$A,Input_Raw!$DR:$DR),"")</f>
        <v/>
      </c>
      <c r="AC304" s="143">
        <f>IFERROR(_xlfn.XLOOKUP($D304,'Modelling New'!$D:$D,'Modelling New'!$J:$J),"")</f>
        <v>3.75</v>
      </c>
      <c r="AD304" s="138">
        <f>IFERROR(_xlfn.XLOOKUP($D304,'Modelling New'!$D:$D,'Modelling New'!$T:$T)*1000,"")</f>
        <v>106720.09220527501</v>
      </c>
      <c r="AE304" s="142"/>
      <c r="AF304" s="142">
        <f>IFERROR(_xlfn.XLOOKUP($D304,'Modelling New'!$D:$D,'Modelling New'!$W:$W),"")</f>
        <v>6.3162933360129611E-2</v>
      </c>
      <c r="AG304" s="142">
        <f>IFERROR(_xlfn.XLOOKUP($D304,'Modelling New'!$D:$D,'Modelling New'!$AE:$AE),"")</f>
        <v>0.96029999999999993</v>
      </c>
      <c r="AH304" s="142">
        <f>IFERROR(_xlfn.XLOOKUP($D304,'Modelling New'!$D:$D,'Modelling New'!$AF:$AF),"")</f>
        <v>0.995</v>
      </c>
      <c r="AI304" s="109" t="str">
        <f>IFERROR(_xlfn.XLOOKUP($A304,Input_Raw!$A:$A,Input_Raw!$DP:$DP),"")</f>
        <v/>
      </c>
      <c r="AJ304" s="108"/>
      <c r="AK304" s="108"/>
      <c r="AL304" s="108"/>
      <c r="AM304" s="108"/>
      <c r="AN304" s="132" t="str">
        <f>IFERROR(_xlfn.XLOOKUP($A304,Input_Raw!$A:$A,Input_Raw!$DL:$DL),"")</f>
        <v/>
      </c>
      <c r="AO304" s="142" t="str">
        <f>IFERROR((_xlfn.XLOOKUP($A304,'WTG Reactive Power'!$A:$A,'WTG Reactive Power'!$AW:$AW))/X304,"")</f>
        <v/>
      </c>
      <c r="AP304" s="142">
        <f>IFERROR(_xlfn.XLOOKUP($D304,'Modelling New'!$D:$D,'Modelling New'!$AK:$AK),"")</f>
        <v>0.05</v>
      </c>
      <c r="AQ304" s="142">
        <f>IFERROR(_xlfn.XLOOKUP($D304,'Modelling New'!$D:$D,'Modelling New'!$AL:$AL),"")</f>
        <v>0.05</v>
      </c>
      <c r="AR304" s="198">
        <f>IFERROR(_xlfn.XLOOKUP($D304,'Modelling New'!$D:$D,'Modelling New'!$N:$N),"")</f>
        <v>70.400000000000006</v>
      </c>
      <c r="AS304" s="198"/>
    </row>
    <row r="305" spans="1:45">
      <c r="A305" s="137">
        <f t="shared" si="28"/>
        <v>46048</v>
      </c>
      <c r="B305" s="138">
        <f>YEAR(Daily_KPI[[#This Row],[Date]])+IF(MONTH(Daily_KPI[[#This Row],[Date]])&gt;=4,1,0)</f>
        <v>2026</v>
      </c>
      <c r="C305" s="108">
        <f>YEAR(Daily_KPI[[#This Row],[Date]])</f>
        <v>2026</v>
      </c>
      <c r="D305" s="139">
        <f>Daily_KPI[[#This Row],[Date]]-DAY(Daily_KPI[[#This Row],[Date]])+1</f>
        <v>46023</v>
      </c>
      <c r="E305" s="108">
        <f t="shared" si="29"/>
        <v>31</v>
      </c>
      <c r="F305" s="109"/>
      <c r="G305" s="110"/>
      <c r="H305" s="110"/>
      <c r="I305" s="110"/>
      <c r="J305" s="110"/>
      <c r="K305" s="111"/>
      <c r="L305" s="110"/>
      <c r="M305" s="110" t="str">
        <f>IFERROR(_xlfn.XLOOKUP($A305,Input_Raw!$A:$A,Input_Raw!$CQ:$CQ),"")</f>
        <v/>
      </c>
      <c r="N305" s="110" t="str">
        <f>IFERROR(_xlfn.XLOOKUP($A305,Input_Raw!$A:$A,Input_Raw!$CR:$CR),"")</f>
        <v/>
      </c>
      <c r="O305" s="141" t="str">
        <f t="shared" si="30"/>
        <v/>
      </c>
      <c r="P305" s="141" t="str">
        <f>IFERROR(1-SUMIF(WTG_BD!$F:$F,$A305,WTG_BD!$AA:$AA)/($AA305+SUMIF(WTG_BD!$F:$F,$A305,WTG_BD!$AA:$AA)),"")</f>
        <v/>
      </c>
      <c r="Q305" s="141" t="str">
        <f>IFERROR(1-SUMIF(IGA_BD!$F:$F,$A305,IGA_BD!$W:$W)/($AA305+SUMIF(IGA_BD!$F:$F,$A305,IGA_BD!$W:$W)),"")</f>
        <v/>
      </c>
      <c r="R305" s="141" t="str">
        <f>IFERROR(1-SUMIF(Grid_BD!$F:$F,$A305,Grid_BD!$Y:$Y)/($AA305+SUMIF(Grid_BD!$F:$F,$A305,Grid_BD!$Y:$Y)),"")</f>
        <v/>
      </c>
      <c r="S305" s="108"/>
      <c r="T305" s="140"/>
      <c r="U305" s="141"/>
      <c r="V305" s="108"/>
      <c r="W305" s="142" t="str">
        <f t="shared" si="31"/>
        <v/>
      </c>
      <c r="X305" s="108" t="str">
        <f>IFERROR(_xlfn.XLOOKUP($A305,Input_Raw!$A:$A,Input_Raw!$CP:$CP)*1000,"")</f>
        <v/>
      </c>
      <c r="Y305" s="108" t="str">
        <f>IFERROR(_xlfn.XLOOKUP($A305,Input_Raw!$A:$A,Input_Raw!DJ:DJ)*1000,"")</f>
        <v/>
      </c>
      <c r="Z305" s="108" t="str">
        <f>IFERROR(_xlfn.XLOOKUP($A305,Input_Raw!$A:$A,Input_Raw!DK:DK)*1000,"")</f>
        <v/>
      </c>
      <c r="AA305" s="138" t="str">
        <f t="shared" si="32"/>
        <v/>
      </c>
      <c r="AB305" s="108" t="str">
        <f>IFERROR(_xlfn.XLOOKUP($A305,Input_Raw!$A:$A,Input_Raw!$DR:$DR),"")</f>
        <v/>
      </c>
      <c r="AC305" s="143">
        <f>IFERROR(_xlfn.XLOOKUP($D305,'Modelling New'!$D:$D,'Modelling New'!$J:$J),"")</f>
        <v>3.75</v>
      </c>
      <c r="AD305" s="138">
        <f>IFERROR(_xlfn.XLOOKUP($D305,'Modelling New'!$D:$D,'Modelling New'!$T:$T)*1000,"")</f>
        <v>106720.09220527501</v>
      </c>
      <c r="AE305" s="142"/>
      <c r="AF305" s="142">
        <f>IFERROR(_xlfn.XLOOKUP($D305,'Modelling New'!$D:$D,'Modelling New'!$W:$W),"")</f>
        <v>6.3162933360129611E-2</v>
      </c>
      <c r="AG305" s="142">
        <f>IFERROR(_xlfn.XLOOKUP($D305,'Modelling New'!$D:$D,'Modelling New'!$AE:$AE),"")</f>
        <v>0.96029999999999993</v>
      </c>
      <c r="AH305" s="142">
        <f>IFERROR(_xlfn.XLOOKUP($D305,'Modelling New'!$D:$D,'Modelling New'!$AF:$AF),"")</f>
        <v>0.995</v>
      </c>
      <c r="AI305" s="109" t="str">
        <f>IFERROR(_xlfn.XLOOKUP($A305,Input_Raw!$A:$A,Input_Raw!$DP:$DP),"")</f>
        <v/>
      </c>
      <c r="AJ305" s="108"/>
      <c r="AK305" s="108"/>
      <c r="AL305" s="108"/>
      <c r="AM305" s="108"/>
      <c r="AN305" s="132" t="str">
        <f>IFERROR(_xlfn.XLOOKUP($A305,Input_Raw!$A:$A,Input_Raw!$DL:$DL),"")</f>
        <v/>
      </c>
      <c r="AO305" s="142" t="str">
        <f>IFERROR((_xlfn.XLOOKUP($A305,'WTG Reactive Power'!$A:$A,'WTG Reactive Power'!$AW:$AW))/X305,"")</f>
        <v/>
      </c>
      <c r="AP305" s="142">
        <f>IFERROR(_xlfn.XLOOKUP($D305,'Modelling New'!$D:$D,'Modelling New'!$AK:$AK),"")</f>
        <v>0.05</v>
      </c>
      <c r="AQ305" s="142">
        <f>IFERROR(_xlfn.XLOOKUP($D305,'Modelling New'!$D:$D,'Modelling New'!$AL:$AL),"")</f>
        <v>0.05</v>
      </c>
      <c r="AR305" s="198">
        <f>IFERROR(_xlfn.XLOOKUP($D305,'Modelling New'!$D:$D,'Modelling New'!$N:$N),"")</f>
        <v>70.400000000000006</v>
      </c>
      <c r="AS305" s="198"/>
    </row>
    <row r="306" spans="1:45">
      <c r="A306" s="137">
        <f t="shared" si="28"/>
        <v>46049</v>
      </c>
      <c r="B306" s="138">
        <f>YEAR(Daily_KPI[[#This Row],[Date]])+IF(MONTH(Daily_KPI[[#This Row],[Date]])&gt;=4,1,0)</f>
        <v>2026</v>
      </c>
      <c r="C306" s="108">
        <f>YEAR(Daily_KPI[[#This Row],[Date]])</f>
        <v>2026</v>
      </c>
      <c r="D306" s="139">
        <f>Daily_KPI[[#This Row],[Date]]-DAY(Daily_KPI[[#This Row],[Date]])+1</f>
        <v>46023</v>
      </c>
      <c r="E306" s="108">
        <f t="shared" si="29"/>
        <v>31</v>
      </c>
      <c r="F306" s="109"/>
      <c r="G306" s="110"/>
      <c r="H306" s="110"/>
      <c r="I306" s="110"/>
      <c r="J306" s="110"/>
      <c r="K306" s="111"/>
      <c r="L306" s="110"/>
      <c r="M306" s="110" t="str">
        <f>IFERROR(_xlfn.XLOOKUP($A306,Input_Raw!$A:$A,Input_Raw!$CQ:$CQ),"")</f>
        <v/>
      </c>
      <c r="N306" s="110" t="str">
        <f>IFERROR(_xlfn.XLOOKUP($A306,Input_Raw!$A:$A,Input_Raw!$CR:$CR),"")</f>
        <v/>
      </c>
      <c r="O306" s="141" t="str">
        <f t="shared" si="30"/>
        <v/>
      </c>
      <c r="P306" s="141" t="str">
        <f>IFERROR(1-SUMIF(WTG_BD!$F:$F,$A306,WTG_BD!$AA:$AA)/($AA306+SUMIF(WTG_BD!$F:$F,$A306,WTG_BD!$AA:$AA)),"")</f>
        <v/>
      </c>
      <c r="Q306" s="141" t="str">
        <f>IFERROR(1-SUMIF(IGA_BD!$F:$F,$A306,IGA_BD!$W:$W)/($AA306+SUMIF(IGA_BD!$F:$F,$A306,IGA_BD!$W:$W)),"")</f>
        <v/>
      </c>
      <c r="R306" s="141" t="str">
        <f>IFERROR(1-SUMIF(Grid_BD!$F:$F,$A306,Grid_BD!$Y:$Y)/($AA306+SUMIF(Grid_BD!$F:$F,$A306,Grid_BD!$Y:$Y)),"")</f>
        <v/>
      </c>
      <c r="S306" s="108"/>
      <c r="T306" s="140"/>
      <c r="U306" s="141"/>
      <c r="V306" s="108"/>
      <c r="W306" s="142" t="str">
        <f t="shared" si="31"/>
        <v/>
      </c>
      <c r="X306" s="108" t="str">
        <f>IFERROR(_xlfn.XLOOKUP($A306,Input_Raw!$A:$A,Input_Raw!$CP:$CP)*1000,"")</f>
        <v/>
      </c>
      <c r="Y306" s="108" t="str">
        <f>IFERROR(_xlfn.XLOOKUP($A306,Input_Raw!$A:$A,Input_Raw!DJ:DJ)*1000,"")</f>
        <v/>
      </c>
      <c r="Z306" s="108" t="str">
        <f>IFERROR(_xlfn.XLOOKUP($A306,Input_Raw!$A:$A,Input_Raw!DK:DK)*1000,"")</f>
        <v/>
      </c>
      <c r="AA306" s="138" t="str">
        <f t="shared" si="32"/>
        <v/>
      </c>
      <c r="AB306" s="108" t="str">
        <f>IFERROR(_xlfn.XLOOKUP($A306,Input_Raw!$A:$A,Input_Raw!$DR:$DR),"")</f>
        <v/>
      </c>
      <c r="AC306" s="143">
        <f>IFERROR(_xlfn.XLOOKUP($D306,'Modelling New'!$D:$D,'Modelling New'!$J:$J),"")</f>
        <v>3.75</v>
      </c>
      <c r="AD306" s="138">
        <f>IFERROR(_xlfn.XLOOKUP($D306,'Modelling New'!$D:$D,'Modelling New'!$T:$T)*1000,"")</f>
        <v>106720.09220527501</v>
      </c>
      <c r="AE306" s="142"/>
      <c r="AF306" s="142">
        <f>IFERROR(_xlfn.XLOOKUP($D306,'Modelling New'!$D:$D,'Modelling New'!$W:$W),"")</f>
        <v>6.3162933360129611E-2</v>
      </c>
      <c r="AG306" s="142">
        <f>IFERROR(_xlfn.XLOOKUP($D306,'Modelling New'!$D:$D,'Modelling New'!$AE:$AE),"")</f>
        <v>0.96029999999999993</v>
      </c>
      <c r="AH306" s="142">
        <f>IFERROR(_xlfn.XLOOKUP($D306,'Modelling New'!$D:$D,'Modelling New'!$AF:$AF),"")</f>
        <v>0.995</v>
      </c>
      <c r="AI306" s="109" t="str">
        <f>IFERROR(_xlfn.XLOOKUP($A306,Input_Raw!$A:$A,Input_Raw!$DP:$DP),"")</f>
        <v/>
      </c>
      <c r="AJ306" s="108"/>
      <c r="AK306" s="108"/>
      <c r="AL306" s="108"/>
      <c r="AM306" s="108"/>
      <c r="AN306" s="132" t="str">
        <f>IFERROR(_xlfn.XLOOKUP($A306,Input_Raw!$A:$A,Input_Raw!$DL:$DL),"")</f>
        <v/>
      </c>
      <c r="AO306" s="142" t="str">
        <f>IFERROR((_xlfn.XLOOKUP($A306,'WTG Reactive Power'!$A:$A,'WTG Reactive Power'!$AW:$AW))/X306,"")</f>
        <v/>
      </c>
      <c r="AP306" s="142">
        <f>IFERROR(_xlfn.XLOOKUP($D306,'Modelling New'!$D:$D,'Modelling New'!$AK:$AK),"")</f>
        <v>0.05</v>
      </c>
      <c r="AQ306" s="142">
        <f>IFERROR(_xlfn.XLOOKUP($D306,'Modelling New'!$D:$D,'Modelling New'!$AL:$AL),"")</f>
        <v>0.05</v>
      </c>
      <c r="AR306" s="198">
        <f>IFERROR(_xlfn.XLOOKUP($D306,'Modelling New'!$D:$D,'Modelling New'!$N:$N),"")</f>
        <v>70.400000000000006</v>
      </c>
      <c r="AS306" s="198"/>
    </row>
    <row r="307" spans="1:45">
      <c r="A307" s="137">
        <f t="shared" si="28"/>
        <v>46050</v>
      </c>
      <c r="B307" s="138">
        <f>YEAR(Daily_KPI[[#This Row],[Date]])+IF(MONTH(Daily_KPI[[#This Row],[Date]])&gt;=4,1,0)</f>
        <v>2026</v>
      </c>
      <c r="C307" s="108">
        <f>YEAR(Daily_KPI[[#This Row],[Date]])</f>
        <v>2026</v>
      </c>
      <c r="D307" s="139">
        <f>Daily_KPI[[#This Row],[Date]]-DAY(Daily_KPI[[#This Row],[Date]])+1</f>
        <v>46023</v>
      </c>
      <c r="E307" s="108">
        <f t="shared" si="29"/>
        <v>31</v>
      </c>
      <c r="F307" s="109"/>
      <c r="G307" s="110"/>
      <c r="H307" s="110"/>
      <c r="I307" s="110"/>
      <c r="J307" s="110"/>
      <c r="K307" s="111"/>
      <c r="L307" s="110"/>
      <c r="M307" s="110" t="str">
        <f>IFERROR(_xlfn.XLOOKUP($A307,Input_Raw!$A:$A,Input_Raw!$CQ:$CQ),"")</f>
        <v/>
      </c>
      <c r="N307" s="110" t="str">
        <f>IFERROR(_xlfn.XLOOKUP($A307,Input_Raw!$A:$A,Input_Raw!$CR:$CR),"")</f>
        <v/>
      </c>
      <c r="O307" s="141" t="str">
        <f t="shared" si="30"/>
        <v/>
      </c>
      <c r="P307" s="141" t="str">
        <f>IFERROR(1-SUMIF(WTG_BD!$F:$F,$A307,WTG_BD!$AA:$AA)/($AA307+SUMIF(WTG_BD!$F:$F,$A307,WTG_BD!$AA:$AA)),"")</f>
        <v/>
      </c>
      <c r="Q307" s="141" t="str">
        <f>IFERROR(1-SUMIF(IGA_BD!$F:$F,$A307,IGA_BD!$W:$W)/($AA307+SUMIF(IGA_BD!$F:$F,$A307,IGA_BD!$W:$W)),"")</f>
        <v/>
      </c>
      <c r="R307" s="141" t="str">
        <f>IFERROR(1-SUMIF(Grid_BD!$F:$F,$A307,Grid_BD!$Y:$Y)/($AA307+SUMIF(Grid_BD!$F:$F,$A307,Grid_BD!$Y:$Y)),"")</f>
        <v/>
      </c>
      <c r="S307" s="108"/>
      <c r="T307" s="140"/>
      <c r="U307" s="141"/>
      <c r="V307" s="108"/>
      <c r="W307" s="142" t="str">
        <f t="shared" si="31"/>
        <v/>
      </c>
      <c r="X307" s="108" t="str">
        <f>IFERROR(_xlfn.XLOOKUP($A307,Input_Raw!$A:$A,Input_Raw!$CP:$CP)*1000,"")</f>
        <v/>
      </c>
      <c r="Y307" s="108" t="str">
        <f>IFERROR(_xlfn.XLOOKUP($A307,Input_Raw!$A:$A,Input_Raw!DJ:DJ)*1000,"")</f>
        <v/>
      </c>
      <c r="Z307" s="108" t="str">
        <f>IFERROR(_xlfn.XLOOKUP($A307,Input_Raw!$A:$A,Input_Raw!DK:DK)*1000,"")</f>
        <v/>
      </c>
      <c r="AA307" s="138" t="str">
        <f t="shared" si="32"/>
        <v/>
      </c>
      <c r="AB307" s="108" t="str">
        <f>IFERROR(_xlfn.XLOOKUP($A307,Input_Raw!$A:$A,Input_Raw!$DR:$DR),"")</f>
        <v/>
      </c>
      <c r="AC307" s="143">
        <f>IFERROR(_xlfn.XLOOKUP($D307,'Modelling New'!$D:$D,'Modelling New'!$J:$J),"")</f>
        <v>3.75</v>
      </c>
      <c r="AD307" s="138">
        <f>IFERROR(_xlfn.XLOOKUP($D307,'Modelling New'!$D:$D,'Modelling New'!$T:$T)*1000,"")</f>
        <v>106720.09220527501</v>
      </c>
      <c r="AE307" s="142"/>
      <c r="AF307" s="142">
        <f>IFERROR(_xlfn.XLOOKUP($D307,'Modelling New'!$D:$D,'Modelling New'!$W:$W),"")</f>
        <v>6.3162933360129611E-2</v>
      </c>
      <c r="AG307" s="142">
        <f>IFERROR(_xlfn.XLOOKUP($D307,'Modelling New'!$D:$D,'Modelling New'!$AE:$AE),"")</f>
        <v>0.96029999999999993</v>
      </c>
      <c r="AH307" s="142">
        <f>IFERROR(_xlfn.XLOOKUP($D307,'Modelling New'!$D:$D,'Modelling New'!$AF:$AF),"")</f>
        <v>0.995</v>
      </c>
      <c r="AI307" s="109" t="str">
        <f>IFERROR(_xlfn.XLOOKUP($A307,Input_Raw!$A:$A,Input_Raw!$DP:$DP),"")</f>
        <v/>
      </c>
      <c r="AJ307" s="108"/>
      <c r="AK307" s="108"/>
      <c r="AL307" s="108"/>
      <c r="AM307" s="108"/>
      <c r="AN307" s="132" t="str">
        <f>IFERROR(_xlfn.XLOOKUP($A307,Input_Raw!$A:$A,Input_Raw!$DL:$DL),"")</f>
        <v/>
      </c>
      <c r="AO307" s="142" t="str">
        <f>IFERROR((_xlfn.XLOOKUP($A307,'WTG Reactive Power'!$A:$A,'WTG Reactive Power'!$AW:$AW))/X307,"")</f>
        <v/>
      </c>
      <c r="AP307" s="142">
        <f>IFERROR(_xlfn.XLOOKUP($D307,'Modelling New'!$D:$D,'Modelling New'!$AK:$AK),"")</f>
        <v>0.05</v>
      </c>
      <c r="AQ307" s="142">
        <f>IFERROR(_xlfn.XLOOKUP($D307,'Modelling New'!$D:$D,'Modelling New'!$AL:$AL),"")</f>
        <v>0.05</v>
      </c>
      <c r="AR307" s="198">
        <f>IFERROR(_xlfn.XLOOKUP($D307,'Modelling New'!$D:$D,'Modelling New'!$N:$N),"")</f>
        <v>70.400000000000006</v>
      </c>
      <c r="AS307" s="198"/>
    </row>
    <row r="308" spans="1:45">
      <c r="A308" s="137">
        <f t="shared" si="28"/>
        <v>46051</v>
      </c>
      <c r="B308" s="138">
        <f>YEAR(Daily_KPI[[#This Row],[Date]])+IF(MONTH(Daily_KPI[[#This Row],[Date]])&gt;=4,1,0)</f>
        <v>2026</v>
      </c>
      <c r="C308" s="108">
        <f>YEAR(Daily_KPI[[#This Row],[Date]])</f>
        <v>2026</v>
      </c>
      <c r="D308" s="139">
        <f>Daily_KPI[[#This Row],[Date]]-DAY(Daily_KPI[[#This Row],[Date]])+1</f>
        <v>46023</v>
      </c>
      <c r="E308" s="108">
        <f t="shared" si="29"/>
        <v>31</v>
      </c>
      <c r="F308" s="109"/>
      <c r="G308" s="110"/>
      <c r="H308" s="110"/>
      <c r="I308" s="110"/>
      <c r="J308" s="110"/>
      <c r="K308" s="111"/>
      <c r="L308" s="110"/>
      <c r="M308" s="110" t="str">
        <f>IFERROR(_xlfn.XLOOKUP($A308,Input_Raw!$A:$A,Input_Raw!$CQ:$CQ),"")</f>
        <v/>
      </c>
      <c r="N308" s="110" t="str">
        <f>IFERROR(_xlfn.XLOOKUP($A308,Input_Raw!$A:$A,Input_Raw!$CR:$CR),"")</f>
        <v/>
      </c>
      <c r="O308" s="141" t="str">
        <f t="shared" si="30"/>
        <v/>
      </c>
      <c r="P308" s="141" t="str">
        <f>IFERROR(1-SUMIF(WTG_BD!$F:$F,$A308,WTG_BD!$AA:$AA)/($AA308+SUMIF(WTG_BD!$F:$F,$A308,WTG_BD!$AA:$AA)),"")</f>
        <v/>
      </c>
      <c r="Q308" s="141" t="str">
        <f>IFERROR(1-SUMIF(IGA_BD!$F:$F,$A308,IGA_BD!$W:$W)/($AA308+SUMIF(IGA_BD!$F:$F,$A308,IGA_BD!$W:$W)),"")</f>
        <v/>
      </c>
      <c r="R308" s="141" t="str">
        <f>IFERROR(1-SUMIF(Grid_BD!$F:$F,$A308,Grid_BD!$Y:$Y)/($AA308+SUMIF(Grid_BD!$F:$F,$A308,Grid_BD!$Y:$Y)),"")</f>
        <v/>
      </c>
      <c r="S308" s="108"/>
      <c r="T308" s="140"/>
      <c r="U308" s="141"/>
      <c r="V308" s="108"/>
      <c r="W308" s="142" t="str">
        <f t="shared" si="31"/>
        <v/>
      </c>
      <c r="X308" s="108" t="str">
        <f>IFERROR(_xlfn.XLOOKUP($A308,Input_Raw!$A:$A,Input_Raw!$CP:$CP)*1000,"")</f>
        <v/>
      </c>
      <c r="Y308" s="108" t="str">
        <f>IFERROR(_xlfn.XLOOKUP($A308,Input_Raw!$A:$A,Input_Raw!DJ:DJ)*1000,"")</f>
        <v/>
      </c>
      <c r="Z308" s="108" t="str">
        <f>IFERROR(_xlfn.XLOOKUP($A308,Input_Raw!$A:$A,Input_Raw!DK:DK)*1000,"")</f>
        <v/>
      </c>
      <c r="AA308" s="138" t="str">
        <f t="shared" si="32"/>
        <v/>
      </c>
      <c r="AB308" s="108" t="str">
        <f>IFERROR(_xlfn.XLOOKUP($A308,Input_Raw!$A:$A,Input_Raw!$DR:$DR),"")</f>
        <v/>
      </c>
      <c r="AC308" s="143">
        <f>IFERROR(_xlfn.XLOOKUP($D308,'Modelling New'!$D:$D,'Modelling New'!$J:$J),"")</f>
        <v>3.75</v>
      </c>
      <c r="AD308" s="138">
        <f>IFERROR(_xlfn.XLOOKUP($D308,'Modelling New'!$D:$D,'Modelling New'!$T:$T)*1000,"")</f>
        <v>106720.09220527501</v>
      </c>
      <c r="AE308" s="142"/>
      <c r="AF308" s="142">
        <f>IFERROR(_xlfn.XLOOKUP($D308,'Modelling New'!$D:$D,'Modelling New'!$W:$W),"")</f>
        <v>6.3162933360129611E-2</v>
      </c>
      <c r="AG308" s="142">
        <f>IFERROR(_xlfn.XLOOKUP($D308,'Modelling New'!$D:$D,'Modelling New'!$AE:$AE),"")</f>
        <v>0.96029999999999993</v>
      </c>
      <c r="AH308" s="142">
        <f>IFERROR(_xlfn.XLOOKUP($D308,'Modelling New'!$D:$D,'Modelling New'!$AF:$AF),"")</f>
        <v>0.995</v>
      </c>
      <c r="AI308" s="109" t="str">
        <f>IFERROR(_xlfn.XLOOKUP($A308,Input_Raw!$A:$A,Input_Raw!$DP:$DP),"")</f>
        <v/>
      </c>
      <c r="AJ308" s="108"/>
      <c r="AK308" s="108"/>
      <c r="AL308" s="108"/>
      <c r="AM308" s="108"/>
      <c r="AN308" s="132" t="str">
        <f>IFERROR(_xlfn.XLOOKUP($A308,Input_Raw!$A:$A,Input_Raw!$DL:$DL),"")</f>
        <v/>
      </c>
      <c r="AO308" s="142" t="str">
        <f>IFERROR((_xlfn.XLOOKUP($A308,'WTG Reactive Power'!$A:$A,'WTG Reactive Power'!$AW:$AW))/X308,"")</f>
        <v/>
      </c>
      <c r="AP308" s="142">
        <f>IFERROR(_xlfn.XLOOKUP($D308,'Modelling New'!$D:$D,'Modelling New'!$AK:$AK),"")</f>
        <v>0.05</v>
      </c>
      <c r="AQ308" s="142">
        <f>IFERROR(_xlfn.XLOOKUP($D308,'Modelling New'!$D:$D,'Modelling New'!$AL:$AL),"")</f>
        <v>0.05</v>
      </c>
      <c r="AR308" s="198">
        <f>IFERROR(_xlfn.XLOOKUP($D308,'Modelling New'!$D:$D,'Modelling New'!$N:$N),"")</f>
        <v>70.400000000000006</v>
      </c>
      <c r="AS308" s="198"/>
    </row>
    <row r="309" spans="1:45">
      <c r="A309" s="137">
        <f t="shared" si="28"/>
        <v>46052</v>
      </c>
      <c r="B309" s="138">
        <f>YEAR(Daily_KPI[[#This Row],[Date]])+IF(MONTH(Daily_KPI[[#This Row],[Date]])&gt;=4,1,0)</f>
        <v>2026</v>
      </c>
      <c r="C309" s="108">
        <f>YEAR(Daily_KPI[[#This Row],[Date]])</f>
        <v>2026</v>
      </c>
      <c r="D309" s="139">
        <f>Daily_KPI[[#This Row],[Date]]-DAY(Daily_KPI[[#This Row],[Date]])+1</f>
        <v>46023</v>
      </c>
      <c r="E309" s="108">
        <f t="shared" si="29"/>
        <v>31</v>
      </c>
      <c r="F309" s="109"/>
      <c r="G309" s="110"/>
      <c r="H309" s="110"/>
      <c r="I309" s="110"/>
      <c r="J309" s="110"/>
      <c r="K309" s="111"/>
      <c r="L309" s="110"/>
      <c r="M309" s="110" t="str">
        <f>IFERROR(_xlfn.XLOOKUP($A309,Input_Raw!$A:$A,Input_Raw!$CQ:$CQ),"")</f>
        <v/>
      </c>
      <c r="N309" s="110" t="str">
        <f>IFERROR(_xlfn.XLOOKUP($A309,Input_Raw!$A:$A,Input_Raw!$CR:$CR),"")</f>
        <v/>
      </c>
      <c r="O309" s="141" t="str">
        <f t="shared" si="30"/>
        <v/>
      </c>
      <c r="P309" s="141" t="str">
        <f>IFERROR(1-SUMIF(WTG_BD!$F:$F,$A309,WTG_BD!$AA:$AA)/($AA309+SUMIF(WTG_BD!$F:$F,$A309,WTG_BD!$AA:$AA)),"")</f>
        <v/>
      </c>
      <c r="Q309" s="141" t="str">
        <f>IFERROR(1-SUMIF(IGA_BD!$F:$F,$A309,IGA_BD!$W:$W)/($AA309+SUMIF(IGA_BD!$F:$F,$A309,IGA_BD!$W:$W)),"")</f>
        <v/>
      </c>
      <c r="R309" s="141" t="str">
        <f>IFERROR(1-SUMIF(Grid_BD!$F:$F,$A309,Grid_BD!$Y:$Y)/($AA309+SUMIF(Grid_BD!$F:$F,$A309,Grid_BD!$Y:$Y)),"")</f>
        <v/>
      </c>
      <c r="S309" s="108"/>
      <c r="T309" s="140"/>
      <c r="U309" s="141"/>
      <c r="V309" s="108"/>
      <c r="W309" s="142" t="str">
        <f t="shared" si="31"/>
        <v/>
      </c>
      <c r="X309" s="108" t="str">
        <f>IFERROR(_xlfn.XLOOKUP($A309,Input_Raw!$A:$A,Input_Raw!$CP:$CP)*1000,"")</f>
        <v/>
      </c>
      <c r="Y309" s="108" t="str">
        <f>IFERROR(_xlfn.XLOOKUP($A309,Input_Raw!$A:$A,Input_Raw!DJ:DJ)*1000,"")</f>
        <v/>
      </c>
      <c r="Z309" s="108" t="str">
        <f>IFERROR(_xlfn.XLOOKUP($A309,Input_Raw!$A:$A,Input_Raw!DK:DK)*1000,"")</f>
        <v/>
      </c>
      <c r="AA309" s="138" t="str">
        <f t="shared" si="32"/>
        <v/>
      </c>
      <c r="AB309" s="108" t="str">
        <f>IFERROR(_xlfn.XLOOKUP($A309,Input_Raw!$A:$A,Input_Raw!$DR:$DR),"")</f>
        <v/>
      </c>
      <c r="AC309" s="143">
        <f>IFERROR(_xlfn.XLOOKUP($D309,'Modelling New'!$D:$D,'Modelling New'!$J:$J),"")</f>
        <v>3.75</v>
      </c>
      <c r="AD309" s="138">
        <f>IFERROR(_xlfn.XLOOKUP($D309,'Modelling New'!$D:$D,'Modelling New'!$T:$T)*1000,"")</f>
        <v>106720.09220527501</v>
      </c>
      <c r="AE309" s="142"/>
      <c r="AF309" s="142">
        <f>IFERROR(_xlfn.XLOOKUP($D309,'Modelling New'!$D:$D,'Modelling New'!$W:$W),"")</f>
        <v>6.3162933360129611E-2</v>
      </c>
      <c r="AG309" s="142">
        <f>IFERROR(_xlfn.XLOOKUP($D309,'Modelling New'!$D:$D,'Modelling New'!$AE:$AE),"")</f>
        <v>0.96029999999999993</v>
      </c>
      <c r="AH309" s="142">
        <f>IFERROR(_xlfn.XLOOKUP($D309,'Modelling New'!$D:$D,'Modelling New'!$AF:$AF),"")</f>
        <v>0.995</v>
      </c>
      <c r="AI309" s="109" t="str">
        <f>IFERROR(_xlfn.XLOOKUP($A309,Input_Raw!$A:$A,Input_Raw!$DP:$DP),"")</f>
        <v/>
      </c>
      <c r="AJ309" s="108"/>
      <c r="AK309" s="108"/>
      <c r="AL309" s="108"/>
      <c r="AM309" s="108"/>
      <c r="AN309" s="132" t="str">
        <f>IFERROR(_xlfn.XLOOKUP($A309,Input_Raw!$A:$A,Input_Raw!$DL:$DL),"")</f>
        <v/>
      </c>
      <c r="AO309" s="142" t="str">
        <f>IFERROR((_xlfn.XLOOKUP($A309,'WTG Reactive Power'!$A:$A,'WTG Reactive Power'!$AW:$AW))/X309,"")</f>
        <v/>
      </c>
      <c r="AP309" s="142">
        <f>IFERROR(_xlfn.XLOOKUP($D309,'Modelling New'!$D:$D,'Modelling New'!$AK:$AK),"")</f>
        <v>0.05</v>
      </c>
      <c r="AQ309" s="142">
        <f>IFERROR(_xlfn.XLOOKUP($D309,'Modelling New'!$D:$D,'Modelling New'!$AL:$AL),"")</f>
        <v>0.05</v>
      </c>
      <c r="AR309" s="198">
        <f>IFERROR(_xlfn.XLOOKUP($D309,'Modelling New'!$D:$D,'Modelling New'!$N:$N),"")</f>
        <v>70.400000000000006</v>
      </c>
      <c r="AS309" s="198"/>
    </row>
    <row r="310" spans="1:45">
      <c r="A310" s="137">
        <f t="shared" si="28"/>
        <v>46053</v>
      </c>
      <c r="B310" s="138">
        <f>YEAR(Daily_KPI[[#This Row],[Date]])+IF(MONTH(Daily_KPI[[#This Row],[Date]])&gt;=4,1,0)</f>
        <v>2026</v>
      </c>
      <c r="C310" s="108">
        <f>YEAR(Daily_KPI[[#This Row],[Date]])</f>
        <v>2026</v>
      </c>
      <c r="D310" s="139">
        <f>Daily_KPI[[#This Row],[Date]]-DAY(Daily_KPI[[#This Row],[Date]])+1</f>
        <v>46023</v>
      </c>
      <c r="E310" s="108">
        <f t="shared" si="29"/>
        <v>31</v>
      </c>
      <c r="F310" s="109"/>
      <c r="G310" s="110"/>
      <c r="H310" s="110"/>
      <c r="I310" s="110"/>
      <c r="J310" s="110"/>
      <c r="K310" s="111"/>
      <c r="L310" s="110"/>
      <c r="M310" s="110" t="str">
        <f>IFERROR(_xlfn.XLOOKUP($A310,Input_Raw!$A:$A,Input_Raw!$CQ:$CQ),"")</f>
        <v/>
      </c>
      <c r="N310" s="110" t="str">
        <f>IFERROR(_xlfn.XLOOKUP($A310,Input_Raw!$A:$A,Input_Raw!$CR:$CR),"")</f>
        <v/>
      </c>
      <c r="O310" s="141" t="str">
        <f t="shared" si="30"/>
        <v/>
      </c>
      <c r="P310" s="141" t="str">
        <f>IFERROR(1-SUMIF(WTG_BD!$F:$F,$A310,WTG_BD!$AA:$AA)/($AA310+SUMIF(WTG_BD!$F:$F,$A310,WTG_BD!$AA:$AA)),"")</f>
        <v/>
      </c>
      <c r="Q310" s="141" t="str">
        <f>IFERROR(1-SUMIF(IGA_BD!$F:$F,$A310,IGA_BD!$W:$W)/($AA310+SUMIF(IGA_BD!$F:$F,$A310,IGA_BD!$W:$W)),"")</f>
        <v/>
      </c>
      <c r="R310" s="141" t="str">
        <f>IFERROR(1-SUMIF(Grid_BD!$F:$F,$A310,Grid_BD!$Y:$Y)/($AA310+SUMIF(Grid_BD!$F:$F,$A310,Grid_BD!$Y:$Y)),"")</f>
        <v/>
      </c>
      <c r="S310" s="108"/>
      <c r="T310" s="140"/>
      <c r="U310" s="141"/>
      <c r="V310" s="108"/>
      <c r="W310" s="142" t="str">
        <f t="shared" si="31"/>
        <v/>
      </c>
      <c r="X310" s="108" t="str">
        <f>IFERROR(_xlfn.XLOOKUP($A310,Input_Raw!$A:$A,Input_Raw!$CP:$CP)*1000,"")</f>
        <v/>
      </c>
      <c r="Y310" s="108" t="str">
        <f>IFERROR(_xlfn.XLOOKUP($A310,Input_Raw!$A:$A,Input_Raw!DJ:DJ)*1000,"")</f>
        <v/>
      </c>
      <c r="Z310" s="108" t="str">
        <f>IFERROR(_xlfn.XLOOKUP($A310,Input_Raw!$A:$A,Input_Raw!DK:DK)*1000,"")</f>
        <v/>
      </c>
      <c r="AA310" s="138" t="str">
        <f t="shared" si="32"/>
        <v/>
      </c>
      <c r="AB310" s="108" t="str">
        <f>IFERROR(_xlfn.XLOOKUP($A310,Input_Raw!$A:$A,Input_Raw!$DR:$DR),"")</f>
        <v/>
      </c>
      <c r="AC310" s="143">
        <f>IFERROR(_xlfn.XLOOKUP($D310,'Modelling New'!$D:$D,'Modelling New'!$J:$J),"")</f>
        <v>3.75</v>
      </c>
      <c r="AD310" s="138">
        <f>IFERROR(_xlfn.XLOOKUP($D310,'Modelling New'!$D:$D,'Modelling New'!$T:$T)*1000,"")</f>
        <v>106720.09220527501</v>
      </c>
      <c r="AE310" s="142"/>
      <c r="AF310" s="142">
        <f>IFERROR(_xlfn.XLOOKUP($D310,'Modelling New'!$D:$D,'Modelling New'!$W:$W),"")</f>
        <v>6.3162933360129611E-2</v>
      </c>
      <c r="AG310" s="142">
        <f>IFERROR(_xlfn.XLOOKUP($D310,'Modelling New'!$D:$D,'Modelling New'!$AE:$AE),"")</f>
        <v>0.96029999999999993</v>
      </c>
      <c r="AH310" s="142">
        <f>IFERROR(_xlfn.XLOOKUP($D310,'Modelling New'!$D:$D,'Modelling New'!$AF:$AF),"")</f>
        <v>0.995</v>
      </c>
      <c r="AI310" s="109" t="str">
        <f>IFERROR(_xlfn.XLOOKUP($A310,Input_Raw!$A:$A,Input_Raw!$DP:$DP),"")</f>
        <v/>
      </c>
      <c r="AJ310" s="108"/>
      <c r="AK310" s="108"/>
      <c r="AL310" s="108"/>
      <c r="AM310" s="108"/>
      <c r="AN310" s="132" t="str">
        <f>IFERROR(_xlfn.XLOOKUP($A310,Input_Raw!$A:$A,Input_Raw!$DL:$DL),"")</f>
        <v/>
      </c>
      <c r="AO310" s="142" t="str">
        <f>IFERROR((_xlfn.XLOOKUP($A310,'WTG Reactive Power'!$A:$A,'WTG Reactive Power'!$AW:$AW))/X310,"")</f>
        <v/>
      </c>
      <c r="AP310" s="142">
        <f>IFERROR(_xlfn.XLOOKUP($D310,'Modelling New'!$D:$D,'Modelling New'!$AK:$AK),"")</f>
        <v>0.05</v>
      </c>
      <c r="AQ310" s="142">
        <f>IFERROR(_xlfn.XLOOKUP($D310,'Modelling New'!$D:$D,'Modelling New'!$AL:$AL),"")</f>
        <v>0.05</v>
      </c>
      <c r="AR310" s="198">
        <f>IFERROR(_xlfn.XLOOKUP($D310,'Modelling New'!$D:$D,'Modelling New'!$N:$N),"")</f>
        <v>70.400000000000006</v>
      </c>
      <c r="AS310" s="198"/>
    </row>
    <row r="311" spans="1:45">
      <c r="A311" s="137">
        <f t="shared" si="28"/>
        <v>46054</v>
      </c>
      <c r="B311" s="138">
        <f>YEAR(Daily_KPI[[#This Row],[Date]])+IF(MONTH(Daily_KPI[[#This Row],[Date]])&gt;=4,1,0)</f>
        <v>2026</v>
      </c>
      <c r="C311" s="108">
        <f>YEAR(Daily_KPI[[#This Row],[Date]])</f>
        <v>2026</v>
      </c>
      <c r="D311" s="139">
        <f>Daily_KPI[[#This Row],[Date]]-DAY(Daily_KPI[[#This Row],[Date]])+1</f>
        <v>46054</v>
      </c>
      <c r="E311" s="108">
        <f t="shared" si="29"/>
        <v>28</v>
      </c>
      <c r="F311" s="109"/>
      <c r="G311" s="110"/>
      <c r="H311" s="110"/>
      <c r="I311" s="110"/>
      <c r="J311" s="110"/>
      <c r="K311" s="111"/>
      <c r="L311" s="110"/>
      <c r="M311" s="110" t="str">
        <f>IFERROR(_xlfn.XLOOKUP($A311,Input_Raw!$A:$A,Input_Raw!$CQ:$CQ),"")</f>
        <v/>
      </c>
      <c r="N311" s="110" t="str">
        <f>IFERROR(_xlfn.XLOOKUP($A311,Input_Raw!$A:$A,Input_Raw!$CR:$CR),"")</f>
        <v/>
      </c>
      <c r="O311" s="141" t="str">
        <f t="shared" si="30"/>
        <v/>
      </c>
      <c r="P311" s="141" t="str">
        <f>IFERROR(1-SUMIF(WTG_BD!$F:$F,$A311,WTG_BD!$AA:$AA)/($AA311+SUMIF(WTG_BD!$F:$F,$A311,WTG_BD!$AA:$AA)),"")</f>
        <v/>
      </c>
      <c r="Q311" s="141" t="str">
        <f>IFERROR(1-SUMIF(IGA_BD!$F:$F,$A311,IGA_BD!$W:$W)/($AA311+SUMIF(IGA_BD!$F:$F,$A311,IGA_BD!$W:$W)),"")</f>
        <v/>
      </c>
      <c r="R311" s="141" t="str">
        <f>IFERROR(1-SUMIF(Grid_BD!$F:$F,$A311,Grid_BD!$Y:$Y)/($AA311+SUMIF(Grid_BD!$F:$F,$A311,Grid_BD!$Y:$Y)),"")</f>
        <v/>
      </c>
      <c r="S311" s="108"/>
      <c r="T311" s="140"/>
      <c r="U311" s="141"/>
      <c r="V311" s="108"/>
      <c r="W311" s="142" t="str">
        <f t="shared" si="31"/>
        <v/>
      </c>
      <c r="X311" s="108" t="str">
        <f>IFERROR(_xlfn.XLOOKUP($A311,Input_Raw!$A:$A,Input_Raw!$CP:$CP)*1000,"")</f>
        <v/>
      </c>
      <c r="Y311" s="108" t="str">
        <f>IFERROR(_xlfn.XLOOKUP($A311,Input_Raw!$A:$A,Input_Raw!DJ:DJ)*1000,"")</f>
        <v/>
      </c>
      <c r="Z311" s="108" t="str">
        <f>IFERROR(_xlfn.XLOOKUP($A311,Input_Raw!$A:$A,Input_Raw!DK:DK)*1000,"")</f>
        <v/>
      </c>
      <c r="AA311" s="138" t="str">
        <f t="shared" si="32"/>
        <v/>
      </c>
      <c r="AB311" s="108" t="str">
        <f>IFERROR(_xlfn.XLOOKUP($A311,Input_Raw!$A:$A,Input_Raw!$DR:$DR),"")</f>
        <v/>
      </c>
      <c r="AC311" s="143">
        <f>IFERROR(_xlfn.XLOOKUP($D311,'Modelling New'!$D:$D,'Modelling New'!$J:$J),"")</f>
        <v>3.9249999999999998</v>
      </c>
      <c r="AD311" s="138">
        <f>IFERROR(_xlfn.XLOOKUP($D311,'Modelling New'!$D:$D,'Modelling New'!$T:$T)*1000,"")</f>
        <v>118578.57831264066</v>
      </c>
      <c r="AE311" s="142"/>
      <c r="AF311" s="142">
        <f>IFERROR(_xlfn.XLOOKUP($D311,'Modelling New'!$D:$D,'Modelling New'!$W:$W),"")</f>
        <v>7.0181450232386741E-2</v>
      </c>
      <c r="AG311" s="142">
        <f>IFERROR(_xlfn.XLOOKUP($D311,'Modelling New'!$D:$D,'Modelling New'!$AE:$AE),"")</f>
        <v>0.96029999999999993</v>
      </c>
      <c r="AH311" s="142">
        <f>IFERROR(_xlfn.XLOOKUP($D311,'Modelling New'!$D:$D,'Modelling New'!$AF:$AF),"")</f>
        <v>0.995</v>
      </c>
      <c r="AI311" s="109" t="str">
        <f>IFERROR(_xlfn.XLOOKUP($A311,Input_Raw!$A:$A,Input_Raw!$DP:$DP),"")</f>
        <v/>
      </c>
      <c r="AJ311" s="108"/>
      <c r="AK311" s="108"/>
      <c r="AL311" s="108"/>
      <c r="AM311" s="108"/>
      <c r="AN311" s="132" t="str">
        <f>IFERROR(_xlfn.XLOOKUP($A311,Input_Raw!$A:$A,Input_Raw!$DL:$DL),"")</f>
        <v/>
      </c>
      <c r="AO311" s="142" t="str">
        <f>IFERROR((_xlfn.XLOOKUP($A311,'WTG Reactive Power'!$A:$A,'WTG Reactive Power'!$AW:$AW))/X311,"")</f>
        <v/>
      </c>
      <c r="AP311" s="142">
        <f>IFERROR(_xlfn.XLOOKUP($D311,'Modelling New'!$D:$D,'Modelling New'!$AK:$AK),"")</f>
        <v>0.05</v>
      </c>
      <c r="AQ311" s="142">
        <f>IFERROR(_xlfn.XLOOKUP($D311,'Modelling New'!$D:$D,'Modelling New'!$AL:$AL),"")</f>
        <v>0.05</v>
      </c>
      <c r="AR311" s="198">
        <f>IFERROR(_xlfn.XLOOKUP($D311,'Modelling New'!$D:$D,'Modelling New'!$N:$N),"")</f>
        <v>70.400000000000006</v>
      </c>
      <c r="AS311" s="198"/>
    </row>
    <row r="312" spans="1:45">
      <c r="A312" s="137">
        <f t="shared" si="28"/>
        <v>46055</v>
      </c>
      <c r="B312" s="138">
        <f>YEAR(Daily_KPI[[#This Row],[Date]])+IF(MONTH(Daily_KPI[[#This Row],[Date]])&gt;=4,1,0)</f>
        <v>2026</v>
      </c>
      <c r="C312" s="108">
        <f>YEAR(Daily_KPI[[#This Row],[Date]])</f>
        <v>2026</v>
      </c>
      <c r="D312" s="139">
        <f>Daily_KPI[[#This Row],[Date]]-DAY(Daily_KPI[[#This Row],[Date]])+1</f>
        <v>46054</v>
      </c>
      <c r="E312" s="108">
        <f t="shared" ref="E312:E343" si="33">DAY(EOMONTH(A312,0))</f>
        <v>28</v>
      </c>
      <c r="F312" s="109"/>
      <c r="G312" s="110"/>
      <c r="H312" s="110"/>
      <c r="I312" s="110"/>
      <c r="J312" s="110"/>
      <c r="K312" s="111"/>
      <c r="L312" s="110"/>
      <c r="M312" s="110" t="str">
        <f>IFERROR(_xlfn.XLOOKUP($A312,Input_Raw!$A:$A,Input_Raw!$CQ:$CQ),"")</f>
        <v/>
      </c>
      <c r="N312" s="110" t="str">
        <f>IFERROR(_xlfn.XLOOKUP($A312,Input_Raw!$A:$A,Input_Raw!$CR:$CR),"")</f>
        <v/>
      </c>
      <c r="O312" s="141" t="str">
        <f t="shared" ref="O312:O343" si="34">IFERROR(P312*Q312,"")</f>
        <v/>
      </c>
      <c r="P312" s="141" t="str">
        <f>IFERROR(1-SUMIF(WTG_BD!$F:$F,$A312,WTG_BD!$AA:$AA)/($AA312+SUMIF(WTG_BD!$F:$F,$A312,WTG_BD!$AA:$AA)),"")</f>
        <v/>
      </c>
      <c r="Q312" s="141" t="str">
        <f>IFERROR(1-SUMIF(IGA_BD!$F:$F,$A312,IGA_BD!$W:$W)/($AA312+SUMIF(IGA_BD!$F:$F,$A312,IGA_BD!$W:$W)),"")</f>
        <v/>
      </c>
      <c r="R312" s="141" t="str">
        <f>IFERROR(1-SUMIF(Grid_BD!$F:$F,$A312,Grid_BD!$Y:$Y)/($AA312+SUMIF(Grid_BD!$F:$F,$A312,Grid_BD!$Y:$Y)),"")</f>
        <v/>
      </c>
      <c r="S312" s="108"/>
      <c r="T312" s="140"/>
      <c r="U312" s="141"/>
      <c r="V312" s="108"/>
      <c r="W312" s="142" t="str">
        <f t="shared" ref="W312:W343" si="35">IFERROR(X312/(24*AB312*1000),"")</f>
        <v/>
      </c>
      <c r="X312" s="108" t="str">
        <f>IFERROR(_xlfn.XLOOKUP($A312,Input_Raw!$A:$A,Input_Raw!$CP:$CP)*1000,"")</f>
        <v/>
      </c>
      <c r="Y312" s="108" t="str">
        <f>IFERROR(_xlfn.XLOOKUP($A312,Input_Raw!$A:$A,Input_Raw!DJ:DJ)*1000,"")</f>
        <v/>
      </c>
      <c r="Z312" s="108" t="str">
        <f>IFERROR(_xlfn.XLOOKUP($A312,Input_Raw!$A:$A,Input_Raw!DK:DK)*1000,"")</f>
        <v/>
      </c>
      <c r="AA312" s="138" t="str">
        <f t="shared" ref="AA312:AA343" si="36">IFERROR(Y312-Z312,"")</f>
        <v/>
      </c>
      <c r="AB312" s="108" t="str">
        <f>IFERROR(_xlfn.XLOOKUP($A312,Input_Raw!$A:$A,Input_Raw!$DR:$DR),"")</f>
        <v/>
      </c>
      <c r="AC312" s="143">
        <f>IFERROR(_xlfn.XLOOKUP($D312,'Modelling New'!$D:$D,'Modelling New'!$J:$J),"")</f>
        <v>3.9249999999999998</v>
      </c>
      <c r="AD312" s="138">
        <f>IFERROR(_xlfn.XLOOKUP($D312,'Modelling New'!$D:$D,'Modelling New'!$T:$T)*1000,"")</f>
        <v>118578.57831264066</v>
      </c>
      <c r="AE312" s="142"/>
      <c r="AF312" s="142">
        <f>IFERROR(_xlfn.XLOOKUP($D312,'Modelling New'!$D:$D,'Modelling New'!$W:$W),"")</f>
        <v>7.0181450232386741E-2</v>
      </c>
      <c r="AG312" s="142">
        <f>IFERROR(_xlfn.XLOOKUP($D312,'Modelling New'!$D:$D,'Modelling New'!$AE:$AE),"")</f>
        <v>0.96029999999999993</v>
      </c>
      <c r="AH312" s="142">
        <f>IFERROR(_xlfn.XLOOKUP($D312,'Modelling New'!$D:$D,'Modelling New'!$AF:$AF),"")</f>
        <v>0.995</v>
      </c>
      <c r="AI312" s="109" t="str">
        <f>IFERROR(_xlfn.XLOOKUP($A312,Input_Raw!$A:$A,Input_Raw!$DP:$DP),"")</f>
        <v/>
      </c>
      <c r="AJ312" s="108"/>
      <c r="AK312" s="108"/>
      <c r="AL312" s="108"/>
      <c r="AM312" s="108"/>
      <c r="AN312" s="132" t="str">
        <f>IFERROR(_xlfn.XLOOKUP($A312,Input_Raw!$A:$A,Input_Raw!$DL:$DL),"")</f>
        <v/>
      </c>
      <c r="AO312" s="142" t="str">
        <f>IFERROR((_xlfn.XLOOKUP($A312,'WTG Reactive Power'!$A:$A,'WTG Reactive Power'!$AW:$AW))/X312,"")</f>
        <v/>
      </c>
      <c r="AP312" s="142">
        <f>IFERROR(_xlfn.XLOOKUP($D312,'Modelling New'!$D:$D,'Modelling New'!$AK:$AK),"")</f>
        <v>0.05</v>
      </c>
      <c r="AQ312" s="142">
        <f>IFERROR(_xlfn.XLOOKUP($D312,'Modelling New'!$D:$D,'Modelling New'!$AL:$AL),"")</f>
        <v>0.05</v>
      </c>
      <c r="AR312" s="198">
        <f>IFERROR(_xlfn.XLOOKUP($D312,'Modelling New'!$D:$D,'Modelling New'!$N:$N),"")</f>
        <v>70.400000000000006</v>
      </c>
      <c r="AS312" s="198"/>
    </row>
    <row r="313" spans="1:45">
      <c r="A313" s="137">
        <f t="shared" si="28"/>
        <v>46056</v>
      </c>
      <c r="B313" s="138">
        <f>YEAR(Daily_KPI[[#This Row],[Date]])+IF(MONTH(Daily_KPI[[#This Row],[Date]])&gt;=4,1,0)</f>
        <v>2026</v>
      </c>
      <c r="C313" s="108">
        <f>YEAR(Daily_KPI[[#This Row],[Date]])</f>
        <v>2026</v>
      </c>
      <c r="D313" s="139">
        <f>Daily_KPI[[#This Row],[Date]]-DAY(Daily_KPI[[#This Row],[Date]])+1</f>
        <v>46054</v>
      </c>
      <c r="E313" s="108">
        <f t="shared" si="33"/>
        <v>28</v>
      </c>
      <c r="F313" s="109"/>
      <c r="G313" s="110"/>
      <c r="H313" s="110"/>
      <c r="I313" s="110"/>
      <c r="J313" s="110"/>
      <c r="K313" s="111"/>
      <c r="L313" s="110"/>
      <c r="M313" s="110" t="str">
        <f>IFERROR(_xlfn.XLOOKUP($A313,Input_Raw!$A:$A,Input_Raw!$CQ:$CQ),"")</f>
        <v/>
      </c>
      <c r="N313" s="110" t="str">
        <f>IFERROR(_xlfn.XLOOKUP($A313,Input_Raw!$A:$A,Input_Raw!$CR:$CR),"")</f>
        <v/>
      </c>
      <c r="O313" s="141" t="str">
        <f t="shared" si="34"/>
        <v/>
      </c>
      <c r="P313" s="141" t="str">
        <f>IFERROR(1-SUMIF(WTG_BD!$F:$F,$A313,WTG_BD!$AA:$AA)/($AA313+SUMIF(WTG_BD!$F:$F,$A313,WTG_BD!$AA:$AA)),"")</f>
        <v/>
      </c>
      <c r="Q313" s="141" t="str">
        <f>IFERROR(1-SUMIF(IGA_BD!$F:$F,$A313,IGA_BD!$W:$W)/($AA313+SUMIF(IGA_BD!$F:$F,$A313,IGA_BD!$W:$W)),"")</f>
        <v/>
      </c>
      <c r="R313" s="141" t="str">
        <f>IFERROR(1-SUMIF(Grid_BD!$F:$F,$A313,Grid_BD!$Y:$Y)/($AA313+SUMIF(Grid_BD!$F:$F,$A313,Grid_BD!$Y:$Y)),"")</f>
        <v/>
      </c>
      <c r="S313" s="108"/>
      <c r="T313" s="140"/>
      <c r="U313" s="141"/>
      <c r="V313" s="108"/>
      <c r="W313" s="142" t="str">
        <f t="shared" si="35"/>
        <v/>
      </c>
      <c r="X313" s="108" t="str">
        <f>IFERROR(_xlfn.XLOOKUP($A313,Input_Raw!$A:$A,Input_Raw!$CP:$CP)*1000,"")</f>
        <v/>
      </c>
      <c r="Y313" s="108" t="str">
        <f>IFERROR(_xlfn.XLOOKUP($A313,Input_Raw!$A:$A,Input_Raw!DJ:DJ)*1000,"")</f>
        <v/>
      </c>
      <c r="Z313" s="108" t="str">
        <f>IFERROR(_xlfn.XLOOKUP($A313,Input_Raw!$A:$A,Input_Raw!DK:DK)*1000,"")</f>
        <v/>
      </c>
      <c r="AA313" s="138" t="str">
        <f t="shared" si="36"/>
        <v/>
      </c>
      <c r="AB313" s="108" t="str">
        <f>IFERROR(_xlfn.XLOOKUP($A313,Input_Raw!$A:$A,Input_Raw!$DR:$DR),"")</f>
        <v/>
      </c>
      <c r="AC313" s="143">
        <f>IFERROR(_xlfn.XLOOKUP($D313,'Modelling New'!$D:$D,'Modelling New'!$J:$J),"")</f>
        <v>3.9249999999999998</v>
      </c>
      <c r="AD313" s="138">
        <f>IFERROR(_xlfn.XLOOKUP($D313,'Modelling New'!$D:$D,'Modelling New'!$T:$T)*1000,"")</f>
        <v>118578.57831264066</v>
      </c>
      <c r="AE313" s="142"/>
      <c r="AF313" s="142">
        <f>IFERROR(_xlfn.XLOOKUP($D313,'Modelling New'!$D:$D,'Modelling New'!$W:$W),"")</f>
        <v>7.0181450232386741E-2</v>
      </c>
      <c r="AG313" s="142">
        <f>IFERROR(_xlfn.XLOOKUP($D313,'Modelling New'!$D:$D,'Modelling New'!$AE:$AE),"")</f>
        <v>0.96029999999999993</v>
      </c>
      <c r="AH313" s="142">
        <f>IFERROR(_xlfn.XLOOKUP($D313,'Modelling New'!$D:$D,'Modelling New'!$AF:$AF),"")</f>
        <v>0.995</v>
      </c>
      <c r="AI313" s="109" t="str">
        <f>IFERROR(_xlfn.XLOOKUP($A313,Input_Raw!$A:$A,Input_Raw!$DP:$DP),"")</f>
        <v/>
      </c>
      <c r="AJ313" s="108"/>
      <c r="AK313" s="108"/>
      <c r="AL313" s="108"/>
      <c r="AM313" s="108"/>
      <c r="AN313" s="132" t="str">
        <f>IFERROR(_xlfn.XLOOKUP($A313,Input_Raw!$A:$A,Input_Raw!$DL:$DL),"")</f>
        <v/>
      </c>
      <c r="AO313" s="142" t="str">
        <f>IFERROR((_xlfn.XLOOKUP($A313,'WTG Reactive Power'!$A:$A,'WTG Reactive Power'!$AW:$AW))/X313,"")</f>
        <v/>
      </c>
      <c r="AP313" s="142">
        <f>IFERROR(_xlfn.XLOOKUP($D313,'Modelling New'!$D:$D,'Modelling New'!$AK:$AK),"")</f>
        <v>0.05</v>
      </c>
      <c r="AQ313" s="142">
        <f>IFERROR(_xlfn.XLOOKUP($D313,'Modelling New'!$D:$D,'Modelling New'!$AL:$AL),"")</f>
        <v>0.05</v>
      </c>
      <c r="AR313" s="198">
        <f>IFERROR(_xlfn.XLOOKUP($D313,'Modelling New'!$D:$D,'Modelling New'!$N:$N),"")</f>
        <v>70.400000000000006</v>
      </c>
      <c r="AS313" s="198"/>
    </row>
    <row r="314" spans="1:45">
      <c r="A314" s="137">
        <f t="shared" si="28"/>
        <v>46057</v>
      </c>
      <c r="B314" s="138">
        <f>YEAR(Daily_KPI[[#This Row],[Date]])+IF(MONTH(Daily_KPI[[#This Row],[Date]])&gt;=4,1,0)</f>
        <v>2026</v>
      </c>
      <c r="C314" s="108">
        <f>YEAR(Daily_KPI[[#This Row],[Date]])</f>
        <v>2026</v>
      </c>
      <c r="D314" s="139">
        <f>Daily_KPI[[#This Row],[Date]]-DAY(Daily_KPI[[#This Row],[Date]])+1</f>
        <v>46054</v>
      </c>
      <c r="E314" s="108">
        <f t="shared" si="33"/>
        <v>28</v>
      </c>
      <c r="F314" s="109"/>
      <c r="G314" s="110"/>
      <c r="H314" s="110"/>
      <c r="I314" s="110"/>
      <c r="J314" s="110"/>
      <c r="K314" s="111"/>
      <c r="L314" s="110"/>
      <c r="M314" s="110" t="str">
        <f>IFERROR(_xlfn.XLOOKUP($A314,Input_Raw!$A:$A,Input_Raw!$CQ:$CQ),"")</f>
        <v/>
      </c>
      <c r="N314" s="110" t="str">
        <f>IFERROR(_xlfn.XLOOKUP($A314,Input_Raw!$A:$A,Input_Raw!$CR:$CR),"")</f>
        <v/>
      </c>
      <c r="O314" s="141" t="str">
        <f t="shared" si="34"/>
        <v/>
      </c>
      <c r="P314" s="141" t="str">
        <f>IFERROR(1-SUMIF(WTG_BD!$F:$F,$A314,WTG_BD!$AA:$AA)/($AA314+SUMIF(WTG_BD!$F:$F,$A314,WTG_BD!$AA:$AA)),"")</f>
        <v/>
      </c>
      <c r="Q314" s="141" t="str">
        <f>IFERROR(1-SUMIF(IGA_BD!$F:$F,$A314,IGA_BD!$W:$W)/($AA314+SUMIF(IGA_BD!$F:$F,$A314,IGA_BD!$W:$W)),"")</f>
        <v/>
      </c>
      <c r="R314" s="141" t="str">
        <f>IFERROR(1-SUMIF(Grid_BD!$F:$F,$A314,Grid_BD!$Y:$Y)/($AA314+SUMIF(Grid_BD!$F:$F,$A314,Grid_BD!$Y:$Y)),"")</f>
        <v/>
      </c>
      <c r="S314" s="108"/>
      <c r="T314" s="140"/>
      <c r="U314" s="141"/>
      <c r="V314" s="108"/>
      <c r="W314" s="142" t="str">
        <f t="shared" si="35"/>
        <v/>
      </c>
      <c r="X314" s="108" t="str">
        <f>IFERROR(_xlfn.XLOOKUP($A314,Input_Raw!$A:$A,Input_Raw!$CP:$CP)*1000,"")</f>
        <v/>
      </c>
      <c r="Y314" s="108" t="str">
        <f>IFERROR(_xlfn.XLOOKUP($A314,Input_Raw!$A:$A,Input_Raw!DJ:DJ)*1000,"")</f>
        <v/>
      </c>
      <c r="Z314" s="108" t="str">
        <f>IFERROR(_xlfn.XLOOKUP($A314,Input_Raw!$A:$A,Input_Raw!DK:DK)*1000,"")</f>
        <v/>
      </c>
      <c r="AA314" s="138" t="str">
        <f t="shared" si="36"/>
        <v/>
      </c>
      <c r="AB314" s="108" t="str">
        <f>IFERROR(_xlfn.XLOOKUP($A314,Input_Raw!$A:$A,Input_Raw!$DR:$DR),"")</f>
        <v/>
      </c>
      <c r="AC314" s="143">
        <f>IFERROR(_xlfn.XLOOKUP($D314,'Modelling New'!$D:$D,'Modelling New'!$J:$J),"")</f>
        <v>3.9249999999999998</v>
      </c>
      <c r="AD314" s="138">
        <f>IFERROR(_xlfn.XLOOKUP($D314,'Modelling New'!$D:$D,'Modelling New'!$T:$T)*1000,"")</f>
        <v>118578.57831264066</v>
      </c>
      <c r="AE314" s="142"/>
      <c r="AF314" s="142">
        <f>IFERROR(_xlfn.XLOOKUP($D314,'Modelling New'!$D:$D,'Modelling New'!$W:$W),"")</f>
        <v>7.0181450232386741E-2</v>
      </c>
      <c r="AG314" s="142">
        <f>IFERROR(_xlfn.XLOOKUP($D314,'Modelling New'!$D:$D,'Modelling New'!$AE:$AE),"")</f>
        <v>0.96029999999999993</v>
      </c>
      <c r="AH314" s="142">
        <f>IFERROR(_xlfn.XLOOKUP($D314,'Modelling New'!$D:$D,'Modelling New'!$AF:$AF),"")</f>
        <v>0.995</v>
      </c>
      <c r="AI314" s="109" t="str">
        <f>IFERROR(_xlfn.XLOOKUP($A314,Input_Raw!$A:$A,Input_Raw!$DP:$DP),"")</f>
        <v/>
      </c>
      <c r="AJ314" s="108"/>
      <c r="AK314" s="108"/>
      <c r="AL314" s="108"/>
      <c r="AM314" s="108"/>
      <c r="AN314" s="132" t="str">
        <f>IFERROR(_xlfn.XLOOKUP($A314,Input_Raw!$A:$A,Input_Raw!$DL:$DL),"")</f>
        <v/>
      </c>
      <c r="AO314" s="142" t="str">
        <f>IFERROR((_xlfn.XLOOKUP($A314,'WTG Reactive Power'!$A:$A,'WTG Reactive Power'!$AW:$AW))/X314,"")</f>
        <v/>
      </c>
      <c r="AP314" s="142">
        <f>IFERROR(_xlfn.XLOOKUP($D314,'Modelling New'!$D:$D,'Modelling New'!$AK:$AK),"")</f>
        <v>0.05</v>
      </c>
      <c r="AQ314" s="142">
        <f>IFERROR(_xlfn.XLOOKUP($D314,'Modelling New'!$D:$D,'Modelling New'!$AL:$AL),"")</f>
        <v>0.05</v>
      </c>
      <c r="AR314" s="198">
        <f>IFERROR(_xlfn.XLOOKUP($D314,'Modelling New'!$D:$D,'Modelling New'!$N:$N),"")</f>
        <v>70.400000000000006</v>
      </c>
      <c r="AS314" s="198"/>
    </row>
    <row r="315" spans="1:45">
      <c r="A315" s="137">
        <f t="shared" si="28"/>
        <v>46058</v>
      </c>
      <c r="B315" s="138">
        <f>YEAR(Daily_KPI[[#This Row],[Date]])+IF(MONTH(Daily_KPI[[#This Row],[Date]])&gt;=4,1,0)</f>
        <v>2026</v>
      </c>
      <c r="C315" s="108">
        <f>YEAR(Daily_KPI[[#This Row],[Date]])</f>
        <v>2026</v>
      </c>
      <c r="D315" s="139">
        <f>Daily_KPI[[#This Row],[Date]]-DAY(Daily_KPI[[#This Row],[Date]])+1</f>
        <v>46054</v>
      </c>
      <c r="E315" s="108">
        <f t="shared" si="33"/>
        <v>28</v>
      </c>
      <c r="F315" s="109"/>
      <c r="G315" s="110"/>
      <c r="H315" s="110"/>
      <c r="I315" s="110"/>
      <c r="J315" s="110"/>
      <c r="K315" s="111"/>
      <c r="L315" s="110"/>
      <c r="M315" s="110" t="str">
        <f>IFERROR(_xlfn.XLOOKUP($A315,Input_Raw!$A:$A,Input_Raw!$CQ:$CQ),"")</f>
        <v/>
      </c>
      <c r="N315" s="110" t="str">
        <f>IFERROR(_xlfn.XLOOKUP($A315,Input_Raw!$A:$A,Input_Raw!$CR:$CR),"")</f>
        <v/>
      </c>
      <c r="O315" s="141" t="str">
        <f t="shared" si="34"/>
        <v/>
      </c>
      <c r="P315" s="141" t="str">
        <f>IFERROR(1-SUMIF(WTG_BD!$F:$F,$A315,WTG_BD!$AA:$AA)/($AA315+SUMIF(WTG_BD!$F:$F,$A315,WTG_BD!$AA:$AA)),"")</f>
        <v/>
      </c>
      <c r="Q315" s="141" t="str">
        <f>IFERROR(1-SUMIF(IGA_BD!$F:$F,$A315,IGA_BD!$W:$W)/($AA315+SUMIF(IGA_BD!$F:$F,$A315,IGA_BD!$W:$W)),"")</f>
        <v/>
      </c>
      <c r="R315" s="141" t="str">
        <f>IFERROR(1-SUMIF(Grid_BD!$F:$F,$A315,Grid_BD!$Y:$Y)/($AA315+SUMIF(Grid_BD!$F:$F,$A315,Grid_BD!$Y:$Y)),"")</f>
        <v/>
      </c>
      <c r="S315" s="108"/>
      <c r="T315" s="140"/>
      <c r="U315" s="141"/>
      <c r="V315" s="108"/>
      <c r="W315" s="142" t="str">
        <f t="shared" si="35"/>
        <v/>
      </c>
      <c r="X315" s="108" t="str">
        <f>IFERROR(_xlfn.XLOOKUP($A315,Input_Raw!$A:$A,Input_Raw!$CP:$CP)*1000,"")</f>
        <v/>
      </c>
      <c r="Y315" s="108" t="str">
        <f>IFERROR(_xlfn.XLOOKUP($A315,Input_Raw!$A:$A,Input_Raw!DJ:DJ)*1000,"")</f>
        <v/>
      </c>
      <c r="Z315" s="108" t="str">
        <f>IFERROR(_xlfn.XLOOKUP($A315,Input_Raw!$A:$A,Input_Raw!DK:DK)*1000,"")</f>
        <v/>
      </c>
      <c r="AA315" s="138" t="str">
        <f t="shared" si="36"/>
        <v/>
      </c>
      <c r="AB315" s="108" t="str">
        <f>IFERROR(_xlfn.XLOOKUP($A315,Input_Raw!$A:$A,Input_Raw!$DR:$DR),"")</f>
        <v/>
      </c>
      <c r="AC315" s="143">
        <f>IFERROR(_xlfn.XLOOKUP($D315,'Modelling New'!$D:$D,'Modelling New'!$J:$J),"")</f>
        <v>3.9249999999999998</v>
      </c>
      <c r="AD315" s="138">
        <f>IFERROR(_xlfn.XLOOKUP($D315,'Modelling New'!$D:$D,'Modelling New'!$T:$T)*1000,"")</f>
        <v>118578.57831264066</v>
      </c>
      <c r="AE315" s="142"/>
      <c r="AF315" s="142">
        <f>IFERROR(_xlfn.XLOOKUP($D315,'Modelling New'!$D:$D,'Modelling New'!$W:$W),"")</f>
        <v>7.0181450232386741E-2</v>
      </c>
      <c r="AG315" s="142">
        <f>IFERROR(_xlfn.XLOOKUP($D315,'Modelling New'!$D:$D,'Modelling New'!$AE:$AE),"")</f>
        <v>0.96029999999999993</v>
      </c>
      <c r="AH315" s="142">
        <f>IFERROR(_xlfn.XLOOKUP($D315,'Modelling New'!$D:$D,'Modelling New'!$AF:$AF),"")</f>
        <v>0.995</v>
      </c>
      <c r="AI315" s="109" t="str">
        <f>IFERROR(_xlfn.XLOOKUP($A315,Input_Raw!$A:$A,Input_Raw!$DP:$DP),"")</f>
        <v/>
      </c>
      <c r="AJ315" s="108"/>
      <c r="AK315" s="108"/>
      <c r="AL315" s="108"/>
      <c r="AM315" s="108"/>
      <c r="AN315" s="132" t="str">
        <f>IFERROR(_xlfn.XLOOKUP($A315,Input_Raw!$A:$A,Input_Raw!$DL:$DL),"")</f>
        <v/>
      </c>
      <c r="AO315" s="142" t="str">
        <f>IFERROR((_xlfn.XLOOKUP($A315,'WTG Reactive Power'!$A:$A,'WTG Reactive Power'!$AW:$AW))/X315,"")</f>
        <v/>
      </c>
      <c r="AP315" s="142">
        <f>IFERROR(_xlfn.XLOOKUP($D315,'Modelling New'!$D:$D,'Modelling New'!$AK:$AK),"")</f>
        <v>0.05</v>
      </c>
      <c r="AQ315" s="142">
        <f>IFERROR(_xlfn.XLOOKUP($D315,'Modelling New'!$D:$D,'Modelling New'!$AL:$AL),"")</f>
        <v>0.05</v>
      </c>
      <c r="AR315" s="198">
        <f>IFERROR(_xlfn.XLOOKUP($D315,'Modelling New'!$D:$D,'Modelling New'!$N:$N),"")</f>
        <v>70.400000000000006</v>
      </c>
      <c r="AS315" s="198"/>
    </row>
    <row r="316" spans="1:45">
      <c r="A316" s="137">
        <f t="shared" si="28"/>
        <v>46059</v>
      </c>
      <c r="B316" s="138">
        <f>YEAR(Daily_KPI[[#This Row],[Date]])+IF(MONTH(Daily_KPI[[#This Row],[Date]])&gt;=4,1,0)</f>
        <v>2026</v>
      </c>
      <c r="C316" s="108">
        <f>YEAR(Daily_KPI[[#This Row],[Date]])</f>
        <v>2026</v>
      </c>
      <c r="D316" s="139">
        <f>Daily_KPI[[#This Row],[Date]]-DAY(Daily_KPI[[#This Row],[Date]])+1</f>
        <v>46054</v>
      </c>
      <c r="E316" s="108">
        <f t="shared" si="33"/>
        <v>28</v>
      </c>
      <c r="F316" s="109"/>
      <c r="G316" s="110"/>
      <c r="H316" s="110"/>
      <c r="I316" s="110"/>
      <c r="J316" s="110"/>
      <c r="K316" s="111"/>
      <c r="L316" s="110"/>
      <c r="M316" s="110" t="str">
        <f>IFERROR(_xlfn.XLOOKUP($A316,Input_Raw!$A:$A,Input_Raw!$CQ:$CQ),"")</f>
        <v/>
      </c>
      <c r="N316" s="110" t="str">
        <f>IFERROR(_xlfn.XLOOKUP($A316,Input_Raw!$A:$A,Input_Raw!$CR:$CR),"")</f>
        <v/>
      </c>
      <c r="O316" s="141" t="str">
        <f t="shared" si="34"/>
        <v/>
      </c>
      <c r="P316" s="141" t="str">
        <f>IFERROR(1-SUMIF(WTG_BD!$F:$F,$A316,WTG_BD!$AA:$AA)/($AA316+SUMIF(WTG_BD!$F:$F,$A316,WTG_BD!$AA:$AA)),"")</f>
        <v/>
      </c>
      <c r="Q316" s="141" t="str">
        <f>IFERROR(1-SUMIF(IGA_BD!$F:$F,$A316,IGA_BD!$W:$W)/($AA316+SUMIF(IGA_BD!$F:$F,$A316,IGA_BD!$W:$W)),"")</f>
        <v/>
      </c>
      <c r="R316" s="141" t="str">
        <f>IFERROR(1-SUMIF(Grid_BD!$F:$F,$A316,Grid_BD!$Y:$Y)/($AA316+SUMIF(Grid_BD!$F:$F,$A316,Grid_BD!$Y:$Y)),"")</f>
        <v/>
      </c>
      <c r="S316" s="108"/>
      <c r="T316" s="140"/>
      <c r="U316" s="141"/>
      <c r="V316" s="108"/>
      <c r="W316" s="142" t="str">
        <f t="shared" si="35"/>
        <v/>
      </c>
      <c r="X316" s="108" t="str">
        <f>IFERROR(_xlfn.XLOOKUP($A316,Input_Raw!$A:$A,Input_Raw!$CP:$CP)*1000,"")</f>
        <v/>
      </c>
      <c r="Y316" s="108" t="str">
        <f>IFERROR(_xlfn.XLOOKUP($A316,Input_Raw!$A:$A,Input_Raw!DJ:DJ)*1000,"")</f>
        <v/>
      </c>
      <c r="Z316" s="108" t="str">
        <f>IFERROR(_xlfn.XLOOKUP($A316,Input_Raw!$A:$A,Input_Raw!DK:DK)*1000,"")</f>
        <v/>
      </c>
      <c r="AA316" s="138" t="str">
        <f t="shared" si="36"/>
        <v/>
      </c>
      <c r="AB316" s="108" t="str">
        <f>IFERROR(_xlfn.XLOOKUP($A316,Input_Raw!$A:$A,Input_Raw!$DR:$DR),"")</f>
        <v/>
      </c>
      <c r="AC316" s="143">
        <f>IFERROR(_xlfn.XLOOKUP($D316,'Modelling New'!$D:$D,'Modelling New'!$J:$J),"")</f>
        <v>3.9249999999999998</v>
      </c>
      <c r="AD316" s="138">
        <f>IFERROR(_xlfn.XLOOKUP($D316,'Modelling New'!$D:$D,'Modelling New'!$T:$T)*1000,"")</f>
        <v>118578.57831264066</v>
      </c>
      <c r="AE316" s="142"/>
      <c r="AF316" s="142">
        <f>IFERROR(_xlfn.XLOOKUP($D316,'Modelling New'!$D:$D,'Modelling New'!$W:$W),"")</f>
        <v>7.0181450232386741E-2</v>
      </c>
      <c r="AG316" s="142">
        <f>IFERROR(_xlfn.XLOOKUP($D316,'Modelling New'!$D:$D,'Modelling New'!$AE:$AE),"")</f>
        <v>0.96029999999999993</v>
      </c>
      <c r="AH316" s="142">
        <f>IFERROR(_xlfn.XLOOKUP($D316,'Modelling New'!$D:$D,'Modelling New'!$AF:$AF),"")</f>
        <v>0.995</v>
      </c>
      <c r="AI316" s="109" t="str">
        <f>IFERROR(_xlfn.XLOOKUP($A316,Input_Raw!$A:$A,Input_Raw!$DP:$DP),"")</f>
        <v/>
      </c>
      <c r="AJ316" s="108"/>
      <c r="AK316" s="108"/>
      <c r="AL316" s="108"/>
      <c r="AM316" s="108"/>
      <c r="AN316" s="132" t="str">
        <f>IFERROR(_xlfn.XLOOKUP($A316,Input_Raw!$A:$A,Input_Raw!$DL:$DL),"")</f>
        <v/>
      </c>
      <c r="AO316" s="142" t="str">
        <f>IFERROR((_xlfn.XLOOKUP($A316,'WTG Reactive Power'!$A:$A,'WTG Reactive Power'!$AW:$AW))/X316,"")</f>
        <v/>
      </c>
      <c r="AP316" s="142">
        <f>IFERROR(_xlfn.XLOOKUP($D316,'Modelling New'!$D:$D,'Modelling New'!$AK:$AK),"")</f>
        <v>0.05</v>
      </c>
      <c r="AQ316" s="142">
        <f>IFERROR(_xlfn.XLOOKUP($D316,'Modelling New'!$D:$D,'Modelling New'!$AL:$AL),"")</f>
        <v>0.05</v>
      </c>
      <c r="AR316" s="198">
        <f>IFERROR(_xlfn.XLOOKUP($D316,'Modelling New'!$D:$D,'Modelling New'!$N:$N),"")</f>
        <v>70.400000000000006</v>
      </c>
      <c r="AS316" s="198"/>
    </row>
    <row r="317" spans="1:45">
      <c r="A317" s="137">
        <f t="shared" si="28"/>
        <v>46060</v>
      </c>
      <c r="B317" s="138">
        <f>YEAR(Daily_KPI[[#This Row],[Date]])+IF(MONTH(Daily_KPI[[#This Row],[Date]])&gt;=4,1,0)</f>
        <v>2026</v>
      </c>
      <c r="C317" s="108">
        <f>YEAR(Daily_KPI[[#This Row],[Date]])</f>
        <v>2026</v>
      </c>
      <c r="D317" s="139">
        <f>Daily_KPI[[#This Row],[Date]]-DAY(Daily_KPI[[#This Row],[Date]])+1</f>
        <v>46054</v>
      </c>
      <c r="E317" s="108">
        <f t="shared" si="33"/>
        <v>28</v>
      </c>
      <c r="F317" s="109"/>
      <c r="G317" s="110"/>
      <c r="H317" s="110"/>
      <c r="I317" s="110"/>
      <c r="J317" s="110"/>
      <c r="K317" s="111"/>
      <c r="L317" s="110"/>
      <c r="M317" s="110" t="str">
        <f>IFERROR(_xlfn.XLOOKUP($A317,Input_Raw!$A:$A,Input_Raw!$CQ:$CQ),"")</f>
        <v/>
      </c>
      <c r="N317" s="110" t="str">
        <f>IFERROR(_xlfn.XLOOKUP($A317,Input_Raw!$A:$A,Input_Raw!$CR:$CR),"")</f>
        <v/>
      </c>
      <c r="O317" s="141" t="str">
        <f t="shared" si="34"/>
        <v/>
      </c>
      <c r="P317" s="141" t="str">
        <f>IFERROR(1-SUMIF(WTG_BD!$F:$F,$A317,WTG_BD!$AA:$AA)/($AA317+SUMIF(WTG_BD!$F:$F,$A317,WTG_BD!$AA:$AA)),"")</f>
        <v/>
      </c>
      <c r="Q317" s="141" t="str">
        <f>IFERROR(1-SUMIF(IGA_BD!$F:$F,$A317,IGA_BD!$W:$W)/($AA317+SUMIF(IGA_BD!$F:$F,$A317,IGA_BD!$W:$W)),"")</f>
        <v/>
      </c>
      <c r="R317" s="141" t="str">
        <f>IFERROR(1-SUMIF(Grid_BD!$F:$F,$A317,Grid_BD!$Y:$Y)/($AA317+SUMIF(Grid_BD!$F:$F,$A317,Grid_BD!$Y:$Y)),"")</f>
        <v/>
      </c>
      <c r="S317" s="108"/>
      <c r="T317" s="140"/>
      <c r="U317" s="141"/>
      <c r="V317" s="108"/>
      <c r="W317" s="142" t="str">
        <f t="shared" si="35"/>
        <v/>
      </c>
      <c r="X317" s="108" t="str">
        <f>IFERROR(_xlfn.XLOOKUP($A317,Input_Raw!$A:$A,Input_Raw!$CP:$CP)*1000,"")</f>
        <v/>
      </c>
      <c r="Y317" s="108" t="str">
        <f>IFERROR(_xlfn.XLOOKUP($A317,Input_Raw!$A:$A,Input_Raw!DJ:DJ)*1000,"")</f>
        <v/>
      </c>
      <c r="Z317" s="108" t="str">
        <f>IFERROR(_xlfn.XLOOKUP($A317,Input_Raw!$A:$A,Input_Raw!DK:DK)*1000,"")</f>
        <v/>
      </c>
      <c r="AA317" s="138" t="str">
        <f t="shared" si="36"/>
        <v/>
      </c>
      <c r="AB317" s="108" t="str">
        <f>IFERROR(_xlfn.XLOOKUP($A317,Input_Raw!$A:$A,Input_Raw!$DR:$DR),"")</f>
        <v/>
      </c>
      <c r="AC317" s="143">
        <f>IFERROR(_xlfn.XLOOKUP($D317,'Modelling New'!$D:$D,'Modelling New'!$J:$J),"")</f>
        <v>3.9249999999999998</v>
      </c>
      <c r="AD317" s="138">
        <f>IFERROR(_xlfn.XLOOKUP($D317,'Modelling New'!$D:$D,'Modelling New'!$T:$T)*1000,"")</f>
        <v>118578.57831264066</v>
      </c>
      <c r="AE317" s="142"/>
      <c r="AF317" s="142">
        <f>IFERROR(_xlfn.XLOOKUP($D317,'Modelling New'!$D:$D,'Modelling New'!$W:$W),"")</f>
        <v>7.0181450232386741E-2</v>
      </c>
      <c r="AG317" s="142">
        <f>IFERROR(_xlfn.XLOOKUP($D317,'Modelling New'!$D:$D,'Modelling New'!$AE:$AE),"")</f>
        <v>0.96029999999999993</v>
      </c>
      <c r="AH317" s="142">
        <f>IFERROR(_xlfn.XLOOKUP($D317,'Modelling New'!$D:$D,'Modelling New'!$AF:$AF),"")</f>
        <v>0.995</v>
      </c>
      <c r="AI317" s="109" t="str">
        <f>IFERROR(_xlfn.XLOOKUP($A317,Input_Raw!$A:$A,Input_Raw!$DP:$DP),"")</f>
        <v/>
      </c>
      <c r="AJ317" s="108"/>
      <c r="AK317" s="108"/>
      <c r="AL317" s="108"/>
      <c r="AM317" s="108"/>
      <c r="AN317" s="132" t="str">
        <f>IFERROR(_xlfn.XLOOKUP($A317,Input_Raw!$A:$A,Input_Raw!$DL:$DL),"")</f>
        <v/>
      </c>
      <c r="AO317" s="142" t="str">
        <f>IFERROR((_xlfn.XLOOKUP($A317,'WTG Reactive Power'!$A:$A,'WTG Reactive Power'!$AW:$AW))/X317,"")</f>
        <v/>
      </c>
      <c r="AP317" s="142">
        <f>IFERROR(_xlfn.XLOOKUP($D317,'Modelling New'!$D:$D,'Modelling New'!$AK:$AK),"")</f>
        <v>0.05</v>
      </c>
      <c r="AQ317" s="142">
        <f>IFERROR(_xlfn.XLOOKUP($D317,'Modelling New'!$D:$D,'Modelling New'!$AL:$AL),"")</f>
        <v>0.05</v>
      </c>
      <c r="AR317" s="198">
        <f>IFERROR(_xlfn.XLOOKUP($D317,'Modelling New'!$D:$D,'Modelling New'!$N:$N),"")</f>
        <v>70.400000000000006</v>
      </c>
      <c r="AS317" s="198"/>
    </row>
    <row r="318" spans="1:45">
      <c r="A318" s="137">
        <f t="shared" si="28"/>
        <v>46061</v>
      </c>
      <c r="B318" s="138">
        <f>YEAR(Daily_KPI[[#This Row],[Date]])+IF(MONTH(Daily_KPI[[#This Row],[Date]])&gt;=4,1,0)</f>
        <v>2026</v>
      </c>
      <c r="C318" s="108">
        <f>YEAR(Daily_KPI[[#This Row],[Date]])</f>
        <v>2026</v>
      </c>
      <c r="D318" s="139">
        <f>Daily_KPI[[#This Row],[Date]]-DAY(Daily_KPI[[#This Row],[Date]])+1</f>
        <v>46054</v>
      </c>
      <c r="E318" s="108">
        <f t="shared" si="33"/>
        <v>28</v>
      </c>
      <c r="F318" s="109"/>
      <c r="G318" s="110"/>
      <c r="H318" s="110"/>
      <c r="I318" s="110"/>
      <c r="J318" s="110"/>
      <c r="K318" s="111"/>
      <c r="L318" s="110"/>
      <c r="M318" s="110" t="str">
        <f>IFERROR(_xlfn.XLOOKUP($A318,Input_Raw!$A:$A,Input_Raw!$CQ:$CQ),"")</f>
        <v/>
      </c>
      <c r="N318" s="110" t="str">
        <f>IFERROR(_xlfn.XLOOKUP($A318,Input_Raw!$A:$A,Input_Raw!$CR:$CR),"")</f>
        <v/>
      </c>
      <c r="O318" s="141" t="str">
        <f t="shared" si="34"/>
        <v/>
      </c>
      <c r="P318" s="141" t="str">
        <f>IFERROR(1-SUMIF(WTG_BD!$F:$F,$A318,WTG_BD!$AA:$AA)/($AA318+SUMIF(WTG_BD!$F:$F,$A318,WTG_BD!$AA:$AA)),"")</f>
        <v/>
      </c>
      <c r="Q318" s="141" t="str">
        <f>IFERROR(1-SUMIF(IGA_BD!$F:$F,$A318,IGA_BD!$W:$W)/($AA318+SUMIF(IGA_BD!$F:$F,$A318,IGA_BD!$W:$W)),"")</f>
        <v/>
      </c>
      <c r="R318" s="141" t="str">
        <f>IFERROR(1-SUMIF(Grid_BD!$F:$F,$A318,Grid_BD!$Y:$Y)/($AA318+SUMIF(Grid_BD!$F:$F,$A318,Grid_BD!$Y:$Y)),"")</f>
        <v/>
      </c>
      <c r="S318" s="108"/>
      <c r="T318" s="140"/>
      <c r="U318" s="141"/>
      <c r="V318" s="108"/>
      <c r="W318" s="142" t="str">
        <f t="shared" si="35"/>
        <v/>
      </c>
      <c r="X318" s="108" t="str">
        <f>IFERROR(_xlfn.XLOOKUP($A318,Input_Raw!$A:$A,Input_Raw!$CP:$CP)*1000,"")</f>
        <v/>
      </c>
      <c r="Y318" s="108" t="str">
        <f>IFERROR(_xlfn.XLOOKUP($A318,Input_Raw!$A:$A,Input_Raw!DJ:DJ)*1000,"")</f>
        <v/>
      </c>
      <c r="Z318" s="108" t="str">
        <f>IFERROR(_xlfn.XLOOKUP($A318,Input_Raw!$A:$A,Input_Raw!DK:DK)*1000,"")</f>
        <v/>
      </c>
      <c r="AA318" s="138" t="str">
        <f t="shared" si="36"/>
        <v/>
      </c>
      <c r="AB318" s="108" t="str">
        <f>IFERROR(_xlfn.XLOOKUP($A318,Input_Raw!$A:$A,Input_Raw!$DR:$DR),"")</f>
        <v/>
      </c>
      <c r="AC318" s="143">
        <f>IFERROR(_xlfn.XLOOKUP($D318,'Modelling New'!$D:$D,'Modelling New'!$J:$J),"")</f>
        <v>3.9249999999999998</v>
      </c>
      <c r="AD318" s="138">
        <f>IFERROR(_xlfn.XLOOKUP($D318,'Modelling New'!$D:$D,'Modelling New'!$T:$T)*1000,"")</f>
        <v>118578.57831264066</v>
      </c>
      <c r="AE318" s="142"/>
      <c r="AF318" s="142">
        <f>IFERROR(_xlfn.XLOOKUP($D318,'Modelling New'!$D:$D,'Modelling New'!$W:$W),"")</f>
        <v>7.0181450232386741E-2</v>
      </c>
      <c r="AG318" s="142">
        <f>IFERROR(_xlfn.XLOOKUP($D318,'Modelling New'!$D:$D,'Modelling New'!$AE:$AE),"")</f>
        <v>0.96029999999999993</v>
      </c>
      <c r="AH318" s="142">
        <f>IFERROR(_xlfn.XLOOKUP($D318,'Modelling New'!$D:$D,'Modelling New'!$AF:$AF),"")</f>
        <v>0.995</v>
      </c>
      <c r="AI318" s="109" t="str">
        <f>IFERROR(_xlfn.XLOOKUP($A318,Input_Raw!$A:$A,Input_Raw!$DP:$DP),"")</f>
        <v/>
      </c>
      <c r="AJ318" s="108"/>
      <c r="AK318" s="108"/>
      <c r="AL318" s="108"/>
      <c r="AM318" s="108"/>
      <c r="AN318" s="132" t="str">
        <f>IFERROR(_xlfn.XLOOKUP($A318,Input_Raw!$A:$A,Input_Raw!$DL:$DL),"")</f>
        <v/>
      </c>
      <c r="AO318" s="142" t="str">
        <f>IFERROR((_xlfn.XLOOKUP($A318,'WTG Reactive Power'!$A:$A,'WTG Reactive Power'!$AW:$AW))/X318,"")</f>
        <v/>
      </c>
      <c r="AP318" s="142">
        <f>IFERROR(_xlfn.XLOOKUP($D318,'Modelling New'!$D:$D,'Modelling New'!$AK:$AK),"")</f>
        <v>0.05</v>
      </c>
      <c r="AQ318" s="142">
        <f>IFERROR(_xlfn.XLOOKUP($D318,'Modelling New'!$D:$D,'Modelling New'!$AL:$AL),"")</f>
        <v>0.05</v>
      </c>
      <c r="AR318" s="198">
        <f>IFERROR(_xlfn.XLOOKUP($D318,'Modelling New'!$D:$D,'Modelling New'!$N:$N),"")</f>
        <v>70.400000000000006</v>
      </c>
      <c r="AS318" s="198"/>
    </row>
    <row r="319" spans="1:45">
      <c r="A319" s="137">
        <f t="shared" ref="A319:A369" si="37">A318+1</f>
        <v>46062</v>
      </c>
      <c r="B319" s="138">
        <f>YEAR(Daily_KPI[[#This Row],[Date]])+IF(MONTH(Daily_KPI[[#This Row],[Date]])&gt;=4,1,0)</f>
        <v>2026</v>
      </c>
      <c r="C319" s="108">
        <f>YEAR(Daily_KPI[[#This Row],[Date]])</f>
        <v>2026</v>
      </c>
      <c r="D319" s="139">
        <f>Daily_KPI[[#This Row],[Date]]-DAY(Daily_KPI[[#This Row],[Date]])+1</f>
        <v>46054</v>
      </c>
      <c r="E319" s="108">
        <f t="shared" si="33"/>
        <v>28</v>
      </c>
      <c r="F319" s="109"/>
      <c r="G319" s="110"/>
      <c r="H319" s="110"/>
      <c r="I319" s="110"/>
      <c r="J319" s="110"/>
      <c r="K319" s="111"/>
      <c r="L319" s="110"/>
      <c r="M319" s="110" t="str">
        <f>IFERROR(_xlfn.XLOOKUP($A319,Input_Raw!$A:$A,Input_Raw!$CQ:$CQ),"")</f>
        <v/>
      </c>
      <c r="N319" s="110" t="str">
        <f>IFERROR(_xlfn.XLOOKUP($A319,Input_Raw!$A:$A,Input_Raw!$CR:$CR),"")</f>
        <v/>
      </c>
      <c r="O319" s="141" t="str">
        <f t="shared" si="34"/>
        <v/>
      </c>
      <c r="P319" s="141" t="str">
        <f>IFERROR(1-SUMIF(WTG_BD!$F:$F,$A319,WTG_BD!$AA:$AA)/($AA319+SUMIF(WTG_BD!$F:$F,$A319,WTG_BD!$AA:$AA)),"")</f>
        <v/>
      </c>
      <c r="Q319" s="141" t="str">
        <f>IFERROR(1-SUMIF(IGA_BD!$F:$F,$A319,IGA_BD!$W:$W)/($AA319+SUMIF(IGA_BD!$F:$F,$A319,IGA_BD!$W:$W)),"")</f>
        <v/>
      </c>
      <c r="R319" s="141" t="str">
        <f>IFERROR(1-SUMIF(Grid_BD!$F:$F,$A319,Grid_BD!$Y:$Y)/($AA319+SUMIF(Grid_BD!$F:$F,$A319,Grid_BD!$Y:$Y)),"")</f>
        <v/>
      </c>
      <c r="S319" s="108"/>
      <c r="T319" s="140"/>
      <c r="U319" s="141"/>
      <c r="V319" s="108"/>
      <c r="W319" s="142" t="str">
        <f t="shared" si="35"/>
        <v/>
      </c>
      <c r="X319" s="108" t="str">
        <f>IFERROR(_xlfn.XLOOKUP($A319,Input_Raw!$A:$A,Input_Raw!$CP:$CP)*1000,"")</f>
        <v/>
      </c>
      <c r="Y319" s="108" t="str">
        <f>IFERROR(_xlfn.XLOOKUP($A319,Input_Raw!$A:$A,Input_Raw!DJ:DJ)*1000,"")</f>
        <v/>
      </c>
      <c r="Z319" s="108" t="str">
        <f>IFERROR(_xlfn.XLOOKUP($A319,Input_Raw!$A:$A,Input_Raw!DK:DK)*1000,"")</f>
        <v/>
      </c>
      <c r="AA319" s="138" t="str">
        <f t="shared" si="36"/>
        <v/>
      </c>
      <c r="AB319" s="108" t="str">
        <f>IFERROR(_xlfn.XLOOKUP($A319,Input_Raw!$A:$A,Input_Raw!$DR:$DR),"")</f>
        <v/>
      </c>
      <c r="AC319" s="143">
        <f>IFERROR(_xlfn.XLOOKUP($D319,'Modelling New'!$D:$D,'Modelling New'!$J:$J),"")</f>
        <v>3.9249999999999998</v>
      </c>
      <c r="AD319" s="138">
        <f>IFERROR(_xlfn.XLOOKUP($D319,'Modelling New'!$D:$D,'Modelling New'!$T:$T)*1000,"")</f>
        <v>118578.57831264066</v>
      </c>
      <c r="AE319" s="142"/>
      <c r="AF319" s="142">
        <f>IFERROR(_xlfn.XLOOKUP($D319,'Modelling New'!$D:$D,'Modelling New'!$W:$W),"")</f>
        <v>7.0181450232386741E-2</v>
      </c>
      <c r="AG319" s="142">
        <f>IFERROR(_xlfn.XLOOKUP($D319,'Modelling New'!$D:$D,'Modelling New'!$AE:$AE),"")</f>
        <v>0.96029999999999993</v>
      </c>
      <c r="AH319" s="142">
        <f>IFERROR(_xlfn.XLOOKUP($D319,'Modelling New'!$D:$D,'Modelling New'!$AF:$AF),"")</f>
        <v>0.995</v>
      </c>
      <c r="AI319" s="109" t="str">
        <f>IFERROR(_xlfn.XLOOKUP($A319,Input_Raw!$A:$A,Input_Raw!$DP:$DP),"")</f>
        <v/>
      </c>
      <c r="AJ319" s="108"/>
      <c r="AK319" s="108"/>
      <c r="AL319" s="108"/>
      <c r="AM319" s="108"/>
      <c r="AN319" s="132" t="str">
        <f>IFERROR(_xlfn.XLOOKUP($A319,Input_Raw!$A:$A,Input_Raw!$DL:$DL),"")</f>
        <v/>
      </c>
      <c r="AO319" s="142" t="str">
        <f>IFERROR((_xlfn.XLOOKUP($A319,'WTG Reactive Power'!$A:$A,'WTG Reactive Power'!$AW:$AW))/X319,"")</f>
        <v/>
      </c>
      <c r="AP319" s="142">
        <f>IFERROR(_xlfn.XLOOKUP($D319,'Modelling New'!$D:$D,'Modelling New'!$AK:$AK),"")</f>
        <v>0.05</v>
      </c>
      <c r="AQ319" s="142">
        <f>IFERROR(_xlfn.XLOOKUP($D319,'Modelling New'!$D:$D,'Modelling New'!$AL:$AL),"")</f>
        <v>0.05</v>
      </c>
      <c r="AR319" s="198">
        <f>IFERROR(_xlfn.XLOOKUP($D319,'Modelling New'!$D:$D,'Modelling New'!$N:$N),"")</f>
        <v>70.400000000000006</v>
      </c>
      <c r="AS319" s="198"/>
    </row>
    <row r="320" spans="1:45">
      <c r="A320" s="137">
        <f t="shared" si="37"/>
        <v>46063</v>
      </c>
      <c r="B320" s="138">
        <f>YEAR(Daily_KPI[[#This Row],[Date]])+IF(MONTH(Daily_KPI[[#This Row],[Date]])&gt;=4,1,0)</f>
        <v>2026</v>
      </c>
      <c r="C320" s="108">
        <f>YEAR(Daily_KPI[[#This Row],[Date]])</f>
        <v>2026</v>
      </c>
      <c r="D320" s="139">
        <f>Daily_KPI[[#This Row],[Date]]-DAY(Daily_KPI[[#This Row],[Date]])+1</f>
        <v>46054</v>
      </c>
      <c r="E320" s="108">
        <f t="shared" si="33"/>
        <v>28</v>
      </c>
      <c r="F320" s="109"/>
      <c r="G320" s="110"/>
      <c r="H320" s="110"/>
      <c r="I320" s="110"/>
      <c r="J320" s="110"/>
      <c r="K320" s="111"/>
      <c r="L320" s="110"/>
      <c r="M320" s="110" t="str">
        <f>IFERROR(_xlfn.XLOOKUP($A320,Input_Raw!$A:$A,Input_Raw!$CQ:$CQ),"")</f>
        <v/>
      </c>
      <c r="N320" s="110" t="str">
        <f>IFERROR(_xlfn.XLOOKUP($A320,Input_Raw!$A:$A,Input_Raw!$CR:$CR),"")</f>
        <v/>
      </c>
      <c r="O320" s="141" t="str">
        <f t="shared" si="34"/>
        <v/>
      </c>
      <c r="P320" s="141" t="str">
        <f>IFERROR(1-SUMIF(WTG_BD!$F:$F,$A320,WTG_BD!$AA:$AA)/($AA320+SUMIF(WTG_BD!$F:$F,$A320,WTG_BD!$AA:$AA)),"")</f>
        <v/>
      </c>
      <c r="Q320" s="141" t="str">
        <f>IFERROR(1-SUMIF(IGA_BD!$F:$F,$A320,IGA_BD!$W:$W)/($AA320+SUMIF(IGA_BD!$F:$F,$A320,IGA_BD!$W:$W)),"")</f>
        <v/>
      </c>
      <c r="R320" s="141" t="str">
        <f>IFERROR(1-SUMIF(Grid_BD!$F:$F,$A320,Grid_BD!$Y:$Y)/($AA320+SUMIF(Grid_BD!$F:$F,$A320,Grid_BD!$Y:$Y)),"")</f>
        <v/>
      </c>
      <c r="S320" s="108"/>
      <c r="T320" s="140"/>
      <c r="U320" s="141"/>
      <c r="V320" s="108"/>
      <c r="W320" s="142" t="str">
        <f t="shared" si="35"/>
        <v/>
      </c>
      <c r="X320" s="108" t="str">
        <f>IFERROR(_xlfn.XLOOKUP($A320,Input_Raw!$A:$A,Input_Raw!$CP:$CP)*1000,"")</f>
        <v/>
      </c>
      <c r="Y320" s="108" t="str">
        <f>IFERROR(_xlfn.XLOOKUP($A320,Input_Raw!$A:$A,Input_Raw!DJ:DJ)*1000,"")</f>
        <v/>
      </c>
      <c r="Z320" s="108" t="str">
        <f>IFERROR(_xlfn.XLOOKUP($A320,Input_Raw!$A:$A,Input_Raw!DK:DK)*1000,"")</f>
        <v/>
      </c>
      <c r="AA320" s="138" t="str">
        <f t="shared" si="36"/>
        <v/>
      </c>
      <c r="AB320" s="108" t="str">
        <f>IFERROR(_xlfn.XLOOKUP($A320,Input_Raw!$A:$A,Input_Raw!$DR:$DR),"")</f>
        <v/>
      </c>
      <c r="AC320" s="143">
        <f>IFERROR(_xlfn.XLOOKUP($D320,'Modelling New'!$D:$D,'Modelling New'!$J:$J),"")</f>
        <v>3.9249999999999998</v>
      </c>
      <c r="AD320" s="138">
        <f>IFERROR(_xlfn.XLOOKUP($D320,'Modelling New'!$D:$D,'Modelling New'!$T:$T)*1000,"")</f>
        <v>118578.57831264066</v>
      </c>
      <c r="AE320" s="142"/>
      <c r="AF320" s="142">
        <f>IFERROR(_xlfn.XLOOKUP($D320,'Modelling New'!$D:$D,'Modelling New'!$W:$W),"")</f>
        <v>7.0181450232386741E-2</v>
      </c>
      <c r="AG320" s="142">
        <f>IFERROR(_xlfn.XLOOKUP($D320,'Modelling New'!$D:$D,'Modelling New'!$AE:$AE),"")</f>
        <v>0.96029999999999993</v>
      </c>
      <c r="AH320" s="142">
        <f>IFERROR(_xlfn.XLOOKUP($D320,'Modelling New'!$D:$D,'Modelling New'!$AF:$AF),"")</f>
        <v>0.995</v>
      </c>
      <c r="AI320" s="109" t="str">
        <f>IFERROR(_xlfn.XLOOKUP($A320,Input_Raw!$A:$A,Input_Raw!$DP:$DP),"")</f>
        <v/>
      </c>
      <c r="AJ320" s="108"/>
      <c r="AK320" s="108"/>
      <c r="AL320" s="108"/>
      <c r="AM320" s="108"/>
      <c r="AN320" s="132" t="str">
        <f>IFERROR(_xlfn.XLOOKUP($A320,Input_Raw!$A:$A,Input_Raw!$DL:$DL),"")</f>
        <v/>
      </c>
      <c r="AO320" s="142" t="str">
        <f>IFERROR((_xlfn.XLOOKUP($A320,'WTG Reactive Power'!$A:$A,'WTG Reactive Power'!$AW:$AW))/X320,"")</f>
        <v/>
      </c>
      <c r="AP320" s="142">
        <f>IFERROR(_xlfn.XLOOKUP($D320,'Modelling New'!$D:$D,'Modelling New'!$AK:$AK),"")</f>
        <v>0.05</v>
      </c>
      <c r="AQ320" s="142">
        <f>IFERROR(_xlfn.XLOOKUP($D320,'Modelling New'!$D:$D,'Modelling New'!$AL:$AL),"")</f>
        <v>0.05</v>
      </c>
      <c r="AR320" s="198">
        <f>IFERROR(_xlfn.XLOOKUP($D320,'Modelling New'!$D:$D,'Modelling New'!$N:$N),"")</f>
        <v>70.400000000000006</v>
      </c>
      <c r="AS320" s="198"/>
    </row>
    <row r="321" spans="1:45">
      <c r="A321" s="137">
        <f t="shared" si="37"/>
        <v>46064</v>
      </c>
      <c r="B321" s="138">
        <f>YEAR(Daily_KPI[[#This Row],[Date]])+IF(MONTH(Daily_KPI[[#This Row],[Date]])&gt;=4,1,0)</f>
        <v>2026</v>
      </c>
      <c r="C321" s="108">
        <f>YEAR(Daily_KPI[[#This Row],[Date]])</f>
        <v>2026</v>
      </c>
      <c r="D321" s="139">
        <f>Daily_KPI[[#This Row],[Date]]-DAY(Daily_KPI[[#This Row],[Date]])+1</f>
        <v>46054</v>
      </c>
      <c r="E321" s="108">
        <f t="shared" si="33"/>
        <v>28</v>
      </c>
      <c r="F321" s="109"/>
      <c r="G321" s="110"/>
      <c r="H321" s="110"/>
      <c r="I321" s="110"/>
      <c r="J321" s="110"/>
      <c r="K321" s="111"/>
      <c r="L321" s="110"/>
      <c r="M321" s="110" t="str">
        <f>IFERROR(_xlfn.XLOOKUP($A321,Input_Raw!$A:$A,Input_Raw!$CQ:$CQ),"")</f>
        <v/>
      </c>
      <c r="N321" s="110" t="str">
        <f>IFERROR(_xlfn.XLOOKUP($A321,Input_Raw!$A:$A,Input_Raw!$CR:$CR),"")</f>
        <v/>
      </c>
      <c r="O321" s="141" t="str">
        <f t="shared" si="34"/>
        <v/>
      </c>
      <c r="P321" s="141" t="str">
        <f>IFERROR(1-SUMIF(WTG_BD!$F:$F,$A321,WTG_BD!$AA:$AA)/($AA321+SUMIF(WTG_BD!$F:$F,$A321,WTG_BD!$AA:$AA)),"")</f>
        <v/>
      </c>
      <c r="Q321" s="141" t="str">
        <f>IFERROR(1-SUMIF(IGA_BD!$F:$F,$A321,IGA_BD!$W:$W)/($AA321+SUMIF(IGA_BD!$F:$F,$A321,IGA_BD!$W:$W)),"")</f>
        <v/>
      </c>
      <c r="R321" s="141" t="str">
        <f>IFERROR(1-SUMIF(Grid_BD!$F:$F,$A321,Grid_BD!$Y:$Y)/($AA321+SUMIF(Grid_BD!$F:$F,$A321,Grid_BD!$Y:$Y)),"")</f>
        <v/>
      </c>
      <c r="S321" s="108"/>
      <c r="T321" s="140"/>
      <c r="U321" s="141"/>
      <c r="V321" s="108"/>
      <c r="W321" s="142" t="str">
        <f t="shared" si="35"/>
        <v/>
      </c>
      <c r="X321" s="108" t="str">
        <f>IFERROR(_xlfn.XLOOKUP($A321,Input_Raw!$A:$A,Input_Raw!$CP:$CP)*1000,"")</f>
        <v/>
      </c>
      <c r="Y321" s="108" t="str">
        <f>IFERROR(_xlfn.XLOOKUP($A321,Input_Raw!$A:$A,Input_Raw!DJ:DJ)*1000,"")</f>
        <v/>
      </c>
      <c r="Z321" s="108" t="str">
        <f>IFERROR(_xlfn.XLOOKUP($A321,Input_Raw!$A:$A,Input_Raw!DK:DK)*1000,"")</f>
        <v/>
      </c>
      <c r="AA321" s="138" t="str">
        <f t="shared" si="36"/>
        <v/>
      </c>
      <c r="AB321" s="108" t="str">
        <f>IFERROR(_xlfn.XLOOKUP($A321,Input_Raw!$A:$A,Input_Raw!$DR:$DR),"")</f>
        <v/>
      </c>
      <c r="AC321" s="143">
        <f>IFERROR(_xlfn.XLOOKUP($D321,'Modelling New'!$D:$D,'Modelling New'!$J:$J),"")</f>
        <v>3.9249999999999998</v>
      </c>
      <c r="AD321" s="138">
        <f>IFERROR(_xlfn.XLOOKUP($D321,'Modelling New'!$D:$D,'Modelling New'!$T:$T)*1000,"")</f>
        <v>118578.57831264066</v>
      </c>
      <c r="AE321" s="142"/>
      <c r="AF321" s="142">
        <f>IFERROR(_xlfn.XLOOKUP($D321,'Modelling New'!$D:$D,'Modelling New'!$W:$W),"")</f>
        <v>7.0181450232386741E-2</v>
      </c>
      <c r="AG321" s="142">
        <f>IFERROR(_xlfn.XLOOKUP($D321,'Modelling New'!$D:$D,'Modelling New'!$AE:$AE),"")</f>
        <v>0.96029999999999993</v>
      </c>
      <c r="AH321" s="142">
        <f>IFERROR(_xlfn.XLOOKUP($D321,'Modelling New'!$D:$D,'Modelling New'!$AF:$AF),"")</f>
        <v>0.995</v>
      </c>
      <c r="AI321" s="109" t="str">
        <f>IFERROR(_xlfn.XLOOKUP($A321,Input_Raw!$A:$A,Input_Raw!$DP:$DP),"")</f>
        <v/>
      </c>
      <c r="AJ321" s="108"/>
      <c r="AK321" s="108"/>
      <c r="AL321" s="108"/>
      <c r="AM321" s="108"/>
      <c r="AN321" s="132" t="str">
        <f>IFERROR(_xlfn.XLOOKUP($A321,Input_Raw!$A:$A,Input_Raw!$DL:$DL),"")</f>
        <v/>
      </c>
      <c r="AO321" s="142" t="str">
        <f>IFERROR((_xlfn.XLOOKUP($A321,'WTG Reactive Power'!$A:$A,'WTG Reactive Power'!$AW:$AW))/X321,"")</f>
        <v/>
      </c>
      <c r="AP321" s="142">
        <f>IFERROR(_xlfn.XLOOKUP($D321,'Modelling New'!$D:$D,'Modelling New'!$AK:$AK),"")</f>
        <v>0.05</v>
      </c>
      <c r="AQ321" s="142">
        <f>IFERROR(_xlfn.XLOOKUP($D321,'Modelling New'!$D:$D,'Modelling New'!$AL:$AL),"")</f>
        <v>0.05</v>
      </c>
      <c r="AR321" s="198">
        <f>IFERROR(_xlfn.XLOOKUP($D321,'Modelling New'!$D:$D,'Modelling New'!$N:$N),"")</f>
        <v>70.400000000000006</v>
      </c>
      <c r="AS321" s="198"/>
    </row>
    <row r="322" spans="1:45">
      <c r="A322" s="137">
        <f t="shared" si="37"/>
        <v>46065</v>
      </c>
      <c r="B322" s="138">
        <f>YEAR(Daily_KPI[[#This Row],[Date]])+IF(MONTH(Daily_KPI[[#This Row],[Date]])&gt;=4,1,0)</f>
        <v>2026</v>
      </c>
      <c r="C322" s="108">
        <f>YEAR(Daily_KPI[[#This Row],[Date]])</f>
        <v>2026</v>
      </c>
      <c r="D322" s="139">
        <f>Daily_KPI[[#This Row],[Date]]-DAY(Daily_KPI[[#This Row],[Date]])+1</f>
        <v>46054</v>
      </c>
      <c r="E322" s="108">
        <f t="shared" si="33"/>
        <v>28</v>
      </c>
      <c r="F322" s="109"/>
      <c r="G322" s="110"/>
      <c r="H322" s="110"/>
      <c r="I322" s="110"/>
      <c r="J322" s="110"/>
      <c r="K322" s="111"/>
      <c r="L322" s="110"/>
      <c r="M322" s="110" t="str">
        <f>IFERROR(_xlfn.XLOOKUP($A322,Input_Raw!$A:$A,Input_Raw!$CQ:$CQ),"")</f>
        <v/>
      </c>
      <c r="N322" s="110" t="str">
        <f>IFERROR(_xlfn.XLOOKUP($A322,Input_Raw!$A:$A,Input_Raw!$CR:$CR),"")</f>
        <v/>
      </c>
      <c r="O322" s="141" t="str">
        <f t="shared" si="34"/>
        <v/>
      </c>
      <c r="P322" s="141" t="str">
        <f>IFERROR(1-SUMIF(WTG_BD!$F:$F,$A322,WTG_BD!$AA:$AA)/($AA322+SUMIF(WTG_BD!$F:$F,$A322,WTG_BD!$AA:$AA)),"")</f>
        <v/>
      </c>
      <c r="Q322" s="141" t="str">
        <f>IFERROR(1-SUMIF(IGA_BD!$F:$F,$A322,IGA_BD!$W:$W)/($AA322+SUMIF(IGA_BD!$F:$F,$A322,IGA_BD!$W:$W)),"")</f>
        <v/>
      </c>
      <c r="R322" s="141" t="str">
        <f>IFERROR(1-SUMIF(Grid_BD!$F:$F,$A322,Grid_BD!$Y:$Y)/($AA322+SUMIF(Grid_BD!$F:$F,$A322,Grid_BD!$Y:$Y)),"")</f>
        <v/>
      </c>
      <c r="S322" s="108"/>
      <c r="T322" s="140"/>
      <c r="U322" s="141"/>
      <c r="V322" s="108"/>
      <c r="W322" s="142" t="str">
        <f t="shared" si="35"/>
        <v/>
      </c>
      <c r="X322" s="108" t="str">
        <f>IFERROR(_xlfn.XLOOKUP($A322,Input_Raw!$A:$A,Input_Raw!$CP:$CP)*1000,"")</f>
        <v/>
      </c>
      <c r="Y322" s="108" t="str">
        <f>IFERROR(_xlfn.XLOOKUP($A322,Input_Raw!$A:$A,Input_Raw!DJ:DJ)*1000,"")</f>
        <v/>
      </c>
      <c r="Z322" s="108" t="str">
        <f>IFERROR(_xlfn.XLOOKUP($A322,Input_Raw!$A:$A,Input_Raw!DK:DK)*1000,"")</f>
        <v/>
      </c>
      <c r="AA322" s="138" t="str">
        <f t="shared" si="36"/>
        <v/>
      </c>
      <c r="AB322" s="108" t="str">
        <f>IFERROR(_xlfn.XLOOKUP($A322,Input_Raw!$A:$A,Input_Raw!$DR:$DR),"")</f>
        <v/>
      </c>
      <c r="AC322" s="143">
        <f>IFERROR(_xlfn.XLOOKUP($D322,'Modelling New'!$D:$D,'Modelling New'!$J:$J),"")</f>
        <v>3.9249999999999998</v>
      </c>
      <c r="AD322" s="138">
        <f>IFERROR(_xlfn.XLOOKUP($D322,'Modelling New'!$D:$D,'Modelling New'!$T:$T)*1000,"")</f>
        <v>118578.57831264066</v>
      </c>
      <c r="AE322" s="142"/>
      <c r="AF322" s="142">
        <f>IFERROR(_xlfn.XLOOKUP($D322,'Modelling New'!$D:$D,'Modelling New'!$W:$W),"")</f>
        <v>7.0181450232386741E-2</v>
      </c>
      <c r="AG322" s="142">
        <f>IFERROR(_xlfn.XLOOKUP($D322,'Modelling New'!$D:$D,'Modelling New'!$AE:$AE),"")</f>
        <v>0.96029999999999993</v>
      </c>
      <c r="AH322" s="142">
        <f>IFERROR(_xlfn.XLOOKUP($D322,'Modelling New'!$D:$D,'Modelling New'!$AF:$AF),"")</f>
        <v>0.995</v>
      </c>
      <c r="AI322" s="109" t="str">
        <f>IFERROR(_xlfn.XLOOKUP($A322,Input_Raw!$A:$A,Input_Raw!$DP:$DP),"")</f>
        <v/>
      </c>
      <c r="AJ322" s="108"/>
      <c r="AK322" s="108"/>
      <c r="AL322" s="108"/>
      <c r="AM322" s="108"/>
      <c r="AN322" s="132" t="str">
        <f>IFERROR(_xlfn.XLOOKUP($A322,Input_Raw!$A:$A,Input_Raw!$DL:$DL),"")</f>
        <v/>
      </c>
      <c r="AO322" s="142" t="str">
        <f>IFERROR((_xlfn.XLOOKUP($A322,'WTG Reactive Power'!$A:$A,'WTG Reactive Power'!$AW:$AW))/X322,"")</f>
        <v/>
      </c>
      <c r="AP322" s="142">
        <f>IFERROR(_xlfn.XLOOKUP($D322,'Modelling New'!$D:$D,'Modelling New'!$AK:$AK),"")</f>
        <v>0.05</v>
      </c>
      <c r="AQ322" s="142">
        <f>IFERROR(_xlfn.XLOOKUP($D322,'Modelling New'!$D:$D,'Modelling New'!$AL:$AL),"")</f>
        <v>0.05</v>
      </c>
      <c r="AR322" s="198">
        <f>IFERROR(_xlfn.XLOOKUP($D322,'Modelling New'!$D:$D,'Modelling New'!$N:$N),"")</f>
        <v>70.400000000000006</v>
      </c>
      <c r="AS322" s="198"/>
    </row>
    <row r="323" spans="1:45">
      <c r="A323" s="137">
        <f t="shared" si="37"/>
        <v>46066</v>
      </c>
      <c r="B323" s="138">
        <f>YEAR(Daily_KPI[[#This Row],[Date]])+IF(MONTH(Daily_KPI[[#This Row],[Date]])&gt;=4,1,0)</f>
        <v>2026</v>
      </c>
      <c r="C323" s="108">
        <f>YEAR(Daily_KPI[[#This Row],[Date]])</f>
        <v>2026</v>
      </c>
      <c r="D323" s="139">
        <f>Daily_KPI[[#This Row],[Date]]-DAY(Daily_KPI[[#This Row],[Date]])+1</f>
        <v>46054</v>
      </c>
      <c r="E323" s="108">
        <f t="shared" si="33"/>
        <v>28</v>
      </c>
      <c r="F323" s="109"/>
      <c r="G323" s="110"/>
      <c r="H323" s="110"/>
      <c r="I323" s="110"/>
      <c r="J323" s="110"/>
      <c r="K323" s="111"/>
      <c r="L323" s="110"/>
      <c r="M323" s="110" t="str">
        <f>IFERROR(_xlfn.XLOOKUP($A323,Input_Raw!$A:$A,Input_Raw!$CQ:$CQ),"")</f>
        <v/>
      </c>
      <c r="N323" s="110" t="str">
        <f>IFERROR(_xlfn.XLOOKUP($A323,Input_Raw!$A:$A,Input_Raw!$CR:$CR),"")</f>
        <v/>
      </c>
      <c r="O323" s="141" t="str">
        <f t="shared" si="34"/>
        <v/>
      </c>
      <c r="P323" s="141" t="str">
        <f>IFERROR(1-SUMIF(WTG_BD!$F:$F,$A323,WTG_BD!$AA:$AA)/($AA323+SUMIF(WTG_BD!$F:$F,$A323,WTG_BD!$AA:$AA)),"")</f>
        <v/>
      </c>
      <c r="Q323" s="141" t="str">
        <f>IFERROR(1-SUMIF(IGA_BD!$F:$F,$A323,IGA_BD!$W:$W)/($AA323+SUMIF(IGA_BD!$F:$F,$A323,IGA_BD!$W:$W)),"")</f>
        <v/>
      </c>
      <c r="R323" s="141" t="str">
        <f>IFERROR(1-SUMIF(Grid_BD!$F:$F,$A323,Grid_BD!$Y:$Y)/($AA323+SUMIF(Grid_BD!$F:$F,$A323,Grid_BD!$Y:$Y)),"")</f>
        <v/>
      </c>
      <c r="S323" s="108"/>
      <c r="T323" s="140"/>
      <c r="U323" s="141"/>
      <c r="V323" s="108"/>
      <c r="W323" s="142" t="str">
        <f t="shared" si="35"/>
        <v/>
      </c>
      <c r="X323" s="108" t="str">
        <f>IFERROR(_xlfn.XLOOKUP($A323,Input_Raw!$A:$A,Input_Raw!$CP:$CP)*1000,"")</f>
        <v/>
      </c>
      <c r="Y323" s="108" t="str">
        <f>IFERROR(_xlfn.XLOOKUP($A323,Input_Raw!$A:$A,Input_Raw!DJ:DJ)*1000,"")</f>
        <v/>
      </c>
      <c r="Z323" s="108" t="str">
        <f>IFERROR(_xlfn.XLOOKUP($A323,Input_Raw!$A:$A,Input_Raw!DK:DK)*1000,"")</f>
        <v/>
      </c>
      <c r="AA323" s="138" t="str">
        <f t="shared" si="36"/>
        <v/>
      </c>
      <c r="AB323" s="108" t="str">
        <f>IFERROR(_xlfn.XLOOKUP($A323,Input_Raw!$A:$A,Input_Raw!$DR:$DR),"")</f>
        <v/>
      </c>
      <c r="AC323" s="143">
        <f>IFERROR(_xlfn.XLOOKUP($D323,'Modelling New'!$D:$D,'Modelling New'!$J:$J),"")</f>
        <v>3.9249999999999998</v>
      </c>
      <c r="AD323" s="138">
        <f>IFERROR(_xlfn.XLOOKUP($D323,'Modelling New'!$D:$D,'Modelling New'!$T:$T)*1000,"")</f>
        <v>118578.57831264066</v>
      </c>
      <c r="AE323" s="142"/>
      <c r="AF323" s="142">
        <f>IFERROR(_xlfn.XLOOKUP($D323,'Modelling New'!$D:$D,'Modelling New'!$W:$W),"")</f>
        <v>7.0181450232386741E-2</v>
      </c>
      <c r="AG323" s="142">
        <f>IFERROR(_xlfn.XLOOKUP($D323,'Modelling New'!$D:$D,'Modelling New'!$AE:$AE),"")</f>
        <v>0.96029999999999993</v>
      </c>
      <c r="AH323" s="142">
        <f>IFERROR(_xlfn.XLOOKUP($D323,'Modelling New'!$D:$D,'Modelling New'!$AF:$AF),"")</f>
        <v>0.995</v>
      </c>
      <c r="AI323" s="109" t="str">
        <f>IFERROR(_xlfn.XLOOKUP($A323,Input_Raw!$A:$A,Input_Raw!$DP:$DP),"")</f>
        <v/>
      </c>
      <c r="AJ323" s="108"/>
      <c r="AK323" s="108"/>
      <c r="AL323" s="108"/>
      <c r="AM323" s="108"/>
      <c r="AN323" s="132" t="str">
        <f>IFERROR(_xlfn.XLOOKUP($A323,Input_Raw!$A:$A,Input_Raw!$DL:$DL),"")</f>
        <v/>
      </c>
      <c r="AO323" s="142" t="str">
        <f>IFERROR((_xlfn.XLOOKUP($A323,'WTG Reactive Power'!$A:$A,'WTG Reactive Power'!$AW:$AW))/X323,"")</f>
        <v/>
      </c>
      <c r="AP323" s="142">
        <f>IFERROR(_xlfn.XLOOKUP($D323,'Modelling New'!$D:$D,'Modelling New'!$AK:$AK),"")</f>
        <v>0.05</v>
      </c>
      <c r="AQ323" s="142">
        <f>IFERROR(_xlfn.XLOOKUP($D323,'Modelling New'!$D:$D,'Modelling New'!$AL:$AL),"")</f>
        <v>0.05</v>
      </c>
      <c r="AR323" s="198">
        <f>IFERROR(_xlfn.XLOOKUP($D323,'Modelling New'!$D:$D,'Modelling New'!$N:$N),"")</f>
        <v>70.400000000000006</v>
      </c>
      <c r="AS323" s="198"/>
    </row>
    <row r="324" spans="1:45">
      <c r="A324" s="137">
        <f t="shared" si="37"/>
        <v>46067</v>
      </c>
      <c r="B324" s="138">
        <f>YEAR(Daily_KPI[[#This Row],[Date]])+IF(MONTH(Daily_KPI[[#This Row],[Date]])&gt;=4,1,0)</f>
        <v>2026</v>
      </c>
      <c r="C324" s="108">
        <f>YEAR(Daily_KPI[[#This Row],[Date]])</f>
        <v>2026</v>
      </c>
      <c r="D324" s="139">
        <f>Daily_KPI[[#This Row],[Date]]-DAY(Daily_KPI[[#This Row],[Date]])+1</f>
        <v>46054</v>
      </c>
      <c r="E324" s="108">
        <f t="shared" si="33"/>
        <v>28</v>
      </c>
      <c r="F324" s="109"/>
      <c r="G324" s="110"/>
      <c r="H324" s="110"/>
      <c r="I324" s="110"/>
      <c r="J324" s="110"/>
      <c r="K324" s="111"/>
      <c r="L324" s="110"/>
      <c r="M324" s="110" t="str">
        <f>IFERROR(_xlfn.XLOOKUP($A324,Input_Raw!$A:$A,Input_Raw!$CQ:$CQ),"")</f>
        <v/>
      </c>
      <c r="N324" s="110" t="str">
        <f>IFERROR(_xlfn.XLOOKUP($A324,Input_Raw!$A:$A,Input_Raw!$CR:$CR),"")</f>
        <v/>
      </c>
      <c r="O324" s="141" t="str">
        <f t="shared" si="34"/>
        <v/>
      </c>
      <c r="P324" s="141" t="str">
        <f>IFERROR(1-SUMIF(WTG_BD!$F:$F,$A324,WTG_BD!$AA:$AA)/($AA324+SUMIF(WTG_BD!$F:$F,$A324,WTG_BD!$AA:$AA)),"")</f>
        <v/>
      </c>
      <c r="Q324" s="141" t="str">
        <f>IFERROR(1-SUMIF(IGA_BD!$F:$F,$A324,IGA_BD!$W:$W)/($AA324+SUMIF(IGA_BD!$F:$F,$A324,IGA_BD!$W:$W)),"")</f>
        <v/>
      </c>
      <c r="R324" s="141" t="str">
        <f>IFERROR(1-SUMIF(Grid_BD!$F:$F,$A324,Grid_BD!$Y:$Y)/($AA324+SUMIF(Grid_BD!$F:$F,$A324,Grid_BD!$Y:$Y)),"")</f>
        <v/>
      </c>
      <c r="S324" s="108"/>
      <c r="T324" s="140"/>
      <c r="U324" s="141"/>
      <c r="V324" s="108"/>
      <c r="W324" s="142" t="str">
        <f t="shared" si="35"/>
        <v/>
      </c>
      <c r="X324" s="108" t="str">
        <f>IFERROR(_xlfn.XLOOKUP($A324,Input_Raw!$A:$A,Input_Raw!$CP:$CP)*1000,"")</f>
        <v/>
      </c>
      <c r="Y324" s="108" t="str">
        <f>IFERROR(_xlfn.XLOOKUP($A324,Input_Raw!$A:$A,Input_Raw!DJ:DJ)*1000,"")</f>
        <v/>
      </c>
      <c r="Z324" s="108" t="str">
        <f>IFERROR(_xlfn.XLOOKUP($A324,Input_Raw!$A:$A,Input_Raw!DK:DK)*1000,"")</f>
        <v/>
      </c>
      <c r="AA324" s="138" t="str">
        <f t="shared" si="36"/>
        <v/>
      </c>
      <c r="AB324" s="108" t="str">
        <f>IFERROR(_xlfn.XLOOKUP($A324,Input_Raw!$A:$A,Input_Raw!$DR:$DR),"")</f>
        <v/>
      </c>
      <c r="AC324" s="143">
        <f>IFERROR(_xlfn.XLOOKUP($D324,'Modelling New'!$D:$D,'Modelling New'!$J:$J),"")</f>
        <v>3.9249999999999998</v>
      </c>
      <c r="AD324" s="138">
        <f>IFERROR(_xlfn.XLOOKUP($D324,'Modelling New'!$D:$D,'Modelling New'!$T:$T)*1000,"")</f>
        <v>118578.57831264066</v>
      </c>
      <c r="AE324" s="142"/>
      <c r="AF324" s="142">
        <f>IFERROR(_xlfn.XLOOKUP($D324,'Modelling New'!$D:$D,'Modelling New'!$W:$W),"")</f>
        <v>7.0181450232386741E-2</v>
      </c>
      <c r="AG324" s="142">
        <f>IFERROR(_xlfn.XLOOKUP($D324,'Modelling New'!$D:$D,'Modelling New'!$AE:$AE),"")</f>
        <v>0.96029999999999993</v>
      </c>
      <c r="AH324" s="142">
        <f>IFERROR(_xlfn.XLOOKUP($D324,'Modelling New'!$D:$D,'Modelling New'!$AF:$AF),"")</f>
        <v>0.995</v>
      </c>
      <c r="AI324" s="109" t="str">
        <f>IFERROR(_xlfn.XLOOKUP($A324,Input_Raw!$A:$A,Input_Raw!$DP:$DP),"")</f>
        <v/>
      </c>
      <c r="AJ324" s="108"/>
      <c r="AK324" s="108"/>
      <c r="AL324" s="108"/>
      <c r="AM324" s="108"/>
      <c r="AN324" s="132" t="str">
        <f>IFERROR(_xlfn.XLOOKUP($A324,Input_Raw!$A:$A,Input_Raw!$DL:$DL),"")</f>
        <v/>
      </c>
      <c r="AO324" s="142" t="str">
        <f>IFERROR((_xlfn.XLOOKUP($A324,'WTG Reactive Power'!$A:$A,'WTG Reactive Power'!$AW:$AW))/X324,"")</f>
        <v/>
      </c>
      <c r="AP324" s="142">
        <f>IFERROR(_xlfn.XLOOKUP($D324,'Modelling New'!$D:$D,'Modelling New'!$AK:$AK),"")</f>
        <v>0.05</v>
      </c>
      <c r="AQ324" s="142">
        <f>IFERROR(_xlfn.XLOOKUP($D324,'Modelling New'!$D:$D,'Modelling New'!$AL:$AL),"")</f>
        <v>0.05</v>
      </c>
      <c r="AR324" s="198">
        <f>IFERROR(_xlfn.XLOOKUP($D324,'Modelling New'!$D:$D,'Modelling New'!$N:$N),"")</f>
        <v>70.400000000000006</v>
      </c>
      <c r="AS324" s="198"/>
    </row>
    <row r="325" spans="1:45">
      <c r="A325" s="137">
        <f t="shared" si="37"/>
        <v>46068</v>
      </c>
      <c r="B325" s="138">
        <f>YEAR(Daily_KPI[[#This Row],[Date]])+IF(MONTH(Daily_KPI[[#This Row],[Date]])&gt;=4,1,0)</f>
        <v>2026</v>
      </c>
      <c r="C325" s="108">
        <f>YEAR(Daily_KPI[[#This Row],[Date]])</f>
        <v>2026</v>
      </c>
      <c r="D325" s="139">
        <f>Daily_KPI[[#This Row],[Date]]-DAY(Daily_KPI[[#This Row],[Date]])+1</f>
        <v>46054</v>
      </c>
      <c r="E325" s="108">
        <f t="shared" si="33"/>
        <v>28</v>
      </c>
      <c r="F325" s="109"/>
      <c r="G325" s="110"/>
      <c r="H325" s="110"/>
      <c r="I325" s="110"/>
      <c r="J325" s="110"/>
      <c r="K325" s="111"/>
      <c r="L325" s="110"/>
      <c r="M325" s="110" t="str">
        <f>IFERROR(_xlfn.XLOOKUP($A325,Input_Raw!$A:$A,Input_Raw!$CQ:$CQ),"")</f>
        <v/>
      </c>
      <c r="N325" s="110" t="str">
        <f>IFERROR(_xlfn.XLOOKUP($A325,Input_Raw!$A:$A,Input_Raw!$CR:$CR),"")</f>
        <v/>
      </c>
      <c r="O325" s="141" t="str">
        <f t="shared" si="34"/>
        <v/>
      </c>
      <c r="P325" s="141" t="str">
        <f>IFERROR(1-SUMIF(WTG_BD!$F:$F,$A325,WTG_BD!$AA:$AA)/($AA325+SUMIF(WTG_BD!$F:$F,$A325,WTG_BD!$AA:$AA)),"")</f>
        <v/>
      </c>
      <c r="Q325" s="141" t="str">
        <f>IFERROR(1-SUMIF(IGA_BD!$F:$F,$A325,IGA_BD!$W:$W)/($AA325+SUMIF(IGA_BD!$F:$F,$A325,IGA_BD!$W:$W)),"")</f>
        <v/>
      </c>
      <c r="R325" s="141" t="str">
        <f>IFERROR(1-SUMIF(Grid_BD!$F:$F,$A325,Grid_BD!$Y:$Y)/($AA325+SUMIF(Grid_BD!$F:$F,$A325,Grid_BD!$Y:$Y)),"")</f>
        <v/>
      </c>
      <c r="S325" s="108"/>
      <c r="T325" s="140"/>
      <c r="U325" s="141"/>
      <c r="V325" s="108"/>
      <c r="W325" s="142" t="str">
        <f t="shared" si="35"/>
        <v/>
      </c>
      <c r="X325" s="108" t="str">
        <f>IFERROR(_xlfn.XLOOKUP($A325,Input_Raw!$A:$A,Input_Raw!$CP:$CP)*1000,"")</f>
        <v/>
      </c>
      <c r="Y325" s="108" t="str">
        <f>IFERROR(_xlfn.XLOOKUP($A325,Input_Raw!$A:$A,Input_Raw!DJ:DJ)*1000,"")</f>
        <v/>
      </c>
      <c r="Z325" s="108" t="str">
        <f>IFERROR(_xlfn.XLOOKUP($A325,Input_Raw!$A:$A,Input_Raw!DK:DK)*1000,"")</f>
        <v/>
      </c>
      <c r="AA325" s="138" t="str">
        <f t="shared" si="36"/>
        <v/>
      </c>
      <c r="AB325" s="108" t="str">
        <f>IFERROR(_xlfn.XLOOKUP($A325,Input_Raw!$A:$A,Input_Raw!$DR:$DR),"")</f>
        <v/>
      </c>
      <c r="AC325" s="143">
        <f>IFERROR(_xlfn.XLOOKUP($D325,'Modelling New'!$D:$D,'Modelling New'!$J:$J),"")</f>
        <v>3.9249999999999998</v>
      </c>
      <c r="AD325" s="138">
        <f>IFERROR(_xlfn.XLOOKUP($D325,'Modelling New'!$D:$D,'Modelling New'!$T:$T)*1000,"")</f>
        <v>118578.57831264066</v>
      </c>
      <c r="AE325" s="142"/>
      <c r="AF325" s="142">
        <f>IFERROR(_xlfn.XLOOKUP($D325,'Modelling New'!$D:$D,'Modelling New'!$W:$W),"")</f>
        <v>7.0181450232386741E-2</v>
      </c>
      <c r="AG325" s="142">
        <f>IFERROR(_xlfn.XLOOKUP($D325,'Modelling New'!$D:$D,'Modelling New'!$AE:$AE),"")</f>
        <v>0.96029999999999993</v>
      </c>
      <c r="AH325" s="142">
        <f>IFERROR(_xlfn.XLOOKUP($D325,'Modelling New'!$D:$D,'Modelling New'!$AF:$AF),"")</f>
        <v>0.995</v>
      </c>
      <c r="AI325" s="109" t="str">
        <f>IFERROR(_xlfn.XLOOKUP($A325,Input_Raw!$A:$A,Input_Raw!$DP:$DP),"")</f>
        <v/>
      </c>
      <c r="AJ325" s="108"/>
      <c r="AK325" s="108"/>
      <c r="AL325" s="108"/>
      <c r="AM325" s="108"/>
      <c r="AN325" s="132" t="str">
        <f>IFERROR(_xlfn.XLOOKUP($A325,Input_Raw!$A:$A,Input_Raw!$DL:$DL),"")</f>
        <v/>
      </c>
      <c r="AO325" s="142" t="str">
        <f>IFERROR((_xlfn.XLOOKUP($A325,'WTG Reactive Power'!$A:$A,'WTG Reactive Power'!$AW:$AW))/X325,"")</f>
        <v/>
      </c>
      <c r="AP325" s="142">
        <f>IFERROR(_xlfn.XLOOKUP($D325,'Modelling New'!$D:$D,'Modelling New'!$AK:$AK),"")</f>
        <v>0.05</v>
      </c>
      <c r="AQ325" s="142">
        <f>IFERROR(_xlfn.XLOOKUP($D325,'Modelling New'!$D:$D,'Modelling New'!$AL:$AL),"")</f>
        <v>0.05</v>
      </c>
      <c r="AR325" s="198">
        <f>IFERROR(_xlfn.XLOOKUP($D325,'Modelling New'!$D:$D,'Modelling New'!$N:$N),"")</f>
        <v>70.400000000000006</v>
      </c>
      <c r="AS325" s="198"/>
    </row>
    <row r="326" spans="1:45">
      <c r="A326" s="137">
        <f t="shared" si="37"/>
        <v>46069</v>
      </c>
      <c r="B326" s="138">
        <f>YEAR(Daily_KPI[[#This Row],[Date]])+IF(MONTH(Daily_KPI[[#This Row],[Date]])&gt;=4,1,0)</f>
        <v>2026</v>
      </c>
      <c r="C326" s="108">
        <f>YEAR(Daily_KPI[[#This Row],[Date]])</f>
        <v>2026</v>
      </c>
      <c r="D326" s="139">
        <f>Daily_KPI[[#This Row],[Date]]-DAY(Daily_KPI[[#This Row],[Date]])+1</f>
        <v>46054</v>
      </c>
      <c r="E326" s="108">
        <f t="shared" si="33"/>
        <v>28</v>
      </c>
      <c r="F326" s="109"/>
      <c r="G326" s="110"/>
      <c r="H326" s="110"/>
      <c r="I326" s="110"/>
      <c r="J326" s="110"/>
      <c r="K326" s="111"/>
      <c r="L326" s="110"/>
      <c r="M326" s="110" t="str">
        <f>IFERROR(_xlfn.XLOOKUP($A326,Input_Raw!$A:$A,Input_Raw!$CQ:$CQ),"")</f>
        <v/>
      </c>
      <c r="N326" s="110" t="str">
        <f>IFERROR(_xlfn.XLOOKUP($A326,Input_Raw!$A:$A,Input_Raw!$CR:$CR),"")</f>
        <v/>
      </c>
      <c r="O326" s="141" t="str">
        <f t="shared" si="34"/>
        <v/>
      </c>
      <c r="P326" s="141" t="str">
        <f>IFERROR(1-SUMIF(WTG_BD!$F:$F,$A326,WTG_BD!$AA:$AA)/($AA326+SUMIF(WTG_BD!$F:$F,$A326,WTG_BD!$AA:$AA)),"")</f>
        <v/>
      </c>
      <c r="Q326" s="141" t="str">
        <f>IFERROR(1-SUMIF(IGA_BD!$F:$F,$A326,IGA_BD!$W:$W)/($AA326+SUMIF(IGA_BD!$F:$F,$A326,IGA_BD!$W:$W)),"")</f>
        <v/>
      </c>
      <c r="R326" s="141" t="str">
        <f>IFERROR(1-SUMIF(Grid_BD!$F:$F,$A326,Grid_BD!$Y:$Y)/($AA326+SUMIF(Grid_BD!$F:$F,$A326,Grid_BD!$Y:$Y)),"")</f>
        <v/>
      </c>
      <c r="S326" s="108"/>
      <c r="T326" s="140"/>
      <c r="U326" s="141"/>
      <c r="V326" s="108"/>
      <c r="W326" s="142" t="str">
        <f t="shared" si="35"/>
        <v/>
      </c>
      <c r="X326" s="108" t="str">
        <f>IFERROR(_xlfn.XLOOKUP($A326,Input_Raw!$A:$A,Input_Raw!$CP:$CP)*1000,"")</f>
        <v/>
      </c>
      <c r="Y326" s="108" t="str">
        <f>IFERROR(_xlfn.XLOOKUP($A326,Input_Raw!$A:$A,Input_Raw!DJ:DJ)*1000,"")</f>
        <v/>
      </c>
      <c r="Z326" s="108" t="str">
        <f>IFERROR(_xlfn.XLOOKUP($A326,Input_Raw!$A:$A,Input_Raw!DK:DK)*1000,"")</f>
        <v/>
      </c>
      <c r="AA326" s="138" t="str">
        <f t="shared" si="36"/>
        <v/>
      </c>
      <c r="AB326" s="108" t="str">
        <f>IFERROR(_xlfn.XLOOKUP($A326,Input_Raw!$A:$A,Input_Raw!$DR:$DR),"")</f>
        <v/>
      </c>
      <c r="AC326" s="143">
        <f>IFERROR(_xlfn.XLOOKUP($D326,'Modelling New'!$D:$D,'Modelling New'!$J:$J),"")</f>
        <v>3.9249999999999998</v>
      </c>
      <c r="AD326" s="138">
        <f>IFERROR(_xlfn.XLOOKUP($D326,'Modelling New'!$D:$D,'Modelling New'!$T:$T)*1000,"")</f>
        <v>118578.57831264066</v>
      </c>
      <c r="AE326" s="142"/>
      <c r="AF326" s="142">
        <f>IFERROR(_xlfn.XLOOKUP($D326,'Modelling New'!$D:$D,'Modelling New'!$W:$W),"")</f>
        <v>7.0181450232386741E-2</v>
      </c>
      <c r="AG326" s="142">
        <f>IFERROR(_xlfn.XLOOKUP($D326,'Modelling New'!$D:$D,'Modelling New'!$AE:$AE),"")</f>
        <v>0.96029999999999993</v>
      </c>
      <c r="AH326" s="142">
        <f>IFERROR(_xlfn.XLOOKUP($D326,'Modelling New'!$D:$D,'Modelling New'!$AF:$AF),"")</f>
        <v>0.995</v>
      </c>
      <c r="AI326" s="109" t="str">
        <f>IFERROR(_xlfn.XLOOKUP($A326,Input_Raw!$A:$A,Input_Raw!$DP:$DP),"")</f>
        <v/>
      </c>
      <c r="AJ326" s="108"/>
      <c r="AK326" s="108"/>
      <c r="AL326" s="108"/>
      <c r="AM326" s="108"/>
      <c r="AN326" s="132" t="str">
        <f>IFERROR(_xlfn.XLOOKUP($A326,Input_Raw!$A:$A,Input_Raw!$DL:$DL),"")</f>
        <v/>
      </c>
      <c r="AO326" s="142" t="str">
        <f>IFERROR((_xlfn.XLOOKUP($A326,'WTG Reactive Power'!$A:$A,'WTG Reactive Power'!$AW:$AW))/X326,"")</f>
        <v/>
      </c>
      <c r="AP326" s="142">
        <f>IFERROR(_xlfn.XLOOKUP($D326,'Modelling New'!$D:$D,'Modelling New'!$AK:$AK),"")</f>
        <v>0.05</v>
      </c>
      <c r="AQ326" s="142">
        <f>IFERROR(_xlfn.XLOOKUP($D326,'Modelling New'!$D:$D,'Modelling New'!$AL:$AL),"")</f>
        <v>0.05</v>
      </c>
      <c r="AR326" s="198">
        <f>IFERROR(_xlfn.XLOOKUP($D326,'Modelling New'!$D:$D,'Modelling New'!$N:$N),"")</f>
        <v>70.400000000000006</v>
      </c>
      <c r="AS326" s="198"/>
    </row>
    <row r="327" spans="1:45">
      <c r="A327" s="137">
        <f t="shared" si="37"/>
        <v>46070</v>
      </c>
      <c r="B327" s="138">
        <f>YEAR(Daily_KPI[[#This Row],[Date]])+IF(MONTH(Daily_KPI[[#This Row],[Date]])&gt;=4,1,0)</f>
        <v>2026</v>
      </c>
      <c r="C327" s="108">
        <f>YEAR(Daily_KPI[[#This Row],[Date]])</f>
        <v>2026</v>
      </c>
      <c r="D327" s="139">
        <f>Daily_KPI[[#This Row],[Date]]-DAY(Daily_KPI[[#This Row],[Date]])+1</f>
        <v>46054</v>
      </c>
      <c r="E327" s="108">
        <f t="shared" si="33"/>
        <v>28</v>
      </c>
      <c r="F327" s="109"/>
      <c r="G327" s="110"/>
      <c r="H327" s="110"/>
      <c r="I327" s="110"/>
      <c r="J327" s="110"/>
      <c r="K327" s="111"/>
      <c r="L327" s="110"/>
      <c r="M327" s="110" t="str">
        <f>IFERROR(_xlfn.XLOOKUP($A327,Input_Raw!$A:$A,Input_Raw!$CQ:$CQ),"")</f>
        <v/>
      </c>
      <c r="N327" s="110" t="str">
        <f>IFERROR(_xlfn.XLOOKUP($A327,Input_Raw!$A:$A,Input_Raw!$CR:$CR),"")</f>
        <v/>
      </c>
      <c r="O327" s="141" t="str">
        <f t="shared" si="34"/>
        <v/>
      </c>
      <c r="P327" s="141" t="str">
        <f>IFERROR(1-SUMIF(WTG_BD!$F:$F,$A327,WTG_BD!$AA:$AA)/($AA327+SUMIF(WTG_BD!$F:$F,$A327,WTG_BD!$AA:$AA)),"")</f>
        <v/>
      </c>
      <c r="Q327" s="141" t="str">
        <f>IFERROR(1-SUMIF(IGA_BD!$F:$F,$A327,IGA_BD!$W:$W)/($AA327+SUMIF(IGA_BD!$F:$F,$A327,IGA_BD!$W:$W)),"")</f>
        <v/>
      </c>
      <c r="R327" s="141" t="str">
        <f>IFERROR(1-SUMIF(Grid_BD!$F:$F,$A327,Grid_BD!$Y:$Y)/($AA327+SUMIF(Grid_BD!$F:$F,$A327,Grid_BD!$Y:$Y)),"")</f>
        <v/>
      </c>
      <c r="S327" s="108"/>
      <c r="T327" s="140"/>
      <c r="U327" s="141"/>
      <c r="V327" s="108"/>
      <c r="W327" s="142" t="str">
        <f t="shared" si="35"/>
        <v/>
      </c>
      <c r="X327" s="108" t="str">
        <f>IFERROR(_xlfn.XLOOKUP($A327,Input_Raw!$A:$A,Input_Raw!$CP:$CP)*1000,"")</f>
        <v/>
      </c>
      <c r="Y327" s="108" t="str">
        <f>IFERROR(_xlfn.XLOOKUP($A327,Input_Raw!$A:$A,Input_Raw!DJ:DJ)*1000,"")</f>
        <v/>
      </c>
      <c r="Z327" s="108" t="str">
        <f>IFERROR(_xlfn.XLOOKUP($A327,Input_Raw!$A:$A,Input_Raw!DK:DK)*1000,"")</f>
        <v/>
      </c>
      <c r="AA327" s="138" t="str">
        <f t="shared" si="36"/>
        <v/>
      </c>
      <c r="AB327" s="108" t="str">
        <f>IFERROR(_xlfn.XLOOKUP($A327,Input_Raw!$A:$A,Input_Raw!$DR:$DR),"")</f>
        <v/>
      </c>
      <c r="AC327" s="143">
        <f>IFERROR(_xlfn.XLOOKUP($D327,'Modelling New'!$D:$D,'Modelling New'!$J:$J),"")</f>
        <v>3.9249999999999998</v>
      </c>
      <c r="AD327" s="138">
        <f>IFERROR(_xlfn.XLOOKUP($D327,'Modelling New'!$D:$D,'Modelling New'!$T:$T)*1000,"")</f>
        <v>118578.57831264066</v>
      </c>
      <c r="AE327" s="142"/>
      <c r="AF327" s="142">
        <f>IFERROR(_xlfn.XLOOKUP($D327,'Modelling New'!$D:$D,'Modelling New'!$W:$W),"")</f>
        <v>7.0181450232386741E-2</v>
      </c>
      <c r="AG327" s="142">
        <f>IFERROR(_xlfn.XLOOKUP($D327,'Modelling New'!$D:$D,'Modelling New'!$AE:$AE),"")</f>
        <v>0.96029999999999993</v>
      </c>
      <c r="AH327" s="142">
        <f>IFERROR(_xlfn.XLOOKUP($D327,'Modelling New'!$D:$D,'Modelling New'!$AF:$AF),"")</f>
        <v>0.995</v>
      </c>
      <c r="AI327" s="109" t="str">
        <f>IFERROR(_xlfn.XLOOKUP($A327,Input_Raw!$A:$A,Input_Raw!$DP:$DP),"")</f>
        <v/>
      </c>
      <c r="AJ327" s="108"/>
      <c r="AK327" s="108"/>
      <c r="AL327" s="108"/>
      <c r="AM327" s="108"/>
      <c r="AN327" s="132" t="str">
        <f>IFERROR(_xlfn.XLOOKUP($A327,Input_Raw!$A:$A,Input_Raw!$DL:$DL),"")</f>
        <v/>
      </c>
      <c r="AO327" s="142" t="str">
        <f>IFERROR((_xlfn.XLOOKUP($A327,'WTG Reactive Power'!$A:$A,'WTG Reactive Power'!$AW:$AW))/X327,"")</f>
        <v/>
      </c>
      <c r="AP327" s="142">
        <f>IFERROR(_xlfn.XLOOKUP($D327,'Modelling New'!$D:$D,'Modelling New'!$AK:$AK),"")</f>
        <v>0.05</v>
      </c>
      <c r="AQ327" s="142">
        <f>IFERROR(_xlfn.XLOOKUP($D327,'Modelling New'!$D:$D,'Modelling New'!$AL:$AL),"")</f>
        <v>0.05</v>
      </c>
      <c r="AR327" s="198">
        <f>IFERROR(_xlfn.XLOOKUP($D327,'Modelling New'!$D:$D,'Modelling New'!$N:$N),"")</f>
        <v>70.400000000000006</v>
      </c>
      <c r="AS327" s="198"/>
    </row>
    <row r="328" spans="1:45">
      <c r="A328" s="137">
        <f t="shared" si="37"/>
        <v>46071</v>
      </c>
      <c r="B328" s="138">
        <f>YEAR(Daily_KPI[[#This Row],[Date]])+IF(MONTH(Daily_KPI[[#This Row],[Date]])&gt;=4,1,0)</f>
        <v>2026</v>
      </c>
      <c r="C328" s="108">
        <f>YEAR(Daily_KPI[[#This Row],[Date]])</f>
        <v>2026</v>
      </c>
      <c r="D328" s="139">
        <f>Daily_KPI[[#This Row],[Date]]-DAY(Daily_KPI[[#This Row],[Date]])+1</f>
        <v>46054</v>
      </c>
      <c r="E328" s="108">
        <f t="shared" si="33"/>
        <v>28</v>
      </c>
      <c r="F328" s="109"/>
      <c r="G328" s="110"/>
      <c r="H328" s="110"/>
      <c r="I328" s="110"/>
      <c r="J328" s="110"/>
      <c r="K328" s="111"/>
      <c r="L328" s="110"/>
      <c r="M328" s="110" t="str">
        <f>IFERROR(_xlfn.XLOOKUP($A328,Input_Raw!$A:$A,Input_Raw!$CQ:$CQ),"")</f>
        <v/>
      </c>
      <c r="N328" s="110" t="str">
        <f>IFERROR(_xlfn.XLOOKUP($A328,Input_Raw!$A:$A,Input_Raw!$CR:$CR),"")</f>
        <v/>
      </c>
      <c r="O328" s="141" t="str">
        <f t="shared" si="34"/>
        <v/>
      </c>
      <c r="P328" s="141" t="str">
        <f>IFERROR(1-SUMIF(WTG_BD!$F:$F,$A328,WTG_BD!$AA:$AA)/($AA328+SUMIF(WTG_BD!$F:$F,$A328,WTG_BD!$AA:$AA)),"")</f>
        <v/>
      </c>
      <c r="Q328" s="141" t="str">
        <f>IFERROR(1-SUMIF(IGA_BD!$F:$F,$A328,IGA_BD!$W:$W)/($AA328+SUMIF(IGA_BD!$F:$F,$A328,IGA_BD!$W:$W)),"")</f>
        <v/>
      </c>
      <c r="R328" s="141" t="str">
        <f>IFERROR(1-SUMIF(Grid_BD!$F:$F,$A328,Grid_BD!$Y:$Y)/($AA328+SUMIF(Grid_BD!$F:$F,$A328,Grid_BD!$Y:$Y)),"")</f>
        <v/>
      </c>
      <c r="S328" s="108"/>
      <c r="T328" s="140"/>
      <c r="U328" s="141"/>
      <c r="V328" s="108"/>
      <c r="W328" s="142" t="str">
        <f t="shared" si="35"/>
        <v/>
      </c>
      <c r="X328" s="108" t="str">
        <f>IFERROR(_xlfn.XLOOKUP($A328,Input_Raw!$A:$A,Input_Raw!$CP:$CP)*1000,"")</f>
        <v/>
      </c>
      <c r="Y328" s="108" t="str">
        <f>IFERROR(_xlfn.XLOOKUP($A328,Input_Raw!$A:$A,Input_Raw!DJ:DJ)*1000,"")</f>
        <v/>
      </c>
      <c r="Z328" s="108" t="str">
        <f>IFERROR(_xlfn.XLOOKUP($A328,Input_Raw!$A:$A,Input_Raw!DK:DK)*1000,"")</f>
        <v/>
      </c>
      <c r="AA328" s="138" t="str">
        <f t="shared" si="36"/>
        <v/>
      </c>
      <c r="AB328" s="108" t="str">
        <f>IFERROR(_xlfn.XLOOKUP($A328,Input_Raw!$A:$A,Input_Raw!$DR:$DR),"")</f>
        <v/>
      </c>
      <c r="AC328" s="143">
        <f>IFERROR(_xlfn.XLOOKUP($D328,'Modelling New'!$D:$D,'Modelling New'!$J:$J),"")</f>
        <v>3.9249999999999998</v>
      </c>
      <c r="AD328" s="138">
        <f>IFERROR(_xlfn.XLOOKUP($D328,'Modelling New'!$D:$D,'Modelling New'!$T:$T)*1000,"")</f>
        <v>118578.57831264066</v>
      </c>
      <c r="AE328" s="142"/>
      <c r="AF328" s="142">
        <f>IFERROR(_xlfn.XLOOKUP($D328,'Modelling New'!$D:$D,'Modelling New'!$W:$W),"")</f>
        <v>7.0181450232386741E-2</v>
      </c>
      <c r="AG328" s="142">
        <f>IFERROR(_xlfn.XLOOKUP($D328,'Modelling New'!$D:$D,'Modelling New'!$AE:$AE),"")</f>
        <v>0.96029999999999993</v>
      </c>
      <c r="AH328" s="142">
        <f>IFERROR(_xlfn.XLOOKUP($D328,'Modelling New'!$D:$D,'Modelling New'!$AF:$AF),"")</f>
        <v>0.995</v>
      </c>
      <c r="AI328" s="109" t="str">
        <f>IFERROR(_xlfn.XLOOKUP($A328,Input_Raw!$A:$A,Input_Raw!$DP:$DP),"")</f>
        <v/>
      </c>
      <c r="AJ328" s="108"/>
      <c r="AK328" s="108"/>
      <c r="AL328" s="108"/>
      <c r="AM328" s="108"/>
      <c r="AN328" s="132" t="str">
        <f>IFERROR(_xlfn.XLOOKUP($A328,Input_Raw!$A:$A,Input_Raw!$DL:$DL),"")</f>
        <v/>
      </c>
      <c r="AO328" s="142" t="str">
        <f>IFERROR((_xlfn.XLOOKUP($A328,'WTG Reactive Power'!$A:$A,'WTG Reactive Power'!$AW:$AW))/X328,"")</f>
        <v/>
      </c>
      <c r="AP328" s="142">
        <f>IFERROR(_xlfn.XLOOKUP($D328,'Modelling New'!$D:$D,'Modelling New'!$AK:$AK),"")</f>
        <v>0.05</v>
      </c>
      <c r="AQ328" s="142">
        <f>IFERROR(_xlfn.XLOOKUP($D328,'Modelling New'!$D:$D,'Modelling New'!$AL:$AL),"")</f>
        <v>0.05</v>
      </c>
      <c r="AR328" s="198">
        <f>IFERROR(_xlfn.XLOOKUP($D328,'Modelling New'!$D:$D,'Modelling New'!$N:$N),"")</f>
        <v>70.400000000000006</v>
      </c>
      <c r="AS328" s="198"/>
    </row>
    <row r="329" spans="1:45">
      <c r="A329" s="137">
        <f t="shared" si="37"/>
        <v>46072</v>
      </c>
      <c r="B329" s="138">
        <f>YEAR(Daily_KPI[[#This Row],[Date]])+IF(MONTH(Daily_KPI[[#This Row],[Date]])&gt;=4,1,0)</f>
        <v>2026</v>
      </c>
      <c r="C329" s="108">
        <f>YEAR(Daily_KPI[[#This Row],[Date]])</f>
        <v>2026</v>
      </c>
      <c r="D329" s="139">
        <f>Daily_KPI[[#This Row],[Date]]-DAY(Daily_KPI[[#This Row],[Date]])+1</f>
        <v>46054</v>
      </c>
      <c r="E329" s="108">
        <f t="shared" si="33"/>
        <v>28</v>
      </c>
      <c r="F329" s="109"/>
      <c r="G329" s="110"/>
      <c r="H329" s="110"/>
      <c r="I329" s="110"/>
      <c r="J329" s="110"/>
      <c r="K329" s="111"/>
      <c r="L329" s="110"/>
      <c r="M329" s="110" t="str">
        <f>IFERROR(_xlfn.XLOOKUP($A329,Input_Raw!$A:$A,Input_Raw!$CQ:$CQ),"")</f>
        <v/>
      </c>
      <c r="N329" s="110" t="str">
        <f>IFERROR(_xlfn.XLOOKUP($A329,Input_Raw!$A:$A,Input_Raw!$CR:$CR),"")</f>
        <v/>
      </c>
      <c r="O329" s="141" t="str">
        <f t="shared" si="34"/>
        <v/>
      </c>
      <c r="P329" s="141" t="str">
        <f>IFERROR(1-SUMIF(WTG_BD!$F:$F,$A329,WTG_BD!$AA:$AA)/($AA329+SUMIF(WTG_BD!$F:$F,$A329,WTG_BD!$AA:$AA)),"")</f>
        <v/>
      </c>
      <c r="Q329" s="141" t="str">
        <f>IFERROR(1-SUMIF(IGA_BD!$F:$F,$A329,IGA_BD!$W:$W)/($AA329+SUMIF(IGA_BD!$F:$F,$A329,IGA_BD!$W:$W)),"")</f>
        <v/>
      </c>
      <c r="R329" s="141" t="str">
        <f>IFERROR(1-SUMIF(Grid_BD!$F:$F,$A329,Grid_BD!$Y:$Y)/($AA329+SUMIF(Grid_BD!$F:$F,$A329,Grid_BD!$Y:$Y)),"")</f>
        <v/>
      </c>
      <c r="S329" s="108"/>
      <c r="T329" s="140"/>
      <c r="U329" s="141"/>
      <c r="V329" s="108"/>
      <c r="W329" s="142" t="str">
        <f t="shared" si="35"/>
        <v/>
      </c>
      <c r="X329" s="108" t="str">
        <f>IFERROR(_xlfn.XLOOKUP($A329,Input_Raw!$A:$A,Input_Raw!$CP:$CP)*1000,"")</f>
        <v/>
      </c>
      <c r="Y329" s="108" t="str">
        <f>IFERROR(_xlfn.XLOOKUP($A329,Input_Raw!$A:$A,Input_Raw!DJ:DJ)*1000,"")</f>
        <v/>
      </c>
      <c r="Z329" s="108" t="str">
        <f>IFERROR(_xlfn.XLOOKUP($A329,Input_Raw!$A:$A,Input_Raw!DK:DK)*1000,"")</f>
        <v/>
      </c>
      <c r="AA329" s="138" t="str">
        <f t="shared" si="36"/>
        <v/>
      </c>
      <c r="AB329" s="108" t="str">
        <f>IFERROR(_xlfn.XLOOKUP($A329,Input_Raw!$A:$A,Input_Raw!$DR:$DR),"")</f>
        <v/>
      </c>
      <c r="AC329" s="143">
        <f>IFERROR(_xlfn.XLOOKUP($D329,'Modelling New'!$D:$D,'Modelling New'!$J:$J),"")</f>
        <v>3.9249999999999998</v>
      </c>
      <c r="AD329" s="138">
        <f>IFERROR(_xlfn.XLOOKUP($D329,'Modelling New'!$D:$D,'Modelling New'!$T:$T)*1000,"")</f>
        <v>118578.57831264066</v>
      </c>
      <c r="AE329" s="142"/>
      <c r="AF329" s="142">
        <f>IFERROR(_xlfn.XLOOKUP($D329,'Modelling New'!$D:$D,'Modelling New'!$W:$W),"")</f>
        <v>7.0181450232386741E-2</v>
      </c>
      <c r="AG329" s="142">
        <f>IFERROR(_xlfn.XLOOKUP($D329,'Modelling New'!$D:$D,'Modelling New'!$AE:$AE),"")</f>
        <v>0.96029999999999993</v>
      </c>
      <c r="AH329" s="142">
        <f>IFERROR(_xlfn.XLOOKUP($D329,'Modelling New'!$D:$D,'Modelling New'!$AF:$AF),"")</f>
        <v>0.995</v>
      </c>
      <c r="AI329" s="109" t="str">
        <f>IFERROR(_xlfn.XLOOKUP($A329,Input_Raw!$A:$A,Input_Raw!$DP:$DP),"")</f>
        <v/>
      </c>
      <c r="AJ329" s="108"/>
      <c r="AK329" s="108"/>
      <c r="AL329" s="108"/>
      <c r="AM329" s="108"/>
      <c r="AN329" s="132" t="str">
        <f>IFERROR(_xlfn.XLOOKUP($A329,Input_Raw!$A:$A,Input_Raw!$DL:$DL),"")</f>
        <v/>
      </c>
      <c r="AO329" s="142" t="str">
        <f>IFERROR((_xlfn.XLOOKUP($A329,'WTG Reactive Power'!$A:$A,'WTG Reactive Power'!$AW:$AW))/X329,"")</f>
        <v/>
      </c>
      <c r="AP329" s="142">
        <f>IFERROR(_xlfn.XLOOKUP($D329,'Modelling New'!$D:$D,'Modelling New'!$AK:$AK),"")</f>
        <v>0.05</v>
      </c>
      <c r="AQ329" s="142">
        <f>IFERROR(_xlfn.XLOOKUP($D329,'Modelling New'!$D:$D,'Modelling New'!$AL:$AL),"")</f>
        <v>0.05</v>
      </c>
      <c r="AR329" s="198">
        <f>IFERROR(_xlfn.XLOOKUP($D329,'Modelling New'!$D:$D,'Modelling New'!$N:$N),"")</f>
        <v>70.400000000000006</v>
      </c>
      <c r="AS329" s="198"/>
    </row>
    <row r="330" spans="1:45">
      <c r="A330" s="137">
        <f t="shared" si="37"/>
        <v>46073</v>
      </c>
      <c r="B330" s="138">
        <f>YEAR(Daily_KPI[[#This Row],[Date]])+IF(MONTH(Daily_KPI[[#This Row],[Date]])&gt;=4,1,0)</f>
        <v>2026</v>
      </c>
      <c r="C330" s="108">
        <f>YEAR(Daily_KPI[[#This Row],[Date]])</f>
        <v>2026</v>
      </c>
      <c r="D330" s="139">
        <f>Daily_KPI[[#This Row],[Date]]-DAY(Daily_KPI[[#This Row],[Date]])+1</f>
        <v>46054</v>
      </c>
      <c r="E330" s="108">
        <f t="shared" si="33"/>
        <v>28</v>
      </c>
      <c r="F330" s="109"/>
      <c r="G330" s="110"/>
      <c r="H330" s="110"/>
      <c r="I330" s="110"/>
      <c r="J330" s="110"/>
      <c r="K330" s="111"/>
      <c r="L330" s="110"/>
      <c r="M330" s="110" t="str">
        <f>IFERROR(_xlfn.XLOOKUP($A330,Input_Raw!$A:$A,Input_Raw!$CQ:$CQ),"")</f>
        <v/>
      </c>
      <c r="N330" s="110" t="str">
        <f>IFERROR(_xlfn.XLOOKUP($A330,Input_Raw!$A:$A,Input_Raw!$CR:$CR),"")</f>
        <v/>
      </c>
      <c r="O330" s="141" t="str">
        <f t="shared" si="34"/>
        <v/>
      </c>
      <c r="P330" s="141" t="str">
        <f>IFERROR(1-SUMIF(WTG_BD!$F:$F,$A330,WTG_BD!$AA:$AA)/($AA330+SUMIF(WTG_BD!$F:$F,$A330,WTG_BD!$AA:$AA)),"")</f>
        <v/>
      </c>
      <c r="Q330" s="141" t="str">
        <f>IFERROR(1-SUMIF(IGA_BD!$F:$F,$A330,IGA_BD!$W:$W)/($AA330+SUMIF(IGA_BD!$F:$F,$A330,IGA_BD!$W:$W)),"")</f>
        <v/>
      </c>
      <c r="R330" s="141" t="str">
        <f>IFERROR(1-SUMIF(Grid_BD!$F:$F,$A330,Grid_BD!$Y:$Y)/($AA330+SUMIF(Grid_BD!$F:$F,$A330,Grid_BD!$Y:$Y)),"")</f>
        <v/>
      </c>
      <c r="S330" s="108"/>
      <c r="T330" s="140"/>
      <c r="U330" s="141"/>
      <c r="V330" s="108"/>
      <c r="W330" s="142" t="str">
        <f t="shared" si="35"/>
        <v/>
      </c>
      <c r="X330" s="108" t="str">
        <f>IFERROR(_xlfn.XLOOKUP($A330,Input_Raw!$A:$A,Input_Raw!$CP:$CP)*1000,"")</f>
        <v/>
      </c>
      <c r="Y330" s="108" t="str">
        <f>IFERROR(_xlfn.XLOOKUP($A330,Input_Raw!$A:$A,Input_Raw!DJ:DJ)*1000,"")</f>
        <v/>
      </c>
      <c r="Z330" s="108" t="str">
        <f>IFERROR(_xlfn.XLOOKUP($A330,Input_Raw!$A:$A,Input_Raw!DK:DK)*1000,"")</f>
        <v/>
      </c>
      <c r="AA330" s="138" t="str">
        <f t="shared" si="36"/>
        <v/>
      </c>
      <c r="AB330" s="108" t="str">
        <f>IFERROR(_xlfn.XLOOKUP($A330,Input_Raw!$A:$A,Input_Raw!$DR:$DR),"")</f>
        <v/>
      </c>
      <c r="AC330" s="143">
        <f>IFERROR(_xlfn.XLOOKUP($D330,'Modelling New'!$D:$D,'Modelling New'!$J:$J),"")</f>
        <v>3.9249999999999998</v>
      </c>
      <c r="AD330" s="138">
        <f>IFERROR(_xlfn.XLOOKUP($D330,'Modelling New'!$D:$D,'Modelling New'!$T:$T)*1000,"")</f>
        <v>118578.57831264066</v>
      </c>
      <c r="AE330" s="142"/>
      <c r="AF330" s="142">
        <f>IFERROR(_xlfn.XLOOKUP($D330,'Modelling New'!$D:$D,'Modelling New'!$W:$W),"")</f>
        <v>7.0181450232386741E-2</v>
      </c>
      <c r="AG330" s="142">
        <f>IFERROR(_xlfn.XLOOKUP($D330,'Modelling New'!$D:$D,'Modelling New'!$AE:$AE),"")</f>
        <v>0.96029999999999993</v>
      </c>
      <c r="AH330" s="142">
        <f>IFERROR(_xlfn.XLOOKUP($D330,'Modelling New'!$D:$D,'Modelling New'!$AF:$AF),"")</f>
        <v>0.995</v>
      </c>
      <c r="AI330" s="109" t="str">
        <f>IFERROR(_xlfn.XLOOKUP($A330,Input_Raw!$A:$A,Input_Raw!$DP:$DP),"")</f>
        <v/>
      </c>
      <c r="AJ330" s="108"/>
      <c r="AK330" s="108"/>
      <c r="AL330" s="108"/>
      <c r="AM330" s="108"/>
      <c r="AN330" s="132" t="str">
        <f>IFERROR(_xlfn.XLOOKUP($A330,Input_Raw!$A:$A,Input_Raw!$DL:$DL),"")</f>
        <v/>
      </c>
      <c r="AO330" s="142" t="str">
        <f>IFERROR((_xlfn.XLOOKUP($A330,'WTG Reactive Power'!$A:$A,'WTG Reactive Power'!$AW:$AW))/X330,"")</f>
        <v/>
      </c>
      <c r="AP330" s="142">
        <f>IFERROR(_xlfn.XLOOKUP($D330,'Modelling New'!$D:$D,'Modelling New'!$AK:$AK),"")</f>
        <v>0.05</v>
      </c>
      <c r="AQ330" s="142">
        <f>IFERROR(_xlfn.XLOOKUP($D330,'Modelling New'!$D:$D,'Modelling New'!$AL:$AL),"")</f>
        <v>0.05</v>
      </c>
      <c r="AR330" s="198">
        <f>IFERROR(_xlfn.XLOOKUP($D330,'Modelling New'!$D:$D,'Modelling New'!$N:$N),"")</f>
        <v>70.400000000000006</v>
      </c>
      <c r="AS330" s="198"/>
    </row>
    <row r="331" spans="1:45">
      <c r="A331" s="137">
        <f t="shared" si="37"/>
        <v>46074</v>
      </c>
      <c r="B331" s="138">
        <f>YEAR(Daily_KPI[[#This Row],[Date]])+IF(MONTH(Daily_KPI[[#This Row],[Date]])&gt;=4,1,0)</f>
        <v>2026</v>
      </c>
      <c r="C331" s="108">
        <f>YEAR(Daily_KPI[[#This Row],[Date]])</f>
        <v>2026</v>
      </c>
      <c r="D331" s="139">
        <f>Daily_KPI[[#This Row],[Date]]-DAY(Daily_KPI[[#This Row],[Date]])+1</f>
        <v>46054</v>
      </c>
      <c r="E331" s="108">
        <f t="shared" si="33"/>
        <v>28</v>
      </c>
      <c r="F331" s="109"/>
      <c r="G331" s="110"/>
      <c r="H331" s="110"/>
      <c r="I331" s="110"/>
      <c r="J331" s="110"/>
      <c r="K331" s="111"/>
      <c r="L331" s="110"/>
      <c r="M331" s="110" t="str">
        <f>IFERROR(_xlfn.XLOOKUP($A331,Input_Raw!$A:$A,Input_Raw!$CQ:$CQ),"")</f>
        <v/>
      </c>
      <c r="N331" s="110" t="str">
        <f>IFERROR(_xlfn.XLOOKUP($A331,Input_Raw!$A:$A,Input_Raw!$CR:$CR),"")</f>
        <v/>
      </c>
      <c r="O331" s="141" t="str">
        <f t="shared" si="34"/>
        <v/>
      </c>
      <c r="P331" s="141" t="str">
        <f>IFERROR(1-SUMIF(WTG_BD!$F:$F,$A331,WTG_BD!$AA:$AA)/($AA331+SUMIF(WTG_BD!$F:$F,$A331,WTG_BD!$AA:$AA)),"")</f>
        <v/>
      </c>
      <c r="Q331" s="141" t="str">
        <f>IFERROR(1-SUMIF(IGA_BD!$F:$F,$A331,IGA_BD!$W:$W)/($AA331+SUMIF(IGA_BD!$F:$F,$A331,IGA_BD!$W:$W)),"")</f>
        <v/>
      </c>
      <c r="R331" s="141" t="str">
        <f>IFERROR(1-SUMIF(Grid_BD!$F:$F,$A331,Grid_BD!$Y:$Y)/($AA331+SUMIF(Grid_BD!$F:$F,$A331,Grid_BD!$Y:$Y)),"")</f>
        <v/>
      </c>
      <c r="S331" s="108"/>
      <c r="T331" s="140"/>
      <c r="U331" s="141"/>
      <c r="V331" s="108"/>
      <c r="W331" s="142" t="str">
        <f t="shared" si="35"/>
        <v/>
      </c>
      <c r="X331" s="108" t="str">
        <f>IFERROR(_xlfn.XLOOKUP($A331,Input_Raw!$A:$A,Input_Raw!$CP:$CP)*1000,"")</f>
        <v/>
      </c>
      <c r="Y331" s="108" t="str">
        <f>IFERROR(_xlfn.XLOOKUP($A331,Input_Raw!$A:$A,Input_Raw!DJ:DJ)*1000,"")</f>
        <v/>
      </c>
      <c r="Z331" s="108" t="str">
        <f>IFERROR(_xlfn.XLOOKUP($A331,Input_Raw!$A:$A,Input_Raw!DK:DK)*1000,"")</f>
        <v/>
      </c>
      <c r="AA331" s="138" t="str">
        <f t="shared" si="36"/>
        <v/>
      </c>
      <c r="AB331" s="108" t="str">
        <f>IFERROR(_xlfn.XLOOKUP($A331,Input_Raw!$A:$A,Input_Raw!$DR:$DR),"")</f>
        <v/>
      </c>
      <c r="AC331" s="143">
        <f>IFERROR(_xlfn.XLOOKUP($D331,'Modelling New'!$D:$D,'Modelling New'!$J:$J),"")</f>
        <v>3.9249999999999998</v>
      </c>
      <c r="AD331" s="138">
        <f>IFERROR(_xlfn.XLOOKUP($D331,'Modelling New'!$D:$D,'Modelling New'!$T:$T)*1000,"")</f>
        <v>118578.57831264066</v>
      </c>
      <c r="AE331" s="142"/>
      <c r="AF331" s="142">
        <f>IFERROR(_xlfn.XLOOKUP($D331,'Modelling New'!$D:$D,'Modelling New'!$W:$W),"")</f>
        <v>7.0181450232386741E-2</v>
      </c>
      <c r="AG331" s="142">
        <f>IFERROR(_xlfn.XLOOKUP($D331,'Modelling New'!$D:$D,'Modelling New'!$AE:$AE),"")</f>
        <v>0.96029999999999993</v>
      </c>
      <c r="AH331" s="142">
        <f>IFERROR(_xlfn.XLOOKUP($D331,'Modelling New'!$D:$D,'Modelling New'!$AF:$AF),"")</f>
        <v>0.995</v>
      </c>
      <c r="AI331" s="109" t="str">
        <f>IFERROR(_xlfn.XLOOKUP($A331,Input_Raw!$A:$A,Input_Raw!$DP:$DP),"")</f>
        <v/>
      </c>
      <c r="AJ331" s="108"/>
      <c r="AK331" s="108"/>
      <c r="AL331" s="108"/>
      <c r="AM331" s="108"/>
      <c r="AN331" s="132" t="str">
        <f>IFERROR(_xlfn.XLOOKUP($A331,Input_Raw!$A:$A,Input_Raw!$DL:$DL),"")</f>
        <v/>
      </c>
      <c r="AO331" s="142" t="str">
        <f>IFERROR((_xlfn.XLOOKUP($A331,'WTG Reactive Power'!$A:$A,'WTG Reactive Power'!$AW:$AW))/X331,"")</f>
        <v/>
      </c>
      <c r="AP331" s="142">
        <f>IFERROR(_xlfn.XLOOKUP($D331,'Modelling New'!$D:$D,'Modelling New'!$AK:$AK),"")</f>
        <v>0.05</v>
      </c>
      <c r="AQ331" s="142">
        <f>IFERROR(_xlfn.XLOOKUP($D331,'Modelling New'!$D:$D,'Modelling New'!$AL:$AL),"")</f>
        <v>0.05</v>
      </c>
      <c r="AR331" s="198">
        <f>IFERROR(_xlfn.XLOOKUP($D331,'Modelling New'!$D:$D,'Modelling New'!$N:$N),"")</f>
        <v>70.400000000000006</v>
      </c>
      <c r="AS331" s="198"/>
    </row>
    <row r="332" spans="1:45">
      <c r="A332" s="137">
        <f t="shared" si="37"/>
        <v>46075</v>
      </c>
      <c r="B332" s="138">
        <f>YEAR(Daily_KPI[[#This Row],[Date]])+IF(MONTH(Daily_KPI[[#This Row],[Date]])&gt;=4,1,0)</f>
        <v>2026</v>
      </c>
      <c r="C332" s="108">
        <f>YEAR(Daily_KPI[[#This Row],[Date]])</f>
        <v>2026</v>
      </c>
      <c r="D332" s="139">
        <f>Daily_KPI[[#This Row],[Date]]-DAY(Daily_KPI[[#This Row],[Date]])+1</f>
        <v>46054</v>
      </c>
      <c r="E332" s="108">
        <f t="shared" si="33"/>
        <v>28</v>
      </c>
      <c r="F332" s="109"/>
      <c r="G332" s="110"/>
      <c r="H332" s="110"/>
      <c r="I332" s="110"/>
      <c r="J332" s="110"/>
      <c r="K332" s="111"/>
      <c r="L332" s="110"/>
      <c r="M332" s="110" t="str">
        <f>IFERROR(_xlfn.XLOOKUP($A332,Input_Raw!$A:$A,Input_Raw!$CQ:$CQ),"")</f>
        <v/>
      </c>
      <c r="N332" s="110" t="str">
        <f>IFERROR(_xlfn.XLOOKUP($A332,Input_Raw!$A:$A,Input_Raw!$CR:$CR),"")</f>
        <v/>
      </c>
      <c r="O332" s="141" t="str">
        <f t="shared" si="34"/>
        <v/>
      </c>
      <c r="P332" s="141" t="str">
        <f>IFERROR(1-SUMIF(WTG_BD!$F:$F,$A332,WTG_BD!$AA:$AA)/($AA332+SUMIF(WTG_BD!$F:$F,$A332,WTG_BD!$AA:$AA)),"")</f>
        <v/>
      </c>
      <c r="Q332" s="141" t="str">
        <f>IFERROR(1-SUMIF(IGA_BD!$F:$F,$A332,IGA_BD!$W:$W)/($AA332+SUMIF(IGA_BD!$F:$F,$A332,IGA_BD!$W:$W)),"")</f>
        <v/>
      </c>
      <c r="R332" s="141" t="str">
        <f>IFERROR(1-SUMIF(Grid_BD!$F:$F,$A332,Grid_BD!$Y:$Y)/($AA332+SUMIF(Grid_BD!$F:$F,$A332,Grid_BD!$Y:$Y)),"")</f>
        <v/>
      </c>
      <c r="S332" s="108"/>
      <c r="T332" s="140"/>
      <c r="U332" s="141"/>
      <c r="V332" s="108"/>
      <c r="W332" s="142" t="str">
        <f t="shared" si="35"/>
        <v/>
      </c>
      <c r="X332" s="108" t="str">
        <f>IFERROR(_xlfn.XLOOKUP($A332,Input_Raw!$A:$A,Input_Raw!$CP:$CP)*1000,"")</f>
        <v/>
      </c>
      <c r="Y332" s="108" t="str">
        <f>IFERROR(_xlfn.XLOOKUP($A332,Input_Raw!$A:$A,Input_Raw!DJ:DJ)*1000,"")</f>
        <v/>
      </c>
      <c r="Z332" s="108" t="str">
        <f>IFERROR(_xlfn.XLOOKUP($A332,Input_Raw!$A:$A,Input_Raw!DK:DK)*1000,"")</f>
        <v/>
      </c>
      <c r="AA332" s="138" t="str">
        <f t="shared" si="36"/>
        <v/>
      </c>
      <c r="AB332" s="108" t="str">
        <f>IFERROR(_xlfn.XLOOKUP($A332,Input_Raw!$A:$A,Input_Raw!$DR:$DR),"")</f>
        <v/>
      </c>
      <c r="AC332" s="143">
        <f>IFERROR(_xlfn.XLOOKUP($D332,'Modelling New'!$D:$D,'Modelling New'!$J:$J),"")</f>
        <v>3.9249999999999998</v>
      </c>
      <c r="AD332" s="138">
        <f>IFERROR(_xlfn.XLOOKUP($D332,'Modelling New'!$D:$D,'Modelling New'!$T:$T)*1000,"")</f>
        <v>118578.57831264066</v>
      </c>
      <c r="AE332" s="142"/>
      <c r="AF332" s="142">
        <f>IFERROR(_xlfn.XLOOKUP($D332,'Modelling New'!$D:$D,'Modelling New'!$W:$W),"")</f>
        <v>7.0181450232386741E-2</v>
      </c>
      <c r="AG332" s="142">
        <f>IFERROR(_xlfn.XLOOKUP($D332,'Modelling New'!$D:$D,'Modelling New'!$AE:$AE),"")</f>
        <v>0.96029999999999993</v>
      </c>
      <c r="AH332" s="142">
        <f>IFERROR(_xlfn.XLOOKUP($D332,'Modelling New'!$D:$D,'Modelling New'!$AF:$AF),"")</f>
        <v>0.995</v>
      </c>
      <c r="AI332" s="109" t="str">
        <f>IFERROR(_xlfn.XLOOKUP($A332,Input_Raw!$A:$A,Input_Raw!$DP:$DP),"")</f>
        <v/>
      </c>
      <c r="AJ332" s="108"/>
      <c r="AK332" s="108"/>
      <c r="AL332" s="108"/>
      <c r="AM332" s="108"/>
      <c r="AN332" s="132" t="str">
        <f>IFERROR(_xlfn.XLOOKUP($A332,Input_Raw!$A:$A,Input_Raw!$DL:$DL),"")</f>
        <v/>
      </c>
      <c r="AO332" s="142" t="str">
        <f>IFERROR((_xlfn.XLOOKUP($A332,'WTG Reactive Power'!$A:$A,'WTG Reactive Power'!$AW:$AW))/X332,"")</f>
        <v/>
      </c>
      <c r="AP332" s="142">
        <f>IFERROR(_xlfn.XLOOKUP($D332,'Modelling New'!$D:$D,'Modelling New'!$AK:$AK),"")</f>
        <v>0.05</v>
      </c>
      <c r="AQ332" s="142">
        <f>IFERROR(_xlfn.XLOOKUP($D332,'Modelling New'!$D:$D,'Modelling New'!$AL:$AL),"")</f>
        <v>0.05</v>
      </c>
      <c r="AR332" s="198">
        <f>IFERROR(_xlfn.XLOOKUP($D332,'Modelling New'!$D:$D,'Modelling New'!$N:$N),"")</f>
        <v>70.400000000000006</v>
      </c>
      <c r="AS332" s="198"/>
    </row>
    <row r="333" spans="1:45">
      <c r="A333" s="137">
        <f t="shared" si="37"/>
        <v>46076</v>
      </c>
      <c r="B333" s="138">
        <f>YEAR(Daily_KPI[[#This Row],[Date]])+IF(MONTH(Daily_KPI[[#This Row],[Date]])&gt;=4,1,0)</f>
        <v>2026</v>
      </c>
      <c r="C333" s="108">
        <f>YEAR(Daily_KPI[[#This Row],[Date]])</f>
        <v>2026</v>
      </c>
      <c r="D333" s="139">
        <f>Daily_KPI[[#This Row],[Date]]-DAY(Daily_KPI[[#This Row],[Date]])+1</f>
        <v>46054</v>
      </c>
      <c r="E333" s="108">
        <f t="shared" si="33"/>
        <v>28</v>
      </c>
      <c r="F333" s="109"/>
      <c r="G333" s="110"/>
      <c r="H333" s="110"/>
      <c r="I333" s="110"/>
      <c r="J333" s="110"/>
      <c r="K333" s="111"/>
      <c r="L333" s="110"/>
      <c r="M333" s="110" t="str">
        <f>IFERROR(_xlfn.XLOOKUP($A333,Input_Raw!$A:$A,Input_Raw!$CQ:$CQ),"")</f>
        <v/>
      </c>
      <c r="N333" s="110" t="str">
        <f>IFERROR(_xlfn.XLOOKUP($A333,Input_Raw!$A:$A,Input_Raw!$CR:$CR),"")</f>
        <v/>
      </c>
      <c r="O333" s="141" t="str">
        <f t="shared" si="34"/>
        <v/>
      </c>
      <c r="P333" s="141" t="str">
        <f>IFERROR(1-SUMIF(WTG_BD!$F:$F,$A333,WTG_BD!$AA:$AA)/($AA333+SUMIF(WTG_BD!$F:$F,$A333,WTG_BD!$AA:$AA)),"")</f>
        <v/>
      </c>
      <c r="Q333" s="141" t="str">
        <f>IFERROR(1-SUMIF(IGA_BD!$F:$F,$A333,IGA_BD!$W:$W)/($AA333+SUMIF(IGA_BD!$F:$F,$A333,IGA_BD!$W:$W)),"")</f>
        <v/>
      </c>
      <c r="R333" s="141" t="str">
        <f>IFERROR(1-SUMIF(Grid_BD!$F:$F,$A333,Grid_BD!$Y:$Y)/($AA333+SUMIF(Grid_BD!$F:$F,$A333,Grid_BD!$Y:$Y)),"")</f>
        <v/>
      </c>
      <c r="S333" s="108"/>
      <c r="T333" s="140"/>
      <c r="U333" s="141"/>
      <c r="V333" s="108"/>
      <c r="W333" s="142" t="str">
        <f t="shared" si="35"/>
        <v/>
      </c>
      <c r="X333" s="108" t="str">
        <f>IFERROR(_xlfn.XLOOKUP($A333,Input_Raw!$A:$A,Input_Raw!$CP:$CP)*1000,"")</f>
        <v/>
      </c>
      <c r="Y333" s="108" t="str">
        <f>IFERROR(_xlfn.XLOOKUP($A333,Input_Raw!$A:$A,Input_Raw!DJ:DJ)*1000,"")</f>
        <v/>
      </c>
      <c r="Z333" s="108" t="str">
        <f>IFERROR(_xlfn.XLOOKUP($A333,Input_Raw!$A:$A,Input_Raw!DK:DK)*1000,"")</f>
        <v/>
      </c>
      <c r="AA333" s="138" t="str">
        <f t="shared" si="36"/>
        <v/>
      </c>
      <c r="AB333" s="108" t="str">
        <f>IFERROR(_xlfn.XLOOKUP($A333,Input_Raw!$A:$A,Input_Raw!$DR:$DR),"")</f>
        <v/>
      </c>
      <c r="AC333" s="143">
        <f>IFERROR(_xlfn.XLOOKUP($D333,'Modelling New'!$D:$D,'Modelling New'!$J:$J),"")</f>
        <v>3.9249999999999998</v>
      </c>
      <c r="AD333" s="138">
        <f>IFERROR(_xlfn.XLOOKUP($D333,'Modelling New'!$D:$D,'Modelling New'!$T:$T)*1000,"")</f>
        <v>118578.57831264066</v>
      </c>
      <c r="AE333" s="142"/>
      <c r="AF333" s="142">
        <f>IFERROR(_xlfn.XLOOKUP($D333,'Modelling New'!$D:$D,'Modelling New'!$W:$W),"")</f>
        <v>7.0181450232386741E-2</v>
      </c>
      <c r="AG333" s="142">
        <f>IFERROR(_xlfn.XLOOKUP($D333,'Modelling New'!$D:$D,'Modelling New'!$AE:$AE),"")</f>
        <v>0.96029999999999993</v>
      </c>
      <c r="AH333" s="142">
        <f>IFERROR(_xlfn.XLOOKUP($D333,'Modelling New'!$D:$D,'Modelling New'!$AF:$AF),"")</f>
        <v>0.995</v>
      </c>
      <c r="AI333" s="109" t="str">
        <f>IFERROR(_xlfn.XLOOKUP($A333,Input_Raw!$A:$A,Input_Raw!$DP:$DP),"")</f>
        <v/>
      </c>
      <c r="AJ333" s="108"/>
      <c r="AK333" s="108"/>
      <c r="AL333" s="108"/>
      <c r="AM333" s="108"/>
      <c r="AN333" s="132" t="str">
        <f>IFERROR(_xlfn.XLOOKUP($A333,Input_Raw!$A:$A,Input_Raw!$DL:$DL),"")</f>
        <v/>
      </c>
      <c r="AO333" s="142" t="str">
        <f>IFERROR((_xlfn.XLOOKUP($A333,'WTG Reactive Power'!$A:$A,'WTG Reactive Power'!$AW:$AW))/X333,"")</f>
        <v/>
      </c>
      <c r="AP333" s="142">
        <f>IFERROR(_xlfn.XLOOKUP($D333,'Modelling New'!$D:$D,'Modelling New'!$AK:$AK),"")</f>
        <v>0.05</v>
      </c>
      <c r="AQ333" s="142">
        <f>IFERROR(_xlfn.XLOOKUP($D333,'Modelling New'!$D:$D,'Modelling New'!$AL:$AL),"")</f>
        <v>0.05</v>
      </c>
      <c r="AR333" s="198">
        <f>IFERROR(_xlfn.XLOOKUP($D333,'Modelling New'!$D:$D,'Modelling New'!$N:$N),"")</f>
        <v>70.400000000000006</v>
      </c>
      <c r="AS333" s="198"/>
    </row>
    <row r="334" spans="1:45">
      <c r="A334" s="137">
        <f t="shared" si="37"/>
        <v>46077</v>
      </c>
      <c r="B334" s="138">
        <f>YEAR(Daily_KPI[[#This Row],[Date]])+IF(MONTH(Daily_KPI[[#This Row],[Date]])&gt;=4,1,0)</f>
        <v>2026</v>
      </c>
      <c r="C334" s="108">
        <f>YEAR(Daily_KPI[[#This Row],[Date]])</f>
        <v>2026</v>
      </c>
      <c r="D334" s="139">
        <f>Daily_KPI[[#This Row],[Date]]-DAY(Daily_KPI[[#This Row],[Date]])+1</f>
        <v>46054</v>
      </c>
      <c r="E334" s="108">
        <f t="shared" si="33"/>
        <v>28</v>
      </c>
      <c r="F334" s="109"/>
      <c r="G334" s="110"/>
      <c r="H334" s="110"/>
      <c r="I334" s="110"/>
      <c r="J334" s="110"/>
      <c r="K334" s="111"/>
      <c r="L334" s="110"/>
      <c r="M334" s="110" t="str">
        <f>IFERROR(_xlfn.XLOOKUP($A334,Input_Raw!$A:$A,Input_Raw!$CQ:$CQ),"")</f>
        <v/>
      </c>
      <c r="N334" s="110" t="str">
        <f>IFERROR(_xlfn.XLOOKUP($A334,Input_Raw!$A:$A,Input_Raw!$CR:$CR),"")</f>
        <v/>
      </c>
      <c r="O334" s="141" t="str">
        <f t="shared" si="34"/>
        <v/>
      </c>
      <c r="P334" s="141" t="str">
        <f>IFERROR(1-SUMIF(WTG_BD!$F:$F,$A334,WTG_BD!$AA:$AA)/($AA334+SUMIF(WTG_BD!$F:$F,$A334,WTG_BD!$AA:$AA)),"")</f>
        <v/>
      </c>
      <c r="Q334" s="141" t="str">
        <f>IFERROR(1-SUMIF(IGA_BD!$F:$F,$A334,IGA_BD!$W:$W)/($AA334+SUMIF(IGA_BD!$F:$F,$A334,IGA_BD!$W:$W)),"")</f>
        <v/>
      </c>
      <c r="R334" s="141" t="str">
        <f>IFERROR(1-SUMIF(Grid_BD!$F:$F,$A334,Grid_BD!$Y:$Y)/($AA334+SUMIF(Grid_BD!$F:$F,$A334,Grid_BD!$Y:$Y)),"")</f>
        <v/>
      </c>
      <c r="S334" s="108"/>
      <c r="T334" s="140"/>
      <c r="U334" s="141"/>
      <c r="V334" s="108"/>
      <c r="W334" s="142" t="str">
        <f t="shared" si="35"/>
        <v/>
      </c>
      <c r="X334" s="108" t="str">
        <f>IFERROR(_xlfn.XLOOKUP($A334,Input_Raw!$A:$A,Input_Raw!$CP:$CP)*1000,"")</f>
        <v/>
      </c>
      <c r="Y334" s="108" t="str">
        <f>IFERROR(_xlfn.XLOOKUP($A334,Input_Raw!$A:$A,Input_Raw!DJ:DJ)*1000,"")</f>
        <v/>
      </c>
      <c r="Z334" s="108" t="str">
        <f>IFERROR(_xlfn.XLOOKUP($A334,Input_Raw!$A:$A,Input_Raw!DK:DK)*1000,"")</f>
        <v/>
      </c>
      <c r="AA334" s="138" t="str">
        <f t="shared" si="36"/>
        <v/>
      </c>
      <c r="AB334" s="108" t="str">
        <f>IFERROR(_xlfn.XLOOKUP($A334,Input_Raw!$A:$A,Input_Raw!$DR:$DR),"")</f>
        <v/>
      </c>
      <c r="AC334" s="143">
        <f>IFERROR(_xlfn.XLOOKUP($D334,'Modelling New'!$D:$D,'Modelling New'!$J:$J),"")</f>
        <v>3.9249999999999998</v>
      </c>
      <c r="AD334" s="138">
        <f>IFERROR(_xlfn.XLOOKUP($D334,'Modelling New'!$D:$D,'Modelling New'!$T:$T)*1000,"")</f>
        <v>118578.57831264066</v>
      </c>
      <c r="AE334" s="142"/>
      <c r="AF334" s="142">
        <f>IFERROR(_xlfn.XLOOKUP($D334,'Modelling New'!$D:$D,'Modelling New'!$W:$W),"")</f>
        <v>7.0181450232386741E-2</v>
      </c>
      <c r="AG334" s="142">
        <f>IFERROR(_xlfn.XLOOKUP($D334,'Modelling New'!$D:$D,'Modelling New'!$AE:$AE),"")</f>
        <v>0.96029999999999993</v>
      </c>
      <c r="AH334" s="142">
        <f>IFERROR(_xlfn.XLOOKUP($D334,'Modelling New'!$D:$D,'Modelling New'!$AF:$AF),"")</f>
        <v>0.995</v>
      </c>
      <c r="AI334" s="109" t="str">
        <f>IFERROR(_xlfn.XLOOKUP($A334,Input_Raw!$A:$A,Input_Raw!$DP:$DP),"")</f>
        <v/>
      </c>
      <c r="AJ334" s="108"/>
      <c r="AK334" s="108"/>
      <c r="AL334" s="108"/>
      <c r="AM334" s="108"/>
      <c r="AN334" s="132" t="str">
        <f>IFERROR(_xlfn.XLOOKUP($A334,Input_Raw!$A:$A,Input_Raw!$DL:$DL),"")</f>
        <v/>
      </c>
      <c r="AO334" s="142" t="str">
        <f>IFERROR((_xlfn.XLOOKUP($A334,'WTG Reactive Power'!$A:$A,'WTG Reactive Power'!$AW:$AW))/X334,"")</f>
        <v/>
      </c>
      <c r="AP334" s="142">
        <f>IFERROR(_xlfn.XLOOKUP($D334,'Modelling New'!$D:$D,'Modelling New'!$AK:$AK),"")</f>
        <v>0.05</v>
      </c>
      <c r="AQ334" s="142">
        <f>IFERROR(_xlfn.XLOOKUP($D334,'Modelling New'!$D:$D,'Modelling New'!$AL:$AL),"")</f>
        <v>0.05</v>
      </c>
      <c r="AR334" s="198">
        <f>IFERROR(_xlfn.XLOOKUP($D334,'Modelling New'!$D:$D,'Modelling New'!$N:$N),"")</f>
        <v>70.400000000000006</v>
      </c>
      <c r="AS334" s="198"/>
    </row>
    <row r="335" spans="1:45">
      <c r="A335" s="137">
        <f t="shared" si="37"/>
        <v>46078</v>
      </c>
      <c r="B335" s="138">
        <f>YEAR(Daily_KPI[[#This Row],[Date]])+IF(MONTH(Daily_KPI[[#This Row],[Date]])&gt;=4,1,0)</f>
        <v>2026</v>
      </c>
      <c r="C335" s="108">
        <f>YEAR(Daily_KPI[[#This Row],[Date]])</f>
        <v>2026</v>
      </c>
      <c r="D335" s="139">
        <f>Daily_KPI[[#This Row],[Date]]-DAY(Daily_KPI[[#This Row],[Date]])+1</f>
        <v>46054</v>
      </c>
      <c r="E335" s="108">
        <f t="shared" si="33"/>
        <v>28</v>
      </c>
      <c r="F335" s="109"/>
      <c r="G335" s="110"/>
      <c r="H335" s="110"/>
      <c r="I335" s="110"/>
      <c r="J335" s="110"/>
      <c r="K335" s="111"/>
      <c r="L335" s="110"/>
      <c r="M335" s="110" t="str">
        <f>IFERROR(_xlfn.XLOOKUP($A335,Input_Raw!$A:$A,Input_Raw!$CQ:$CQ),"")</f>
        <v/>
      </c>
      <c r="N335" s="110" t="str">
        <f>IFERROR(_xlfn.XLOOKUP($A335,Input_Raw!$A:$A,Input_Raw!$CR:$CR),"")</f>
        <v/>
      </c>
      <c r="O335" s="141" t="str">
        <f t="shared" si="34"/>
        <v/>
      </c>
      <c r="P335" s="141" t="str">
        <f>IFERROR(1-SUMIF(WTG_BD!$F:$F,$A335,WTG_BD!$AA:$AA)/($AA335+SUMIF(WTG_BD!$F:$F,$A335,WTG_BD!$AA:$AA)),"")</f>
        <v/>
      </c>
      <c r="Q335" s="141" t="str">
        <f>IFERROR(1-SUMIF(IGA_BD!$F:$F,$A335,IGA_BD!$W:$W)/($AA335+SUMIF(IGA_BD!$F:$F,$A335,IGA_BD!$W:$W)),"")</f>
        <v/>
      </c>
      <c r="R335" s="141" t="str">
        <f>IFERROR(1-SUMIF(Grid_BD!$F:$F,$A335,Grid_BD!$Y:$Y)/($AA335+SUMIF(Grid_BD!$F:$F,$A335,Grid_BD!$Y:$Y)),"")</f>
        <v/>
      </c>
      <c r="S335" s="108"/>
      <c r="T335" s="140"/>
      <c r="U335" s="141"/>
      <c r="V335" s="108"/>
      <c r="W335" s="142" t="str">
        <f t="shared" si="35"/>
        <v/>
      </c>
      <c r="X335" s="108" t="str">
        <f>IFERROR(_xlfn.XLOOKUP($A335,Input_Raw!$A:$A,Input_Raw!$CP:$CP)*1000,"")</f>
        <v/>
      </c>
      <c r="Y335" s="108" t="str">
        <f>IFERROR(_xlfn.XLOOKUP($A335,Input_Raw!$A:$A,Input_Raw!DJ:DJ)*1000,"")</f>
        <v/>
      </c>
      <c r="Z335" s="108" t="str">
        <f>IFERROR(_xlfn.XLOOKUP($A335,Input_Raw!$A:$A,Input_Raw!DK:DK)*1000,"")</f>
        <v/>
      </c>
      <c r="AA335" s="138" t="str">
        <f t="shared" si="36"/>
        <v/>
      </c>
      <c r="AB335" s="108" t="str">
        <f>IFERROR(_xlfn.XLOOKUP($A335,Input_Raw!$A:$A,Input_Raw!$DR:$DR),"")</f>
        <v/>
      </c>
      <c r="AC335" s="143">
        <f>IFERROR(_xlfn.XLOOKUP($D335,'Modelling New'!$D:$D,'Modelling New'!$J:$J),"")</f>
        <v>3.9249999999999998</v>
      </c>
      <c r="AD335" s="138">
        <f>IFERROR(_xlfn.XLOOKUP($D335,'Modelling New'!$D:$D,'Modelling New'!$T:$T)*1000,"")</f>
        <v>118578.57831264066</v>
      </c>
      <c r="AE335" s="142"/>
      <c r="AF335" s="142">
        <f>IFERROR(_xlfn.XLOOKUP($D335,'Modelling New'!$D:$D,'Modelling New'!$W:$W),"")</f>
        <v>7.0181450232386741E-2</v>
      </c>
      <c r="AG335" s="142">
        <f>IFERROR(_xlfn.XLOOKUP($D335,'Modelling New'!$D:$D,'Modelling New'!$AE:$AE),"")</f>
        <v>0.96029999999999993</v>
      </c>
      <c r="AH335" s="142">
        <f>IFERROR(_xlfn.XLOOKUP($D335,'Modelling New'!$D:$D,'Modelling New'!$AF:$AF),"")</f>
        <v>0.995</v>
      </c>
      <c r="AI335" s="109" t="str">
        <f>IFERROR(_xlfn.XLOOKUP($A335,Input_Raw!$A:$A,Input_Raw!$DP:$DP),"")</f>
        <v/>
      </c>
      <c r="AJ335" s="108"/>
      <c r="AK335" s="108"/>
      <c r="AL335" s="108"/>
      <c r="AM335" s="108"/>
      <c r="AN335" s="132" t="str">
        <f>IFERROR(_xlfn.XLOOKUP($A335,Input_Raw!$A:$A,Input_Raw!$DL:$DL),"")</f>
        <v/>
      </c>
      <c r="AO335" s="142" t="str">
        <f>IFERROR((_xlfn.XLOOKUP($A335,'WTG Reactive Power'!$A:$A,'WTG Reactive Power'!$AW:$AW))/X335,"")</f>
        <v/>
      </c>
      <c r="AP335" s="142">
        <f>IFERROR(_xlfn.XLOOKUP($D335,'Modelling New'!$D:$D,'Modelling New'!$AK:$AK),"")</f>
        <v>0.05</v>
      </c>
      <c r="AQ335" s="142">
        <f>IFERROR(_xlfn.XLOOKUP($D335,'Modelling New'!$D:$D,'Modelling New'!$AL:$AL),"")</f>
        <v>0.05</v>
      </c>
      <c r="AR335" s="198">
        <f>IFERROR(_xlfn.XLOOKUP($D335,'Modelling New'!$D:$D,'Modelling New'!$N:$N),"")</f>
        <v>70.400000000000006</v>
      </c>
      <c r="AS335" s="198"/>
    </row>
    <row r="336" spans="1:45">
      <c r="A336" s="137">
        <f t="shared" si="37"/>
        <v>46079</v>
      </c>
      <c r="B336" s="138">
        <f>YEAR(Daily_KPI[[#This Row],[Date]])+IF(MONTH(Daily_KPI[[#This Row],[Date]])&gt;=4,1,0)</f>
        <v>2026</v>
      </c>
      <c r="C336" s="108">
        <f>YEAR(Daily_KPI[[#This Row],[Date]])</f>
        <v>2026</v>
      </c>
      <c r="D336" s="139">
        <f>Daily_KPI[[#This Row],[Date]]-DAY(Daily_KPI[[#This Row],[Date]])+1</f>
        <v>46054</v>
      </c>
      <c r="E336" s="108">
        <f t="shared" si="33"/>
        <v>28</v>
      </c>
      <c r="F336" s="109"/>
      <c r="G336" s="110"/>
      <c r="H336" s="110"/>
      <c r="I336" s="110"/>
      <c r="J336" s="110"/>
      <c r="K336" s="111"/>
      <c r="L336" s="110"/>
      <c r="M336" s="110" t="str">
        <f>IFERROR(_xlfn.XLOOKUP($A336,Input_Raw!$A:$A,Input_Raw!$CQ:$CQ),"")</f>
        <v/>
      </c>
      <c r="N336" s="110" t="str">
        <f>IFERROR(_xlfn.XLOOKUP($A336,Input_Raw!$A:$A,Input_Raw!$CR:$CR),"")</f>
        <v/>
      </c>
      <c r="O336" s="141" t="str">
        <f t="shared" si="34"/>
        <v/>
      </c>
      <c r="P336" s="141" t="str">
        <f>IFERROR(1-SUMIF(WTG_BD!$F:$F,$A336,WTG_BD!$AA:$AA)/($AA336+SUMIF(WTG_BD!$F:$F,$A336,WTG_BD!$AA:$AA)),"")</f>
        <v/>
      </c>
      <c r="Q336" s="141" t="str">
        <f>IFERROR(1-SUMIF(IGA_BD!$F:$F,$A336,IGA_BD!$W:$W)/($AA336+SUMIF(IGA_BD!$F:$F,$A336,IGA_BD!$W:$W)),"")</f>
        <v/>
      </c>
      <c r="R336" s="141" t="str">
        <f>IFERROR(1-SUMIF(Grid_BD!$F:$F,$A336,Grid_BD!$Y:$Y)/($AA336+SUMIF(Grid_BD!$F:$F,$A336,Grid_BD!$Y:$Y)),"")</f>
        <v/>
      </c>
      <c r="S336" s="108"/>
      <c r="T336" s="140"/>
      <c r="U336" s="141"/>
      <c r="V336" s="108"/>
      <c r="W336" s="142" t="str">
        <f t="shared" si="35"/>
        <v/>
      </c>
      <c r="X336" s="108" t="str">
        <f>IFERROR(_xlfn.XLOOKUP($A336,Input_Raw!$A:$A,Input_Raw!$CP:$CP)*1000,"")</f>
        <v/>
      </c>
      <c r="Y336" s="108" t="str">
        <f>IFERROR(_xlfn.XLOOKUP($A336,Input_Raw!$A:$A,Input_Raw!DJ:DJ)*1000,"")</f>
        <v/>
      </c>
      <c r="Z336" s="108" t="str">
        <f>IFERROR(_xlfn.XLOOKUP($A336,Input_Raw!$A:$A,Input_Raw!DK:DK)*1000,"")</f>
        <v/>
      </c>
      <c r="AA336" s="138" t="str">
        <f t="shared" si="36"/>
        <v/>
      </c>
      <c r="AB336" s="108" t="str">
        <f>IFERROR(_xlfn.XLOOKUP($A336,Input_Raw!$A:$A,Input_Raw!$DR:$DR),"")</f>
        <v/>
      </c>
      <c r="AC336" s="143">
        <f>IFERROR(_xlfn.XLOOKUP($D336,'Modelling New'!$D:$D,'Modelling New'!$J:$J),"")</f>
        <v>3.9249999999999998</v>
      </c>
      <c r="AD336" s="138">
        <f>IFERROR(_xlfn.XLOOKUP($D336,'Modelling New'!$D:$D,'Modelling New'!$T:$T)*1000,"")</f>
        <v>118578.57831264066</v>
      </c>
      <c r="AE336" s="142"/>
      <c r="AF336" s="142">
        <f>IFERROR(_xlfn.XLOOKUP($D336,'Modelling New'!$D:$D,'Modelling New'!$W:$W),"")</f>
        <v>7.0181450232386741E-2</v>
      </c>
      <c r="AG336" s="142">
        <f>IFERROR(_xlfn.XLOOKUP($D336,'Modelling New'!$D:$D,'Modelling New'!$AE:$AE),"")</f>
        <v>0.96029999999999993</v>
      </c>
      <c r="AH336" s="142">
        <f>IFERROR(_xlfn.XLOOKUP($D336,'Modelling New'!$D:$D,'Modelling New'!$AF:$AF),"")</f>
        <v>0.995</v>
      </c>
      <c r="AI336" s="109" t="str">
        <f>IFERROR(_xlfn.XLOOKUP($A336,Input_Raw!$A:$A,Input_Raw!$DP:$DP),"")</f>
        <v/>
      </c>
      <c r="AJ336" s="108"/>
      <c r="AK336" s="108"/>
      <c r="AL336" s="108"/>
      <c r="AM336" s="108"/>
      <c r="AN336" s="132" t="str">
        <f>IFERROR(_xlfn.XLOOKUP($A336,Input_Raw!$A:$A,Input_Raw!$DL:$DL),"")</f>
        <v/>
      </c>
      <c r="AO336" s="142" t="str">
        <f>IFERROR((_xlfn.XLOOKUP($A336,'WTG Reactive Power'!$A:$A,'WTG Reactive Power'!$AW:$AW))/X336,"")</f>
        <v/>
      </c>
      <c r="AP336" s="142">
        <f>IFERROR(_xlfn.XLOOKUP($D336,'Modelling New'!$D:$D,'Modelling New'!$AK:$AK),"")</f>
        <v>0.05</v>
      </c>
      <c r="AQ336" s="142">
        <f>IFERROR(_xlfn.XLOOKUP($D336,'Modelling New'!$D:$D,'Modelling New'!$AL:$AL),"")</f>
        <v>0.05</v>
      </c>
      <c r="AR336" s="198">
        <f>IFERROR(_xlfn.XLOOKUP($D336,'Modelling New'!$D:$D,'Modelling New'!$N:$N),"")</f>
        <v>70.400000000000006</v>
      </c>
      <c r="AS336" s="198"/>
    </row>
    <row r="337" spans="1:45">
      <c r="A337" s="137">
        <f t="shared" si="37"/>
        <v>46080</v>
      </c>
      <c r="B337" s="138">
        <f>YEAR(Daily_KPI[[#This Row],[Date]])+IF(MONTH(Daily_KPI[[#This Row],[Date]])&gt;=4,1,0)</f>
        <v>2026</v>
      </c>
      <c r="C337" s="108">
        <f>YEAR(Daily_KPI[[#This Row],[Date]])</f>
        <v>2026</v>
      </c>
      <c r="D337" s="139">
        <f>Daily_KPI[[#This Row],[Date]]-DAY(Daily_KPI[[#This Row],[Date]])+1</f>
        <v>46054</v>
      </c>
      <c r="E337" s="108">
        <f t="shared" si="33"/>
        <v>28</v>
      </c>
      <c r="F337" s="109"/>
      <c r="G337" s="110"/>
      <c r="H337" s="110"/>
      <c r="I337" s="110"/>
      <c r="J337" s="110"/>
      <c r="K337" s="111"/>
      <c r="L337" s="110"/>
      <c r="M337" s="110" t="str">
        <f>IFERROR(_xlfn.XLOOKUP($A337,Input_Raw!$A:$A,Input_Raw!$CQ:$CQ),"")</f>
        <v/>
      </c>
      <c r="N337" s="110" t="str">
        <f>IFERROR(_xlfn.XLOOKUP($A337,Input_Raw!$A:$A,Input_Raw!$CR:$CR),"")</f>
        <v/>
      </c>
      <c r="O337" s="141" t="str">
        <f t="shared" si="34"/>
        <v/>
      </c>
      <c r="P337" s="141" t="str">
        <f>IFERROR(1-SUMIF(WTG_BD!$F:$F,$A337,WTG_BD!$AA:$AA)/($AA337+SUMIF(WTG_BD!$F:$F,$A337,WTG_BD!$AA:$AA)),"")</f>
        <v/>
      </c>
      <c r="Q337" s="141" t="str">
        <f>IFERROR(1-SUMIF(IGA_BD!$F:$F,$A337,IGA_BD!$W:$W)/($AA337+SUMIF(IGA_BD!$F:$F,$A337,IGA_BD!$W:$W)),"")</f>
        <v/>
      </c>
      <c r="R337" s="141" t="str">
        <f>IFERROR(1-SUMIF(Grid_BD!$F:$F,$A337,Grid_BD!$Y:$Y)/($AA337+SUMIF(Grid_BD!$F:$F,$A337,Grid_BD!$Y:$Y)),"")</f>
        <v/>
      </c>
      <c r="S337" s="108"/>
      <c r="T337" s="140"/>
      <c r="U337" s="141"/>
      <c r="V337" s="108"/>
      <c r="W337" s="142" t="str">
        <f t="shared" si="35"/>
        <v/>
      </c>
      <c r="X337" s="108" t="str">
        <f>IFERROR(_xlfn.XLOOKUP($A337,Input_Raw!$A:$A,Input_Raw!$CP:$CP)*1000,"")</f>
        <v/>
      </c>
      <c r="Y337" s="108" t="str">
        <f>IFERROR(_xlfn.XLOOKUP($A337,Input_Raw!$A:$A,Input_Raw!DJ:DJ)*1000,"")</f>
        <v/>
      </c>
      <c r="Z337" s="108" t="str">
        <f>IFERROR(_xlfn.XLOOKUP($A337,Input_Raw!$A:$A,Input_Raw!DK:DK)*1000,"")</f>
        <v/>
      </c>
      <c r="AA337" s="138" t="str">
        <f t="shared" si="36"/>
        <v/>
      </c>
      <c r="AB337" s="108" t="str">
        <f>IFERROR(_xlfn.XLOOKUP($A337,Input_Raw!$A:$A,Input_Raw!$DR:$DR),"")</f>
        <v/>
      </c>
      <c r="AC337" s="143">
        <f>IFERROR(_xlfn.XLOOKUP($D337,'Modelling New'!$D:$D,'Modelling New'!$J:$J),"")</f>
        <v>3.9249999999999998</v>
      </c>
      <c r="AD337" s="138">
        <f>IFERROR(_xlfn.XLOOKUP($D337,'Modelling New'!$D:$D,'Modelling New'!$T:$T)*1000,"")</f>
        <v>118578.57831264066</v>
      </c>
      <c r="AE337" s="142"/>
      <c r="AF337" s="142">
        <f>IFERROR(_xlfn.XLOOKUP($D337,'Modelling New'!$D:$D,'Modelling New'!$W:$W),"")</f>
        <v>7.0181450232386741E-2</v>
      </c>
      <c r="AG337" s="142">
        <f>IFERROR(_xlfn.XLOOKUP($D337,'Modelling New'!$D:$D,'Modelling New'!$AE:$AE),"")</f>
        <v>0.96029999999999993</v>
      </c>
      <c r="AH337" s="142">
        <f>IFERROR(_xlfn.XLOOKUP($D337,'Modelling New'!$D:$D,'Modelling New'!$AF:$AF),"")</f>
        <v>0.995</v>
      </c>
      <c r="AI337" s="109" t="str">
        <f>IFERROR(_xlfn.XLOOKUP($A337,Input_Raw!$A:$A,Input_Raw!$DP:$DP),"")</f>
        <v/>
      </c>
      <c r="AJ337" s="108"/>
      <c r="AK337" s="108"/>
      <c r="AL337" s="108"/>
      <c r="AM337" s="108"/>
      <c r="AN337" s="132" t="str">
        <f>IFERROR(_xlfn.XLOOKUP($A337,Input_Raw!$A:$A,Input_Raw!$DL:$DL),"")</f>
        <v/>
      </c>
      <c r="AO337" s="142" t="str">
        <f>IFERROR((_xlfn.XLOOKUP($A337,'WTG Reactive Power'!$A:$A,'WTG Reactive Power'!$AW:$AW))/X337,"")</f>
        <v/>
      </c>
      <c r="AP337" s="142">
        <f>IFERROR(_xlfn.XLOOKUP($D337,'Modelling New'!$D:$D,'Modelling New'!$AK:$AK),"")</f>
        <v>0.05</v>
      </c>
      <c r="AQ337" s="142">
        <f>IFERROR(_xlfn.XLOOKUP($D337,'Modelling New'!$D:$D,'Modelling New'!$AL:$AL),"")</f>
        <v>0.05</v>
      </c>
      <c r="AR337" s="198">
        <f>IFERROR(_xlfn.XLOOKUP($D337,'Modelling New'!$D:$D,'Modelling New'!$N:$N),"")</f>
        <v>70.400000000000006</v>
      </c>
      <c r="AS337" s="198"/>
    </row>
    <row r="338" spans="1:45">
      <c r="A338" s="137">
        <f t="shared" si="37"/>
        <v>46081</v>
      </c>
      <c r="B338" s="138">
        <f>YEAR(Daily_KPI[[#This Row],[Date]])+IF(MONTH(Daily_KPI[[#This Row],[Date]])&gt;=4,1,0)</f>
        <v>2026</v>
      </c>
      <c r="C338" s="108">
        <f>YEAR(Daily_KPI[[#This Row],[Date]])</f>
        <v>2026</v>
      </c>
      <c r="D338" s="139">
        <f>Daily_KPI[[#This Row],[Date]]-DAY(Daily_KPI[[#This Row],[Date]])+1</f>
        <v>46054</v>
      </c>
      <c r="E338" s="108">
        <f t="shared" si="33"/>
        <v>28</v>
      </c>
      <c r="F338" s="109"/>
      <c r="G338" s="110"/>
      <c r="H338" s="110"/>
      <c r="I338" s="110"/>
      <c r="J338" s="110"/>
      <c r="K338" s="111"/>
      <c r="L338" s="110"/>
      <c r="M338" s="110" t="str">
        <f>IFERROR(_xlfn.XLOOKUP($A338,Input_Raw!$A:$A,Input_Raw!$CQ:$CQ),"")</f>
        <v/>
      </c>
      <c r="N338" s="110" t="str">
        <f>IFERROR(_xlfn.XLOOKUP($A338,Input_Raw!$A:$A,Input_Raw!$CR:$CR),"")</f>
        <v/>
      </c>
      <c r="O338" s="141" t="str">
        <f t="shared" si="34"/>
        <v/>
      </c>
      <c r="P338" s="141" t="str">
        <f>IFERROR(1-SUMIF(WTG_BD!$F:$F,$A338,WTG_BD!$AA:$AA)/($AA338+SUMIF(WTG_BD!$F:$F,$A338,WTG_BD!$AA:$AA)),"")</f>
        <v/>
      </c>
      <c r="Q338" s="141" t="str">
        <f>IFERROR(1-SUMIF(IGA_BD!$F:$F,$A338,IGA_BD!$W:$W)/($AA338+SUMIF(IGA_BD!$F:$F,$A338,IGA_BD!$W:$W)),"")</f>
        <v/>
      </c>
      <c r="R338" s="141" t="str">
        <f>IFERROR(1-SUMIF(Grid_BD!$F:$F,$A338,Grid_BD!$Y:$Y)/($AA338+SUMIF(Grid_BD!$F:$F,$A338,Grid_BD!$Y:$Y)),"")</f>
        <v/>
      </c>
      <c r="S338" s="108"/>
      <c r="T338" s="140"/>
      <c r="U338" s="141"/>
      <c r="V338" s="108"/>
      <c r="W338" s="142" t="str">
        <f t="shared" si="35"/>
        <v/>
      </c>
      <c r="X338" s="108" t="str">
        <f>IFERROR(_xlfn.XLOOKUP($A338,Input_Raw!$A:$A,Input_Raw!$CP:$CP)*1000,"")</f>
        <v/>
      </c>
      <c r="Y338" s="108" t="str">
        <f>IFERROR(_xlfn.XLOOKUP($A338,Input_Raw!$A:$A,Input_Raw!DJ:DJ)*1000,"")</f>
        <v/>
      </c>
      <c r="Z338" s="108" t="str">
        <f>IFERROR(_xlfn.XLOOKUP($A338,Input_Raw!$A:$A,Input_Raw!DK:DK)*1000,"")</f>
        <v/>
      </c>
      <c r="AA338" s="138" t="str">
        <f t="shared" si="36"/>
        <v/>
      </c>
      <c r="AB338" s="108" t="str">
        <f>IFERROR(_xlfn.XLOOKUP($A338,Input_Raw!$A:$A,Input_Raw!$DR:$DR),"")</f>
        <v/>
      </c>
      <c r="AC338" s="143">
        <f>IFERROR(_xlfn.XLOOKUP($D338,'Modelling New'!$D:$D,'Modelling New'!$J:$J),"")</f>
        <v>3.9249999999999998</v>
      </c>
      <c r="AD338" s="138">
        <f>IFERROR(_xlfn.XLOOKUP($D338,'Modelling New'!$D:$D,'Modelling New'!$T:$T)*1000,"")</f>
        <v>118578.57831264066</v>
      </c>
      <c r="AE338" s="142"/>
      <c r="AF338" s="142">
        <f>IFERROR(_xlfn.XLOOKUP($D338,'Modelling New'!$D:$D,'Modelling New'!$W:$W),"")</f>
        <v>7.0181450232386741E-2</v>
      </c>
      <c r="AG338" s="142">
        <f>IFERROR(_xlfn.XLOOKUP($D338,'Modelling New'!$D:$D,'Modelling New'!$AE:$AE),"")</f>
        <v>0.96029999999999993</v>
      </c>
      <c r="AH338" s="142">
        <f>IFERROR(_xlfn.XLOOKUP($D338,'Modelling New'!$D:$D,'Modelling New'!$AF:$AF),"")</f>
        <v>0.995</v>
      </c>
      <c r="AI338" s="109" t="str">
        <f>IFERROR(_xlfn.XLOOKUP($A338,Input_Raw!$A:$A,Input_Raw!$DP:$DP),"")</f>
        <v/>
      </c>
      <c r="AJ338" s="108"/>
      <c r="AK338" s="108"/>
      <c r="AL338" s="108"/>
      <c r="AM338" s="108"/>
      <c r="AN338" s="132" t="str">
        <f>IFERROR(_xlfn.XLOOKUP($A338,Input_Raw!$A:$A,Input_Raw!$DL:$DL),"")</f>
        <v/>
      </c>
      <c r="AO338" s="142" t="str">
        <f>IFERROR((_xlfn.XLOOKUP($A338,'WTG Reactive Power'!$A:$A,'WTG Reactive Power'!$AW:$AW))/X338,"")</f>
        <v/>
      </c>
      <c r="AP338" s="142">
        <f>IFERROR(_xlfn.XLOOKUP($D338,'Modelling New'!$D:$D,'Modelling New'!$AK:$AK),"")</f>
        <v>0.05</v>
      </c>
      <c r="AQ338" s="142">
        <f>IFERROR(_xlfn.XLOOKUP($D338,'Modelling New'!$D:$D,'Modelling New'!$AL:$AL),"")</f>
        <v>0.05</v>
      </c>
      <c r="AR338" s="198">
        <f>IFERROR(_xlfn.XLOOKUP($D338,'Modelling New'!$D:$D,'Modelling New'!$N:$N),"")</f>
        <v>70.400000000000006</v>
      </c>
      <c r="AS338" s="198"/>
    </row>
    <row r="339" spans="1:45">
      <c r="A339" s="137">
        <f t="shared" si="37"/>
        <v>46082</v>
      </c>
      <c r="B339" s="138">
        <f>YEAR(Daily_KPI[[#This Row],[Date]])+IF(MONTH(Daily_KPI[[#This Row],[Date]])&gt;=4,1,0)</f>
        <v>2026</v>
      </c>
      <c r="C339" s="108">
        <f>YEAR(Daily_KPI[[#This Row],[Date]])</f>
        <v>2026</v>
      </c>
      <c r="D339" s="139">
        <f>Daily_KPI[[#This Row],[Date]]-DAY(Daily_KPI[[#This Row],[Date]])+1</f>
        <v>46082</v>
      </c>
      <c r="E339" s="108">
        <f t="shared" si="33"/>
        <v>31</v>
      </c>
      <c r="F339" s="109"/>
      <c r="G339" s="110"/>
      <c r="H339" s="110"/>
      <c r="I339" s="110"/>
      <c r="J339" s="110"/>
      <c r="K339" s="111"/>
      <c r="L339" s="110"/>
      <c r="M339" s="110" t="str">
        <f>IFERROR(_xlfn.XLOOKUP($A339,Input_Raw!$A:$A,Input_Raw!$CQ:$CQ),"")</f>
        <v/>
      </c>
      <c r="N339" s="110" t="str">
        <f>IFERROR(_xlfn.XLOOKUP($A339,Input_Raw!$A:$A,Input_Raw!$CR:$CR),"")</f>
        <v/>
      </c>
      <c r="O339" s="141" t="str">
        <f t="shared" si="34"/>
        <v/>
      </c>
      <c r="P339" s="141" t="str">
        <f>IFERROR(1-SUMIF(WTG_BD!$F:$F,$A339,WTG_BD!$AA:$AA)/($AA339+SUMIF(WTG_BD!$F:$F,$A339,WTG_BD!$AA:$AA)),"")</f>
        <v/>
      </c>
      <c r="Q339" s="141" t="str">
        <f>IFERROR(1-SUMIF(IGA_BD!$F:$F,$A339,IGA_BD!$W:$W)/($AA339+SUMIF(IGA_BD!$F:$F,$A339,IGA_BD!$W:$W)),"")</f>
        <v/>
      </c>
      <c r="R339" s="141" t="str">
        <f>IFERROR(1-SUMIF(Grid_BD!$F:$F,$A339,Grid_BD!$Y:$Y)/($AA339+SUMIF(Grid_BD!$F:$F,$A339,Grid_BD!$Y:$Y)),"")</f>
        <v/>
      </c>
      <c r="S339" s="108"/>
      <c r="T339" s="140"/>
      <c r="U339" s="141"/>
      <c r="V339" s="108"/>
      <c r="W339" s="142" t="str">
        <f t="shared" si="35"/>
        <v/>
      </c>
      <c r="X339" s="108" t="str">
        <f>IFERROR(_xlfn.XLOOKUP($A339,Input_Raw!$A:$A,Input_Raw!$CP:$CP)*1000,"")</f>
        <v/>
      </c>
      <c r="Y339" s="108" t="str">
        <f>IFERROR(_xlfn.XLOOKUP($A339,Input_Raw!$A:$A,Input_Raw!DJ:DJ)*1000,"")</f>
        <v/>
      </c>
      <c r="Z339" s="108" t="str">
        <f>IFERROR(_xlfn.XLOOKUP($A339,Input_Raw!$A:$A,Input_Raw!DK:DK)*1000,"")</f>
        <v/>
      </c>
      <c r="AA339" s="138" t="str">
        <f t="shared" si="36"/>
        <v/>
      </c>
      <c r="AB339" s="108" t="str">
        <f>IFERROR(_xlfn.XLOOKUP($A339,Input_Raw!$A:$A,Input_Raw!$DR:$DR),"")</f>
        <v/>
      </c>
      <c r="AC339" s="143">
        <f>IFERROR(_xlfn.XLOOKUP($D339,'Modelling New'!$D:$D,'Modelling New'!$J:$J),"")</f>
        <v>4.5649999999999995</v>
      </c>
      <c r="AD339" s="138">
        <f>IFERROR(_xlfn.XLOOKUP($D339,'Modelling New'!$D:$D,'Modelling New'!$T:$T)*1000,"")</f>
        <v>177355.29697136435</v>
      </c>
      <c r="AE339" s="142"/>
      <c r="AF339" s="142">
        <f>IFERROR(_xlfn.XLOOKUP($D339,'Modelling New'!$D:$D,'Modelling New'!$W:$W),"")</f>
        <v>0.1049688073930897</v>
      </c>
      <c r="AG339" s="142">
        <f>IFERROR(_xlfn.XLOOKUP($D339,'Modelling New'!$D:$D,'Modelling New'!$AE:$AE),"")</f>
        <v>0.96029999999999993</v>
      </c>
      <c r="AH339" s="142">
        <f>IFERROR(_xlfn.XLOOKUP($D339,'Modelling New'!$D:$D,'Modelling New'!$AF:$AF),"")</f>
        <v>0.995</v>
      </c>
      <c r="AI339" s="109" t="str">
        <f>IFERROR(_xlfn.XLOOKUP($A339,Input_Raw!$A:$A,Input_Raw!$DP:$DP),"")</f>
        <v/>
      </c>
      <c r="AJ339" s="108"/>
      <c r="AK339" s="108"/>
      <c r="AL339" s="108"/>
      <c r="AM339" s="108"/>
      <c r="AN339" s="132" t="str">
        <f>IFERROR(_xlfn.XLOOKUP($A339,Input_Raw!$A:$A,Input_Raw!$DL:$DL),"")</f>
        <v/>
      </c>
      <c r="AO339" s="142" t="str">
        <f>IFERROR((_xlfn.XLOOKUP($A339,'WTG Reactive Power'!$A:$A,'WTG Reactive Power'!$AW:$AW))/X339,"")</f>
        <v/>
      </c>
      <c r="AP339" s="142">
        <f>IFERROR(_xlfn.XLOOKUP($D339,'Modelling New'!$D:$D,'Modelling New'!$AK:$AK),"")</f>
        <v>0.05</v>
      </c>
      <c r="AQ339" s="142">
        <f>IFERROR(_xlfn.XLOOKUP($D339,'Modelling New'!$D:$D,'Modelling New'!$AL:$AL),"")</f>
        <v>0.05</v>
      </c>
      <c r="AR339" s="198">
        <f>IFERROR(_xlfn.XLOOKUP($D339,'Modelling New'!$D:$D,'Modelling New'!$N:$N),"")</f>
        <v>70.400000000000006</v>
      </c>
      <c r="AS339" s="198"/>
    </row>
    <row r="340" spans="1:45">
      <c r="A340" s="137">
        <f t="shared" si="37"/>
        <v>46083</v>
      </c>
      <c r="B340" s="138">
        <f>YEAR(Daily_KPI[[#This Row],[Date]])+IF(MONTH(Daily_KPI[[#This Row],[Date]])&gt;=4,1,0)</f>
        <v>2026</v>
      </c>
      <c r="C340" s="108">
        <f>YEAR(Daily_KPI[[#This Row],[Date]])</f>
        <v>2026</v>
      </c>
      <c r="D340" s="139">
        <f>Daily_KPI[[#This Row],[Date]]-DAY(Daily_KPI[[#This Row],[Date]])+1</f>
        <v>46082</v>
      </c>
      <c r="E340" s="108">
        <f t="shared" si="33"/>
        <v>31</v>
      </c>
      <c r="F340" s="109"/>
      <c r="G340" s="110"/>
      <c r="H340" s="110"/>
      <c r="I340" s="110"/>
      <c r="J340" s="110"/>
      <c r="K340" s="111"/>
      <c r="L340" s="110"/>
      <c r="M340" s="110" t="str">
        <f>IFERROR(_xlfn.XLOOKUP($A340,Input_Raw!$A:$A,Input_Raw!$CQ:$CQ),"")</f>
        <v/>
      </c>
      <c r="N340" s="110" t="str">
        <f>IFERROR(_xlfn.XLOOKUP($A340,Input_Raw!$A:$A,Input_Raw!$CR:$CR),"")</f>
        <v/>
      </c>
      <c r="O340" s="141" t="str">
        <f t="shared" si="34"/>
        <v/>
      </c>
      <c r="P340" s="141" t="str">
        <f>IFERROR(1-SUMIF(WTG_BD!$F:$F,$A340,WTG_BD!$AA:$AA)/($AA340+SUMIF(WTG_BD!$F:$F,$A340,WTG_BD!$AA:$AA)),"")</f>
        <v/>
      </c>
      <c r="Q340" s="141" t="str">
        <f>IFERROR(1-SUMIF(IGA_BD!$F:$F,$A340,IGA_BD!$W:$W)/($AA340+SUMIF(IGA_BD!$F:$F,$A340,IGA_BD!$W:$W)),"")</f>
        <v/>
      </c>
      <c r="R340" s="141" t="str">
        <f>IFERROR(1-SUMIF(Grid_BD!$F:$F,$A340,Grid_BD!$Y:$Y)/($AA340+SUMIF(Grid_BD!$F:$F,$A340,Grid_BD!$Y:$Y)),"")</f>
        <v/>
      </c>
      <c r="S340" s="108"/>
      <c r="T340" s="140"/>
      <c r="U340" s="141"/>
      <c r="V340" s="108"/>
      <c r="W340" s="142" t="str">
        <f t="shared" si="35"/>
        <v/>
      </c>
      <c r="X340" s="108" t="str">
        <f>IFERROR(_xlfn.XLOOKUP($A340,Input_Raw!$A:$A,Input_Raw!$CP:$CP)*1000,"")</f>
        <v/>
      </c>
      <c r="Y340" s="108" t="str">
        <f>IFERROR(_xlfn.XLOOKUP($A340,Input_Raw!$A:$A,Input_Raw!DJ:DJ)*1000,"")</f>
        <v/>
      </c>
      <c r="Z340" s="108" t="str">
        <f>IFERROR(_xlfn.XLOOKUP($A340,Input_Raw!$A:$A,Input_Raw!DK:DK)*1000,"")</f>
        <v/>
      </c>
      <c r="AA340" s="138" t="str">
        <f t="shared" si="36"/>
        <v/>
      </c>
      <c r="AB340" s="108" t="str">
        <f>IFERROR(_xlfn.XLOOKUP($A340,Input_Raw!$A:$A,Input_Raw!$DR:$DR),"")</f>
        <v/>
      </c>
      <c r="AC340" s="143">
        <f>IFERROR(_xlfn.XLOOKUP($D340,'Modelling New'!$D:$D,'Modelling New'!$J:$J),"")</f>
        <v>4.5649999999999995</v>
      </c>
      <c r="AD340" s="138">
        <f>IFERROR(_xlfn.XLOOKUP($D340,'Modelling New'!$D:$D,'Modelling New'!$T:$T)*1000,"")</f>
        <v>177355.29697136435</v>
      </c>
      <c r="AE340" s="142"/>
      <c r="AF340" s="142">
        <f>IFERROR(_xlfn.XLOOKUP($D340,'Modelling New'!$D:$D,'Modelling New'!$W:$W),"")</f>
        <v>0.1049688073930897</v>
      </c>
      <c r="AG340" s="142">
        <f>IFERROR(_xlfn.XLOOKUP($D340,'Modelling New'!$D:$D,'Modelling New'!$AE:$AE),"")</f>
        <v>0.96029999999999993</v>
      </c>
      <c r="AH340" s="142">
        <f>IFERROR(_xlfn.XLOOKUP($D340,'Modelling New'!$D:$D,'Modelling New'!$AF:$AF),"")</f>
        <v>0.995</v>
      </c>
      <c r="AI340" s="109" t="str">
        <f>IFERROR(_xlfn.XLOOKUP($A340,Input_Raw!$A:$A,Input_Raw!$DP:$DP),"")</f>
        <v/>
      </c>
      <c r="AJ340" s="108"/>
      <c r="AK340" s="108"/>
      <c r="AL340" s="108"/>
      <c r="AM340" s="108"/>
      <c r="AN340" s="132" t="str">
        <f>IFERROR(_xlfn.XLOOKUP($A340,Input_Raw!$A:$A,Input_Raw!$DL:$DL),"")</f>
        <v/>
      </c>
      <c r="AO340" s="142" t="str">
        <f>IFERROR((_xlfn.XLOOKUP($A340,'WTG Reactive Power'!$A:$A,'WTG Reactive Power'!$AW:$AW))/X340,"")</f>
        <v/>
      </c>
      <c r="AP340" s="142">
        <f>IFERROR(_xlfn.XLOOKUP($D340,'Modelling New'!$D:$D,'Modelling New'!$AK:$AK),"")</f>
        <v>0.05</v>
      </c>
      <c r="AQ340" s="142">
        <f>IFERROR(_xlfn.XLOOKUP($D340,'Modelling New'!$D:$D,'Modelling New'!$AL:$AL),"")</f>
        <v>0.05</v>
      </c>
      <c r="AR340" s="198">
        <f>IFERROR(_xlfn.XLOOKUP($D340,'Modelling New'!$D:$D,'Modelling New'!$N:$N),"")</f>
        <v>70.400000000000006</v>
      </c>
      <c r="AS340" s="198"/>
    </row>
    <row r="341" spans="1:45">
      <c r="A341" s="137">
        <f t="shared" si="37"/>
        <v>46084</v>
      </c>
      <c r="B341" s="138">
        <f>YEAR(Daily_KPI[[#This Row],[Date]])+IF(MONTH(Daily_KPI[[#This Row],[Date]])&gt;=4,1,0)</f>
        <v>2026</v>
      </c>
      <c r="C341" s="108">
        <f>YEAR(Daily_KPI[[#This Row],[Date]])</f>
        <v>2026</v>
      </c>
      <c r="D341" s="139">
        <f>Daily_KPI[[#This Row],[Date]]-DAY(Daily_KPI[[#This Row],[Date]])+1</f>
        <v>46082</v>
      </c>
      <c r="E341" s="108">
        <f t="shared" si="33"/>
        <v>31</v>
      </c>
      <c r="F341" s="109"/>
      <c r="G341" s="110"/>
      <c r="H341" s="110"/>
      <c r="I341" s="110"/>
      <c r="J341" s="110"/>
      <c r="K341" s="111"/>
      <c r="L341" s="110"/>
      <c r="M341" s="110" t="str">
        <f>IFERROR(_xlfn.XLOOKUP($A341,Input_Raw!$A:$A,Input_Raw!$CQ:$CQ),"")</f>
        <v/>
      </c>
      <c r="N341" s="110" t="str">
        <f>IFERROR(_xlfn.XLOOKUP($A341,Input_Raw!$A:$A,Input_Raw!$CR:$CR),"")</f>
        <v/>
      </c>
      <c r="O341" s="141" t="str">
        <f t="shared" si="34"/>
        <v/>
      </c>
      <c r="P341" s="141" t="str">
        <f>IFERROR(1-SUMIF(WTG_BD!$F:$F,$A341,WTG_BD!$AA:$AA)/($AA341+SUMIF(WTG_BD!$F:$F,$A341,WTG_BD!$AA:$AA)),"")</f>
        <v/>
      </c>
      <c r="Q341" s="141" t="str">
        <f>IFERROR(1-SUMIF(IGA_BD!$F:$F,$A341,IGA_BD!$W:$W)/($AA341+SUMIF(IGA_BD!$F:$F,$A341,IGA_BD!$W:$W)),"")</f>
        <v/>
      </c>
      <c r="R341" s="141" t="str">
        <f>IFERROR(1-SUMIF(Grid_BD!$F:$F,$A341,Grid_BD!$Y:$Y)/($AA341+SUMIF(Grid_BD!$F:$F,$A341,Grid_BD!$Y:$Y)),"")</f>
        <v/>
      </c>
      <c r="S341" s="108"/>
      <c r="T341" s="140"/>
      <c r="U341" s="141"/>
      <c r="V341" s="108"/>
      <c r="W341" s="142" t="str">
        <f t="shared" si="35"/>
        <v/>
      </c>
      <c r="X341" s="108" t="str">
        <f>IFERROR(_xlfn.XLOOKUP($A341,Input_Raw!$A:$A,Input_Raw!$CP:$CP)*1000,"")</f>
        <v/>
      </c>
      <c r="Y341" s="108" t="str">
        <f>IFERROR(_xlfn.XLOOKUP($A341,Input_Raw!$A:$A,Input_Raw!DJ:DJ)*1000,"")</f>
        <v/>
      </c>
      <c r="Z341" s="108" t="str">
        <f>IFERROR(_xlfn.XLOOKUP($A341,Input_Raw!$A:$A,Input_Raw!DK:DK)*1000,"")</f>
        <v/>
      </c>
      <c r="AA341" s="138" t="str">
        <f t="shared" si="36"/>
        <v/>
      </c>
      <c r="AB341" s="108" t="str">
        <f>IFERROR(_xlfn.XLOOKUP($A341,Input_Raw!$A:$A,Input_Raw!$DR:$DR),"")</f>
        <v/>
      </c>
      <c r="AC341" s="143">
        <f>IFERROR(_xlfn.XLOOKUP($D341,'Modelling New'!$D:$D,'Modelling New'!$J:$J),"")</f>
        <v>4.5649999999999995</v>
      </c>
      <c r="AD341" s="138">
        <f>IFERROR(_xlfn.XLOOKUP($D341,'Modelling New'!$D:$D,'Modelling New'!$T:$T)*1000,"")</f>
        <v>177355.29697136435</v>
      </c>
      <c r="AE341" s="142"/>
      <c r="AF341" s="142">
        <f>IFERROR(_xlfn.XLOOKUP($D341,'Modelling New'!$D:$D,'Modelling New'!$W:$W),"")</f>
        <v>0.1049688073930897</v>
      </c>
      <c r="AG341" s="142">
        <f>IFERROR(_xlfn.XLOOKUP($D341,'Modelling New'!$D:$D,'Modelling New'!$AE:$AE),"")</f>
        <v>0.96029999999999993</v>
      </c>
      <c r="AH341" s="142">
        <f>IFERROR(_xlfn.XLOOKUP($D341,'Modelling New'!$D:$D,'Modelling New'!$AF:$AF),"")</f>
        <v>0.995</v>
      </c>
      <c r="AI341" s="109" t="str">
        <f>IFERROR(_xlfn.XLOOKUP($A341,Input_Raw!$A:$A,Input_Raw!$DP:$DP),"")</f>
        <v/>
      </c>
      <c r="AJ341" s="108"/>
      <c r="AK341" s="108"/>
      <c r="AL341" s="108"/>
      <c r="AM341" s="108"/>
      <c r="AN341" s="132" t="str">
        <f>IFERROR(_xlfn.XLOOKUP($A341,Input_Raw!$A:$A,Input_Raw!$DL:$DL),"")</f>
        <v/>
      </c>
      <c r="AO341" s="142" t="str">
        <f>IFERROR((_xlfn.XLOOKUP($A341,'WTG Reactive Power'!$A:$A,'WTG Reactive Power'!$AW:$AW))/X341,"")</f>
        <v/>
      </c>
      <c r="AP341" s="142">
        <f>IFERROR(_xlfn.XLOOKUP($D341,'Modelling New'!$D:$D,'Modelling New'!$AK:$AK),"")</f>
        <v>0.05</v>
      </c>
      <c r="AQ341" s="142">
        <f>IFERROR(_xlfn.XLOOKUP($D341,'Modelling New'!$D:$D,'Modelling New'!$AL:$AL),"")</f>
        <v>0.05</v>
      </c>
      <c r="AR341" s="198">
        <f>IFERROR(_xlfn.XLOOKUP($D341,'Modelling New'!$D:$D,'Modelling New'!$N:$N),"")</f>
        <v>70.400000000000006</v>
      </c>
      <c r="AS341" s="198"/>
    </row>
    <row r="342" spans="1:45">
      <c r="A342" s="137">
        <f t="shared" si="37"/>
        <v>46085</v>
      </c>
      <c r="B342" s="138">
        <f>YEAR(Daily_KPI[[#This Row],[Date]])+IF(MONTH(Daily_KPI[[#This Row],[Date]])&gt;=4,1,0)</f>
        <v>2026</v>
      </c>
      <c r="C342" s="108">
        <f>YEAR(Daily_KPI[[#This Row],[Date]])</f>
        <v>2026</v>
      </c>
      <c r="D342" s="139">
        <f>Daily_KPI[[#This Row],[Date]]-DAY(Daily_KPI[[#This Row],[Date]])+1</f>
        <v>46082</v>
      </c>
      <c r="E342" s="108">
        <f t="shared" si="33"/>
        <v>31</v>
      </c>
      <c r="F342" s="109"/>
      <c r="G342" s="110"/>
      <c r="H342" s="110"/>
      <c r="I342" s="110"/>
      <c r="J342" s="110"/>
      <c r="K342" s="111"/>
      <c r="L342" s="110"/>
      <c r="M342" s="110" t="str">
        <f>IFERROR(_xlfn.XLOOKUP($A342,Input_Raw!$A:$A,Input_Raw!$CQ:$CQ),"")</f>
        <v/>
      </c>
      <c r="N342" s="110" t="str">
        <f>IFERROR(_xlfn.XLOOKUP($A342,Input_Raw!$A:$A,Input_Raw!$CR:$CR),"")</f>
        <v/>
      </c>
      <c r="O342" s="141" t="str">
        <f t="shared" si="34"/>
        <v/>
      </c>
      <c r="P342" s="141" t="str">
        <f>IFERROR(1-SUMIF(WTG_BD!$F:$F,$A342,WTG_BD!$AA:$AA)/($AA342+SUMIF(WTG_BD!$F:$F,$A342,WTG_BD!$AA:$AA)),"")</f>
        <v/>
      </c>
      <c r="Q342" s="141" t="str">
        <f>IFERROR(1-SUMIF(IGA_BD!$F:$F,$A342,IGA_BD!$W:$W)/($AA342+SUMIF(IGA_BD!$F:$F,$A342,IGA_BD!$W:$W)),"")</f>
        <v/>
      </c>
      <c r="R342" s="141" t="str">
        <f>IFERROR(1-SUMIF(Grid_BD!$F:$F,$A342,Grid_BD!$Y:$Y)/($AA342+SUMIF(Grid_BD!$F:$F,$A342,Grid_BD!$Y:$Y)),"")</f>
        <v/>
      </c>
      <c r="S342" s="108"/>
      <c r="T342" s="140"/>
      <c r="U342" s="141"/>
      <c r="V342" s="108"/>
      <c r="W342" s="142" t="str">
        <f t="shared" si="35"/>
        <v/>
      </c>
      <c r="X342" s="108" t="str">
        <f>IFERROR(_xlfn.XLOOKUP($A342,Input_Raw!$A:$A,Input_Raw!$CP:$CP)*1000,"")</f>
        <v/>
      </c>
      <c r="Y342" s="108" t="str">
        <f>IFERROR(_xlfn.XLOOKUP($A342,Input_Raw!$A:$A,Input_Raw!DJ:DJ)*1000,"")</f>
        <v/>
      </c>
      <c r="Z342" s="108" t="str">
        <f>IFERROR(_xlfn.XLOOKUP($A342,Input_Raw!$A:$A,Input_Raw!DK:DK)*1000,"")</f>
        <v/>
      </c>
      <c r="AA342" s="138" t="str">
        <f t="shared" si="36"/>
        <v/>
      </c>
      <c r="AB342" s="108" t="str">
        <f>IFERROR(_xlfn.XLOOKUP($A342,Input_Raw!$A:$A,Input_Raw!$DR:$DR),"")</f>
        <v/>
      </c>
      <c r="AC342" s="143">
        <f>IFERROR(_xlfn.XLOOKUP($D342,'Modelling New'!$D:$D,'Modelling New'!$J:$J),"")</f>
        <v>4.5649999999999995</v>
      </c>
      <c r="AD342" s="138">
        <f>IFERROR(_xlfn.XLOOKUP($D342,'Modelling New'!$D:$D,'Modelling New'!$T:$T)*1000,"")</f>
        <v>177355.29697136435</v>
      </c>
      <c r="AE342" s="142"/>
      <c r="AF342" s="142">
        <f>IFERROR(_xlfn.XLOOKUP($D342,'Modelling New'!$D:$D,'Modelling New'!$W:$W),"")</f>
        <v>0.1049688073930897</v>
      </c>
      <c r="AG342" s="142">
        <f>IFERROR(_xlfn.XLOOKUP($D342,'Modelling New'!$D:$D,'Modelling New'!$AE:$AE),"")</f>
        <v>0.96029999999999993</v>
      </c>
      <c r="AH342" s="142">
        <f>IFERROR(_xlfn.XLOOKUP($D342,'Modelling New'!$D:$D,'Modelling New'!$AF:$AF),"")</f>
        <v>0.995</v>
      </c>
      <c r="AI342" s="109" t="str">
        <f>IFERROR(_xlfn.XLOOKUP($A342,Input_Raw!$A:$A,Input_Raw!$DP:$DP),"")</f>
        <v/>
      </c>
      <c r="AJ342" s="108"/>
      <c r="AK342" s="108"/>
      <c r="AL342" s="108"/>
      <c r="AM342" s="108"/>
      <c r="AN342" s="132" t="str">
        <f>IFERROR(_xlfn.XLOOKUP($A342,Input_Raw!$A:$A,Input_Raw!$DL:$DL),"")</f>
        <v/>
      </c>
      <c r="AO342" s="142" t="str">
        <f>IFERROR((_xlfn.XLOOKUP($A342,'WTG Reactive Power'!$A:$A,'WTG Reactive Power'!$AW:$AW))/X342,"")</f>
        <v/>
      </c>
      <c r="AP342" s="142">
        <f>IFERROR(_xlfn.XLOOKUP($D342,'Modelling New'!$D:$D,'Modelling New'!$AK:$AK),"")</f>
        <v>0.05</v>
      </c>
      <c r="AQ342" s="142">
        <f>IFERROR(_xlfn.XLOOKUP($D342,'Modelling New'!$D:$D,'Modelling New'!$AL:$AL),"")</f>
        <v>0.05</v>
      </c>
      <c r="AR342" s="198">
        <f>IFERROR(_xlfn.XLOOKUP($D342,'Modelling New'!$D:$D,'Modelling New'!$N:$N),"")</f>
        <v>70.400000000000006</v>
      </c>
      <c r="AS342" s="198"/>
    </row>
    <row r="343" spans="1:45">
      <c r="A343" s="137">
        <f t="shared" si="37"/>
        <v>46086</v>
      </c>
      <c r="B343" s="138">
        <f>YEAR(Daily_KPI[[#This Row],[Date]])+IF(MONTH(Daily_KPI[[#This Row],[Date]])&gt;=4,1,0)</f>
        <v>2026</v>
      </c>
      <c r="C343" s="108">
        <f>YEAR(Daily_KPI[[#This Row],[Date]])</f>
        <v>2026</v>
      </c>
      <c r="D343" s="139">
        <f>Daily_KPI[[#This Row],[Date]]-DAY(Daily_KPI[[#This Row],[Date]])+1</f>
        <v>46082</v>
      </c>
      <c r="E343" s="108">
        <f t="shared" si="33"/>
        <v>31</v>
      </c>
      <c r="F343" s="109"/>
      <c r="G343" s="110"/>
      <c r="H343" s="110"/>
      <c r="I343" s="110"/>
      <c r="J343" s="110"/>
      <c r="K343" s="111"/>
      <c r="L343" s="110"/>
      <c r="M343" s="110" t="str">
        <f>IFERROR(_xlfn.XLOOKUP($A343,Input_Raw!$A:$A,Input_Raw!$CQ:$CQ),"")</f>
        <v/>
      </c>
      <c r="N343" s="110" t="str">
        <f>IFERROR(_xlfn.XLOOKUP($A343,Input_Raw!$A:$A,Input_Raw!$CR:$CR),"")</f>
        <v/>
      </c>
      <c r="O343" s="141" t="str">
        <f t="shared" si="34"/>
        <v/>
      </c>
      <c r="P343" s="141" t="str">
        <f>IFERROR(1-SUMIF(WTG_BD!$F:$F,$A343,WTG_BD!$AA:$AA)/($AA343+SUMIF(WTG_BD!$F:$F,$A343,WTG_BD!$AA:$AA)),"")</f>
        <v/>
      </c>
      <c r="Q343" s="141" t="str">
        <f>IFERROR(1-SUMIF(IGA_BD!$F:$F,$A343,IGA_BD!$W:$W)/($AA343+SUMIF(IGA_BD!$F:$F,$A343,IGA_BD!$W:$W)),"")</f>
        <v/>
      </c>
      <c r="R343" s="141" t="str">
        <f>IFERROR(1-SUMIF(Grid_BD!$F:$F,$A343,Grid_BD!$Y:$Y)/($AA343+SUMIF(Grid_BD!$F:$F,$A343,Grid_BD!$Y:$Y)),"")</f>
        <v/>
      </c>
      <c r="S343" s="108"/>
      <c r="T343" s="140"/>
      <c r="U343" s="141"/>
      <c r="V343" s="108"/>
      <c r="W343" s="142" t="str">
        <f t="shared" si="35"/>
        <v/>
      </c>
      <c r="X343" s="108" t="str">
        <f>IFERROR(_xlfn.XLOOKUP($A343,Input_Raw!$A:$A,Input_Raw!$CP:$CP)*1000,"")</f>
        <v/>
      </c>
      <c r="Y343" s="108" t="str">
        <f>IFERROR(_xlfn.XLOOKUP($A343,Input_Raw!$A:$A,Input_Raw!DJ:DJ)*1000,"")</f>
        <v/>
      </c>
      <c r="Z343" s="108" t="str">
        <f>IFERROR(_xlfn.XLOOKUP($A343,Input_Raw!$A:$A,Input_Raw!DK:DK)*1000,"")</f>
        <v/>
      </c>
      <c r="AA343" s="138" t="str">
        <f t="shared" si="36"/>
        <v/>
      </c>
      <c r="AB343" s="108" t="str">
        <f>IFERROR(_xlfn.XLOOKUP($A343,Input_Raw!$A:$A,Input_Raw!$DR:$DR),"")</f>
        <v/>
      </c>
      <c r="AC343" s="143">
        <f>IFERROR(_xlfn.XLOOKUP($D343,'Modelling New'!$D:$D,'Modelling New'!$J:$J),"")</f>
        <v>4.5649999999999995</v>
      </c>
      <c r="AD343" s="138">
        <f>IFERROR(_xlfn.XLOOKUP($D343,'Modelling New'!$D:$D,'Modelling New'!$T:$T)*1000,"")</f>
        <v>177355.29697136435</v>
      </c>
      <c r="AE343" s="142"/>
      <c r="AF343" s="142">
        <f>IFERROR(_xlfn.XLOOKUP($D343,'Modelling New'!$D:$D,'Modelling New'!$W:$W),"")</f>
        <v>0.1049688073930897</v>
      </c>
      <c r="AG343" s="142">
        <f>IFERROR(_xlfn.XLOOKUP($D343,'Modelling New'!$D:$D,'Modelling New'!$AE:$AE),"")</f>
        <v>0.96029999999999993</v>
      </c>
      <c r="AH343" s="142">
        <f>IFERROR(_xlfn.XLOOKUP($D343,'Modelling New'!$D:$D,'Modelling New'!$AF:$AF),"")</f>
        <v>0.995</v>
      </c>
      <c r="AI343" s="109" t="str">
        <f>IFERROR(_xlfn.XLOOKUP($A343,Input_Raw!$A:$A,Input_Raw!$DP:$DP),"")</f>
        <v/>
      </c>
      <c r="AJ343" s="108"/>
      <c r="AK343" s="108"/>
      <c r="AL343" s="108"/>
      <c r="AM343" s="108"/>
      <c r="AN343" s="132" t="str">
        <f>IFERROR(_xlfn.XLOOKUP($A343,Input_Raw!$A:$A,Input_Raw!$DL:$DL),"")</f>
        <v/>
      </c>
      <c r="AO343" s="142" t="str">
        <f>IFERROR((_xlfn.XLOOKUP($A343,'WTG Reactive Power'!$A:$A,'WTG Reactive Power'!$AW:$AW))/X343,"")</f>
        <v/>
      </c>
      <c r="AP343" s="142">
        <f>IFERROR(_xlfn.XLOOKUP($D343,'Modelling New'!$D:$D,'Modelling New'!$AK:$AK),"")</f>
        <v>0.05</v>
      </c>
      <c r="AQ343" s="142">
        <f>IFERROR(_xlfn.XLOOKUP($D343,'Modelling New'!$D:$D,'Modelling New'!$AL:$AL),"")</f>
        <v>0.05</v>
      </c>
      <c r="AR343" s="198">
        <f>IFERROR(_xlfn.XLOOKUP($D343,'Modelling New'!$D:$D,'Modelling New'!$N:$N),"")</f>
        <v>70.400000000000006</v>
      </c>
      <c r="AS343" s="198"/>
    </row>
    <row r="344" spans="1:45">
      <c r="A344" s="137">
        <f t="shared" si="37"/>
        <v>46087</v>
      </c>
      <c r="B344" s="138">
        <f>YEAR(Daily_KPI[[#This Row],[Date]])+IF(MONTH(Daily_KPI[[#This Row],[Date]])&gt;=4,1,0)</f>
        <v>2026</v>
      </c>
      <c r="C344" s="108">
        <f>YEAR(Daily_KPI[[#This Row],[Date]])</f>
        <v>2026</v>
      </c>
      <c r="D344" s="139">
        <f>Daily_KPI[[#This Row],[Date]]-DAY(Daily_KPI[[#This Row],[Date]])+1</f>
        <v>46082</v>
      </c>
      <c r="E344" s="108">
        <f t="shared" ref="E344:E369" si="38">DAY(EOMONTH(A344,0))</f>
        <v>31</v>
      </c>
      <c r="F344" s="109"/>
      <c r="G344" s="110"/>
      <c r="H344" s="110"/>
      <c r="I344" s="110"/>
      <c r="J344" s="110"/>
      <c r="K344" s="111"/>
      <c r="L344" s="110"/>
      <c r="M344" s="110" t="str">
        <f>IFERROR(_xlfn.XLOOKUP($A344,Input_Raw!$A:$A,Input_Raw!$CQ:$CQ),"")</f>
        <v/>
      </c>
      <c r="N344" s="110" t="str">
        <f>IFERROR(_xlfn.XLOOKUP($A344,Input_Raw!$A:$A,Input_Raw!$CR:$CR),"")</f>
        <v/>
      </c>
      <c r="O344" s="141" t="str">
        <f t="shared" ref="O344:O369" si="39">IFERROR(P344*Q344,"")</f>
        <v/>
      </c>
      <c r="P344" s="141" t="str">
        <f>IFERROR(1-SUMIF(WTG_BD!$F:$F,$A344,WTG_BD!$AA:$AA)/($AA344+SUMIF(WTG_BD!$F:$F,$A344,WTG_BD!$AA:$AA)),"")</f>
        <v/>
      </c>
      <c r="Q344" s="141" t="str">
        <f>IFERROR(1-SUMIF(IGA_BD!$F:$F,$A344,IGA_BD!$W:$W)/($AA344+SUMIF(IGA_BD!$F:$F,$A344,IGA_BD!$W:$W)),"")</f>
        <v/>
      </c>
      <c r="R344" s="141" t="str">
        <f>IFERROR(1-SUMIF(Grid_BD!$F:$F,$A344,Grid_BD!$Y:$Y)/($AA344+SUMIF(Grid_BD!$F:$F,$A344,Grid_BD!$Y:$Y)),"")</f>
        <v/>
      </c>
      <c r="S344" s="108"/>
      <c r="T344" s="140"/>
      <c r="U344" s="141"/>
      <c r="V344" s="108"/>
      <c r="W344" s="142" t="str">
        <f t="shared" ref="W344:W369" si="40">IFERROR(X344/(24*AB344*1000),"")</f>
        <v/>
      </c>
      <c r="X344" s="108" t="str">
        <f>IFERROR(_xlfn.XLOOKUP($A344,Input_Raw!$A:$A,Input_Raw!$CP:$CP)*1000,"")</f>
        <v/>
      </c>
      <c r="Y344" s="108" t="str">
        <f>IFERROR(_xlfn.XLOOKUP($A344,Input_Raw!$A:$A,Input_Raw!DJ:DJ)*1000,"")</f>
        <v/>
      </c>
      <c r="Z344" s="108" t="str">
        <f>IFERROR(_xlfn.XLOOKUP($A344,Input_Raw!$A:$A,Input_Raw!DK:DK)*1000,"")</f>
        <v/>
      </c>
      <c r="AA344" s="138" t="str">
        <f t="shared" ref="AA344:AA369" si="41">IFERROR(Y344-Z344,"")</f>
        <v/>
      </c>
      <c r="AB344" s="108" t="str">
        <f>IFERROR(_xlfn.XLOOKUP($A344,Input_Raw!$A:$A,Input_Raw!$DR:$DR),"")</f>
        <v/>
      </c>
      <c r="AC344" s="143">
        <f>IFERROR(_xlfn.XLOOKUP($D344,'Modelling New'!$D:$D,'Modelling New'!$J:$J),"")</f>
        <v>4.5649999999999995</v>
      </c>
      <c r="AD344" s="138">
        <f>IFERROR(_xlfn.XLOOKUP($D344,'Modelling New'!$D:$D,'Modelling New'!$T:$T)*1000,"")</f>
        <v>177355.29697136435</v>
      </c>
      <c r="AE344" s="142"/>
      <c r="AF344" s="142">
        <f>IFERROR(_xlfn.XLOOKUP($D344,'Modelling New'!$D:$D,'Modelling New'!$W:$W),"")</f>
        <v>0.1049688073930897</v>
      </c>
      <c r="AG344" s="142">
        <f>IFERROR(_xlfn.XLOOKUP($D344,'Modelling New'!$D:$D,'Modelling New'!$AE:$AE),"")</f>
        <v>0.96029999999999993</v>
      </c>
      <c r="AH344" s="142">
        <f>IFERROR(_xlfn.XLOOKUP($D344,'Modelling New'!$D:$D,'Modelling New'!$AF:$AF),"")</f>
        <v>0.995</v>
      </c>
      <c r="AI344" s="109" t="str">
        <f>IFERROR(_xlfn.XLOOKUP($A344,Input_Raw!$A:$A,Input_Raw!$DP:$DP),"")</f>
        <v/>
      </c>
      <c r="AJ344" s="108"/>
      <c r="AK344" s="108"/>
      <c r="AL344" s="108"/>
      <c r="AM344" s="108"/>
      <c r="AN344" s="132" t="str">
        <f>IFERROR(_xlfn.XLOOKUP($A344,Input_Raw!$A:$A,Input_Raw!$DL:$DL),"")</f>
        <v/>
      </c>
      <c r="AO344" s="142" t="str">
        <f>IFERROR((_xlfn.XLOOKUP($A344,'WTG Reactive Power'!$A:$A,'WTG Reactive Power'!$AW:$AW))/X344,"")</f>
        <v/>
      </c>
      <c r="AP344" s="142">
        <f>IFERROR(_xlfn.XLOOKUP($D344,'Modelling New'!$D:$D,'Modelling New'!$AK:$AK),"")</f>
        <v>0.05</v>
      </c>
      <c r="AQ344" s="142">
        <f>IFERROR(_xlfn.XLOOKUP($D344,'Modelling New'!$D:$D,'Modelling New'!$AL:$AL),"")</f>
        <v>0.05</v>
      </c>
      <c r="AR344" s="198">
        <f>IFERROR(_xlfn.XLOOKUP($D344,'Modelling New'!$D:$D,'Modelling New'!$N:$N),"")</f>
        <v>70.400000000000006</v>
      </c>
      <c r="AS344" s="198"/>
    </row>
    <row r="345" spans="1:45">
      <c r="A345" s="137">
        <f t="shared" si="37"/>
        <v>46088</v>
      </c>
      <c r="B345" s="138">
        <f>YEAR(Daily_KPI[[#This Row],[Date]])+IF(MONTH(Daily_KPI[[#This Row],[Date]])&gt;=4,1,0)</f>
        <v>2026</v>
      </c>
      <c r="C345" s="108">
        <f>YEAR(Daily_KPI[[#This Row],[Date]])</f>
        <v>2026</v>
      </c>
      <c r="D345" s="139">
        <f>Daily_KPI[[#This Row],[Date]]-DAY(Daily_KPI[[#This Row],[Date]])+1</f>
        <v>46082</v>
      </c>
      <c r="E345" s="108">
        <f t="shared" si="38"/>
        <v>31</v>
      </c>
      <c r="F345" s="109"/>
      <c r="G345" s="110"/>
      <c r="H345" s="110"/>
      <c r="I345" s="110"/>
      <c r="J345" s="110"/>
      <c r="K345" s="111"/>
      <c r="L345" s="110"/>
      <c r="M345" s="110" t="str">
        <f>IFERROR(_xlfn.XLOOKUP($A345,Input_Raw!$A:$A,Input_Raw!$CQ:$CQ),"")</f>
        <v/>
      </c>
      <c r="N345" s="110" t="str">
        <f>IFERROR(_xlfn.XLOOKUP($A345,Input_Raw!$A:$A,Input_Raw!$CR:$CR),"")</f>
        <v/>
      </c>
      <c r="O345" s="141" t="str">
        <f t="shared" si="39"/>
        <v/>
      </c>
      <c r="P345" s="141" t="str">
        <f>IFERROR(1-SUMIF(WTG_BD!$F:$F,$A345,WTG_BD!$AA:$AA)/($AA345+SUMIF(WTG_BD!$F:$F,$A345,WTG_BD!$AA:$AA)),"")</f>
        <v/>
      </c>
      <c r="Q345" s="141" t="str">
        <f>IFERROR(1-SUMIF(IGA_BD!$F:$F,$A345,IGA_BD!$W:$W)/($AA345+SUMIF(IGA_BD!$F:$F,$A345,IGA_BD!$W:$W)),"")</f>
        <v/>
      </c>
      <c r="R345" s="141" t="str">
        <f>IFERROR(1-SUMIF(Grid_BD!$F:$F,$A345,Grid_BD!$Y:$Y)/($AA345+SUMIF(Grid_BD!$F:$F,$A345,Grid_BD!$Y:$Y)),"")</f>
        <v/>
      </c>
      <c r="S345" s="108"/>
      <c r="T345" s="140"/>
      <c r="U345" s="141"/>
      <c r="V345" s="108"/>
      <c r="W345" s="142" t="str">
        <f t="shared" si="40"/>
        <v/>
      </c>
      <c r="X345" s="108" t="str">
        <f>IFERROR(_xlfn.XLOOKUP($A345,Input_Raw!$A:$A,Input_Raw!$CP:$CP)*1000,"")</f>
        <v/>
      </c>
      <c r="Y345" s="108" t="str">
        <f>IFERROR(_xlfn.XLOOKUP($A345,Input_Raw!$A:$A,Input_Raw!DJ:DJ)*1000,"")</f>
        <v/>
      </c>
      <c r="Z345" s="108" t="str">
        <f>IFERROR(_xlfn.XLOOKUP($A345,Input_Raw!$A:$A,Input_Raw!DK:DK)*1000,"")</f>
        <v/>
      </c>
      <c r="AA345" s="138" t="str">
        <f t="shared" si="41"/>
        <v/>
      </c>
      <c r="AB345" s="108" t="str">
        <f>IFERROR(_xlfn.XLOOKUP($A345,Input_Raw!$A:$A,Input_Raw!$DR:$DR),"")</f>
        <v/>
      </c>
      <c r="AC345" s="143">
        <f>IFERROR(_xlfn.XLOOKUP($D345,'Modelling New'!$D:$D,'Modelling New'!$J:$J),"")</f>
        <v>4.5649999999999995</v>
      </c>
      <c r="AD345" s="138">
        <f>IFERROR(_xlfn.XLOOKUP($D345,'Modelling New'!$D:$D,'Modelling New'!$T:$T)*1000,"")</f>
        <v>177355.29697136435</v>
      </c>
      <c r="AE345" s="142"/>
      <c r="AF345" s="142">
        <f>IFERROR(_xlfn.XLOOKUP($D345,'Modelling New'!$D:$D,'Modelling New'!$W:$W),"")</f>
        <v>0.1049688073930897</v>
      </c>
      <c r="AG345" s="142">
        <f>IFERROR(_xlfn.XLOOKUP($D345,'Modelling New'!$D:$D,'Modelling New'!$AE:$AE),"")</f>
        <v>0.96029999999999993</v>
      </c>
      <c r="AH345" s="142">
        <f>IFERROR(_xlfn.XLOOKUP($D345,'Modelling New'!$D:$D,'Modelling New'!$AF:$AF),"")</f>
        <v>0.995</v>
      </c>
      <c r="AI345" s="109" t="str">
        <f>IFERROR(_xlfn.XLOOKUP($A345,Input_Raw!$A:$A,Input_Raw!$DP:$DP),"")</f>
        <v/>
      </c>
      <c r="AJ345" s="108"/>
      <c r="AK345" s="108"/>
      <c r="AL345" s="108"/>
      <c r="AM345" s="108"/>
      <c r="AN345" s="132" t="str">
        <f>IFERROR(_xlfn.XLOOKUP($A345,Input_Raw!$A:$A,Input_Raw!$DL:$DL),"")</f>
        <v/>
      </c>
      <c r="AO345" s="142" t="str">
        <f>IFERROR((_xlfn.XLOOKUP($A345,'WTG Reactive Power'!$A:$A,'WTG Reactive Power'!$AW:$AW))/X345,"")</f>
        <v/>
      </c>
      <c r="AP345" s="142">
        <f>IFERROR(_xlfn.XLOOKUP($D345,'Modelling New'!$D:$D,'Modelling New'!$AK:$AK),"")</f>
        <v>0.05</v>
      </c>
      <c r="AQ345" s="142">
        <f>IFERROR(_xlfn.XLOOKUP($D345,'Modelling New'!$D:$D,'Modelling New'!$AL:$AL),"")</f>
        <v>0.05</v>
      </c>
      <c r="AR345" s="198">
        <f>IFERROR(_xlfn.XLOOKUP($D345,'Modelling New'!$D:$D,'Modelling New'!$N:$N),"")</f>
        <v>70.400000000000006</v>
      </c>
      <c r="AS345" s="198"/>
    </row>
    <row r="346" spans="1:45">
      <c r="A346" s="137">
        <f t="shared" si="37"/>
        <v>46089</v>
      </c>
      <c r="B346" s="138">
        <f>YEAR(Daily_KPI[[#This Row],[Date]])+IF(MONTH(Daily_KPI[[#This Row],[Date]])&gt;=4,1,0)</f>
        <v>2026</v>
      </c>
      <c r="C346" s="108">
        <f>YEAR(Daily_KPI[[#This Row],[Date]])</f>
        <v>2026</v>
      </c>
      <c r="D346" s="139">
        <f>Daily_KPI[[#This Row],[Date]]-DAY(Daily_KPI[[#This Row],[Date]])+1</f>
        <v>46082</v>
      </c>
      <c r="E346" s="108">
        <f t="shared" si="38"/>
        <v>31</v>
      </c>
      <c r="F346" s="109"/>
      <c r="G346" s="110"/>
      <c r="H346" s="110"/>
      <c r="I346" s="110"/>
      <c r="J346" s="110"/>
      <c r="K346" s="111"/>
      <c r="L346" s="110"/>
      <c r="M346" s="110" t="str">
        <f>IFERROR(_xlfn.XLOOKUP($A346,Input_Raw!$A:$A,Input_Raw!$CQ:$CQ),"")</f>
        <v/>
      </c>
      <c r="N346" s="110" t="str">
        <f>IFERROR(_xlfn.XLOOKUP($A346,Input_Raw!$A:$A,Input_Raw!$CR:$CR),"")</f>
        <v/>
      </c>
      <c r="O346" s="141" t="str">
        <f t="shared" si="39"/>
        <v/>
      </c>
      <c r="P346" s="141" t="str">
        <f>IFERROR(1-SUMIF(WTG_BD!$F:$F,$A346,WTG_BD!$AA:$AA)/($AA346+SUMIF(WTG_BD!$F:$F,$A346,WTG_BD!$AA:$AA)),"")</f>
        <v/>
      </c>
      <c r="Q346" s="141" t="str">
        <f>IFERROR(1-SUMIF(IGA_BD!$F:$F,$A346,IGA_BD!$W:$W)/($AA346+SUMIF(IGA_BD!$F:$F,$A346,IGA_BD!$W:$W)),"")</f>
        <v/>
      </c>
      <c r="R346" s="141" t="str">
        <f>IFERROR(1-SUMIF(Grid_BD!$F:$F,$A346,Grid_BD!$Y:$Y)/($AA346+SUMIF(Grid_BD!$F:$F,$A346,Grid_BD!$Y:$Y)),"")</f>
        <v/>
      </c>
      <c r="S346" s="108"/>
      <c r="T346" s="140"/>
      <c r="U346" s="141"/>
      <c r="V346" s="108"/>
      <c r="W346" s="142" t="str">
        <f t="shared" si="40"/>
        <v/>
      </c>
      <c r="X346" s="108" t="str">
        <f>IFERROR(_xlfn.XLOOKUP($A346,Input_Raw!$A:$A,Input_Raw!$CP:$CP)*1000,"")</f>
        <v/>
      </c>
      <c r="Y346" s="108" t="str">
        <f>IFERROR(_xlfn.XLOOKUP($A346,Input_Raw!$A:$A,Input_Raw!DJ:DJ)*1000,"")</f>
        <v/>
      </c>
      <c r="Z346" s="108" t="str">
        <f>IFERROR(_xlfn.XLOOKUP($A346,Input_Raw!$A:$A,Input_Raw!DK:DK)*1000,"")</f>
        <v/>
      </c>
      <c r="AA346" s="138" t="str">
        <f t="shared" si="41"/>
        <v/>
      </c>
      <c r="AB346" s="108" t="str">
        <f>IFERROR(_xlfn.XLOOKUP($A346,Input_Raw!$A:$A,Input_Raw!$DR:$DR),"")</f>
        <v/>
      </c>
      <c r="AC346" s="143">
        <f>IFERROR(_xlfn.XLOOKUP($D346,'Modelling New'!$D:$D,'Modelling New'!$J:$J),"")</f>
        <v>4.5649999999999995</v>
      </c>
      <c r="AD346" s="138">
        <f>IFERROR(_xlfn.XLOOKUP($D346,'Modelling New'!$D:$D,'Modelling New'!$T:$T)*1000,"")</f>
        <v>177355.29697136435</v>
      </c>
      <c r="AE346" s="142"/>
      <c r="AF346" s="142">
        <f>IFERROR(_xlfn.XLOOKUP($D346,'Modelling New'!$D:$D,'Modelling New'!$W:$W),"")</f>
        <v>0.1049688073930897</v>
      </c>
      <c r="AG346" s="142">
        <f>IFERROR(_xlfn.XLOOKUP($D346,'Modelling New'!$D:$D,'Modelling New'!$AE:$AE),"")</f>
        <v>0.96029999999999993</v>
      </c>
      <c r="AH346" s="142">
        <f>IFERROR(_xlfn.XLOOKUP($D346,'Modelling New'!$D:$D,'Modelling New'!$AF:$AF),"")</f>
        <v>0.995</v>
      </c>
      <c r="AI346" s="109" t="str">
        <f>IFERROR(_xlfn.XLOOKUP($A346,Input_Raw!$A:$A,Input_Raw!$DP:$DP),"")</f>
        <v/>
      </c>
      <c r="AJ346" s="108"/>
      <c r="AK346" s="108"/>
      <c r="AL346" s="108"/>
      <c r="AM346" s="108"/>
      <c r="AN346" s="132" t="str">
        <f>IFERROR(_xlfn.XLOOKUP($A346,Input_Raw!$A:$A,Input_Raw!$DL:$DL),"")</f>
        <v/>
      </c>
      <c r="AO346" s="142" t="str">
        <f>IFERROR((_xlfn.XLOOKUP($A346,'WTG Reactive Power'!$A:$A,'WTG Reactive Power'!$AW:$AW))/X346,"")</f>
        <v/>
      </c>
      <c r="AP346" s="142">
        <f>IFERROR(_xlfn.XLOOKUP($D346,'Modelling New'!$D:$D,'Modelling New'!$AK:$AK),"")</f>
        <v>0.05</v>
      </c>
      <c r="AQ346" s="142">
        <f>IFERROR(_xlfn.XLOOKUP($D346,'Modelling New'!$D:$D,'Modelling New'!$AL:$AL),"")</f>
        <v>0.05</v>
      </c>
      <c r="AR346" s="198">
        <f>IFERROR(_xlfn.XLOOKUP($D346,'Modelling New'!$D:$D,'Modelling New'!$N:$N),"")</f>
        <v>70.400000000000006</v>
      </c>
      <c r="AS346" s="198"/>
    </row>
    <row r="347" spans="1:45">
      <c r="A347" s="137">
        <f t="shared" si="37"/>
        <v>46090</v>
      </c>
      <c r="B347" s="138">
        <f>YEAR(Daily_KPI[[#This Row],[Date]])+IF(MONTH(Daily_KPI[[#This Row],[Date]])&gt;=4,1,0)</f>
        <v>2026</v>
      </c>
      <c r="C347" s="108">
        <f>YEAR(Daily_KPI[[#This Row],[Date]])</f>
        <v>2026</v>
      </c>
      <c r="D347" s="139">
        <f>Daily_KPI[[#This Row],[Date]]-DAY(Daily_KPI[[#This Row],[Date]])+1</f>
        <v>46082</v>
      </c>
      <c r="E347" s="108">
        <f t="shared" si="38"/>
        <v>31</v>
      </c>
      <c r="F347" s="109"/>
      <c r="G347" s="110"/>
      <c r="H347" s="110"/>
      <c r="I347" s="110"/>
      <c r="J347" s="110"/>
      <c r="K347" s="111"/>
      <c r="L347" s="110"/>
      <c r="M347" s="110" t="str">
        <f>IFERROR(_xlfn.XLOOKUP($A347,Input_Raw!$A:$A,Input_Raw!$CQ:$CQ),"")</f>
        <v/>
      </c>
      <c r="N347" s="110" t="str">
        <f>IFERROR(_xlfn.XLOOKUP($A347,Input_Raw!$A:$A,Input_Raw!$CR:$CR),"")</f>
        <v/>
      </c>
      <c r="O347" s="141" t="str">
        <f t="shared" si="39"/>
        <v/>
      </c>
      <c r="P347" s="141" t="str">
        <f>IFERROR(1-SUMIF(WTG_BD!$F:$F,$A347,WTG_BD!$AA:$AA)/($AA347+SUMIF(WTG_BD!$F:$F,$A347,WTG_BD!$AA:$AA)),"")</f>
        <v/>
      </c>
      <c r="Q347" s="141" t="str">
        <f>IFERROR(1-SUMIF(IGA_BD!$F:$F,$A347,IGA_BD!$W:$W)/($AA347+SUMIF(IGA_BD!$F:$F,$A347,IGA_BD!$W:$W)),"")</f>
        <v/>
      </c>
      <c r="R347" s="141" t="str">
        <f>IFERROR(1-SUMIF(Grid_BD!$F:$F,$A347,Grid_BD!$Y:$Y)/($AA347+SUMIF(Grid_BD!$F:$F,$A347,Grid_BD!$Y:$Y)),"")</f>
        <v/>
      </c>
      <c r="S347" s="108"/>
      <c r="T347" s="140"/>
      <c r="U347" s="141"/>
      <c r="V347" s="108"/>
      <c r="W347" s="142" t="str">
        <f t="shared" si="40"/>
        <v/>
      </c>
      <c r="X347" s="108" t="str">
        <f>IFERROR(_xlfn.XLOOKUP($A347,Input_Raw!$A:$A,Input_Raw!$CP:$CP)*1000,"")</f>
        <v/>
      </c>
      <c r="Y347" s="108" t="str">
        <f>IFERROR(_xlfn.XLOOKUP($A347,Input_Raw!$A:$A,Input_Raw!DJ:DJ)*1000,"")</f>
        <v/>
      </c>
      <c r="Z347" s="108" t="str">
        <f>IFERROR(_xlfn.XLOOKUP($A347,Input_Raw!$A:$A,Input_Raw!DK:DK)*1000,"")</f>
        <v/>
      </c>
      <c r="AA347" s="138" t="str">
        <f t="shared" si="41"/>
        <v/>
      </c>
      <c r="AB347" s="108" t="str">
        <f>IFERROR(_xlfn.XLOOKUP($A347,Input_Raw!$A:$A,Input_Raw!$DR:$DR),"")</f>
        <v/>
      </c>
      <c r="AC347" s="143">
        <f>IFERROR(_xlfn.XLOOKUP($D347,'Modelling New'!$D:$D,'Modelling New'!$J:$J),"")</f>
        <v>4.5649999999999995</v>
      </c>
      <c r="AD347" s="138">
        <f>IFERROR(_xlfn.XLOOKUP($D347,'Modelling New'!$D:$D,'Modelling New'!$T:$T)*1000,"")</f>
        <v>177355.29697136435</v>
      </c>
      <c r="AE347" s="142"/>
      <c r="AF347" s="142">
        <f>IFERROR(_xlfn.XLOOKUP($D347,'Modelling New'!$D:$D,'Modelling New'!$W:$W),"")</f>
        <v>0.1049688073930897</v>
      </c>
      <c r="AG347" s="142">
        <f>IFERROR(_xlfn.XLOOKUP($D347,'Modelling New'!$D:$D,'Modelling New'!$AE:$AE),"")</f>
        <v>0.96029999999999993</v>
      </c>
      <c r="AH347" s="142">
        <f>IFERROR(_xlfn.XLOOKUP($D347,'Modelling New'!$D:$D,'Modelling New'!$AF:$AF),"")</f>
        <v>0.995</v>
      </c>
      <c r="AI347" s="109" t="str">
        <f>IFERROR(_xlfn.XLOOKUP($A347,Input_Raw!$A:$A,Input_Raw!$DP:$DP),"")</f>
        <v/>
      </c>
      <c r="AJ347" s="108"/>
      <c r="AK347" s="108"/>
      <c r="AL347" s="108"/>
      <c r="AM347" s="108"/>
      <c r="AN347" s="132" t="str">
        <f>IFERROR(_xlfn.XLOOKUP($A347,Input_Raw!$A:$A,Input_Raw!$DL:$DL),"")</f>
        <v/>
      </c>
      <c r="AO347" s="142" t="str">
        <f>IFERROR((_xlfn.XLOOKUP($A347,'WTG Reactive Power'!$A:$A,'WTG Reactive Power'!$AW:$AW))/X347,"")</f>
        <v/>
      </c>
      <c r="AP347" s="142">
        <f>IFERROR(_xlfn.XLOOKUP($D347,'Modelling New'!$D:$D,'Modelling New'!$AK:$AK),"")</f>
        <v>0.05</v>
      </c>
      <c r="AQ347" s="142">
        <f>IFERROR(_xlfn.XLOOKUP($D347,'Modelling New'!$D:$D,'Modelling New'!$AL:$AL),"")</f>
        <v>0.05</v>
      </c>
      <c r="AR347" s="198">
        <f>IFERROR(_xlfn.XLOOKUP($D347,'Modelling New'!$D:$D,'Modelling New'!$N:$N),"")</f>
        <v>70.400000000000006</v>
      </c>
      <c r="AS347" s="198"/>
    </row>
    <row r="348" spans="1:45">
      <c r="A348" s="137">
        <f t="shared" si="37"/>
        <v>46091</v>
      </c>
      <c r="B348" s="138">
        <f>YEAR(Daily_KPI[[#This Row],[Date]])+IF(MONTH(Daily_KPI[[#This Row],[Date]])&gt;=4,1,0)</f>
        <v>2026</v>
      </c>
      <c r="C348" s="108">
        <f>YEAR(Daily_KPI[[#This Row],[Date]])</f>
        <v>2026</v>
      </c>
      <c r="D348" s="139">
        <f>Daily_KPI[[#This Row],[Date]]-DAY(Daily_KPI[[#This Row],[Date]])+1</f>
        <v>46082</v>
      </c>
      <c r="E348" s="108">
        <f t="shared" si="38"/>
        <v>31</v>
      </c>
      <c r="F348" s="109"/>
      <c r="G348" s="110"/>
      <c r="H348" s="110"/>
      <c r="I348" s="110"/>
      <c r="J348" s="110"/>
      <c r="K348" s="111"/>
      <c r="L348" s="110"/>
      <c r="M348" s="110" t="str">
        <f>IFERROR(_xlfn.XLOOKUP($A348,Input_Raw!$A:$A,Input_Raw!$CQ:$CQ),"")</f>
        <v/>
      </c>
      <c r="N348" s="110" t="str">
        <f>IFERROR(_xlfn.XLOOKUP($A348,Input_Raw!$A:$A,Input_Raw!$CR:$CR),"")</f>
        <v/>
      </c>
      <c r="O348" s="141" t="str">
        <f t="shared" si="39"/>
        <v/>
      </c>
      <c r="P348" s="141" t="str">
        <f>IFERROR(1-SUMIF(WTG_BD!$F:$F,$A348,WTG_BD!$AA:$AA)/($AA348+SUMIF(WTG_BD!$F:$F,$A348,WTG_BD!$AA:$AA)),"")</f>
        <v/>
      </c>
      <c r="Q348" s="141" t="str">
        <f>IFERROR(1-SUMIF(IGA_BD!$F:$F,$A348,IGA_BD!$W:$W)/($AA348+SUMIF(IGA_BD!$F:$F,$A348,IGA_BD!$W:$W)),"")</f>
        <v/>
      </c>
      <c r="R348" s="141" t="str">
        <f>IFERROR(1-SUMIF(Grid_BD!$F:$F,$A348,Grid_BD!$Y:$Y)/($AA348+SUMIF(Grid_BD!$F:$F,$A348,Grid_BD!$Y:$Y)),"")</f>
        <v/>
      </c>
      <c r="S348" s="108"/>
      <c r="T348" s="140"/>
      <c r="U348" s="141"/>
      <c r="V348" s="108"/>
      <c r="W348" s="142" t="str">
        <f t="shared" si="40"/>
        <v/>
      </c>
      <c r="X348" s="108" t="str">
        <f>IFERROR(_xlfn.XLOOKUP($A348,Input_Raw!$A:$A,Input_Raw!$CP:$CP)*1000,"")</f>
        <v/>
      </c>
      <c r="Y348" s="108" t="str">
        <f>IFERROR(_xlfn.XLOOKUP($A348,Input_Raw!$A:$A,Input_Raw!DJ:DJ)*1000,"")</f>
        <v/>
      </c>
      <c r="Z348" s="108" t="str">
        <f>IFERROR(_xlfn.XLOOKUP($A348,Input_Raw!$A:$A,Input_Raw!DK:DK)*1000,"")</f>
        <v/>
      </c>
      <c r="AA348" s="138" t="str">
        <f t="shared" si="41"/>
        <v/>
      </c>
      <c r="AB348" s="108" t="str">
        <f>IFERROR(_xlfn.XLOOKUP($A348,Input_Raw!$A:$A,Input_Raw!$DR:$DR),"")</f>
        <v/>
      </c>
      <c r="AC348" s="143">
        <f>IFERROR(_xlfn.XLOOKUP($D348,'Modelling New'!$D:$D,'Modelling New'!$J:$J),"")</f>
        <v>4.5649999999999995</v>
      </c>
      <c r="AD348" s="138">
        <f>IFERROR(_xlfn.XLOOKUP($D348,'Modelling New'!$D:$D,'Modelling New'!$T:$T)*1000,"")</f>
        <v>177355.29697136435</v>
      </c>
      <c r="AE348" s="142"/>
      <c r="AF348" s="142">
        <f>IFERROR(_xlfn.XLOOKUP($D348,'Modelling New'!$D:$D,'Modelling New'!$W:$W),"")</f>
        <v>0.1049688073930897</v>
      </c>
      <c r="AG348" s="142">
        <f>IFERROR(_xlfn.XLOOKUP($D348,'Modelling New'!$D:$D,'Modelling New'!$AE:$AE),"")</f>
        <v>0.96029999999999993</v>
      </c>
      <c r="AH348" s="142">
        <f>IFERROR(_xlfn.XLOOKUP($D348,'Modelling New'!$D:$D,'Modelling New'!$AF:$AF),"")</f>
        <v>0.995</v>
      </c>
      <c r="AI348" s="109" t="str">
        <f>IFERROR(_xlfn.XLOOKUP($A348,Input_Raw!$A:$A,Input_Raw!$DP:$DP),"")</f>
        <v/>
      </c>
      <c r="AJ348" s="108"/>
      <c r="AK348" s="108"/>
      <c r="AL348" s="108"/>
      <c r="AM348" s="108"/>
      <c r="AN348" s="132" t="str">
        <f>IFERROR(_xlfn.XLOOKUP($A348,Input_Raw!$A:$A,Input_Raw!$DL:$DL),"")</f>
        <v/>
      </c>
      <c r="AO348" s="142" t="str">
        <f>IFERROR((_xlfn.XLOOKUP($A348,'WTG Reactive Power'!$A:$A,'WTG Reactive Power'!$AW:$AW))/X348,"")</f>
        <v/>
      </c>
      <c r="AP348" s="142">
        <f>IFERROR(_xlfn.XLOOKUP($D348,'Modelling New'!$D:$D,'Modelling New'!$AK:$AK),"")</f>
        <v>0.05</v>
      </c>
      <c r="AQ348" s="142">
        <f>IFERROR(_xlfn.XLOOKUP($D348,'Modelling New'!$D:$D,'Modelling New'!$AL:$AL),"")</f>
        <v>0.05</v>
      </c>
      <c r="AR348" s="198">
        <f>IFERROR(_xlfn.XLOOKUP($D348,'Modelling New'!$D:$D,'Modelling New'!$N:$N),"")</f>
        <v>70.400000000000006</v>
      </c>
      <c r="AS348" s="198"/>
    </row>
    <row r="349" spans="1:45">
      <c r="A349" s="137">
        <f t="shared" si="37"/>
        <v>46092</v>
      </c>
      <c r="B349" s="138">
        <f>YEAR(Daily_KPI[[#This Row],[Date]])+IF(MONTH(Daily_KPI[[#This Row],[Date]])&gt;=4,1,0)</f>
        <v>2026</v>
      </c>
      <c r="C349" s="108">
        <f>YEAR(Daily_KPI[[#This Row],[Date]])</f>
        <v>2026</v>
      </c>
      <c r="D349" s="139">
        <f>Daily_KPI[[#This Row],[Date]]-DAY(Daily_KPI[[#This Row],[Date]])+1</f>
        <v>46082</v>
      </c>
      <c r="E349" s="108">
        <f t="shared" si="38"/>
        <v>31</v>
      </c>
      <c r="F349" s="109"/>
      <c r="G349" s="110"/>
      <c r="H349" s="110"/>
      <c r="I349" s="110"/>
      <c r="J349" s="110"/>
      <c r="K349" s="111"/>
      <c r="L349" s="110"/>
      <c r="M349" s="110" t="str">
        <f>IFERROR(_xlfn.XLOOKUP($A349,Input_Raw!$A:$A,Input_Raw!$CQ:$CQ),"")</f>
        <v/>
      </c>
      <c r="N349" s="110" t="str">
        <f>IFERROR(_xlfn.XLOOKUP($A349,Input_Raw!$A:$A,Input_Raw!$CR:$CR),"")</f>
        <v/>
      </c>
      <c r="O349" s="141" t="str">
        <f t="shared" si="39"/>
        <v/>
      </c>
      <c r="P349" s="141" t="str">
        <f>IFERROR(1-SUMIF(WTG_BD!$F:$F,$A349,WTG_BD!$AA:$AA)/($AA349+SUMIF(WTG_BD!$F:$F,$A349,WTG_BD!$AA:$AA)),"")</f>
        <v/>
      </c>
      <c r="Q349" s="141" t="str">
        <f>IFERROR(1-SUMIF(IGA_BD!$F:$F,$A349,IGA_BD!$W:$W)/($AA349+SUMIF(IGA_BD!$F:$F,$A349,IGA_BD!$W:$W)),"")</f>
        <v/>
      </c>
      <c r="R349" s="141" t="str">
        <f>IFERROR(1-SUMIF(Grid_BD!$F:$F,$A349,Grid_BD!$Y:$Y)/($AA349+SUMIF(Grid_BD!$F:$F,$A349,Grid_BD!$Y:$Y)),"")</f>
        <v/>
      </c>
      <c r="S349" s="108"/>
      <c r="T349" s="140"/>
      <c r="U349" s="141"/>
      <c r="V349" s="108"/>
      <c r="W349" s="142" t="str">
        <f t="shared" si="40"/>
        <v/>
      </c>
      <c r="X349" s="108" t="str">
        <f>IFERROR(_xlfn.XLOOKUP($A349,Input_Raw!$A:$A,Input_Raw!$CP:$CP)*1000,"")</f>
        <v/>
      </c>
      <c r="Y349" s="108" t="str">
        <f>IFERROR(_xlfn.XLOOKUP($A349,Input_Raw!$A:$A,Input_Raw!DJ:DJ)*1000,"")</f>
        <v/>
      </c>
      <c r="Z349" s="108" t="str">
        <f>IFERROR(_xlfn.XLOOKUP($A349,Input_Raw!$A:$A,Input_Raw!DK:DK)*1000,"")</f>
        <v/>
      </c>
      <c r="AA349" s="138" t="str">
        <f t="shared" si="41"/>
        <v/>
      </c>
      <c r="AB349" s="108" t="str">
        <f>IFERROR(_xlfn.XLOOKUP($A349,Input_Raw!$A:$A,Input_Raw!$DR:$DR),"")</f>
        <v/>
      </c>
      <c r="AC349" s="143">
        <f>IFERROR(_xlfn.XLOOKUP($D349,'Modelling New'!$D:$D,'Modelling New'!$J:$J),"")</f>
        <v>4.5649999999999995</v>
      </c>
      <c r="AD349" s="138">
        <f>IFERROR(_xlfn.XLOOKUP($D349,'Modelling New'!$D:$D,'Modelling New'!$T:$T)*1000,"")</f>
        <v>177355.29697136435</v>
      </c>
      <c r="AE349" s="142"/>
      <c r="AF349" s="142">
        <f>IFERROR(_xlfn.XLOOKUP($D349,'Modelling New'!$D:$D,'Modelling New'!$W:$W),"")</f>
        <v>0.1049688073930897</v>
      </c>
      <c r="AG349" s="142">
        <f>IFERROR(_xlfn.XLOOKUP($D349,'Modelling New'!$D:$D,'Modelling New'!$AE:$AE),"")</f>
        <v>0.96029999999999993</v>
      </c>
      <c r="AH349" s="142">
        <f>IFERROR(_xlfn.XLOOKUP($D349,'Modelling New'!$D:$D,'Modelling New'!$AF:$AF),"")</f>
        <v>0.995</v>
      </c>
      <c r="AI349" s="109" t="str">
        <f>IFERROR(_xlfn.XLOOKUP($A349,Input_Raw!$A:$A,Input_Raw!$DP:$DP),"")</f>
        <v/>
      </c>
      <c r="AJ349" s="108"/>
      <c r="AK349" s="108"/>
      <c r="AL349" s="108"/>
      <c r="AM349" s="108"/>
      <c r="AN349" s="132" t="str">
        <f>IFERROR(_xlfn.XLOOKUP($A349,Input_Raw!$A:$A,Input_Raw!$DL:$DL),"")</f>
        <v/>
      </c>
      <c r="AO349" s="142" t="str">
        <f>IFERROR((_xlfn.XLOOKUP($A349,'WTG Reactive Power'!$A:$A,'WTG Reactive Power'!$AW:$AW))/X349,"")</f>
        <v/>
      </c>
      <c r="AP349" s="142">
        <f>IFERROR(_xlfn.XLOOKUP($D349,'Modelling New'!$D:$D,'Modelling New'!$AK:$AK),"")</f>
        <v>0.05</v>
      </c>
      <c r="AQ349" s="142">
        <f>IFERROR(_xlfn.XLOOKUP($D349,'Modelling New'!$D:$D,'Modelling New'!$AL:$AL),"")</f>
        <v>0.05</v>
      </c>
      <c r="AR349" s="198">
        <f>IFERROR(_xlfn.XLOOKUP($D349,'Modelling New'!$D:$D,'Modelling New'!$N:$N),"")</f>
        <v>70.400000000000006</v>
      </c>
      <c r="AS349" s="198"/>
    </row>
    <row r="350" spans="1:45">
      <c r="A350" s="137">
        <f t="shared" si="37"/>
        <v>46093</v>
      </c>
      <c r="B350" s="138">
        <f>YEAR(Daily_KPI[[#This Row],[Date]])+IF(MONTH(Daily_KPI[[#This Row],[Date]])&gt;=4,1,0)</f>
        <v>2026</v>
      </c>
      <c r="C350" s="108">
        <f>YEAR(Daily_KPI[[#This Row],[Date]])</f>
        <v>2026</v>
      </c>
      <c r="D350" s="139">
        <f>Daily_KPI[[#This Row],[Date]]-DAY(Daily_KPI[[#This Row],[Date]])+1</f>
        <v>46082</v>
      </c>
      <c r="E350" s="108">
        <f t="shared" si="38"/>
        <v>31</v>
      </c>
      <c r="F350" s="109"/>
      <c r="G350" s="110"/>
      <c r="H350" s="110"/>
      <c r="I350" s="110"/>
      <c r="J350" s="110"/>
      <c r="K350" s="111"/>
      <c r="L350" s="110"/>
      <c r="M350" s="110" t="str">
        <f>IFERROR(_xlfn.XLOOKUP($A350,Input_Raw!$A:$A,Input_Raw!$CQ:$CQ),"")</f>
        <v/>
      </c>
      <c r="N350" s="110" t="str">
        <f>IFERROR(_xlfn.XLOOKUP($A350,Input_Raw!$A:$A,Input_Raw!$CR:$CR),"")</f>
        <v/>
      </c>
      <c r="O350" s="141" t="str">
        <f t="shared" si="39"/>
        <v/>
      </c>
      <c r="P350" s="141" t="str">
        <f>IFERROR(1-SUMIF(WTG_BD!$F:$F,$A350,WTG_BD!$AA:$AA)/($AA350+SUMIF(WTG_BD!$F:$F,$A350,WTG_BD!$AA:$AA)),"")</f>
        <v/>
      </c>
      <c r="Q350" s="141" t="str">
        <f>IFERROR(1-SUMIF(IGA_BD!$F:$F,$A350,IGA_BD!$W:$W)/($AA350+SUMIF(IGA_BD!$F:$F,$A350,IGA_BD!$W:$W)),"")</f>
        <v/>
      </c>
      <c r="R350" s="141" t="str">
        <f>IFERROR(1-SUMIF(Grid_BD!$F:$F,$A350,Grid_BD!$Y:$Y)/($AA350+SUMIF(Grid_BD!$F:$F,$A350,Grid_BD!$Y:$Y)),"")</f>
        <v/>
      </c>
      <c r="S350" s="108"/>
      <c r="T350" s="140"/>
      <c r="U350" s="141"/>
      <c r="V350" s="108"/>
      <c r="W350" s="142" t="str">
        <f t="shared" si="40"/>
        <v/>
      </c>
      <c r="X350" s="108" t="str">
        <f>IFERROR(_xlfn.XLOOKUP($A350,Input_Raw!$A:$A,Input_Raw!$CP:$CP)*1000,"")</f>
        <v/>
      </c>
      <c r="Y350" s="108" t="str">
        <f>IFERROR(_xlfn.XLOOKUP($A350,Input_Raw!$A:$A,Input_Raw!DJ:DJ)*1000,"")</f>
        <v/>
      </c>
      <c r="Z350" s="108" t="str">
        <f>IFERROR(_xlfn.XLOOKUP($A350,Input_Raw!$A:$A,Input_Raw!DK:DK)*1000,"")</f>
        <v/>
      </c>
      <c r="AA350" s="138" t="str">
        <f t="shared" si="41"/>
        <v/>
      </c>
      <c r="AB350" s="108" t="str">
        <f>IFERROR(_xlfn.XLOOKUP($A350,Input_Raw!$A:$A,Input_Raw!$DR:$DR),"")</f>
        <v/>
      </c>
      <c r="AC350" s="143">
        <f>IFERROR(_xlfn.XLOOKUP($D350,'Modelling New'!$D:$D,'Modelling New'!$J:$J),"")</f>
        <v>4.5649999999999995</v>
      </c>
      <c r="AD350" s="138">
        <f>IFERROR(_xlfn.XLOOKUP($D350,'Modelling New'!$D:$D,'Modelling New'!$T:$T)*1000,"")</f>
        <v>177355.29697136435</v>
      </c>
      <c r="AE350" s="142"/>
      <c r="AF350" s="142">
        <f>IFERROR(_xlfn.XLOOKUP($D350,'Modelling New'!$D:$D,'Modelling New'!$W:$W),"")</f>
        <v>0.1049688073930897</v>
      </c>
      <c r="AG350" s="142">
        <f>IFERROR(_xlfn.XLOOKUP($D350,'Modelling New'!$D:$D,'Modelling New'!$AE:$AE),"")</f>
        <v>0.96029999999999993</v>
      </c>
      <c r="AH350" s="142">
        <f>IFERROR(_xlfn.XLOOKUP($D350,'Modelling New'!$D:$D,'Modelling New'!$AF:$AF),"")</f>
        <v>0.995</v>
      </c>
      <c r="AI350" s="109" t="str">
        <f>IFERROR(_xlfn.XLOOKUP($A350,Input_Raw!$A:$A,Input_Raw!$DP:$DP),"")</f>
        <v/>
      </c>
      <c r="AJ350" s="108"/>
      <c r="AK350" s="108"/>
      <c r="AL350" s="108"/>
      <c r="AM350" s="108"/>
      <c r="AN350" s="132" t="str">
        <f>IFERROR(_xlfn.XLOOKUP($A350,Input_Raw!$A:$A,Input_Raw!$DL:$DL),"")</f>
        <v/>
      </c>
      <c r="AO350" s="142" t="str">
        <f>IFERROR((_xlfn.XLOOKUP($A350,'WTG Reactive Power'!$A:$A,'WTG Reactive Power'!$AW:$AW))/X350,"")</f>
        <v/>
      </c>
      <c r="AP350" s="142">
        <f>IFERROR(_xlfn.XLOOKUP($D350,'Modelling New'!$D:$D,'Modelling New'!$AK:$AK),"")</f>
        <v>0.05</v>
      </c>
      <c r="AQ350" s="142">
        <f>IFERROR(_xlfn.XLOOKUP($D350,'Modelling New'!$D:$D,'Modelling New'!$AL:$AL),"")</f>
        <v>0.05</v>
      </c>
      <c r="AR350" s="198">
        <f>IFERROR(_xlfn.XLOOKUP($D350,'Modelling New'!$D:$D,'Modelling New'!$N:$N),"")</f>
        <v>70.400000000000006</v>
      </c>
      <c r="AS350" s="198"/>
    </row>
    <row r="351" spans="1:45">
      <c r="A351" s="137">
        <f t="shared" si="37"/>
        <v>46094</v>
      </c>
      <c r="B351" s="138">
        <f>YEAR(Daily_KPI[[#This Row],[Date]])+IF(MONTH(Daily_KPI[[#This Row],[Date]])&gt;=4,1,0)</f>
        <v>2026</v>
      </c>
      <c r="C351" s="108">
        <f>YEAR(Daily_KPI[[#This Row],[Date]])</f>
        <v>2026</v>
      </c>
      <c r="D351" s="139">
        <f>Daily_KPI[[#This Row],[Date]]-DAY(Daily_KPI[[#This Row],[Date]])+1</f>
        <v>46082</v>
      </c>
      <c r="E351" s="108">
        <f t="shared" si="38"/>
        <v>31</v>
      </c>
      <c r="F351" s="109"/>
      <c r="G351" s="110"/>
      <c r="H351" s="110"/>
      <c r="I351" s="110"/>
      <c r="J351" s="110"/>
      <c r="K351" s="111"/>
      <c r="L351" s="110"/>
      <c r="M351" s="110" t="str">
        <f>IFERROR(_xlfn.XLOOKUP($A351,Input_Raw!$A:$A,Input_Raw!$CQ:$CQ),"")</f>
        <v/>
      </c>
      <c r="N351" s="110" t="str">
        <f>IFERROR(_xlfn.XLOOKUP($A351,Input_Raw!$A:$A,Input_Raw!$CR:$CR),"")</f>
        <v/>
      </c>
      <c r="O351" s="141" t="str">
        <f t="shared" si="39"/>
        <v/>
      </c>
      <c r="P351" s="141" t="str">
        <f>IFERROR(1-SUMIF(WTG_BD!$F:$F,$A351,WTG_BD!$AA:$AA)/($AA351+SUMIF(WTG_BD!$F:$F,$A351,WTG_BD!$AA:$AA)),"")</f>
        <v/>
      </c>
      <c r="Q351" s="141" t="str">
        <f>IFERROR(1-SUMIF(IGA_BD!$F:$F,$A351,IGA_BD!$W:$W)/($AA351+SUMIF(IGA_BD!$F:$F,$A351,IGA_BD!$W:$W)),"")</f>
        <v/>
      </c>
      <c r="R351" s="141" t="str">
        <f>IFERROR(1-SUMIF(Grid_BD!$F:$F,$A351,Grid_BD!$Y:$Y)/($AA351+SUMIF(Grid_BD!$F:$F,$A351,Grid_BD!$Y:$Y)),"")</f>
        <v/>
      </c>
      <c r="S351" s="108"/>
      <c r="T351" s="140"/>
      <c r="U351" s="141"/>
      <c r="V351" s="108"/>
      <c r="W351" s="142" t="str">
        <f t="shared" si="40"/>
        <v/>
      </c>
      <c r="X351" s="108" t="str">
        <f>IFERROR(_xlfn.XLOOKUP($A351,Input_Raw!$A:$A,Input_Raw!$CP:$CP)*1000,"")</f>
        <v/>
      </c>
      <c r="Y351" s="108" t="str">
        <f>IFERROR(_xlfn.XLOOKUP($A351,Input_Raw!$A:$A,Input_Raw!DJ:DJ)*1000,"")</f>
        <v/>
      </c>
      <c r="Z351" s="108" t="str">
        <f>IFERROR(_xlfn.XLOOKUP($A351,Input_Raw!$A:$A,Input_Raw!DK:DK)*1000,"")</f>
        <v/>
      </c>
      <c r="AA351" s="138" t="str">
        <f t="shared" si="41"/>
        <v/>
      </c>
      <c r="AB351" s="108" t="str">
        <f>IFERROR(_xlfn.XLOOKUP($A351,Input_Raw!$A:$A,Input_Raw!$DR:$DR),"")</f>
        <v/>
      </c>
      <c r="AC351" s="143">
        <f>IFERROR(_xlfn.XLOOKUP($D351,'Modelling New'!$D:$D,'Modelling New'!$J:$J),"")</f>
        <v>4.5649999999999995</v>
      </c>
      <c r="AD351" s="138">
        <f>IFERROR(_xlfn.XLOOKUP($D351,'Modelling New'!$D:$D,'Modelling New'!$T:$T)*1000,"")</f>
        <v>177355.29697136435</v>
      </c>
      <c r="AE351" s="142"/>
      <c r="AF351" s="142">
        <f>IFERROR(_xlfn.XLOOKUP($D351,'Modelling New'!$D:$D,'Modelling New'!$W:$W),"")</f>
        <v>0.1049688073930897</v>
      </c>
      <c r="AG351" s="142">
        <f>IFERROR(_xlfn.XLOOKUP($D351,'Modelling New'!$D:$D,'Modelling New'!$AE:$AE),"")</f>
        <v>0.96029999999999993</v>
      </c>
      <c r="AH351" s="142">
        <f>IFERROR(_xlfn.XLOOKUP($D351,'Modelling New'!$D:$D,'Modelling New'!$AF:$AF),"")</f>
        <v>0.995</v>
      </c>
      <c r="AI351" s="109" t="str">
        <f>IFERROR(_xlfn.XLOOKUP($A351,Input_Raw!$A:$A,Input_Raw!$DP:$DP),"")</f>
        <v/>
      </c>
      <c r="AJ351" s="108"/>
      <c r="AK351" s="108"/>
      <c r="AL351" s="108"/>
      <c r="AM351" s="108"/>
      <c r="AN351" s="132" t="str">
        <f>IFERROR(_xlfn.XLOOKUP($A351,Input_Raw!$A:$A,Input_Raw!$DL:$DL),"")</f>
        <v/>
      </c>
      <c r="AO351" s="142" t="str">
        <f>IFERROR((_xlfn.XLOOKUP($A351,'WTG Reactive Power'!$A:$A,'WTG Reactive Power'!$AW:$AW))/X351,"")</f>
        <v/>
      </c>
      <c r="AP351" s="142">
        <f>IFERROR(_xlfn.XLOOKUP($D351,'Modelling New'!$D:$D,'Modelling New'!$AK:$AK),"")</f>
        <v>0.05</v>
      </c>
      <c r="AQ351" s="142">
        <f>IFERROR(_xlfn.XLOOKUP($D351,'Modelling New'!$D:$D,'Modelling New'!$AL:$AL),"")</f>
        <v>0.05</v>
      </c>
      <c r="AR351" s="198">
        <f>IFERROR(_xlfn.XLOOKUP($D351,'Modelling New'!$D:$D,'Modelling New'!$N:$N),"")</f>
        <v>70.400000000000006</v>
      </c>
      <c r="AS351" s="198"/>
    </row>
    <row r="352" spans="1:45">
      <c r="A352" s="137">
        <f t="shared" si="37"/>
        <v>46095</v>
      </c>
      <c r="B352" s="138">
        <f>YEAR(Daily_KPI[[#This Row],[Date]])+IF(MONTH(Daily_KPI[[#This Row],[Date]])&gt;=4,1,0)</f>
        <v>2026</v>
      </c>
      <c r="C352" s="108">
        <f>YEAR(Daily_KPI[[#This Row],[Date]])</f>
        <v>2026</v>
      </c>
      <c r="D352" s="139">
        <f>Daily_KPI[[#This Row],[Date]]-DAY(Daily_KPI[[#This Row],[Date]])+1</f>
        <v>46082</v>
      </c>
      <c r="E352" s="108">
        <f t="shared" si="38"/>
        <v>31</v>
      </c>
      <c r="F352" s="109"/>
      <c r="G352" s="110"/>
      <c r="H352" s="110"/>
      <c r="I352" s="110"/>
      <c r="J352" s="110"/>
      <c r="K352" s="111"/>
      <c r="L352" s="110"/>
      <c r="M352" s="110" t="str">
        <f>IFERROR(_xlfn.XLOOKUP($A352,Input_Raw!$A:$A,Input_Raw!$CQ:$CQ),"")</f>
        <v/>
      </c>
      <c r="N352" s="110" t="str">
        <f>IFERROR(_xlfn.XLOOKUP($A352,Input_Raw!$A:$A,Input_Raw!$CR:$CR),"")</f>
        <v/>
      </c>
      <c r="O352" s="141" t="str">
        <f t="shared" si="39"/>
        <v/>
      </c>
      <c r="P352" s="141" t="str">
        <f>IFERROR(1-SUMIF(WTG_BD!$F:$F,$A352,WTG_BD!$AA:$AA)/($AA352+SUMIF(WTG_BD!$F:$F,$A352,WTG_BD!$AA:$AA)),"")</f>
        <v/>
      </c>
      <c r="Q352" s="141" t="str">
        <f>IFERROR(1-SUMIF(IGA_BD!$F:$F,$A352,IGA_BD!$W:$W)/($AA352+SUMIF(IGA_BD!$F:$F,$A352,IGA_BD!$W:$W)),"")</f>
        <v/>
      </c>
      <c r="R352" s="141" t="str">
        <f>IFERROR(1-SUMIF(Grid_BD!$F:$F,$A352,Grid_BD!$Y:$Y)/($AA352+SUMIF(Grid_BD!$F:$F,$A352,Grid_BD!$Y:$Y)),"")</f>
        <v/>
      </c>
      <c r="S352" s="108"/>
      <c r="T352" s="140"/>
      <c r="U352" s="141"/>
      <c r="V352" s="108"/>
      <c r="W352" s="142" t="str">
        <f t="shared" si="40"/>
        <v/>
      </c>
      <c r="X352" s="108" t="str">
        <f>IFERROR(_xlfn.XLOOKUP($A352,Input_Raw!$A:$A,Input_Raw!$CP:$CP)*1000,"")</f>
        <v/>
      </c>
      <c r="Y352" s="108" t="str">
        <f>IFERROR(_xlfn.XLOOKUP($A352,Input_Raw!$A:$A,Input_Raw!DJ:DJ)*1000,"")</f>
        <v/>
      </c>
      <c r="Z352" s="108" t="str">
        <f>IFERROR(_xlfn.XLOOKUP($A352,Input_Raw!$A:$A,Input_Raw!DK:DK)*1000,"")</f>
        <v/>
      </c>
      <c r="AA352" s="138" t="str">
        <f t="shared" si="41"/>
        <v/>
      </c>
      <c r="AB352" s="108" t="str">
        <f>IFERROR(_xlfn.XLOOKUP($A352,Input_Raw!$A:$A,Input_Raw!$DR:$DR),"")</f>
        <v/>
      </c>
      <c r="AC352" s="143">
        <f>IFERROR(_xlfn.XLOOKUP($D352,'Modelling New'!$D:$D,'Modelling New'!$J:$J),"")</f>
        <v>4.5649999999999995</v>
      </c>
      <c r="AD352" s="138">
        <f>IFERROR(_xlfn.XLOOKUP($D352,'Modelling New'!$D:$D,'Modelling New'!$T:$T)*1000,"")</f>
        <v>177355.29697136435</v>
      </c>
      <c r="AE352" s="142"/>
      <c r="AF352" s="142">
        <f>IFERROR(_xlfn.XLOOKUP($D352,'Modelling New'!$D:$D,'Modelling New'!$W:$W),"")</f>
        <v>0.1049688073930897</v>
      </c>
      <c r="AG352" s="142">
        <f>IFERROR(_xlfn.XLOOKUP($D352,'Modelling New'!$D:$D,'Modelling New'!$AE:$AE),"")</f>
        <v>0.96029999999999993</v>
      </c>
      <c r="AH352" s="142">
        <f>IFERROR(_xlfn.XLOOKUP($D352,'Modelling New'!$D:$D,'Modelling New'!$AF:$AF),"")</f>
        <v>0.995</v>
      </c>
      <c r="AI352" s="109" t="str">
        <f>IFERROR(_xlfn.XLOOKUP($A352,Input_Raw!$A:$A,Input_Raw!$DP:$DP),"")</f>
        <v/>
      </c>
      <c r="AJ352" s="108"/>
      <c r="AK352" s="108"/>
      <c r="AL352" s="108"/>
      <c r="AM352" s="108"/>
      <c r="AN352" s="132" t="str">
        <f>IFERROR(_xlfn.XLOOKUP($A352,Input_Raw!$A:$A,Input_Raw!$DL:$DL),"")</f>
        <v/>
      </c>
      <c r="AO352" s="142" t="str">
        <f>IFERROR((_xlfn.XLOOKUP($A352,'WTG Reactive Power'!$A:$A,'WTG Reactive Power'!$AW:$AW))/X352,"")</f>
        <v/>
      </c>
      <c r="AP352" s="142">
        <f>IFERROR(_xlfn.XLOOKUP($D352,'Modelling New'!$D:$D,'Modelling New'!$AK:$AK),"")</f>
        <v>0.05</v>
      </c>
      <c r="AQ352" s="142">
        <f>IFERROR(_xlfn.XLOOKUP($D352,'Modelling New'!$D:$D,'Modelling New'!$AL:$AL),"")</f>
        <v>0.05</v>
      </c>
      <c r="AR352" s="198">
        <f>IFERROR(_xlfn.XLOOKUP($D352,'Modelling New'!$D:$D,'Modelling New'!$N:$N),"")</f>
        <v>70.400000000000006</v>
      </c>
      <c r="AS352" s="198"/>
    </row>
    <row r="353" spans="1:45">
      <c r="A353" s="137">
        <f t="shared" si="37"/>
        <v>46096</v>
      </c>
      <c r="B353" s="138">
        <f>YEAR(Daily_KPI[[#This Row],[Date]])+IF(MONTH(Daily_KPI[[#This Row],[Date]])&gt;=4,1,0)</f>
        <v>2026</v>
      </c>
      <c r="C353" s="108">
        <f>YEAR(Daily_KPI[[#This Row],[Date]])</f>
        <v>2026</v>
      </c>
      <c r="D353" s="139">
        <f>Daily_KPI[[#This Row],[Date]]-DAY(Daily_KPI[[#This Row],[Date]])+1</f>
        <v>46082</v>
      </c>
      <c r="E353" s="108">
        <f t="shared" si="38"/>
        <v>31</v>
      </c>
      <c r="F353" s="109"/>
      <c r="G353" s="110"/>
      <c r="H353" s="110"/>
      <c r="I353" s="110"/>
      <c r="J353" s="110"/>
      <c r="K353" s="111"/>
      <c r="L353" s="110"/>
      <c r="M353" s="110" t="str">
        <f>IFERROR(_xlfn.XLOOKUP($A353,Input_Raw!$A:$A,Input_Raw!$CQ:$CQ),"")</f>
        <v/>
      </c>
      <c r="N353" s="110" t="str">
        <f>IFERROR(_xlfn.XLOOKUP($A353,Input_Raw!$A:$A,Input_Raw!$CR:$CR),"")</f>
        <v/>
      </c>
      <c r="O353" s="141" t="str">
        <f t="shared" si="39"/>
        <v/>
      </c>
      <c r="P353" s="141" t="str">
        <f>IFERROR(1-SUMIF(WTG_BD!$F:$F,$A353,WTG_BD!$AA:$AA)/($AA353+SUMIF(WTG_BD!$F:$F,$A353,WTG_BD!$AA:$AA)),"")</f>
        <v/>
      </c>
      <c r="Q353" s="141" t="str">
        <f>IFERROR(1-SUMIF(IGA_BD!$F:$F,$A353,IGA_BD!$W:$W)/($AA353+SUMIF(IGA_BD!$F:$F,$A353,IGA_BD!$W:$W)),"")</f>
        <v/>
      </c>
      <c r="R353" s="141" t="str">
        <f>IFERROR(1-SUMIF(Grid_BD!$F:$F,$A353,Grid_BD!$Y:$Y)/($AA353+SUMIF(Grid_BD!$F:$F,$A353,Grid_BD!$Y:$Y)),"")</f>
        <v/>
      </c>
      <c r="S353" s="108"/>
      <c r="T353" s="140"/>
      <c r="U353" s="141"/>
      <c r="V353" s="108"/>
      <c r="W353" s="142" t="str">
        <f t="shared" si="40"/>
        <v/>
      </c>
      <c r="X353" s="108" t="str">
        <f>IFERROR(_xlfn.XLOOKUP($A353,Input_Raw!$A:$A,Input_Raw!$CP:$CP)*1000,"")</f>
        <v/>
      </c>
      <c r="Y353" s="108" t="str">
        <f>IFERROR(_xlfn.XLOOKUP($A353,Input_Raw!$A:$A,Input_Raw!DJ:DJ)*1000,"")</f>
        <v/>
      </c>
      <c r="Z353" s="108" t="str">
        <f>IFERROR(_xlfn.XLOOKUP($A353,Input_Raw!$A:$A,Input_Raw!DK:DK)*1000,"")</f>
        <v/>
      </c>
      <c r="AA353" s="138" t="str">
        <f t="shared" si="41"/>
        <v/>
      </c>
      <c r="AB353" s="108" t="str">
        <f>IFERROR(_xlfn.XLOOKUP($A353,Input_Raw!$A:$A,Input_Raw!$DR:$DR),"")</f>
        <v/>
      </c>
      <c r="AC353" s="143">
        <f>IFERROR(_xlfn.XLOOKUP($D353,'Modelling New'!$D:$D,'Modelling New'!$J:$J),"")</f>
        <v>4.5649999999999995</v>
      </c>
      <c r="AD353" s="138">
        <f>IFERROR(_xlfn.XLOOKUP($D353,'Modelling New'!$D:$D,'Modelling New'!$T:$T)*1000,"")</f>
        <v>177355.29697136435</v>
      </c>
      <c r="AE353" s="142"/>
      <c r="AF353" s="142">
        <f>IFERROR(_xlfn.XLOOKUP($D353,'Modelling New'!$D:$D,'Modelling New'!$W:$W),"")</f>
        <v>0.1049688073930897</v>
      </c>
      <c r="AG353" s="142">
        <f>IFERROR(_xlfn.XLOOKUP($D353,'Modelling New'!$D:$D,'Modelling New'!$AE:$AE),"")</f>
        <v>0.96029999999999993</v>
      </c>
      <c r="AH353" s="142">
        <f>IFERROR(_xlfn.XLOOKUP($D353,'Modelling New'!$D:$D,'Modelling New'!$AF:$AF),"")</f>
        <v>0.995</v>
      </c>
      <c r="AI353" s="109" t="str">
        <f>IFERROR(_xlfn.XLOOKUP($A353,Input_Raw!$A:$A,Input_Raw!$DP:$DP),"")</f>
        <v/>
      </c>
      <c r="AJ353" s="108"/>
      <c r="AK353" s="108"/>
      <c r="AL353" s="108"/>
      <c r="AM353" s="108"/>
      <c r="AN353" s="132" t="str">
        <f>IFERROR(_xlfn.XLOOKUP($A353,Input_Raw!$A:$A,Input_Raw!$DL:$DL),"")</f>
        <v/>
      </c>
      <c r="AO353" s="142" t="str">
        <f>IFERROR((_xlfn.XLOOKUP($A353,'WTG Reactive Power'!$A:$A,'WTG Reactive Power'!$AW:$AW))/X353,"")</f>
        <v/>
      </c>
      <c r="AP353" s="142">
        <f>IFERROR(_xlfn.XLOOKUP($D353,'Modelling New'!$D:$D,'Modelling New'!$AK:$AK),"")</f>
        <v>0.05</v>
      </c>
      <c r="AQ353" s="142">
        <f>IFERROR(_xlfn.XLOOKUP($D353,'Modelling New'!$D:$D,'Modelling New'!$AL:$AL),"")</f>
        <v>0.05</v>
      </c>
      <c r="AR353" s="198">
        <f>IFERROR(_xlfn.XLOOKUP($D353,'Modelling New'!$D:$D,'Modelling New'!$N:$N),"")</f>
        <v>70.400000000000006</v>
      </c>
      <c r="AS353" s="198"/>
    </row>
    <row r="354" spans="1:45">
      <c r="A354" s="137">
        <f t="shared" si="37"/>
        <v>46097</v>
      </c>
      <c r="B354" s="138">
        <f>YEAR(Daily_KPI[[#This Row],[Date]])+IF(MONTH(Daily_KPI[[#This Row],[Date]])&gt;=4,1,0)</f>
        <v>2026</v>
      </c>
      <c r="C354" s="108">
        <f>YEAR(Daily_KPI[[#This Row],[Date]])</f>
        <v>2026</v>
      </c>
      <c r="D354" s="139">
        <f>Daily_KPI[[#This Row],[Date]]-DAY(Daily_KPI[[#This Row],[Date]])+1</f>
        <v>46082</v>
      </c>
      <c r="E354" s="108">
        <f t="shared" si="38"/>
        <v>31</v>
      </c>
      <c r="F354" s="109"/>
      <c r="G354" s="110"/>
      <c r="H354" s="110"/>
      <c r="I354" s="110"/>
      <c r="J354" s="110"/>
      <c r="K354" s="111"/>
      <c r="L354" s="110"/>
      <c r="M354" s="110" t="str">
        <f>IFERROR(_xlfn.XLOOKUP($A354,Input_Raw!$A:$A,Input_Raw!$CQ:$CQ),"")</f>
        <v/>
      </c>
      <c r="N354" s="110" t="str">
        <f>IFERROR(_xlfn.XLOOKUP($A354,Input_Raw!$A:$A,Input_Raw!$CR:$CR),"")</f>
        <v/>
      </c>
      <c r="O354" s="141" t="str">
        <f t="shared" si="39"/>
        <v/>
      </c>
      <c r="P354" s="141" t="str">
        <f>IFERROR(1-SUMIF(WTG_BD!$F:$F,$A354,WTG_BD!$AA:$AA)/($AA354+SUMIF(WTG_BD!$F:$F,$A354,WTG_BD!$AA:$AA)),"")</f>
        <v/>
      </c>
      <c r="Q354" s="141" t="str">
        <f>IFERROR(1-SUMIF(IGA_BD!$F:$F,$A354,IGA_BD!$W:$W)/($AA354+SUMIF(IGA_BD!$F:$F,$A354,IGA_BD!$W:$W)),"")</f>
        <v/>
      </c>
      <c r="R354" s="141" t="str">
        <f>IFERROR(1-SUMIF(Grid_BD!$F:$F,$A354,Grid_BD!$Y:$Y)/($AA354+SUMIF(Grid_BD!$F:$F,$A354,Grid_BD!$Y:$Y)),"")</f>
        <v/>
      </c>
      <c r="S354" s="108"/>
      <c r="T354" s="140"/>
      <c r="U354" s="141"/>
      <c r="V354" s="108"/>
      <c r="W354" s="142" t="str">
        <f t="shared" si="40"/>
        <v/>
      </c>
      <c r="X354" s="108" t="str">
        <f>IFERROR(_xlfn.XLOOKUP($A354,Input_Raw!$A:$A,Input_Raw!$CP:$CP)*1000,"")</f>
        <v/>
      </c>
      <c r="Y354" s="108" t="str">
        <f>IFERROR(_xlfn.XLOOKUP($A354,Input_Raw!$A:$A,Input_Raw!DJ:DJ)*1000,"")</f>
        <v/>
      </c>
      <c r="Z354" s="108" t="str">
        <f>IFERROR(_xlfn.XLOOKUP($A354,Input_Raw!$A:$A,Input_Raw!DK:DK)*1000,"")</f>
        <v/>
      </c>
      <c r="AA354" s="138" t="str">
        <f t="shared" si="41"/>
        <v/>
      </c>
      <c r="AB354" s="108" t="str">
        <f>IFERROR(_xlfn.XLOOKUP($A354,Input_Raw!$A:$A,Input_Raw!$DR:$DR),"")</f>
        <v/>
      </c>
      <c r="AC354" s="143">
        <f>IFERROR(_xlfn.XLOOKUP($D354,'Modelling New'!$D:$D,'Modelling New'!$J:$J),"")</f>
        <v>4.5649999999999995</v>
      </c>
      <c r="AD354" s="138">
        <f>IFERROR(_xlfn.XLOOKUP($D354,'Modelling New'!$D:$D,'Modelling New'!$T:$T)*1000,"")</f>
        <v>177355.29697136435</v>
      </c>
      <c r="AE354" s="142"/>
      <c r="AF354" s="142">
        <f>IFERROR(_xlfn.XLOOKUP($D354,'Modelling New'!$D:$D,'Modelling New'!$W:$W),"")</f>
        <v>0.1049688073930897</v>
      </c>
      <c r="AG354" s="142">
        <f>IFERROR(_xlfn.XLOOKUP($D354,'Modelling New'!$D:$D,'Modelling New'!$AE:$AE),"")</f>
        <v>0.96029999999999993</v>
      </c>
      <c r="AH354" s="142">
        <f>IFERROR(_xlfn.XLOOKUP($D354,'Modelling New'!$D:$D,'Modelling New'!$AF:$AF),"")</f>
        <v>0.995</v>
      </c>
      <c r="AI354" s="109" t="str">
        <f>IFERROR(_xlfn.XLOOKUP($A354,Input_Raw!$A:$A,Input_Raw!$DP:$DP),"")</f>
        <v/>
      </c>
      <c r="AJ354" s="108"/>
      <c r="AK354" s="108"/>
      <c r="AL354" s="108"/>
      <c r="AM354" s="108"/>
      <c r="AN354" s="132" t="str">
        <f>IFERROR(_xlfn.XLOOKUP($A354,Input_Raw!$A:$A,Input_Raw!$DL:$DL),"")</f>
        <v/>
      </c>
      <c r="AO354" s="142" t="str">
        <f>IFERROR((_xlfn.XLOOKUP($A354,'WTG Reactive Power'!$A:$A,'WTG Reactive Power'!$AW:$AW))/X354,"")</f>
        <v/>
      </c>
      <c r="AP354" s="142">
        <f>IFERROR(_xlfn.XLOOKUP($D354,'Modelling New'!$D:$D,'Modelling New'!$AK:$AK),"")</f>
        <v>0.05</v>
      </c>
      <c r="AQ354" s="142">
        <f>IFERROR(_xlfn.XLOOKUP($D354,'Modelling New'!$D:$D,'Modelling New'!$AL:$AL),"")</f>
        <v>0.05</v>
      </c>
      <c r="AR354" s="198">
        <f>IFERROR(_xlfn.XLOOKUP($D354,'Modelling New'!$D:$D,'Modelling New'!$N:$N),"")</f>
        <v>70.400000000000006</v>
      </c>
      <c r="AS354" s="198"/>
    </row>
    <row r="355" spans="1:45">
      <c r="A355" s="137">
        <f t="shared" si="37"/>
        <v>46098</v>
      </c>
      <c r="B355" s="138">
        <f>YEAR(Daily_KPI[[#This Row],[Date]])+IF(MONTH(Daily_KPI[[#This Row],[Date]])&gt;=4,1,0)</f>
        <v>2026</v>
      </c>
      <c r="C355" s="108">
        <f>YEAR(Daily_KPI[[#This Row],[Date]])</f>
        <v>2026</v>
      </c>
      <c r="D355" s="139">
        <f>Daily_KPI[[#This Row],[Date]]-DAY(Daily_KPI[[#This Row],[Date]])+1</f>
        <v>46082</v>
      </c>
      <c r="E355" s="108">
        <f t="shared" si="38"/>
        <v>31</v>
      </c>
      <c r="F355" s="109"/>
      <c r="G355" s="110"/>
      <c r="H355" s="110"/>
      <c r="I355" s="110"/>
      <c r="J355" s="110"/>
      <c r="K355" s="111"/>
      <c r="L355" s="110"/>
      <c r="M355" s="110" t="str">
        <f>IFERROR(_xlfn.XLOOKUP($A355,Input_Raw!$A:$A,Input_Raw!$CQ:$CQ),"")</f>
        <v/>
      </c>
      <c r="N355" s="110" t="str">
        <f>IFERROR(_xlfn.XLOOKUP($A355,Input_Raw!$A:$A,Input_Raw!$CR:$CR),"")</f>
        <v/>
      </c>
      <c r="O355" s="141" t="str">
        <f t="shared" si="39"/>
        <v/>
      </c>
      <c r="P355" s="141" t="str">
        <f>IFERROR(1-SUMIF(WTG_BD!$F:$F,$A355,WTG_BD!$AA:$AA)/($AA355+SUMIF(WTG_BD!$F:$F,$A355,WTG_BD!$AA:$AA)),"")</f>
        <v/>
      </c>
      <c r="Q355" s="141" t="str">
        <f>IFERROR(1-SUMIF(IGA_BD!$F:$F,$A355,IGA_BD!$W:$W)/($AA355+SUMIF(IGA_BD!$F:$F,$A355,IGA_BD!$W:$W)),"")</f>
        <v/>
      </c>
      <c r="R355" s="141" t="str">
        <f>IFERROR(1-SUMIF(Grid_BD!$F:$F,$A355,Grid_BD!$Y:$Y)/($AA355+SUMIF(Grid_BD!$F:$F,$A355,Grid_BD!$Y:$Y)),"")</f>
        <v/>
      </c>
      <c r="S355" s="108"/>
      <c r="T355" s="140"/>
      <c r="U355" s="141"/>
      <c r="V355" s="108"/>
      <c r="W355" s="142" t="str">
        <f t="shared" si="40"/>
        <v/>
      </c>
      <c r="X355" s="108" t="str">
        <f>IFERROR(_xlfn.XLOOKUP($A355,Input_Raw!$A:$A,Input_Raw!$CP:$CP)*1000,"")</f>
        <v/>
      </c>
      <c r="Y355" s="108" t="str">
        <f>IFERROR(_xlfn.XLOOKUP($A355,Input_Raw!$A:$A,Input_Raw!DJ:DJ)*1000,"")</f>
        <v/>
      </c>
      <c r="Z355" s="108" t="str">
        <f>IFERROR(_xlfn.XLOOKUP($A355,Input_Raw!$A:$A,Input_Raw!DK:DK)*1000,"")</f>
        <v/>
      </c>
      <c r="AA355" s="138" t="str">
        <f t="shared" si="41"/>
        <v/>
      </c>
      <c r="AB355" s="108" t="str">
        <f>IFERROR(_xlfn.XLOOKUP($A355,Input_Raw!$A:$A,Input_Raw!$DR:$DR),"")</f>
        <v/>
      </c>
      <c r="AC355" s="143">
        <f>IFERROR(_xlfn.XLOOKUP($D355,'Modelling New'!$D:$D,'Modelling New'!$J:$J),"")</f>
        <v>4.5649999999999995</v>
      </c>
      <c r="AD355" s="138">
        <f>IFERROR(_xlfn.XLOOKUP($D355,'Modelling New'!$D:$D,'Modelling New'!$T:$T)*1000,"")</f>
        <v>177355.29697136435</v>
      </c>
      <c r="AE355" s="142"/>
      <c r="AF355" s="142">
        <f>IFERROR(_xlfn.XLOOKUP($D355,'Modelling New'!$D:$D,'Modelling New'!$W:$W),"")</f>
        <v>0.1049688073930897</v>
      </c>
      <c r="AG355" s="142">
        <f>IFERROR(_xlfn.XLOOKUP($D355,'Modelling New'!$D:$D,'Modelling New'!$AE:$AE),"")</f>
        <v>0.96029999999999993</v>
      </c>
      <c r="AH355" s="142">
        <f>IFERROR(_xlfn.XLOOKUP($D355,'Modelling New'!$D:$D,'Modelling New'!$AF:$AF),"")</f>
        <v>0.995</v>
      </c>
      <c r="AI355" s="109" t="str">
        <f>IFERROR(_xlfn.XLOOKUP($A355,Input_Raw!$A:$A,Input_Raw!$DP:$DP),"")</f>
        <v/>
      </c>
      <c r="AJ355" s="108"/>
      <c r="AK355" s="108"/>
      <c r="AL355" s="108"/>
      <c r="AM355" s="108"/>
      <c r="AN355" s="132" t="str">
        <f>IFERROR(_xlfn.XLOOKUP($A355,Input_Raw!$A:$A,Input_Raw!$DL:$DL),"")</f>
        <v/>
      </c>
      <c r="AO355" s="142" t="str">
        <f>IFERROR((_xlfn.XLOOKUP($A355,'WTG Reactive Power'!$A:$A,'WTG Reactive Power'!$AW:$AW))/X355,"")</f>
        <v/>
      </c>
      <c r="AP355" s="142">
        <f>IFERROR(_xlfn.XLOOKUP($D355,'Modelling New'!$D:$D,'Modelling New'!$AK:$AK),"")</f>
        <v>0.05</v>
      </c>
      <c r="AQ355" s="142">
        <f>IFERROR(_xlfn.XLOOKUP($D355,'Modelling New'!$D:$D,'Modelling New'!$AL:$AL),"")</f>
        <v>0.05</v>
      </c>
      <c r="AR355" s="198">
        <f>IFERROR(_xlfn.XLOOKUP($D355,'Modelling New'!$D:$D,'Modelling New'!$N:$N),"")</f>
        <v>70.400000000000006</v>
      </c>
      <c r="AS355" s="198"/>
    </row>
    <row r="356" spans="1:45">
      <c r="A356" s="137">
        <f t="shared" si="37"/>
        <v>46099</v>
      </c>
      <c r="B356" s="138">
        <f>YEAR(Daily_KPI[[#This Row],[Date]])+IF(MONTH(Daily_KPI[[#This Row],[Date]])&gt;=4,1,0)</f>
        <v>2026</v>
      </c>
      <c r="C356" s="108">
        <f>YEAR(Daily_KPI[[#This Row],[Date]])</f>
        <v>2026</v>
      </c>
      <c r="D356" s="139">
        <f>Daily_KPI[[#This Row],[Date]]-DAY(Daily_KPI[[#This Row],[Date]])+1</f>
        <v>46082</v>
      </c>
      <c r="E356" s="108">
        <f t="shared" si="38"/>
        <v>31</v>
      </c>
      <c r="F356" s="109"/>
      <c r="G356" s="110"/>
      <c r="H356" s="110"/>
      <c r="I356" s="110"/>
      <c r="J356" s="110"/>
      <c r="K356" s="111"/>
      <c r="L356" s="110"/>
      <c r="M356" s="110" t="str">
        <f>IFERROR(_xlfn.XLOOKUP($A356,Input_Raw!$A:$A,Input_Raw!$CQ:$CQ),"")</f>
        <v/>
      </c>
      <c r="N356" s="110" t="str">
        <f>IFERROR(_xlfn.XLOOKUP($A356,Input_Raw!$A:$A,Input_Raw!$CR:$CR),"")</f>
        <v/>
      </c>
      <c r="O356" s="141" t="str">
        <f t="shared" si="39"/>
        <v/>
      </c>
      <c r="P356" s="141" t="str">
        <f>IFERROR(1-SUMIF(WTG_BD!$F:$F,$A356,WTG_BD!$AA:$AA)/($AA356+SUMIF(WTG_BD!$F:$F,$A356,WTG_BD!$AA:$AA)),"")</f>
        <v/>
      </c>
      <c r="Q356" s="141" t="str">
        <f>IFERROR(1-SUMIF(IGA_BD!$F:$F,$A356,IGA_BD!$W:$W)/($AA356+SUMIF(IGA_BD!$F:$F,$A356,IGA_BD!$W:$W)),"")</f>
        <v/>
      </c>
      <c r="R356" s="141" t="str">
        <f>IFERROR(1-SUMIF(Grid_BD!$F:$F,$A356,Grid_BD!$Y:$Y)/($AA356+SUMIF(Grid_BD!$F:$F,$A356,Grid_BD!$Y:$Y)),"")</f>
        <v/>
      </c>
      <c r="S356" s="108"/>
      <c r="T356" s="140"/>
      <c r="U356" s="141"/>
      <c r="V356" s="108"/>
      <c r="W356" s="142" t="str">
        <f t="shared" si="40"/>
        <v/>
      </c>
      <c r="X356" s="108" t="str">
        <f>IFERROR(_xlfn.XLOOKUP($A356,Input_Raw!$A:$A,Input_Raw!$CP:$CP)*1000,"")</f>
        <v/>
      </c>
      <c r="Y356" s="108" t="str">
        <f>IFERROR(_xlfn.XLOOKUP($A356,Input_Raw!$A:$A,Input_Raw!DJ:DJ)*1000,"")</f>
        <v/>
      </c>
      <c r="Z356" s="108" t="str">
        <f>IFERROR(_xlfn.XLOOKUP($A356,Input_Raw!$A:$A,Input_Raw!DK:DK)*1000,"")</f>
        <v/>
      </c>
      <c r="AA356" s="138" t="str">
        <f t="shared" si="41"/>
        <v/>
      </c>
      <c r="AB356" s="108" t="str">
        <f>IFERROR(_xlfn.XLOOKUP($A356,Input_Raw!$A:$A,Input_Raw!$DR:$DR),"")</f>
        <v/>
      </c>
      <c r="AC356" s="143">
        <f>IFERROR(_xlfn.XLOOKUP($D356,'Modelling New'!$D:$D,'Modelling New'!$J:$J),"")</f>
        <v>4.5649999999999995</v>
      </c>
      <c r="AD356" s="138">
        <f>IFERROR(_xlfn.XLOOKUP($D356,'Modelling New'!$D:$D,'Modelling New'!$T:$T)*1000,"")</f>
        <v>177355.29697136435</v>
      </c>
      <c r="AE356" s="142"/>
      <c r="AF356" s="142">
        <f>IFERROR(_xlfn.XLOOKUP($D356,'Modelling New'!$D:$D,'Modelling New'!$W:$W),"")</f>
        <v>0.1049688073930897</v>
      </c>
      <c r="AG356" s="142">
        <f>IFERROR(_xlfn.XLOOKUP($D356,'Modelling New'!$D:$D,'Modelling New'!$AE:$AE),"")</f>
        <v>0.96029999999999993</v>
      </c>
      <c r="AH356" s="142">
        <f>IFERROR(_xlfn.XLOOKUP($D356,'Modelling New'!$D:$D,'Modelling New'!$AF:$AF),"")</f>
        <v>0.995</v>
      </c>
      <c r="AI356" s="109" t="str">
        <f>IFERROR(_xlfn.XLOOKUP($A356,Input_Raw!$A:$A,Input_Raw!$DP:$DP),"")</f>
        <v/>
      </c>
      <c r="AJ356" s="108"/>
      <c r="AK356" s="108"/>
      <c r="AL356" s="108"/>
      <c r="AM356" s="108"/>
      <c r="AN356" s="132" t="str">
        <f>IFERROR(_xlfn.XLOOKUP($A356,Input_Raw!$A:$A,Input_Raw!$DL:$DL),"")</f>
        <v/>
      </c>
      <c r="AO356" s="142" t="str">
        <f>IFERROR((_xlfn.XLOOKUP($A356,'WTG Reactive Power'!$A:$A,'WTG Reactive Power'!$AW:$AW))/X356,"")</f>
        <v/>
      </c>
      <c r="AP356" s="142">
        <f>IFERROR(_xlfn.XLOOKUP($D356,'Modelling New'!$D:$D,'Modelling New'!$AK:$AK),"")</f>
        <v>0.05</v>
      </c>
      <c r="AQ356" s="142">
        <f>IFERROR(_xlfn.XLOOKUP($D356,'Modelling New'!$D:$D,'Modelling New'!$AL:$AL),"")</f>
        <v>0.05</v>
      </c>
      <c r="AR356" s="198">
        <f>IFERROR(_xlfn.XLOOKUP($D356,'Modelling New'!$D:$D,'Modelling New'!$N:$N),"")</f>
        <v>70.400000000000006</v>
      </c>
      <c r="AS356" s="198"/>
    </row>
    <row r="357" spans="1:45">
      <c r="A357" s="137">
        <f t="shared" si="37"/>
        <v>46100</v>
      </c>
      <c r="B357" s="138">
        <f>YEAR(Daily_KPI[[#This Row],[Date]])+IF(MONTH(Daily_KPI[[#This Row],[Date]])&gt;=4,1,0)</f>
        <v>2026</v>
      </c>
      <c r="C357" s="108">
        <f>YEAR(Daily_KPI[[#This Row],[Date]])</f>
        <v>2026</v>
      </c>
      <c r="D357" s="139">
        <f>Daily_KPI[[#This Row],[Date]]-DAY(Daily_KPI[[#This Row],[Date]])+1</f>
        <v>46082</v>
      </c>
      <c r="E357" s="108">
        <f t="shared" si="38"/>
        <v>31</v>
      </c>
      <c r="F357" s="109"/>
      <c r="G357" s="110"/>
      <c r="H357" s="110"/>
      <c r="I357" s="110"/>
      <c r="J357" s="110"/>
      <c r="K357" s="111"/>
      <c r="L357" s="110"/>
      <c r="M357" s="110" t="str">
        <f>IFERROR(_xlfn.XLOOKUP($A357,Input_Raw!$A:$A,Input_Raw!$CQ:$CQ),"")</f>
        <v/>
      </c>
      <c r="N357" s="110" t="str">
        <f>IFERROR(_xlfn.XLOOKUP($A357,Input_Raw!$A:$A,Input_Raw!$CR:$CR),"")</f>
        <v/>
      </c>
      <c r="O357" s="141" t="str">
        <f t="shared" si="39"/>
        <v/>
      </c>
      <c r="P357" s="141" t="str">
        <f>IFERROR(1-SUMIF(WTG_BD!$F:$F,$A357,WTG_BD!$AA:$AA)/($AA357+SUMIF(WTG_BD!$F:$F,$A357,WTG_BD!$AA:$AA)),"")</f>
        <v/>
      </c>
      <c r="Q357" s="141" t="str">
        <f>IFERROR(1-SUMIF(IGA_BD!$F:$F,$A357,IGA_BD!$W:$W)/($AA357+SUMIF(IGA_BD!$F:$F,$A357,IGA_BD!$W:$W)),"")</f>
        <v/>
      </c>
      <c r="R357" s="141" t="str">
        <f>IFERROR(1-SUMIF(Grid_BD!$F:$F,$A357,Grid_BD!$Y:$Y)/($AA357+SUMIF(Grid_BD!$F:$F,$A357,Grid_BD!$Y:$Y)),"")</f>
        <v/>
      </c>
      <c r="S357" s="108"/>
      <c r="T357" s="140"/>
      <c r="U357" s="141"/>
      <c r="V357" s="108"/>
      <c r="W357" s="142" t="str">
        <f t="shared" si="40"/>
        <v/>
      </c>
      <c r="X357" s="108" t="str">
        <f>IFERROR(_xlfn.XLOOKUP($A357,Input_Raw!$A:$A,Input_Raw!$CP:$CP)*1000,"")</f>
        <v/>
      </c>
      <c r="Y357" s="108" t="str">
        <f>IFERROR(_xlfn.XLOOKUP($A357,Input_Raw!$A:$A,Input_Raw!DJ:DJ)*1000,"")</f>
        <v/>
      </c>
      <c r="Z357" s="108" t="str">
        <f>IFERROR(_xlfn.XLOOKUP($A357,Input_Raw!$A:$A,Input_Raw!DK:DK)*1000,"")</f>
        <v/>
      </c>
      <c r="AA357" s="138" t="str">
        <f t="shared" si="41"/>
        <v/>
      </c>
      <c r="AB357" s="108" t="str">
        <f>IFERROR(_xlfn.XLOOKUP($A357,Input_Raw!$A:$A,Input_Raw!$DR:$DR),"")</f>
        <v/>
      </c>
      <c r="AC357" s="143">
        <f>IFERROR(_xlfn.XLOOKUP($D357,'Modelling New'!$D:$D,'Modelling New'!$J:$J),"")</f>
        <v>4.5649999999999995</v>
      </c>
      <c r="AD357" s="138">
        <f>IFERROR(_xlfn.XLOOKUP($D357,'Modelling New'!$D:$D,'Modelling New'!$T:$T)*1000,"")</f>
        <v>177355.29697136435</v>
      </c>
      <c r="AE357" s="142"/>
      <c r="AF357" s="142">
        <f>IFERROR(_xlfn.XLOOKUP($D357,'Modelling New'!$D:$D,'Modelling New'!$W:$W),"")</f>
        <v>0.1049688073930897</v>
      </c>
      <c r="AG357" s="142">
        <f>IFERROR(_xlfn.XLOOKUP($D357,'Modelling New'!$D:$D,'Modelling New'!$AE:$AE),"")</f>
        <v>0.96029999999999993</v>
      </c>
      <c r="AH357" s="142">
        <f>IFERROR(_xlfn.XLOOKUP($D357,'Modelling New'!$D:$D,'Modelling New'!$AF:$AF),"")</f>
        <v>0.995</v>
      </c>
      <c r="AI357" s="109" t="str">
        <f>IFERROR(_xlfn.XLOOKUP($A357,Input_Raw!$A:$A,Input_Raw!$DP:$DP),"")</f>
        <v/>
      </c>
      <c r="AJ357" s="108"/>
      <c r="AK357" s="108"/>
      <c r="AL357" s="108"/>
      <c r="AM357" s="108"/>
      <c r="AN357" s="132" t="str">
        <f>IFERROR(_xlfn.XLOOKUP($A357,Input_Raw!$A:$A,Input_Raw!$DL:$DL),"")</f>
        <v/>
      </c>
      <c r="AO357" s="142" t="str">
        <f>IFERROR((_xlfn.XLOOKUP($A357,'WTG Reactive Power'!$A:$A,'WTG Reactive Power'!$AW:$AW))/X357,"")</f>
        <v/>
      </c>
      <c r="AP357" s="142">
        <f>IFERROR(_xlfn.XLOOKUP($D357,'Modelling New'!$D:$D,'Modelling New'!$AK:$AK),"")</f>
        <v>0.05</v>
      </c>
      <c r="AQ357" s="142">
        <f>IFERROR(_xlfn.XLOOKUP($D357,'Modelling New'!$D:$D,'Modelling New'!$AL:$AL),"")</f>
        <v>0.05</v>
      </c>
      <c r="AR357" s="198">
        <f>IFERROR(_xlfn.XLOOKUP($D357,'Modelling New'!$D:$D,'Modelling New'!$N:$N),"")</f>
        <v>70.400000000000006</v>
      </c>
      <c r="AS357" s="198"/>
    </row>
    <row r="358" spans="1:45">
      <c r="A358" s="137">
        <f t="shared" si="37"/>
        <v>46101</v>
      </c>
      <c r="B358" s="138">
        <f>YEAR(Daily_KPI[[#This Row],[Date]])+IF(MONTH(Daily_KPI[[#This Row],[Date]])&gt;=4,1,0)</f>
        <v>2026</v>
      </c>
      <c r="C358" s="108">
        <f>YEAR(Daily_KPI[[#This Row],[Date]])</f>
        <v>2026</v>
      </c>
      <c r="D358" s="139">
        <f>Daily_KPI[[#This Row],[Date]]-DAY(Daily_KPI[[#This Row],[Date]])+1</f>
        <v>46082</v>
      </c>
      <c r="E358" s="108">
        <f t="shared" si="38"/>
        <v>31</v>
      </c>
      <c r="F358" s="109"/>
      <c r="G358" s="110"/>
      <c r="H358" s="110"/>
      <c r="I358" s="110"/>
      <c r="J358" s="110"/>
      <c r="K358" s="111"/>
      <c r="L358" s="110"/>
      <c r="M358" s="110" t="str">
        <f>IFERROR(_xlfn.XLOOKUP($A358,Input_Raw!$A:$A,Input_Raw!$CQ:$CQ),"")</f>
        <v/>
      </c>
      <c r="N358" s="110" t="str">
        <f>IFERROR(_xlfn.XLOOKUP($A358,Input_Raw!$A:$A,Input_Raw!$CR:$CR),"")</f>
        <v/>
      </c>
      <c r="O358" s="141" t="str">
        <f t="shared" si="39"/>
        <v/>
      </c>
      <c r="P358" s="141" t="str">
        <f>IFERROR(1-SUMIF(WTG_BD!$F:$F,$A358,WTG_BD!$AA:$AA)/($AA358+SUMIF(WTG_BD!$F:$F,$A358,WTG_BD!$AA:$AA)),"")</f>
        <v/>
      </c>
      <c r="Q358" s="141" t="str">
        <f>IFERROR(1-SUMIF(IGA_BD!$F:$F,$A358,IGA_BD!$W:$W)/($AA358+SUMIF(IGA_BD!$F:$F,$A358,IGA_BD!$W:$W)),"")</f>
        <v/>
      </c>
      <c r="R358" s="141" t="str">
        <f>IFERROR(1-SUMIF(Grid_BD!$F:$F,$A358,Grid_BD!$Y:$Y)/($AA358+SUMIF(Grid_BD!$F:$F,$A358,Grid_BD!$Y:$Y)),"")</f>
        <v/>
      </c>
      <c r="S358" s="108"/>
      <c r="T358" s="140"/>
      <c r="U358" s="141"/>
      <c r="V358" s="108"/>
      <c r="W358" s="142" t="str">
        <f t="shared" si="40"/>
        <v/>
      </c>
      <c r="X358" s="108" t="str">
        <f>IFERROR(_xlfn.XLOOKUP($A358,Input_Raw!$A:$A,Input_Raw!$CP:$CP)*1000,"")</f>
        <v/>
      </c>
      <c r="Y358" s="108" t="str">
        <f>IFERROR(_xlfn.XLOOKUP($A358,Input_Raw!$A:$A,Input_Raw!DJ:DJ)*1000,"")</f>
        <v/>
      </c>
      <c r="Z358" s="108" t="str">
        <f>IFERROR(_xlfn.XLOOKUP($A358,Input_Raw!$A:$A,Input_Raw!DK:DK)*1000,"")</f>
        <v/>
      </c>
      <c r="AA358" s="138" t="str">
        <f t="shared" si="41"/>
        <v/>
      </c>
      <c r="AB358" s="108" t="str">
        <f>IFERROR(_xlfn.XLOOKUP($A358,Input_Raw!$A:$A,Input_Raw!$DR:$DR),"")</f>
        <v/>
      </c>
      <c r="AC358" s="143">
        <f>IFERROR(_xlfn.XLOOKUP($D358,'Modelling New'!$D:$D,'Modelling New'!$J:$J),"")</f>
        <v>4.5649999999999995</v>
      </c>
      <c r="AD358" s="138">
        <f>IFERROR(_xlfn.XLOOKUP($D358,'Modelling New'!$D:$D,'Modelling New'!$T:$T)*1000,"")</f>
        <v>177355.29697136435</v>
      </c>
      <c r="AE358" s="142"/>
      <c r="AF358" s="142">
        <f>IFERROR(_xlfn.XLOOKUP($D358,'Modelling New'!$D:$D,'Modelling New'!$W:$W),"")</f>
        <v>0.1049688073930897</v>
      </c>
      <c r="AG358" s="142">
        <f>IFERROR(_xlfn.XLOOKUP($D358,'Modelling New'!$D:$D,'Modelling New'!$AE:$AE),"")</f>
        <v>0.96029999999999993</v>
      </c>
      <c r="AH358" s="142">
        <f>IFERROR(_xlfn.XLOOKUP($D358,'Modelling New'!$D:$D,'Modelling New'!$AF:$AF),"")</f>
        <v>0.995</v>
      </c>
      <c r="AI358" s="109" t="str">
        <f>IFERROR(_xlfn.XLOOKUP($A358,Input_Raw!$A:$A,Input_Raw!$DP:$DP),"")</f>
        <v/>
      </c>
      <c r="AJ358" s="108"/>
      <c r="AK358" s="108"/>
      <c r="AL358" s="108"/>
      <c r="AM358" s="108"/>
      <c r="AN358" s="132" t="str">
        <f>IFERROR(_xlfn.XLOOKUP($A358,Input_Raw!$A:$A,Input_Raw!$DL:$DL),"")</f>
        <v/>
      </c>
      <c r="AO358" s="142" t="str">
        <f>IFERROR((_xlfn.XLOOKUP($A358,'WTG Reactive Power'!$A:$A,'WTG Reactive Power'!$AW:$AW))/X358,"")</f>
        <v/>
      </c>
      <c r="AP358" s="142">
        <f>IFERROR(_xlfn.XLOOKUP($D358,'Modelling New'!$D:$D,'Modelling New'!$AK:$AK),"")</f>
        <v>0.05</v>
      </c>
      <c r="AQ358" s="142">
        <f>IFERROR(_xlfn.XLOOKUP($D358,'Modelling New'!$D:$D,'Modelling New'!$AL:$AL),"")</f>
        <v>0.05</v>
      </c>
      <c r="AR358" s="198">
        <f>IFERROR(_xlfn.XLOOKUP($D358,'Modelling New'!$D:$D,'Modelling New'!$N:$N),"")</f>
        <v>70.400000000000006</v>
      </c>
      <c r="AS358" s="198"/>
    </row>
    <row r="359" spans="1:45">
      <c r="A359" s="137">
        <f t="shared" si="37"/>
        <v>46102</v>
      </c>
      <c r="B359" s="138">
        <f>YEAR(Daily_KPI[[#This Row],[Date]])+IF(MONTH(Daily_KPI[[#This Row],[Date]])&gt;=4,1,0)</f>
        <v>2026</v>
      </c>
      <c r="C359" s="108">
        <f>YEAR(Daily_KPI[[#This Row],[Date]])</f>
        <v>2026</v>
      </c>
      <c r="D359" s="139">
        <f>Daily_KPI[[#This Row],[Date]]-DAY(Daily_KPI[[#This Row],[Date]])+1</f>
        <v>46082</v>
      </c>
      <c r="E359" s="108">
        <f t="shared" si="38"/>
        <v>31</v>
      </c>
      <c r="F359" s="109"/>
      <c r="G359" s="110"/>
      <c r="H359" s="110"/>
      <c r="I359" s="110"/>
      <c r="J359" s="110"/>
      <c r="K359" s="111"/>
      <c r="L359" s="110"/>
      <c r="M359" s="110" t="str">
        <f>IFERROR(_xlfn.XLOOKUP($A359,Input_Raw!$A:$A,Input_Raw!$CQ:$CQ),"")</f>
        <v/>
      </c>
      <c r="N359" s="110" t="str">
        <f>IFERROR(_xlfn.XLOOKUP($A359,Input_Raw!$A:$A,Input_Raw!$CR:$CR),"")</f>
        <v/>
      </c>
      <c r="O359" s="141" t="str">
        <f t="shared" si="39"/>
        <v/>
      </c>
      <c r="P359" s="141" t="str">
        <f>IFERROR(1-SUMIF(WTG_BD!$F:$F,$A359,WTG_BD!$AA:$AA)/($AA359+SUMIF(WTG_BD!$F:$F,$A359,WTG_BD!$AA:$AA)),"")</f>
        <v/>
      </c>
      <c r="Q359" s="141" t="str">
        <f>IFERROR(1-SUMIF(IGA_BD!$F:$F,$A359,IGA_BD!$W:$W)/($AA359+SUMIF(IGA_BD!$F:$F,$A359,IGA_BD!$W:$W)),"")</f>
        <v/>
      </c>
      <c r="R359" s="141" t="str">
        <f>IFERROR(1-SUMIF(Grid_BD!$F:$F,$A359,Grid_BD!$Y:$Y)/($AA359+SUMIF(Grid_BD!$F:$F,$A359,Grid_BD!$Y:$Y)),"")</f>
        <v/>
      </c>
      <c r="S359" s="108"/>
      <c r="T359" s="140"/>
      <c r="U359" s="141"/>
      <c r="V359" s="108"/>
      <c r="W359" s="142" t="str">
        <f t="shared" si="40"/>
        <v/>
      </c>
      <c r="X359" s="108" t="str">
        <f>IFERROR(_xlfn.XLOOKUP($A359,Input_Raw!$A:$A,Input_Raw!$CP:$CP)*1000,"")</f>
        <v/>
      </c>
      <c r="Y359" s="108" t="str">
        <f>IFERROR(_xlfn.XLOOKUP($A359,Input_Raw!$A:$A,Input_Raw!DJ:DJ)*1000,"")</f>
        <v/>
      </c>
      <c r="Z359" s="108" t="str">
        <f>IFERROR(_xlfn.XLOOKUP($A359,Input_Raw!$A:$A,Input_Raw!DK:DK)*1000,"")</f>
        <v/>
      </c>
      <c r="AA359" s="138" t="str">
        <f t="shared" si="41"/>
        <v/>
      </c>
      <c r="AB359" s="108" t="str">
        <f>IFERROR(_xlfn.XLOOKUP($A359,Input_Raw!$A:$A,Input_Raw!$DR:$DR),"")</f>
        <v/>
      </c>
      <c r="AC359" s="143">
        <f>IFERROR(_xlfn.XLOOKUP($D359,'Modelling New'!$D:$D,'Modelling New'!$J:$J),"")</f>
        <v>4.5649999999999995</v>
      </c>
      <c r="AD359" s="138">
        <f>IFERROR(_xlfn.XLOOKUP($D359,'Modelling New'!$D:$D,'Modelling New'!$T:$T)*1000,"")</f>
        <v>177355.29697136435</v>
      </c>
      <c r="AE359" s="142"/>
      <c r="AF359" s="142">
        <f>IFERROR(_xlfn.XLOOKUP($D359,'Modelling New'!$D:$D,'Modelling New'!$W:$W),"")</f>
        <v>0.1049688073930897</v>
      </c>
      <c r="AG359" s="142">
        <f>IFERROR(_xlfn.XLOOKUP($D359,'Modelling New'!$D:$D,'Modelling New'!$AE:$AE),"")</f>
        <v>0.96029999999999993</v>
      </c>
      <c r="AH359" s="142">
        <f>IFERROR(_xlfn.XLOOKUP($D359,'Modelling New'!$D:$D,'Modelling New'!$AF:$AF),"")</f>
        <v>0.995</v>
      </c>
      <c r="AI359" s="109" t="str">
        <f>IFERROR(_xlfn.XLOOKUP($A359,Input_Raw!$A:$A,Input_Raw!$DP:$DP),"")</f>
        <v/>
      </c>
      <c r="AJ359" s="108"/>
      <c r="AK359" s="108"/>
      <c r="AL359" s="108"/>
      <c r="AM359" s="108"/>
      <c r="AN359" s="132" t="str">
        <f>IFERROR(_xlfn.XLOOKUP($A359,Input_Raw!$A:$A,Input_Raw!$DL:$DL),"")</f>
        <v/>
      </c>
      <c r="AO359" s="142" t="str">
        <f>IFERROR((_xlfn.XLOOKUP($A359,'WTG Reactive Power'!$A:$A,'WTG Reactive Power'!$AW:$AW))/X359,"")</f>
        <v/>
      </c>
      <c r="AP359" s="142">
        <f>IFERROR(_xlfn.XLOOKUP($D359,'Modelling New'!$D:$D,'Modelling New'!$AK:$AK),"")</f>
        <v>0.05</v>
      </c>
      <c r="AQ359" s="142">
        <f>IFERROR(_xlfn.XLOOKUP($D359,'Modelling New'!$D:$D,'Modelling New'!$AL:$AL),"")</f>
        <v>0.05</v>
      </c>
      <c r="AR359" s="198">
        <f>IFERROR(_xlfn.XLOOKUP($D359,'Modelling New'!$D:$D,'Modelling New'!$N:$N),"")</f>
        <v>70.400000000000006</v>
      </c>
      <c r="AS359" s="198"/>
    </row>
    <row r="360" spans="1:45">
      <c r="A360" s="137">
        <f t="shared" si="37"/>
        <v>46103</v>
      </c>
      <c r="B360" s="138">
        <f>YEAR(Daily_KPI[[#This Row],[Date]])+IF(MONTH(Daily_KPI[[#This Row],[Date]])&gt;=4,1,0)</f>
        <v>2026</v>
      </c>
      <c r="C360" s="108">
        <f>YEAR(Daily_KPI[[#This Row],[Date]])</f>
        <v>2026</v>
      </c>
      <c r="D360" s="139">
        <f>Daily_KPI[[#This Row],[Date]]-DAY(Daily_KPI[[#This Row],[Date]])+1</f>
        <v>46082</v>
      </c>
      <c r="E360" s="108">
        <f t="shared" si="38"/>
        <v>31</v>
      </c>
      <c r="F360" s="109"/>
      <c r="G360" s="110"/>
      <c r="H360" s="110"/>
      <c r="I360" s="110"/>
      <c r="J360" s="110"/>
      <c r="K360" s="111"/>
      <c r="L360" s="110"/>
      <c r="M360" s="110" t="str">
        <f>IFERROR(_xlfn.XLOOKUP($A360,Input_Raw!$A:$A,Input_Raw!$CQ:$CQ),"")</f>
        <v/>
      </c>
      <c r="N360" s="110" t="str">
        <f>IFERROR(_xlfn.XLOOKUP($A360,Input_Raw!$A:$A,Input_Raw!$CR:$CR),"")</f>
        <v/>
      </c>
      <c r="O360" s="141" t="str">
        <f t="shared" si="39"/>
        <v/>
      </c>
      <c r="P360" s="141" t="str">
        <f>IFERROR(1-SUMIF(WTG_BD!$F:$F,$A360,WTG_BD!$AA:$AA)/($AA360+SUMIF(WTG_BD!$F:$F,$A360,WTG_BD!$AA:$AA)),"")</f>
        <v/>
      </c>
      <c r="Q360" s="141" t="str">
        <f>IFERROR(1-SUMIF(IGA_BD!$F:$F,$A360,IGA_BD!$W:$W)/($AA360+SUMIF(IGA_BD!$F:$F,$A360,IGA_BD!$W:$W)),"")</f>
        <v/>
      </c>
      <c r="R360" s="141" t="str">
        <f>IFERROR(1-SUMIF(Grid_BD!$F:$F,$A360,Grid_BD!$Y:$Y)/($AA360+SUMIF(Grid_BD!$F:$F,$A360,Grid_BD!$Y:$Y)),"")</f>
        <v/>
      </c>
      <c r="S360" s="108"/>
      <c r="T360" s="140"/>
      <c r="U360" s="141"/>
      <c r="V360" s="108"/>
      <c r="W360" s="142" t="str">
        <f t="shared" si="40"/>
        <v/>
      </c>
      <c r="X360" s="108" t="str">
        <f>IFERROR(_xlfn.XLOOKUP($A360,Input_Raw!$A:$A,Input_Raw!$CP:$CP)*1000,"")</f>
        <v/>
      </c>
      <c r="Y360" s="108" t="str">
        <f>IFERROR(_xlfn.XLOOKUP($A360,Input_Raw!$A:$A,Input_Raw!DJ:DJ)*1000,"")</f>
        <v/>
      </c>
      <c r="Z360" s="108" t="str">
        <f>IFERROR(_xlfn.XLOOKUP($A360,Input_Raw!$A:$A,Input_Raw!DK:DK)*1000,"")</f>
        <v/>
      </c>
      <c r="AA360" s="138" t="str">
        <f t="shared" si="41"/>
        <v/>
      </c>
      <c r="AB360" s="108" t="str">
        <f>IFERROR(_xlfn.XLOOKUP($A360,Input_Raw!$A:$A,Input_Raw!$DR:$DR),"")</f>
        <v/>
      </c>
      <c r="AC360" s="143">
        <f>IFERROR(_xlfn.XLOOKUP($D360,'Modelling New'!$D:$D,'Modelling New'!$J:$J),"")</f>
        <v>4.5649999999999995</v>
      </c>
      <c r="AD360" s="138">
        <f>IFERROR(_xlfn.XLOOKUP($D360,'Modelling New'!$D:$D,'Modelling New'!$T:$T)*1000,"")</f>
        <v>177355.29697136435</v>
      </c>
      <c r="AE360" s="142"/>
      <c r="AF360" s="142">
        <f>IFERROR(_xlfn.XLOOKUP($D360,'Modelling New'!$D:$D,'Modelling New'!$W:$W),"")</f>
        <v>0.1049688073930897</v>
      </c>
      <c r="AG360" s="142">
        <f>IFERROR(_xlfn.XLOOKUP($D360,'Modelling New'!$D:$D,'Modelling New'!$AE:$AE),"")</f>
        <v>0.96029999999999993</v>
      </c>
      <c r="AH360" s="142">
        <f>IFERROR(_xlfn.XLOOKUP($D360,'Modelling New'!$D:$D,'Modelling New'!$AF:$AF),"")</f>
        <v>0.995</v>
      </c>
      <c r="AI360" s="109" t="str">
        <f>IFERROR(_xlfn.XLOOKUP($A360,Input_Raw!$A:$A,Input_Raw!$DP:$DP),"")</f>
        <v/>
      </c>
      <c r="AJ360" s="108"/>
      <c r="AK360" s="108"/>
      <c r="AL360" s="108"/>
      <c r="AM360" s="108"/>
      <c r="AN360" s="132" t="str">
        <f>IFERROR(_xlfn.XLOOKUP($A360,Input_Raw!$A:$A,Input_Raw!$DL:$DL),"")</f>
        <v/>
      </c>
      <c r="AO360" s="142" t="str">
        <f>IFERROR((_xlfn.XLOOKUP($A360,'WTG Reactive Power'!$A:$A,'WTG Reactive Power'!$AW:$AW))/X360,"")</f>
        <v/>
      </c>
      <c r="AP360" s="142">
        <f>IFERROR(_xlfn.XLOOKUP($D360,'Modelling New'!$D:$D,'Modelling New'!$AK:$AK),"")</f>
        <v>0.05</v>
      </c>
      <c r="AQ360" s="142">
        <f>IFERROR(_xlfn.XLOOKUP($D360,'Modelling New'!$D:$D,'Modelling New'!$AL:$AL),"")</f>
        <v>0.05</v>
      </c>
      <c r="AR360" s="198">
        <f>IFERROR(_xlfn.XLOOKUP($D360,'Modelling New'!$D:$D,'Modelling New'!$N:$N),"")</f>
        <v>70.400000000000006</v>
      </c>
      <c r="AS360" s="198"/>
    </row>
    <row r="361" spans="1:45">
      <c r="A361" s="137">
        <f t="shared" si="37"/>
        <v>46104</v>
      </c>
      <c r="B361" s="138">
        <f>YEAR(Daily_KPI[[#This Row],[Date]])+IF(MONTH(Daily_KPI[[#This Row],[Date]])&gt;=4,1,0)</f>
        <v>2026</v>
      </c>
      <c r="C361" s="108">
        <f>YEAR(Daily_KPI[[#This Row],[Date]])</f>
        <v>2026</v>
      </c>
      <c r="D361" s="139">
        <f>Daily_KPI[[#This Row],[Date]]-DAY(Daily_KPI[[#This Row],[Date]])+1</f>
        <v>46082</v>
      </c>
      <c r="E361" s="108">
        <f t="shared" si="38"/>
        <v>31</v>
      </c>
      <c r="F361" s="109"/>
      <c r="G361" s="110"/>
      <c r="H361" s="110"/>
      <c r="I361" s="110"/>
      <c r="J361" s="110"/>
      <c r="K361" s="111"/>
      <c r="L361" s="110"/>
      <c r="M361" s="110" t="str">
        <f>IFERROR(_xlfn.XLOOKUP($A361,Input_Raw!$A:$A,Input_Raw!$CQ:$CQ),"")</f>
        <v/>
      </c>
      <c r="N361" s="110" t="str">
        <f>IFERROR(_xlfn.XLOOKUP($A361,Input_Raw!$A:$A,Input_Raw!$CR:$CR),"")</f>
        <v/>
      </c>
      <c r="O361" s="141" t="str">
        <f t="shared" si="39"/>
        <v/>
      </c>
      <c r="P361" s="141" t="str">
        <f>IFERROR(1-SUMIF(WTG_BD!$F:$F,$A361,WTG_BD!$AA:$AA)/($AA361+SUMIF(WTG_BD!$F:$F,$A361,WTG_BD!$AA:$AA)),"")</f>
        <v/>
      </c>
      <c r="Q361" s="141" t="str">
        <f>IFERROR(1-SUMIF(IGA_BD!$F:$F,$A361,IGA_BD!$W:$W)/($AA361+SUMIF(IGA_BD!$F:$F,$A361,IGA_BD!$W:$W)),"")</f>
        <v/>
      </c>
      <c r="R361" s="141" t="str">
        <f>IFERROR(1-SUMIF(Grid_BD!$F:$F,$A361,Grid_BD!$Y:$Y)/($AA361+SUMIF(Grid_BD!$F:$F,$A361,Grid_BD!$Y:$Y)),"")</f>
        <v/>
      </c>
      <c r="S361" s="108"/>
      <c r="T361" s="140"/>
      <c r="U361" s="141"/>
      <c r="V361" s="108"/>
      <c r="W361" s="142" t="str">
        <f t="shared" si="40"/>
        <v/>
      </c>
      <c r="X361" s="108" t="str">
        <f>IFERROR(_xlfn.XLOOKUP($A361,Input_Raw!$A:$A,Input_Raw!$CP:$CP)*1000,"")</f>
        <v/>
      </c>
      <c r="Y361" s="108" t="str">
        <f>IFERROR(_xlfn.XLOOKUP($A361,Input_Raw!$A:$A,Input_Raw!DJ:DJ)*1000,"")</f>
        <v/>
      </c>
      <c r="Z361" s="108" t="str">
        <f>IFERROR(_xlfn.XLOOKUP($A361,Input_Raw!$A:$A,Input_Raw!DK:DK)*1000,"")</f>
        <v/>
      </c>
      <c r="AA361" s="138" t="str">
        <f t="shared" si="41"/>
        <v/>
      </c>
      <c r="AB361" s="108" t="str">
        <f>IFERROR(_xlfn.XLOOKUP($A361,Input_Raw!$A:$A,Input_Raw!$DR:$DR),"")</f>
        <v/>
      </c>
      <c r="AC361" s="143">
        <f>IFERROR(_xlfn.XLOOKUP($D361,'Modelling New'!$D:$D,'Modelling New'!$J:$J),"")</f>
        <v>4.5649999999999995</v>
      </c>
      <c r="AD361" s="138">
        <f>IFERROR(_xlfn.XLOOKUP($D361,'Modelling New'!$D:$D,'Modelling New'!$T:$T)*1000,"")</f>
        <v>177355.29697136435</v>
      </c>
      <c r="AE361" s="142"/>
      <c r="AF361" s="142">
        <f>IFERROR(_xlfn.XLOOKUP($D361,'Modelling New'!$D:$D,'Modelling New'!$W:$W),"")</f>
        <v>0.1049688073930897</v>
      </c>
      <c r="AG361" s="142">
        <f>IFERROR(_xlfn.XLOOKUP($D361,'Modelling New'!$D:$D,'Modelling New'!$AE:$AE),"")</f>
        <v>0.96029999999999993</v>
      </c>
      <c r="AH361" s="142">
        <f>IFERROR(_xlfn.XLOOKUP($D361,'Modelling New'!$D:$D,'Modelling New'!$AF:$AF),"")</f>
        <v>0.995</v>
      </c>
      <c r="AI361" s="109" t="str">
        <f>IFERROR(_xlfn.XLOOKUP($A361,Input_Raw!$A:$A,Input_Raw!$DP:$DP),"")</f>
        <v/>
      </c>
      <c r="AJ361" s="108"/>
      <c r="AK361" s="108"/>
      <c r="AL361" s="108"/>
      <c r="AM361" s="108"/>
      <c r="AN361" s="132" t="str">
        <f>IFERROR(_xlfn.XLOOKUP($A361,Input_Raw!$A:$A,Input_Raw!$DL:$DL),"")</f>
        <v/>
      </c>
      <c r="AO361" s="142" t="str">
        <f>IFERROR((_xlfn.XLOOKUP($A361,'WTG Reactive Power'!$A:$A,'WTG Reactive Power'!$AW:$AW))/X361,"")</f>
        <v/>
      </c>
      <c r="AP361" s="142">
        <f>IFERROR(_xlfn.XLOOKUP($D361,'Modelling New'!$D:$D,'Modelling New'!$AK:$AK),"")</f>
        <v>0.05</v>
      </c>
      <c r="AQ361" s="142">
        <f>IFERROR(_xlfn.XLOOKUP($D361,'Modelling New'!$D:$D,'Modelling New'!$AL:$AL),"")</f>
        <v>0.05</v>
      </c>
      <c r="AR361" s="198">
        <f>IFERROR(_xlfn.XLOOKUP($D361,'Modelling New'!$D:$D,'Modelling New'!$N:$N),"")</f>
        <v>70.400000000000006</v>
      </c>
      <c r="AS361" s="198"/>
    </row>
    <row r="362" spans="1:45">
      <c r="A362" s="137">
        <f t="shared" si="37"/>
        <v>46105</v>
      </c>
      <c r="B362" s="138">
        <f>YEAR(Daily_KPI[[#This Row],[Date]])+IF(MONTH(Daily_KPI[[#This Row],[Date]])&gt;=4,1,0)</f>
        <v>2026</v>
      </c>
      <c r="C362" s="108">
        <f>YEAR(Daily_KPI[[#This Row],[Date]])</f>
        <v>2026</v>
      </c>
      <c r="D362" s="139">
        <f>Daily_KPI[[#This Row],[Date]]-DAY(Daily_KPI[[#This Row],[Date]])+1</f>
        <v>46082</v>
      </c>
      <c r="E362" s="108">
        <f t="shared" si="38"/>
        <v>31</v>
      </c>
      <c r="F362" s="109"/>
      <c r="G362" s="110"/>
      <c r="H362" s="110"/>
      <c r="I362" s="110"/>
      <c r="J362" s="110"/>
      <c r="K362" s="111"/>
      <c r="L362" s="110"/>
      <c r="M362" s="110" t="str">
        <f>IFERROR(_xlfn.XLOOKUP($A362,Input_Raw!$A:$A,Input_Raw!$CQ:$CQ),"")</f>
        <v/>
      </c>
      <c r="N362" s="110" t="str">
        <f>IFERROR(_xlfn.XLOOKUP($A362,Input_Raw!$A:$A,Input_Raw!$CR:$CR),"")</f>
        <v/>
      </c>
      <c r="O362" s="141" t="str">
        <f t="shared" si="39"/>
        <v/>
      </c>
      <c r="P362" s="141" t="str">
        <f>IFERROR(1-SUMIF(WTG_BD!$F:$F,$A362,WTG_BD!$AA:$AA)/($AA362+SUMIF(WTG_BD!$F:$F,$A362,WTG_BD!$AA:$AA)),"")</f>
        <v/>
      </c>
      <c r="Q362" s="141" t="str">
        <f>IFERROR(1-SUMIF(IGA_BD!$F:$F,$A362,IGA_BD!$W:$W)/($AA362+SUMIF(IGA_BD!$F:$F,$A362,IGA_BD!$W:$W)),"")</f>
        <v/>
      </c>
      <c r="R362" s="141" t="str">
        <f>IFERROR(1-SUMIF(Grid_BD!$F:$F,$A362,Grid_BD!$Y:$Y)/($AA362+SUMIF(Grid_BD!$F:$F,$A362,Grid_BD!$Y:$Y)),"")</f>
        <v/>
      </c>
      <c r="S362" s="108"/>
      <c r="T362" s="140"/>
      <c r="U362" s="141"/>
      <c r="V362" s="108"/>
      <c r="W362" s="142" t="str">
        <f t="shared" si="40"/>
        <v/>
      </c>
      <c r="X362" s="108" t="str">
        <f>IFERROR(_xlfn.XLOOKUP($A362,Input_Raw!$A:$A,Input_Raw!$CP:$CP)*1000,"")</f>
        <v/>
      </c>
      <c r="Y362" s="108" t="str">
        <f>IFERROR(_xlfn.XLOOKUP($A362,Input_Raw!$A:$A,Input_Raw!DJ:DJ)*1000,"")</f>
        <v/>
      </c>
      <c r="Z362" s="108" t="str">
        <f>IFERROR(_xlfn.XLOOKUP($A362,Input_Raw!$A:$A,Input_Raw!DK:DK)*1000,"")</f>
        <v/>
      </c>
      <c r="AA362" s="138" t="str">
        <f t="shared" si="41"/>
        <v/>
      </c>
      <c r="AB362" s="108" t="str">
        <f>IFERROR(_xlfn.XLOOKUP($A362,Input_Raw!$A:$A,Input_Raw!$DR:$DR),"")</f>
        <v/>
      </c>
      <c r="AC362" s="143">
        <f>IFERROR(_xlfn.XLOOKUP($D362,'Modelling New'!$D:$D,'Modelling New'!$J:$J),"")</f>
        <v>4.5649999999999995</v>
      </c>
      <c r="AD362" s="138">
        <f>IFERROR(_xlfn.XLOOKUP($D362,'Modelling New'!$D:$D,'Modelling New'!$T:$T)*1000,"")</f>
        <v>177355.29697136435</v>
      </c>
      <c r="AE362" s="142"/>
      <c r="AF362" s="142">
        <f>IFERROR(_xlfn.XLOOKUP($D362,'Modelling New'!$D:$D,'Modelling New'!$W:$W),"")</f>
        <v>0.1049688073930897</v>
      </c>
      <c r="AG362" s="142">
        <f>IFERROR(_xlfn.XLOOKUP($D362,'Modelling New'!$D:$D,'Modelling New'!$AE:$AE),"")</f>
        <v>0.96029999999999993</v>
      </c>
      <c r="AH362" s="142">
        <f>IFERROR(_xlfn.XLOOKUP($D362,'Modelling New'!$D:$D,'Modelling New'!$AF:$AF),"")</f>
        <v>0.995</v>
      </c>
      <c r="AI362" s="109" t="str">
        <f>IFERROR(_xlfn.XLOOKUP($A362,Input_Raw!$A:$A,Input_Raw!$DP:$DP),"")</f>
        <v/>
      </c>
      <c r="AJ362" s="108"/>
      <c r="AK362" s="108"/>
      <c r="AL362" s="108"/>
      <c r="AM362" s="108"/>
      <c r="AN362" s="132" t="str">
        <f>IFERROR(_xlfn.XLOOKUP($A362,Input_Raw!$A:$A,Input_Raw!$DL:$DL),"")</f>
        <v/>
      </c>
      <c r="AO362" s="142" t="str">
        <f>IFERROR((_xlfn.XLOOKUP($A362,'WTG Reactive Power'!$A:$A,'WTG Reactive Power'!$AW:$AW))/X362,"")</f>
        <v/>
      </c>
      <c r="AP362" s="142">
        <f>IFERROR(_xlfn.XLOOKUP($D362,'Modelling New'!$D:$D,'Modelling New'!$AK:$AK),"")</f>
        <v>0.05</v>
      </c>
      <c r="AQ362" s="142">
        <f>IFERROR(_xlfn.XLOOKUP($D362,'Modelling New'!$D:$D,'Modelling New'!$AL:$AL),"")</f>
        <v>0.05</v>
      </c>
      <c r="AR362" s="198">
        <f>IFERROR(_xlfn.XLOOKUP($D362,'Modelling New'!$D:$D,'Modelling New'!$N:$N),"")</f>
        <v>70.400000000000006</v>
      </c>
      <c r="AS362" s="198"/>
    </row>
    <row r="363" spans="1:45">
      <c r="A363" s="137">
        <f t="shared" si="37"/>
        <v>46106</v>
      </c>
      <c r="B363" s="138">
        <f>YEAR(Daily_KPI[[#This Row],[Date]])+IF(MONTH(Daily_KPI[[#This Row],[Date]])&gt;=4,1,0)</f>
        <v>2026</v>
      </c>
      <c r="C363" s="108">
        <f>YEAR(Daily_KPI[[#This Row],[Date]])</f>
        <v>2026</v>
      </c>
      <c r="D363" s="139">
        <f>Daily_KPI[[#This Row],[Date]]-DAY(Daily_KPI[[#This Row],[Date]])+1</f>
        <v>46082</v>
      </c>
      <c r="E363" s="108">
        <f t="shared" si="38"/>
        <v>31</v>
      </c>
      <c r="F363" s="109"/>
      <c r="G363" s="110"/>
      <c r="H363" s="110"/>
      <c r="I363" s="110"/>
      <c r="J363" s="110"/>
      <c r="K363" s="111"/>
      <c r="L363" s="110"/>
      <c r="M363" s="110" t="str">
        <f>IFERROR(_xlfn.XLOOKUP($A363,Input_Raw!$A:$A,Input_Raw!$CQ:$CQ),"")</f>
        <v/>
      </c>
      <c r="N363" s="110" t="str">
        <f>IFERROR(_xlfn.XLOOKUP($A363,Input_Raw!$A:$A,Input_Raw!$CR:$CR),"")</f>
        <v/>
      </c>
      <c r="O363" s="141" t="str">
        <f t="shared" si="39"/>
        <v/>
      </c>
      <c r="P363" s="141" t="str">
        <f>IFERROR(1-SUMIF(WTG_BD!$F:$F,$A363,WTG_BD!$AA:$AA)/($AA363+SUMIF(WTG_BD!$F:$F,$A363,WTG_BD!$AA:$AA)),"")</f>
        <v/>
      </c>
      <c r="Q363" s="141" t="str">
        <f>IFERROR(1-SUMIF(IGA_BD!$F:$F,$A363,IGA_BD!$W:$W)/($AA363+SUMIF(IGA_BD!$F:$F,$A363,IGA_BD!$W:$W)),"")</f>
        <v/>
      </c>
      <c r="R363" s="141" t="str">
        <f>IFERROR(1-SUMIF(Grid_BD!$F:$F,$A363,Grid_BD!$Y:$Y)/($AA363+SUMIF(Grid_BD!$F:$F,$A363,Grid_BD!$Y:$Y)),"")</f>
        <v/>
      </c>
      <c r="S363" s="108"/>
      <c r="T363" s="140"/>
      <c r="U363" s="141"/>
      <c r="V363" s="108"/>
      <c r="W363" s="142" t="str">
        <f t="shared" si="40"/>
        <v/>
      </c>
      <c r="X363" s="108" t="str">
        <f>IFERROR(_xlfn.XLOOKUP($A363,Input_Raw!$A:$A,Input_Raw!$CP:$CP)*1000,"")</f>
        <v/>
      </c>
      <c r="Y363" s="108" t="str">
        <f>IFERROR(_xlfn.XLOOKUP($A363,Input_Raw!$A:$A,Input_Raw!DJ:DJ)*1000,"")</f>
        <v/>
      </c>
      <c r="Z363" s="108" t="str">
        <f>IFERROR(_xlfn.XLOOKUP($A363,Input_Raw!$A:$A,Input_Raw!DK:DK)*1000,"")</f>
        <v/>
      </c>
      <c r="AA363" s="138" t="str">
        <f t="shared" si="41"/>
        <v/>
      </c>
      <c r="AB363" s="108" t="str">
        <f>IFERROR(_xlfn.XLOOKUP($A363,Input_Raw!$A:$A,Input_Raw!$DR:$DR),"")</f>
        <v/>
      </c>
      <c r="AC363" s="143">
        <f>IFERROR(_xlfn.XLOOKUP($D363,'Modelling New'!$D:$D,'Modelling New'!$J:$J),"")</f>
        <v>4.5649999999999995</v>
      </c>
      <c r="AD363" s="138">
        <f>IFERROR(_xlfn.XLOOKUP($D363,'Modelling New'!$D:$D,'Modelling New'!$T:$T)*1000,"")</f>
        <v>177355.29697136435</v>
      </c>
      <c r="AE363" s="142"/>
      <c r="AF363" s="142">
        <f>IFERROR(_xlfn.XLOOKUP($D363,'Modelling New'!$D:$D,'Modelling New'!$W:$W),"")</f>
        <v>0.1049688073930897</v>
      </c>
      <c r="AG363" s="142">
        <f>IFERROR(_xlfn.XLOOKUP($D363,'Modelling New'!$D:$D,'Modelling New'!$AE:$AE),"")</f>
        <v>0.96029999999999993</v>
      </c>
      <c r="AH363" s="142">
        <f>IFERROR(_xlfn.XLOOKUP($D363,'Modelling New'!$D:$D,'Modelling New'!$AF:$AF),"")</f>
        <v>0.995</v>
      </c>
      <c r="AI363" s="109" t="str">
        <f>IFERROR(_xlfn.XLOOKUP($A363,Input_Raw!$A:$A,Input_Raw!$DP:$DP),"")</f>
        <v/>
      </c>
      <c r="AJ363" s="108"/>
      <c r="AK363" s="108"/>
      <c r="AL363" s="108"/>
      <c r="AM363" s="108"/>
      <c r="AN363" s="132" t="str">
        <f>IFERROR(_xlfn.XLOOKUP($A363,Input_Raw!$A:$A,Input_Raw!$DL:$DL),"")</f>
        <v/>
      </c>
      <c r="AO363" s="142" t="str">
        <f>IFERROR((_xlfn.XLOOKUP($A363,'WTG Reactive Power'!$A:$A,'WTG Reactive Power'!$AW:$AW))/X363,"")</f>
        <v/>
      </c>
      <c r="AP363" s="142">
        <f>IFERROR(_xlfn.XLOOKUP($D363,'Modelling New'!$D:$D,'Modelling New'!$AK:$AK),"")</f>
        <v>0.05</v>
      </c>
      <c r="AQ363" s="142">
        <f>IFERROR(_xlfn.XLOOKUP($D363,'Modelling New'!$D:$D,'Modelling New'!$AL:$AL),"")</f>
        <v>0.05</v>
      </c>
      <c r="AR363" s="198">
        <f>IFERROR(_xlfn.XLOOKUP($D363,'Modelling New'!$D:$D,'Modelling New'!$N:$N),"")</f>
        <v>70.400000000000006</v>
      </c>
      <c r="AS363" s="198"/>
    </row>
    <row r="364" spans="1:45">
      <c r="A364" s="137">
        <f t="shared" si="37"/>
        <v>46107</v>
      </c>
      <c r="B364" s="138">
        <f>YEAR(Daily_KPI[[#This Row],[Date]])+IF(MONTH(Daily_KPI[[#This Row],[Date]])&gt;=4,1,0)</f>
        <v>2026</v>
      </c>
      <c r="C364" s="108">
        <f>YEAR(Daily_KPI[[#This Row],[Date]])</f>
        <v>2026</v>
      </c>
      <c r="D364" s="139">
        <f>Daily_KPI[[#This Row],[Date]]-DAY(Daily_KPI[[#This Row],[Date]])+1</f>
        <v>46082</v>
      </c>
      <c r="E364" s="108">
        <f t="shared" si="38"/>
        <v>31</v>
      </c>
      <c r="F364" s="109"/>
      <c r="G364" s="110"/>
      <c r="H364" s="110"/>
      <c r="I364" s="110"/>
      <c r="J364" s="110"/>
      <c r="K364" s="111"/>
      <c r="L364" s="110"/>
      <c r="M364" s="110" t="str">
        <f>IFERROR(_xlfn.XLOOKUP($A364,Input_Raw!$A:$A,Input_Raw!$CQ:$CQ),"")</f>
        <v/>
      </c>
      <c r="N364" s="110" t="str">
        <f>IFERROR(_xlfn.XLOOKUP($A364,Input_Raw!$A:$A,Input_Raw!$CR:$CR),"")</f>
        <v/>
      </c>
      <c r="O364" s="141" t="str">
        <f t="shared" si="39"/>
        <v/>
      </c>
      <c r="P364" s="141" t="str">
        <f>IFERROR(1-SUMIF(WTG_BD!$F:$F,$A364,WTG_BD!$AA:$AA)/($AA364+SUMIF(WTG_BD!$F:$F,$A364,WTG_BD!$AA:$AA)),"")</f>
        <v/>
      </c>
      <c r="Q364" s="141" t="str">
        <f>IFERROR(1-SUMIF(IGA_BD!$F:$F,$A364,IGA_BD!$W:$W)/($AA364+SUMIF(IGA_BD!$F:$F,$A364,IGA_BD!$W:$W)),"")</f>
        <v/>
      </c>
      <c r="R364" s="141" t="str">
        <f>IFERROR(1-SUMIF(Grid_BD!$F:$F,$A364,Grid_BD!$Y:$Y)/($AA364+SUMIF(Grid_BD!$F:$F,$A364,Grid_BD!$Y:$Y)),"")</f>
        <v/>
      </c>
      <c r="S364" s="108"/>
      <c r="T364" s="140"/>
      <c r="U364" s="141"/>
      <c r="V364" s="108"/>
      <c r="W364" s="142" t="str">
        <f t="shared" si="40"/>
        <v/>
      </c>
      <c r="X364" s="108" t="str">
        <f>IFERROR(_xlfn.XLOOKUP($A364,Input_Raw!$A:$A,Input_Raw!$CP:$CP)*1000,"")</f>
        <v/>
      </c>
      <c r="Y364" s="108" t="str">
        <f>IFERROR(_xlfn.XLOOKUP($A364,Input_Raw!$A:$A,Input_Raw!DJ:DJ)*1000,"")</f>
        <v/>
      </c>
      <c r="Z364" s="108" t="str">
        <f>IFERROR(_xlfn.XLOOKUP($A364,Input_Raw!$A:$A,Input_Raw!DK:DK)*1000,"")</f>
        <v/>
      </c>
      <c r="AA364" s="138" t="str">
        <f t="shared" si="41"/>
        <v/>
      </c>
      <c r="AB364" s="108" t="str">
        <f>IFERROR(_xlfn.XLOOKUP($A364,Input_Raw!$A:$A,Input_Raw!$DR:$DR),"")</f>
        <v/>
      </c>
      <c r="AC364" s="143">
        <f>IFERROR(_xlfn.XLOOKUP($D364,'Modelling New'!$D:$D,'Modelling New'!$J:$J),"")</f>
        <v>4.5649999999999995</v>
      </c>
      <c r="AD364" s="138">
        <f>IFERROR(_xlfn.XLOOKUP($D364,'Modelling New'!$D:$D,'Modelling New'!$T:$T)*1000,"")</f>
        <v>177355.29697136435</v>
      </c>
      <c r="AE364" s="142"/>
      <c r="AF364" s="142">
        <f>IFERROR(_xlfn.XLOOKUP($D364,'Modelling New'!$D:$D,'Modelling New'!$W:$W),"")</f>
        <v>0.1049688073930897</v>
      </c>
      <c r="AG364" s="142">
        <f>IFERROR(_xlfn.XLOOKUP($D364,'Modelling New'!$D:$D,'Modelling New'!$AE:$AE),"")</f>
        <v>0.96029999999999993</v>
      </c>
      <c r="AH364" s="142">
        <f>IFERROR(_xlfn.XLOOKUP($D364,'Modelling New'!$D:$D,'Modelling New'!$AF:$AF),"")</f>
        <v>0.995</v>
      </c>
      <c r="AI364" s="109" t="str">
        <f>IFERROR(_xlfn.XLOOKUP($A364,Input_Raw!$A:$A,Input_Raw!$DP:$DP),"")</f>
        <v/>
      </c>
      <c r="AJ364" s="108"/>
      <c r="AK364" s="108"/>
      <c r="AL364" s="108"/>
      <c r="AM364" s="108"/>
      <c r="AN364" s="132" t="str">
        <f>IFERROR(_xlfn.XLOOKUP($A364,Input_Raw!$A:$A,Input_Raw!$DL:$DL),"")</f>
        <v/>
      </c>
      <c r="AO364" s="142" t="str">
        <f>IFERROR((_xlfn.XLOOKUP($A364,'WTG Reactive Power'!$A:$A,'WTG Reactive Power'!$AW:$AW))/X364,"")</f>
        <v/>
      </c>
      <c r="AP364" s="142">
        <f>IFERROR(_xlfn.XLOOKUP($D364,'Modelling New'!$D:$D,'Modelling New'!$AK:$AK),"")</f>
        <v>0.05</v>
      </c>
      <c r="AQ364" s="142">
        <f>IFERROR(_xlfn.XLOOKUP($D364,'Modelling New'!$D:$D,'Modelling New'!$AL:$AL),"")</f>
        <v>0.05</v>
      </c>
      <c r="AR364" s="198">
        <f>IFERROR(_xlfn.XLOOKUP($D364,'Modelling New'!$D:$D,'Modelling New'!$N:$N),"")</f>
        <v>70.400000000000006</v>
      </c>
      <c r="AS364" s="198"/>
    </row>
    <row r="365" spans="1:45">
      <c r="A365" s="137">
        <f t="shared" si="37"/>
        <v>46108</v>
      </c>
      <c r="B365" s="138">
        <f>YEAR(Daily_KPI[[#This Row],[Date]])+IF(MONTH(Daily_KPI[[#This Row],[Date]])&gt;=4,1,0)</f>
        <v>2026</v>
      </c>
      <c r="C365" s="108">
        <f>YEAR(Daily_KPI[[#This Row],[Date]])</f>
        <v>2026</v>
      </c>
      <c r="D365" s="139">
        <f>Daily_KPI[[#This Row],[Date]]-DAY(Daily_KPI[[#This Row],[Date]])+1</f>
        <v>46082</v>
      </c>
      <c r="E365" s="108">
        <f t="shared" si="38"/>
        <v>31</v>
      </c>
      <c r="F365" s="109"/>
      <c r="G365" s="110"/>
      <c r="H365" s="110"/>
      <c r="I365" s="110"/>
      <c r="J365" s="110"/>
      <c r="K365" s="111"/>
      <c r="L365" s="110"/>
      <c r="M365" s="110" t="str">
        <f>IFERROR(_xlfn.XLOOKUP($A365,Input_Raw!$A:$A,Input_Raw!$CQ:$CQ),"")</f>
        <v/>
      </c>
      <c r="N365" s="110" t="str">
        <f>IFERROR(_xlfn.XLOOKUP($A365,Input_Raw!$A:$A,Input_Raw!$CR:$CR),"")</f>
        <v/>
      </c>
      <c r="O365" s="141" t="str">
        <f t="shared" si="39"/>
        <v/>
      </c>
      <c r="P365" s="141" t="str">
        <f>IFERROR(1-SUMIF(WTG_BD!$F:$F,$A365,WTG_BD!$AA:$AA)/($AA365+SUMIF(WTG_BD!$F:$F,$A365,WTG_BD!$AA:$AA)),"")</f>
        <v/>
      </c>
      <c r="Q365" s="141" t="str">
        <f>IFERROR(1-SUMIF(IGA_BD!$F:$F,$A365,IGA_BD!$W:$W)/($AA365+SUMIF(IGA_BD!$F:$F,$A365,IGA_BD!$W:$W)),"")</f>
        <v/>
      </c>
      <c r="R365" s="141" t="str">
        <f>IFERROR(1-SUMIF(Grid_BD!$F:$F,$A365,Grid_BD!$Y:$Y)/($AA365+SUMIF(Grid_BD!$F:$F,$A365,Grid_BD!$Y:$Y)),"")</f>
        <v/>
      </c>
      <c r="S365" s="108"/>
      <c r="T365" s="140"/>
      <c r="U365" s="141"/>
      <c r="V365" s="108"/>
      <c r="W365" s="142" t="str">
        <f t="shared" si="40"/>
        <v/>
      </c>
      <c r="X365" s="108" t="str">
        <f>IFERROR(_xlfn.XLOOKUP($A365,Input_Raw!$A:$A,Input_Raw!$CP:$CP)*1000,"")</f>
        <v/>
      </c>
      <c r="Y365" s="108" t="str">
        <f>IFERROR(_xlfn.XLOOKUP($A365,Input_Raw!$A:$A,Input_Raw!DJ:DJ)*1000,"")</f>
        <v/>
      </c>
      <c r="Z365" s="108" t="str">
        <f>IFERROR(_xlfn.XLOOKUP($A365,Input_Raw!$A:$A,Input_Raw!DK:DK)*1000,"")</f>
        <v/>
      </c>
      <c r="AA365" s="138" t="str">
        <f t="shared" si="41"/>
        <v/>
      </c>
      <c r="AB365" s="108" t="str">
        <f>IFERROR(_xlfn.XLOOKUP($A365,Input_Raw!$A:$A,Input_Raw!$DR:$DR),"")</f>
        <v/>
      </c>
      <c r="AC365" s="143">
        <f>IFERROR(_xlfn.XLOOKUP($D365,'Modelling New'!$D:$D,'Modelling New'!$J:$J),"")</f>
        <v>4.5649999999999995</v>
      </c>
      <c r="AD365" s="138">
        <f>IFERROR(_xlfn.XLOOKUP($D365,'Modelling New'!$D:$D,'Modelling New'!$T:$T)*1000,"")</f>
        <v>177355.29697136435</v>
      </c>
      <c r="AE365" s="142"/>
      <c r="AF365" s="142">
        <f>IFERROR(_xlfn.XLOOKUP($D365,'Modelling New'!$D:$D,'Modelling New'!$W:$W),"")</f>
        <v>0.1049688073930897</v>
      </c>
      <c r="AG365" s="142">
        <f>IFERROR(_xlfn.XLOOKUP($D365,'Modelling New'!$D:$D,'Modelling New'!$AE:$AE),"")</f>
        <v>0.96029999999999993</v>
      </c>
      <c r="AH365" s="142">
        <f>IFERROR(_xlfn.XLOOKUP($D365,'Modelling New'!$D:$D,'Modelling New'!$AF:$AF),"")</f>
        <v>0.995</v>
      </c>
      <c r="AI365" s="109" t="str">
        <f>IFERROR(_xlfn.XLOOKUP($A365,Input_Raw!$A:$A,Input_Raw!$DP:$DP),"")</f>
        <v/>
      </c>
      <c r="AJ365" s="108"/>
      <c r="AK365" s="108"/>
      <c r="AL365" s="108"/>
      <c r="AM365" s="108"/>
      <c r="AN365" s="132" t="str">
        <f>IFERROR(_xlfn.XLOOKUP($A365,Input_Raw!$A:$A,Input_Raw!$DL:$DL),"")</f>
        <v/>
      </c>
      <c r="AO365" s="142" t="str">
        <f>IFERROR((_xlfn.XLOOKUP($A365,'WTG Reactive Power'!$A:$A,'WTG Reactive Power'!$AW:$AW))/X365,"")</f>
        <v/>
      </c>
      <c r="AP365" s="142">
        <f>IFERROR(_xlfn.XLOOKUP($D365,'Modelling New'!$D:$D,'Modelling New'!$AK:$AK),"")</f>
        <v>0.05</v>
      </c>
      <c r="AQ365" s="142">
        <f>IFERROR(_xlfn.XLOOKUP($D365,'Modelling New'!$D:$D,'Modelling New'!$AL:$AL),"")</f>
        <v>0.05</v>
      </c>
      <c r="AR365" s="198">
        <f>IFERROR(_xlfn.XLOOKUP($D365,'Modelling New'!$D:$D,'Modelling New'!$N:$N),"")</f>
        <v>70.400000000000006</v>
      </c>
      <c r="AS365" s="198"/>
    </row>
    <row r="366" spans="1:45">
      <c r="A366" s="137">
        <f t="shared" si="37"/>
        <v>46109</v>
      </c>
      <c r="B366" s="138">
        <f>YEAR(Daily_KPI[[#This Row],[Date]])+IF(MONTH(Daily_KPI[[#This Row],[Date]])&gt;=4,1,0)</f>
        <v>2026</v>
      </c>
      <c r="C366" s="108">
        <f>YEAR(Daily_KPI[[#This Row],[Date]])</f>
        <v>2026</v>
      </c>
      <c r="D366" s="139">
        <f>Daily_KPI[[#This Row],[Date]]-DAY(Daily_KPI[[#This Row],[Date]])+1</f>
        <v>46082</v>
      </c>
      <c r="E366" s="108">
        <f t="shared" si="38"/>
        <v>31</v>
      </c>
      <c r="F366" s="109"/>
      <c r="G366" s="110"/>
      <c r="H366" s="110"/>
      <c r="I366" s="110"/>
      <c r="J366" s="110"/>
      <c r="K366" s="111"/>
      <c r="L366" s="110"/>
      <c r="M366" s="110" t="str">
        <f>IFERROR(_xlfn.XLOOKUP($A366,Input_Raw!$A:$A,Input_Raw!$CQ:$CQ),"")</f>
        <v/>
      </c>
      <c r="N366" s="110" t="str">
        <f>IFERROR(_xlfn.XLOOKUP($A366,Input_Raw!$A:$A,Input_Raw!$CR:$CR),"")</f>
        <v/>
      </c>
      <c r="O366" s="141" t="str">
        <f t="shared" si="39"/>
        <v/>
      </c>
      <c r="P366" s="141" t="str">
        <f>IFERROR(1-SUMIF(WTG_BD!$F:$F,$A366,WTG_BD!$AA:$AA)/($AA366+SUMIF(WTG_BD!$F:$F,$A366,WTG_BD!$AA:$AA)),"")</f>
        <v/>
      </c>
      <c r="Q366" s="141" t="str">
        <f>IFERROR(1-SUMIF(IGA_BD!$F:$F,$A366,IGA_BD!$W:$W)/($AA366+SUMIF(IGA_BD!$F:$F,$A366,IGA_BD!$W:$W)),"")</f>
        <v/>
      </c>
      <c r="R366" s="141" t="str">
        <f>IFERROR(1-SUMIF(Grid_BD!$F:$F,$A366,Grid_BD!$Y:$Y)/($AA366+SUMIF(Grid_BD!$F:$F,$A366,Grid_BD!$Y:$Y)),"")</f>
        <v/>
      </c>
      <c r="S366" s="108"/>
      <c r="T366" s="140"/>
      <c r="U366" s="141"/>
      <c r="V366" s="108"/>
      <c r="W366" s="142" t="str">
        <f t="shared" si="40"/>
        <v/>
      </c>
      <c r="X366" s="108" t="str">
        <f>IFERROR(_xlfn.XLOOKUP($A366,Input_Raw!$A:$A,Input_Raw!$CP:$CP)*1000,"")</f>
        <v/>
      </c>
      <c r="Y366" s="108" t="str">
        <f>IFERROR(_xlfn.XLOOKUP($A366,Input_Raw!$A:$A,Input_Raw!DJ:DJ)*1000,"")</f>
        <v/>
      </c>
      <c r="Z366" s="108" t="str">
        <f>IFERROR(_xlfn.XLOOKUP($A366,Input_Raw!$A:$A,Input_Raw!DK:DK)*1000,"")</f>
        <v/>
      </c>
      <c r="AA366" s="138" t="str">
        <f t="shared" si="41"/>
        <v/>
      </c>
      <c r="AB366" s="108" t="str">
        <f>IFERROR(_xlfn.XLOOKUP($A366,Input_Raw!$A:$A,Input_Raw!$DR:$DR),"")</f>
        <v/>
      </c>
      <c r="AC366" s="143">
        <f>IFERROR(_xlfn.XLOOKUP($D366,'Modelling New'!$D:$D,'Modelling New'!$J:$J),"")</f>
        <v>4.5649999999999995</v>
      </c>
      <c r="AD366" s="138">
        <f>IFERROR(_xlfn.XLOOKUP($D366,'Modelling New'!$D:$D,'Modelling New'!$T:$T)*1000,"")</f>
        <v>177355.29697136435</v>
      </c>
      <c r="AE366" s="142"/>
      <c r="AF366" s="142">
        <f>IFERROR(_xlfn.XLOOKUP($D366,'Modelling New'!$D:$D,'Modelling New'!$W:$W),"")</f>
        <v>0.1049688073930897</v>
      </c>
      <c r="AG366" s="142">
        <f>IFERROR(_xlfn.XLOOKUP($D366,'Modelling New'!$D:$D,'Modelling New'!$AE:$AE),"")</f>
        <v>0.96029999999999993</v>
      </c>
      <c r="AH366" s="142">
        <f>IFERROR(_xlfn.XLOOKUP($D366,'Modelling New'!$D:$D,'Modelling New'!$AF:$AF),"")</f>
        <v>0.995</v>
      </c>
      <c r="AI366" s="109" t="str">
        <f>IFERROR(_xlfn.XLOOKUP($A366,Input_Raw!$A:$A,Input_Raw!$DP:$DP),"")</f>
        <v/>
      </c>
      <c r="AJ366" s="108"/>
      <c r="AK366" s="108"/>
      <c r="AL366" s="108"/>
      <c r="AM366" s="108"/>
      <c r="AN366" s="132" t="str">
        <f>IFERROR(_xlfn.XLOOKUP($A366,Input_Raw!$A:$A,Input_Raw!$DL:$DL),"")</f>
        <v/>
      </c>
      <c r="AO366" s="142" t="str">
        <f>IFERROR((_xlfn.XLOOKUP($A366,'WTG Reactive Power'!$A:$A,'WTG Reactive Power'!$AW:$AW))/X366,"")</f>
        <v/>
      </c>
      <c r="AP366" s="142">
        <f>IFERROR(_xlfn.XLOOKUP($D366,'Modelling New'!$D:$D,'Modelling New'!$AK:$AK),"")</f>
        <v>0.05</v>
      </c>
      <c r="AQ366" s="142">
        <f>IFERROR(_xlfn.XLOOKUP($D366,'Modelling New'!$D:$D,'Modelling New'!$AL:$AL),"")</f>
        <v>0.05</v>
      </c>
      <c r="AR366" s="198">
        <f>IFERROR(_xlfn.XLOOKUP($D366,'Modelling New'!$D:$D,'Modelling New'!$N:$N),"")</f>
        <v>70.400000000000006</v>
      </c>
      <c r="AS366" s="198"/>
    </row>
    <row r="367" spans="1:45">
      <c r="A367" s="137">
        <f t="shared" si="37"/>
        <v>46110</v>
      </c>
      <c r="B367" s="138">
        <f>YEAR(Daily_KPI[[#This Row],[Date]])+IF(MONTH(Daily_KPI[[#This Row],[Date]])&gt;=4,1,0)</f>
        <v>2026</v>
      </c>
      <c r="C367" s="108">
        <f>YEAR(Daily_KPI[[#This Row],[Date]])</f>
        <v>2026</v>
      </c>
      <c r="D367" s="139">
        <f>Daily_KPI[[#This Row],[Date]]-DAY(Daily_KPI[[#This Row],[Date]])+1</f>
        <v>46082</v>
      </c>
      <c r="E367" s="108">
        <f t="shared" si="38"/>
        <v>31</v>
      </c>
      <c r="F367" s="109"/>
      <c r="G367" s="110"/>
      <c r="H367" s="110"/>
      <c r="I367" s="110"/>
      <c r="J367" s="110"/>
      <c r="K367" s="111"/>
      <c r="L367" s="110"/>
      <c r="M367" s="110" t="str">
        <f>IFERROR(_xlfn.XLOOKUP($A367,Input_Raw!$A:$A,Input_Raw!$CQ:$CQ),"")</f>
        <v/>
      </c>
      <c r="N367" s="110" t="str">
        <f>IFERROR(_xlfn.XLOOKUP($A367,Input_Raw!$A:$A,Input_Raw!$CR:$CR),"")</f>
        <v/>
      </c>
      <c r="O367" s="141" t="str">
        <f t="shared" si="39"/>
        <v/>
      </c>
      <c r="P367" s="141" t="str">
        <f>IFERROR(1-SUMIF(WTG_BD!$F:$F,$A367,WTG_BD!$AA:$AA)/($AA367+SUMIF(WTG_BD!$F:$F,$A367,WTG_BD!$AA:$AA)),"")</f>
        <v/>
      </c>
      <c r="Q367" s="141" t="str">
        <f>IFERROR(1-SUMIF(IGA_BD!$F:$F,$A367,IGA_BD!$W:$W)/($AA367+SUMIF(IGA_BD!$F:$F,$A367,IGA_BD!$W:$W)),"")</f>
        <v/>
      </c>
      <c r="R367" s="141" t="str">
        <f>IFERROR(1-SUMIF(Grid_BD!$F:$F,$A367,Grid_BD!$Y:$Y)/($AA367+SUMIF(Grid_BD!$F:$F,$A367,Grid_BD!$Y:$Y)),"")</f>
        <v/>
      </c>
      <c r="S367" s="108"/>
      <c r="T367" s="140"/>
      <c r="U367" s="141"/>
      <c r="V367" s="108"/>
      <c r="W367" s="142" t="str">
        <f t="shared" si="40"/>
        <v/>
      </c>
      <c r="X367" s="108" t="str">
        <f>IFERROR(_xlfn.XLOOKUP($A367,Input_Raw!$A:$A,Input_Raw!$CP:$CP)*1000,"")</f>
        <v/>
      </c>
      <c r="Y367" s="108" t="str">
        <f>IFERROR(_xlfn.XLOOKUP($A367,Input_Raw!$A:$A,Input_Raw!DJ:DJ)*1000,"")</f>
        <v/>
      </c>
      <c r="Z367" s="108" t="str">
        <f>IFERROR(_xlfn.XLOOKUP($A367,Input_Raw!$A:$A,Input_Raw!DK:DK)*1000,"")</f>
        <v/>
      </c>
      <c r="AA367" s="138" t="str">
        <f t="shared" si="41"/>
        <v/>
      </c>
      <c r="AB367" s="108" t="str">
        <f>IFERROR(_xlfn.XLOOKUP($A367,Input_Raw!$A:$A,Input_Raw!$DR:$DR),"")</f>
        <v/>
      </c>
      <c r="AC367" s="143">
        <f>IFERROR(_xlfn.XLOOKUP($D367,'Modelling New'!$D:$D,'Modelling New'!$J:$J),"")</f>
        <v>4.5649999999999995</v>
      </c>
      <c r="AD367" s="138">
        <f>IFERROR(_xlfn.XLOOKUP($D367,'Modelling New'!$D:$D,'Modelling New'!$T:$T)*1000,"")</f>
        <v>177355.29697136435</v>
      </c>
      <c r="AE367" s="142"/>
      <c r="AF367" s="142">
        <f>IFERROR(_xlfn.XLOOKUP($D367,'Modelling New'!$D:$D,'Modelling New'!$W:$W),"")</f>
        <v>0.1049688073930897</v>
      </c>
      <c r="AG367" s="142">
        <f>IFERROR(_xlfn.XLOOKUP($D367,'Modelling New'!$D:$D,'Modelling New'!$AE:$AE),"")</f>
        <v>0.96029999999999993</v>
      </c>
      <c r="AH367" s="142">
        <f>IFERROR(_xlfn.XLOOKUP($D367,'Modelling New'!$D:$D,'Modelling New'!$AF:$AF),"")</f>
        <v>0.995</v>
      </c>
      <c r="AI367" s="109" t="str">
        <f>IFERROR(_xlfn.XLOOKUP($A367,Input_Raw!$A:$A,Input_Raw!$DP:$DP),"")</f>
        <v/>
      </c>
      <c r="AJ367" s="108"/>
      <c r="AK367" s="108"/>
      <c r="AL367" s="108"/>
      <c r="AM367" s="108"/>
      <c r="AN367" s="132" t="str">
        <f>IFERROR(_xlfn.XLOOKUP($A367,Input_Raw!$A:$A,Input_Raw!$DL:$DL),"")</f>
        <v/>
      </c>
      <c r="AO367" s="142" t="str">
        <f>IFERROR((_xlfn.XLOOKUP($A367,'WTG Reactive Power'!$A:$A,'WTG Reactive Power'!$AW:$AW))/X367,"")</f>
        <v/>
      </c>
      <c r="AP367" s="142">
        <f>IFERROR(_xlfn.XLOOKUP($D367,'Modelling New'!$D:$D,'Modelling New'!$AK:$AK),"")</f>
        <v>0.05</v>
      </c>
      <c r="AQ367" s="142">
        <f>IFERROR(_xlfn.XLOOKUP($D367,'Modelling New'!$D:$D,'Modelling New'!$AL:$AL),"")</f>
        <v>0.05</v>
      </c>
      <c r="AR367" s="198">
        <f>IFERROR(_xlfn.XLOOKUP($D367,'Modelling New'!$D:$D,'Modelling New'!$N:$N),"")</f>
        <v>70.400000000000006</v>
      </c>
      <c r="AS367" s="198"/>
    </row>
    <row r="368" spans="1:45">
      <c r="A368" s="137">
        <f t="shared" si="37"/>
        <v>46111</v>
      </c>
      <c r="B368" s="138">
        <f>YEAR(Daily_KPI[[#This Row],[Date]])+IF(MONTH(Daily_KPI[[#This Row],[Date]])&gt;=4,1,0)</f>
        <v>2026</v>
      </c>
      <c r="C368" s="108">
        <f>YEAR(Daily_KPI[[#This Row],[Date]])</f>
        <v>2026</v>
      </c>
      <c r="D368" s="139">
        <f>Daily_KPI[[#This Row],[Date]]-DAY(Daily_KPI[[#This Row],[Date]])+1</f>
        <v>46082</v>
      </c>
      <c r="E368" s="108">
        <f t="shared" si="38"/>
        <v>31</v>
      </c>
      <c r="F368" s="109"/>
      <c r="G368" s="110"/>
      <c r="H368" s="110"/>
      <c r="I368" s="110"/>
      <c r="J368" s="110"/>
      <c r="K368" s="111"/>
      <c r="L368" s="110"/>
      <c r="M368" s="110" t="str">
        <f>IFERROR(_xlfn.XLOOKUP($A368,Input_Raw!$A:$A,Input_Raw!$CQ:$CQ),"")</f>
        <v/>
      </c>
      <c r="N368" s="110" t="str">
        <f>IFERROR(_xlfn.XLOOKUP($A368,Input_Raw!$A:$A,Input_Raw!$CR:$CR),"")</f>
        <v/>
      </c>
      <c r="O368" s="141" t="str">
        <f t="shared" si="39"/>
        <v/>
      </c>
      <c r="P368" s="141" t="str">
        <f>IFERROR(1-SUMIF(WTG_BD!$F:$F,$A368,WTG_BD!$AA:$AA)/($AA368+SUMIF(WTG_BD!$F:$F,$A368,WTG_BD!$AA:$AA)),"")</f>
        <v/>
      </c>
      <c r="Q368" s="141" t="str">
        <f>IFERROR(1-SUMIF(IGA_BD!$F:$F,$A368,IGA_BD!$W:$W)/($AA368+SUMIF(IGA_BD!$F:$F,$A368,IGA_BD!$W:$W)),"")</f>
        <v/>
      </c>
      <c r="R368" s="141" t="str">
        <f>IFERROR(1-SUMIF(Grid_BD!$F:$F,$A368,Grid_BD!$Y:$Y)/($AA368+SUMIF(Grid_BD!$F:$F,$A368,Grid_BD!$Y:$Y)),"")</f>
        <v/>
      </c>
      <c r="S368" s="108"/>
      <c r="T368" s="140"/>
      <c r="U368" s="141"/>
      <c r="V368" s="108"/>
      <c r="W368" s="142" t="str">
        <f t="shared" si="40"/>
        <v/>
      </c>
      <c r="X368" s="108" t="str">
        <f>IFERROR(_xlfn.XLOOKUP($A368,Input_Raw!$A:$A,Input_Raw!$CP:$CP)*1000,"")</f>
        <v/>
      </c>
      <c r="Y368" s="108" t="str">
        <f>IFERROR(_xlfn.XLOOKUP($A368,Input_Raw!$A:$A,Input_Raw!DJ:DJ)*1000,"")</f>
        <v/>
      </c>
      <c r="Z368" s="108" t="str">
        <f>IFERROR(_xlfn.XLOOKUP($A368,Input_Raw!$A:$A,Input_Raw!DK:DK)*1000,"")</f>
        <v/>
      </c>
      <c r="AA368" s="138" t="str">
        <f t="shared" si="41"/>
        <v/>
      </c>
      <c r="AB368" s="108" t="str">
        <f>IFERROR(_xlfn.XLOOKUP($A368,Input_Raw!$A:$A,Input_Raw!$DR:$DR),"")</f>
        <v/>
      </c>
      <c r="AC368" s="143">
        <f>IFERROR(_xlfn.XLOOKUP($D368,'Modelling New'!$D:$D,'Modelling New'!$J:$J),"")</f>
        <v>4.5649999999999995</v>
      </c>
      <c r="AD368" s="138">
        <f>IFERROR(_xlfn.XLOOKUP($D368,'Modelling New'!$D:$D,'Modelling New'!$T:$T)*1000,"")</f>
        <v>177355.29697136435</v>
      </c>
      <c r="AE368" s="142"/>
      <c r="AF368" s="142">
        <f>IFERROR(_xlfn.XLOOKUP($D368,'Modelling New'!$D:$D,'Modelling New'!$W:$W),"")</f>
        <v>0.1049688073930897</v>
      </c>
      <c r="AG368" s="142">
        <f>IFERROR(_xlfn.XLOOKUP($D368,'Modelling New'!$D:$D,'Modelling New'!$AE:$AE),"")</f>
        <v>0.96029999999999993</v>
      </c>
      <c r="AH368" s="142">
        <f>IFERROR(_xlfn.XLOOKUP($D368,'Modelling New'!$D:$D,'Modelling New'!$AF:$AF),"")</f>
        <v>0.995</v>
      </c>
      <c r="AI368" s="109" t="str">
        <f>IFERROR(_xlfn.XLOOKUP($A368,Input_Raw!$A:$A,Input_Raw!$DP:$DP),"")</f>
        <v/>
      </c>
      <c r="AJ368" s="108"/>
      <c r="AK368" s="108"/>
      <c r="AL368" s="108"/>
      <c r="AM368" s="108"/>
      <c r="AN368" s="132" t="str">
        <f>IFERROR(_xlfn.XLOOKUP($A368,Input_Raw!$A:$A,Input_Raw!$DL:$DL),"")</f>
        <v/>
      </c>
      <c r="AO368" s="142" t="str">
        <f>IFERROR((_xlfn.XLOOKUP($A368,'WTG Reactive Power'!$A:$A,'WTG Reactive Power'!$AW:$AW))/X368,"")</f>
        <v/>
      </c>
      <c r="AP368" s="142">
        <f>IFERROR(_xlfn.XLOOKUP($D368,'Modelling New'!$D:$D,'Modelling New'!$AK:$AK),"")</f>
        <v>0.05</v>
      </c>
      <c r="AQ368" s="142">
        <f>IFERROR(_xlfn.XLOOKUP($D368,'Modelling New'!$D:$D,'Modelling New'!$AL:$AL),"")</f>
        <v>0.05</v>
      </c>
      <c r="AR368" s="198">
        <f>IFERROR(_xlfn.XLOOKUP($D368,'Modelling New'!$D:$D,'Modelling New'!$N:$N),"")</f>
        <v>70.400000000000006</v>
      </c>
      <c r="AS368" s="198"/>
    </row>
    <row r="369" spans="1:45">
      <c r="A369" s="137">
        <f t="shared" si="37"/>
        <v>46112</v>
      </c>
      <c r="B369" s="138">
        <f>YEAR(Daily_KPI[[#This Row],[Date]])+IF(MONTH(Daily_KPI[[#This Row],[Date]])&gt;=4,1,0)</f>
        <v>2026</v>
      </c>
      <c r="C369" s="108">
        <f>YEAR(Daily_KPI[[#This Row],[Date]])</f>
        <v>2026</v>
      </c>
      <c r="D369" s="139">
        <f>Daily_KPI[[#This Row],[Date]]-DAY(Daily_KPI[[#This Row],[Date]])+1</f>
        <v>46082</v>
      </c>
      <c r="E369" s="108">
        <f t="shared" si="38"/>
        <v>31</v>
      </c>
      <c r="F369" s="109"/>
      <c r="G369" s="110"/>
      <c r="H369" s="110"/>
      <c r="I369" s="110"/>
      <c r="J369" s="110"/>
      <c r="K369" s="111"/>
      <c r="L369" s="110"/>
      <c r="M369" s="110" t="str">
        <f>IFERROR(_xlfn.XLOOKUP($A369,Input_Raw!$A:$A,Input_Raw!$CQ:$CQ),"")</f>
        <v/>
      </c>
      <c r="N369" s="110" t="str">
        <f>IFERROR(_xlfn.XLOOKUP($A369,Input_Raw!$A:$A,Input_Raw!$CR:$CR),"")</f>
        <v/>
      </c>
      <c r="O369" s="141" t="str">
        <f t="shared" si="39"/>
        <v/>
      </c>
      <c r="P369" s="141" t="str">
        <f>IFERROR(1-SUMIF(WTG_BD!$F:$F,$A369,WTG_BD!$AA:$AA)/($AA369+SUMIF(WTG_BD!$F:$F,$A369,WTG_BD!$AA:$AA)),"")</f>
        <v/>
      </c>
      <c r="Q369" s="141" t="str">
        <f>IFERROR(1-SUMIF(IGA_BD!$F:$F,$A369,IGA_BD!$W:$W)/($AA369+SUMIF(IGA_BD!$F:$F,$A369,IGA_BD!$W:$W)),"")</f>
        <v/>
      </c>
      <c r="R369" s="141" t="str">
        <f>IFERROR(1-SUMIF(Grid_BD!$F:$F,$A369,Grid_BD!$Y:$Y)/($AA369+SUMIF(Grid_BD!$F:$F,$A369,Grid_BD!$Y:$Y)),"")</f>
        <v/>
      </c>
      <c r="S369" s="108"/>
      <c r="T369" s="140"/>
      <c r="U369" s="141"/>
      <c r="V369" s="108"/>
      <c r="W369" s="142" t="str">
        <f t="shared" si="40"/>
        <v/>
      </c>
      <c r="X369" s="108" t="str">
        <f>IFERROR(_xlfn.XLOOKUP($A369,Input_Raw!$A:$A,Input_Raw!$CP:$CP)*1000,"")</f>
        <v/>
      </c>
      <c r="Y369" s="108" t="str">
        <f>IFERROR(_xlfn.XLOOKUP($A369,Input_Raw!$A:$A,Input_Raw!DJ:DJ)*1000,"")</f>
        <v/>
      </c>
      <c r="Z369" s="108" t="str">
        <f>IFERROR(_xlfn.XLOOKUP($A369,Input_Raw!$A:$A,Input_Raw!DK:DK)*1000,"")</f>
        <v/>
      </c>
      <c r="AA369" s="138" t="str">
        <f t="shared" si="41"/>
        <v/>
      </c>
      <c r="AB369" s="108" t="str">
        <f>IFERROR(_xlfn.XLOOKUP($A369,Input_Raw!$A:$A,Input_Raw!$DR:$DR),"")</f>
        <v/>
      </c>
      <c r="AC369" s="143">
        <f>IFERROR(_xlfn.XLOOKUP($D369,'Modelling New'!$D:$D,'Modelling New'!$J:$J),"")</f>
        <v>4.5649999999999995</v>
      </c>
      <c r="AD369" s="138">
        <f>IFERROR(_xlfn.XLOOKUP($D369,'Modelling New'!$D:$D,'Modelling New'!$T:$T)*1000,"")</f>
        <v>177355.29697136435</v>
      </c>
      <c r="AE369" s="142"/>
      <c r="AF369" s="142">
        <f>IFERROR(_xlfn.XLOOKUP($D369,'Modelling New'!$D:$D,'Modelling New'!$W:$W),"")</f>
        <v>0.1049688073930897</v>
      </c>
      <c r="AG369" s="142">
        <f>IFERROR(_xlfn.XLOOKUP($D369,'Modelling New'!$D:$D,'Modelling New'!$AE:$AE),"")</f>
        <v>0.96029999999999993</v>
      </c>
      <c r="AH369" s="142">
        <f>IFERROR(_xlfn.XLOOKUP($D369,'Modelling New'!$D:$D,'Modelling New'!$AF:$AF),"")</f>
        <v>0.995</v>
      </c>
      <c r="AI369" s="109" t="str">
        <f>IFERROR(_xlfn.XLOOKUP($A369,Input_Raw!$A:$A,Input_Raw!$DP:$DP),"")</f>
        <v/>
      </c>
      <c r="AJ369" s="108"/>
      <c r="AK369" s="108"/>
      <c r="AL369" s="108"/>
      <c r="AM369" s="108"/>
      <c r="AN369" s="132" t="str">
        <f>IFERROR(_xlfn.XLOOKUP($A369,Input_Raw!$A:$A,Input_Raw!$DL:$DL),"")</f>
        <v/>
      </c>
      <c r="AO369" s="142" t="str">
        <f>IFERROR((_xlfn.XLOOKUP($A369,'WTG Reactive Power'!$A:$A,'WTG Reactive Power'!$AW:$AW))/X369,"")</f>
        <v/>
      </c>
      <c r="AP369" s="142">
        <f>IFERROR(_xlfn.XLOOKUP($D369,'Modelling New'!$D:$D,'Modelling New'!$AK:$AK),"")</f>
        <v>0.05</v>
      </c>
      <c r="AQ369" s="142">
        <f>IFERROR(_xlfn.XLOOKUP($D369,'Modelling New'!$D:$D,'Modelling New'!$AL:$AL),"")</f>
        <v>0.05</v>
      </c>
      <c r="AR369" s="198">
        <f>IFERROR(_xlfn.XLOOKUP($D369,'Modelling New'!$D:$D,'Modelling New'!$N:$N),"")</f>
        <v>70.400000000000006</v>
      </c>
      <c r="AS369" s="19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R113"/>
  <sheetViews>
    <sheetView showGridLines="0" zoomScaleNormal="100" workbookViewId="0">
      <pane xSplit="1" ySplit="4" topLeftCell="B86" activePane="bottomRight" state="frozen"/>
      <selection pane="topRight" activeCell="B1" sqref="B1"/>
      <selection pane="bottomLeft" activeCell="A5" sqref="A5"/>
      <selection pane="bottomRight" activeCell="K108" sqref="K108"/>
    </sheetView>
  </sheetViews>
  <sheetFormatPr defaultColWidth="8.5546875" defaultRowHeight="14.4"/>
  <cols>
    <col min="1" max="1" width="11.44140625" style="1" bestFit="1" customWidth="1"/>
    <col min="2" max="2" width="11.44140625" customWidth="1"/>
    <col min="3" max="3" width="12.44140625" customWidth="1"/>
    <col min="4" max="4" width="15.5546875" customWidth="1"/>
    <col min="5" max="5" width="8.5546875" customWidth="1"/>
    <col min="6" max="7" width="10.44140625" style="79" customWidth="1"/>
    <col min="8" max="13" width="10.44140625" style="79" bestFit="1" customWidth="1"/>
    <col min="14" max="14" width="10" style="79" bestFit="1" customWidth="1"/>
    <col min="15" max="15" width="10.44140625" style="79" bestFit="1" customWidth="1"/>
    <col min="16" max="16" width="9.44140625" style="79" customWidth="1"/>
    <col min="17" max="49" width="10.44140625" style="79" bestFit="1" customWidth="1"/>
    <col min="50" max="93" width="8.5546875" style="72" bestFit="1" customWidth="1"/>
    <col min="94" max="94" width="10.44140625" customWidth="1"/>
    <col min="95" max="95" width="11.44140625" style="72" customWidth="1"/>
    <col min="96" max="97" width="10.44140625" customWidth="1"/>
    <col min="98" max="98" width="13.5546875" bestFit="1" customWidth="1"/>
    <col min="99" max="99" width="13.5546875" customWidth="1"/>
    <col min="100" max="100" width="15.44140625" style="1" bestFit="1" customWidth="1"/>
    <col min="101" max="101" width="15.44140625" style="1" customWidth="1"/>
    <col min="102" max="102" width="12.44140625" style="1" bestFit="1" customWidth="1"/>
    <col min="103" max="103" width="12" style="1" customWidth="1"/>
    <col min="104" max="104" width="12.44140625" style="1" bestFit="1" customWidth="1"/>
    <col min="105" max="105" width="12.44140625" style="1" customWidth="1"/>
    <col min="106" max="106" width="13.44140625" style="1" customWidth="1"/>
    <col min="107" max="108" width="12.44140625" style="1" customWidth="1"/>
    <col min="109" max="109" width="11.44140625" style="1" customWidth="1"/>
    <col min="110" max="110" width="11.5546875" style="1" customWidth="1"/>
    <col min="111" max="111" width="11.44140625" style="1" customWidth="1"/>
    <col min="112" max="112" width="13.44140625" style="1" customWidth="1"/>
    <col min="113" max="113" width="12.44140625" style="1" customWidth="1"/>
    <col min="114" max="115" width="11.44140625" style="1" customWidth="1"/>
    <col min="116" max="116" width="11" bestFit="1" customWidth="1"/>
    <col min="117" max="117" width="10.5546875" style="3" customWidth="1"/>
    <col min="118" max="118" width="14.44140625" customWidth="1"/>
    <col min="119" max="119" width="16" customWidth="1"/>
    <col min="120" max="120" width="11" bestFit="1" customWidth="1"/>
    <col min="122" max="122" width="10.109375" customWidth="1"/>
  </cols>
  <sheetData>
    <row r="1" spans="1:122">
      <c r="A1" s="1">
        <v>1</v>
      </c>
      <c r="B1">
        <f>A1+1</f>
        <v>2</v>
      </c>
      <c r="C1">
        <f t="shared" ref="C1:AS1" si="0">B1+1</f>
        <v>3</v>
      </c>
      <c r="D1">
        <f t="shared" si="0"/>
        <v>4</v>
      </c>
      <c r="E1">
        <f t="shared" si="0"/>
        <v>5</v>
      </c>
      <c r="F1" s="79">
        <f t="shared" si="0"/>
        <v>6</v>
      </c>
      <c r="G1" s="79">
        <f t="shared" si="0"/>
        <v>7</v>
      </c>
      <c r="H1" s="79">
        <f t="shared" si="0"/>
        <v>8</v>
      </c>
      <c r="I1" s="79">
        <f t="shared" si="0"/>
        <v>9</v>
      </c>
      <c r="J1" s="79">
        <f t="shared" si="0"/>
        <v>10</v>
      </c>
      <c r="K1" s="79">
        <f t="shared" si="0"/>
        <v>11</v>
      </c>
      <c r="L1" s="79">
        <f t="shared" si="0"/>
        <v>12</v>
      </c>
      <c r="M1" s="79">
        <f t="shared" si="0"/>
        <v>13</v>
      </c>
      <c r="N1" s="79">
        <f t="shared" si="0"/>
        <v>14</v>
      </c>
      <c r="O1" s="79">
        <f t="shared" si="0"/>
        <v>15</v>
      </c>
      <c r="P1" s="79">
        <f t="shared" si="0"/>
        <v>16</v>
      </c>
      <c r="Q1" s="79">
        <f t="shared" si="0"/>
        <v>17</v>
      </c>
      <c r="R1" s="79">
        <f t="shared" si="0"/>
        <v>18</v>
      </c>
      <c r="S1" s="79">
        <f t="shared" si="0"/>
        <v>19</v>
      </c>
      <c r="T1" s="79">
        <f t="shared" si="0"/>
        <v>20</v>
      </c>
      <c r="U1" s="79">
        <f t="shared" si="0"/>
        <v>21</v>
      </c>
      <c r="V1" s="79">
        <f t="shared" si="0"/>
        <v>22</v>
      </c>
      <c r="W1" s="79">
        <f t="shared" si="0"/>
        <v>23</v>
      </c>
      <c r="X1" s="79">
        <f t="shared" si="0"/>
        <v>24</v>
      </c>
      <c r="Y1" s="79">
        <f t="shared" si="0"/>
        <v>25</v>
      </c>
      <c r="Z1" s="79">
        <f t="shared" si="0"/>
        <v>26</v>
      </c>
      <c r="AA1" s="79">
        <f t="shared" si="0"/>
        <v>27</v>
      </c>
      <c r="AB1" s="79">
        <f t="shared" si="0"/>
        <v>28</v>
      </c>
      <c r="AC1" s="79">
        <f t="shared" si="0"/>
        <v>29</v>
      </c>
      <c r="AD1" s="79">
        <f t="shared" si="0"/>
        <v>30</v>
      </c>
      <c r="AE1" s="79">
        <f t="shared" si="0"/>
        <v>31</v>
      </c>
      <c r="AF1" s="79">
        <f t="shared" si="0"/>
        <v>32</v>
      </c>
      <c r="AG1" s="79">
        <f t="shared" si="0"/>
        <v>33</v>
      </c>
      <c r="AH1" s="79">
        <f t="shared" si="0"/>
        <v>34</v>
      </c>
      <c r="AI1" s="79">
        <f t="shared" si="0"/>
        <v>35</v>
      </c>
      <c r="AJ1" s="79">
        <f t="shared" si="0"/>
        <v>36</v>
      </c>
      <c r="AK1" s="79">
        <f t="shared" si="0"/>
        <v>37</v>
      </c>
      <c r="AL1" s="79">
        <f t="shared" si="0"/>
        <v>38</v>
      </c>
      <c r="AM1" s="79">
        <f t="shared" si="0"/>
        <v>39</v>
      </c>
      <c r="AN1" s="79">
        <f t="shared" si="0"/>
        <v>40</v>
      </c>
      <c r="AO1" s="79">
        <f t="shared" si="0"/>
        <v>41</v>
      </c>
      <c r="AP1" s="79">
        <f t="shared" si="0"/>
        <v>42</v>
      </c>
      <c r="AQ1" s="79">
        <f t="shared" si="0"/>
        <v>43</v>
      </c>
      <c r="AR1" s="79">
        <f t="shared" si="0"/>
        <v>44</v>
      </c>
      <c r="AS1" s="79">
        <f t="shared" si="0"/>
        <v>45</v>
      </c>
      <c r="AT1" s="79">
        <f t="shared" ref="AT1" si="1">AS1+1</f>
        <v>46</v>
      </c>
      <c r="AU1" s="79">
        <f t="shared" ref="AU1" si="2">AT1+1</f>
        <v>47</v>
      </c>
      <c r="AV1" s="79">
        <f t="shared" ref="AV1" si="3">AU1+1</f>
        <v>48</v>
      </c>
      <c r="AW1" s="79">
        <f t="shared" ref="AW1" si="4">AV1+1</f>
        <v>49</v>
      </c>
      <c r="AX1" s="72">
        <f t="shared" ref="AX1" si="5">AW1+1</f>
        <v>50</v>
      </c>
      <c r="AY1" s="72">
        <f t="shared" ref="AY1" si="6">AX1+1</f>
        <v>51</v>
      </c>
      <c r="AZ1" s="72">
        <f t="shared" ref="AZ1" si="7">AY1+1</f>
        <v>52</v>
      </c>
      <c r="BA1" s="72">
        <f t="shared" ref="BA1" si="8">AZ1+1</f>
        <v>53</v>
      </c>
      <c r="BB1" s="72">
        <f t="shared" ref="BB1" si="9">BA1+1</f>
        <v>54</v>
      </c>
      <c r="BC1" s="72">
        <f t="shared" ref="BC1" si="10">BB1+1</f>
        <v>55</v>
      </c>
      <c r="BD1" s="72">
        <f t="shared" ref="BD1" si="11">BC1+1</f>
        <v>56</v>
      </c>
      <c r="BE1" s="72">
        <f t="shared" ref="BE1" si="12">BD1+1</f>
        <v>57</v>
      </c>
      <c r="BF1" s="72">
        <f t="shared" ref="BF1" si="13">BE1+1</f>
        <v>58</v>
      </c>
      <c r="BG1" s="72">
        <f t="shared" ref="BG1" si="14">BF1+1</f>
        <v>59</v>
      </c>
      <c r="BH1" s="72">
        <f t="shared" ref="BH1" si="15">BG1+1</f>
        <v>60</v>
      </c>
      <c r="BI1" s="72">
        <f t="shared" ref="BI1" si="16">BH1+1</f>
        <v>61</v>
      </c>
      <c r="BJ1" s="72">
        <f t="shared" ref="BJ1" si="17">BI1+1</f>
        <v>62</v>
      </c>
      <c r="BK1" s="72">
        <f t="shared" ref="BK1" si="18">BJ1+1</f>
        <v>63</v>
      </c>
      <c r="BL1" s="72">
        <f t="shared" ref="BL1" si="19">BK1+1</f>
        <v>64</v>
      </c>
      <c r="BM1" s="72">
        <f t="shared" ref="BM1" si="20">BL1+1</f>
        <v>65</v>
      </c>
      <c r="BN1" s="72">
        <f t="shared" ref="BN1" si="21">BM1+1</f>
        <v>66</v>
      </c>
      <c r="BO1" s="72">
        <f t="shared" ref="BO1" si="22">BN1+1</f>
        <v>67</v>
      </c>
      <c r="BP1" s="72">
        <f t="shared" ref="BP1" si="23">BO1+1</f>
        <v>68</v>
      </c>
      <c r="BQ1" s="72">
        <f t="shared" ref="BQ1" si="24">BP1+1</f>
        <v>69</v>
      </c>
      <c r="BR1" s="72">
        <f t="shared" ref="BR1" si="25">BQ1+1</f>
        <v>70</v>
      </c>
      <c r="BS1" s="72">
        <f t="shared" ref="BS1" si="26">BR1+1</f>
        <v>71</v>
      </c>
      <c r="BT1" s="72">
        <f t="shared" ref="BT1" si="27">BS1+1</f>
        <v>72</v>
      </c>
      <c r="BU1" s="72">
        <f t="shared" ref="BU1" si="28">BT1+1</f>
        <v>73</v>
      </c>
      <c r="BV1" s="72">
        <f t="shared" ref="BV1" si="29">BU1+1</f>
        <v>74</v>
      </c>
      <c r="BW1" s="72">
        <f t="shared" ref="BW1" si="30">BV1+1</f>
        <v>75</v>
      </c>
      <c r="BX1" s="72">
        <f t="shared" ref="BX1" si="31">BW1+1</f>
        <v>76</v>
      </c>
      <c r="BY1" s="72">
        <f t="shared" ref="BY1" si="32">BX1+1</f>
        <v>77</v>
      </c>
      <c r="BZ1" s="72">
        <f t="shared" ref="BZ1" si="33">BY1+1</f>
        <v>78</v>
      </c>
      <c r="CA1" s="72">
        <f t="shared" ref="CA1" si="34">BZ1+1</f>
        <v>79</v>
      </c>
      <c r="CB1" s="72">
        <f t="shared" ref="CB1" si="35">CA1+1</f>
        <v>80</v>
      </c>
      <c r="CC1" s="72">
        <f t="shared" ref="CC1" si="36">CB1+1</f>
        <v>81</v>
      </c>
      <c r="CD1" s="72">
        <f t="shared" ref="CD1" si="37">CC1+1</f>
        <v>82</v>
      </c>
      <c r="CE1" s="72">
        <f t="shared" ref="CE1" si="38">CD1+1</f>
        <v>83</v>
      </c>
      <c r="CF1" s="72">
        <f t="shared" ref="CF1" si="39">CE1+1</f>
        <v>84</v>
      </c>
      <c r="CG1" s="72">
        <f t="shared" ref="CG1" si="40">CF1+1</f>
        <v>85</v>
      </c>
      <c r="CH1" s="72">
        <f t="shared" ref="CH1" si="41">CG1+1</f>
        <v>86</v>
      </c>
      <c r="CI1" s="72">
        <f t="shared" ref="CI1" si="42">CH1+1</f>
        <v>87</v>
      </c>
      <c r="CJ1" s="72">
        <f t="shared" ref="CJ1" si="43">CI1+1</f>
        <v>88</v>
      </c>
      <c r="CK1" s="72">
        <f t="shared" ref="CK1" si="44">CJ1+1</f>
        <v>89</v>
      </c>
      <c r="CL1" s="72">
        <f t="shared" ref="CL1" si="45">CK1+1</f>
        <v>90</v>
      </c>
      <c r="CM1" s="72">
        <f t="shared" ref="CM1" si="46">CL1+1</f>
        <v>91</v>
      </c>
      <c r="CN1" s="72">
        <f t="shared" ref="CN1" si="47">CM1+1</f>
        <v>92</v>
      </c>
      <c r="CO1" s="72">
        <f t="shared" ref="CO1" si="48">CN1+1</f>
        <v>93</v>
      </c>
      <c r="CP1">
        <f t="shared" ref="CP1" si="49">CO1+1</f>
        <v>94</v>
      </c>
      <c r="CQ1" s="72">
        <f t="shared" ref="CQ1" si="50">CP1+1</f>
        <v>95</v>
      </c>
      <c r="CR1">
        <f t="shared" ref="CR1" si="51">CQ1+1</f>
        <v>96</v>
      </c>
      <c r="CS1">
        <f t="shared" ref="CS1" si="52">CR1+1</f>
        <v>97</v>
      </c>
      <c r="CT1">
        <f t="shared" ref="CT1" si="53">CS1+1</f>
        <v>98</v>
      </c>
      <c r="CU1">
        <f t="shared" ref="CU1" si="54">CT1+1</f>
        <v>99</v>
      </c>
      <c r="CV1">
        <f t="shared" ref="CV1" si="55">CU1+1</f>
        <v>100</v>
      </c>
      <c r="CW1">
        <f t="shared" ref="CW1" si="56">CV1+1</f>
        <v>101</v>
      </c>
      <c r="CX1">
        <f t="shared" ref="CX1" si="57">CW1+1</f>
        <v>102</v>
      </c>
      <c r="CY1">
        <f t="shared" ref="CY1" si="58">CX1+1</f>
        <v>103</v>
      </c>
      <c r="CZ1">
        <f t="shared" ref="CZ1" si="59">CY1+1</f>
        <v>104</v>
      </c>
      <c r="DA1">
        <f t="shared" ref="DA1" si="60">CZ1+1</f>
        <v>105</v>
      </c>
      <c r="DB1">
        <f t="shared" ref="DB1" si="61">DA1+1</f>
        <v>106</v>
      </c>
      <c r="DC1">
        <f t="shared" ref="DC1" si="62">DB1+1</f>
        <v>107</v>
      </c>
      <c r="DD1">
        <f t="shared" ref="DD1" si="63">DC1+1</f>
        <v>108</v>
      </c>
      <c r="DE1">
        <f t="shared" ref="DE1" si="64">DD1+1</f>
        <v>109</v>
      </c>
      <c r="DF1">
        <f t="shared" ref="DF1" si="65">DE1+1</f>
        <v>110</v>
      </c>
      <c r="DG1">
        <f t="shared" ref="DG1" si="66">DF1+1</f>
        <v>111</v>
      </c>
      <c r="DH1">
        <f t="shared" ref="DH1" si="67">DG1+1</f>
        <v>112</v>
      </c>
      <c r="DI1">
        <f t="shared" ref="DI1" si="68">DH1+1</f>
        <v>113</v>
      </c>
      <c r="DJ1">
        <f t="shared" ref="DJ1" si="69">DI1+1</f>
        <v>114</v>
      </c>
      <c r="DK1">
        <f t="shared" ref="DK1" si="70">DJ1+1</f>
        <v>115</v>
      </c>
      <c r="DL1">
        <f t="shared" ref="DL1" si="71">DK1+1</f>
        <v>116</v>
      </c>
      <c r="DM1">
        <f t="shared" ref="DM1" si="72">DL1+1</f>
        <v>117</v>
      </c>
    </row>
    <row r="2" spans="1:122">
      <c r="CT2" s="2"/>
      <c r="CU2" s="2"/>
      <c r="DB2"/>
      <c r="DC2"/>
      <c r="DD2"/>
      <c r="DE2"/>
      <c r="DF2"/>
      <c r="DG2"/>
      <c r="DH2"/>
      <c r="DI2"/>
      <c r="DJ2"/>
      <c r="DK2"/>
      <c r="DM2"/>
    </row>
    <row r="3" spans="1:122">
      <c r="F3" s="94" t="s">
        <v>238</v>
      </c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74" t="s">
        <v>239</v>
      </c>
      <c r="AY3" s="74"/>
      <c r="AZ3" s="74"/>
      <c r="BA3" s="74"/>
      <c r="BB3" s="74"/>
      <c r="BC3" s="74"/>
      <c r="BD3" s="74"/>
      <c r="BE3" s="74"/>
      <c r="BF3" s="74"/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4"/>
      <c r="BT3" s="74"/>
      <c r="BU3" s="74"/>
      <c r="BV3" s="74"/>
      <c r="BW3" s="74"/>
      <c r="BX3" s="74"/>
      <c r="BY3" s="74"/>
      <c r="BZ3" s="74"/>
      <c r="CA3" s="74"/>
      <c r="CB3" s="74"/>
      <c r="CC3" s="74"/>
      <c r="CD3" s="74"/>
      <c r="CE3" s="74"/>
      <c r="CF3" s="74"/>
      <c r="CG3" s="74"/>
      <c r="CH3" s="74"/>
      <c r="CI3" s="74"/>
      <c r="CJ3" s="74"/>
      <c r="CK3" s="74"/>
      <c r="CL3" s="74"/>
      <c r="CM3" s="74"/>
      <c r="CN3" s="74"/>
      <c r="CO3" s="74"/>
      <c r="CT3" s="5" t="s">
        <v>240</v>
      </c>
      <c r="CU3" s="5"/>
      <c r="CV3" s="5"/>
      <c r="CW3" s="5"/>
      <c r="CX3" s="5"/>
      <c r="CY3" s="5"/>
      <c r="CZ3" s="5"/>
      <c r="DA3" s="5"/>
      <c r="DB3" s="4" t="s">
        <v>241</v>
      </c>
      <c r="DC3" s="4"/>
      <c r="DD3" s="4"/>
      <c r="DE3" s="4"/>
      <c r="DF3" s="4"/>
      <c r="DG3" s="4"/>
      <c r="DH3" s="4"/>
      <c r="DI3" s="4"/>
      <c r="DJ3" s="4"/>
      <c r="DK3" s="4"/>
      <c r="DL3" s="4"/>
      <c r="DM3"/>
    </row>
    <row r="4" spans="1:122" ht="48">
      <c r="A4" s="6" t="s">
        <v>197</v>
      </c>
      <c r="B4" s="7" t="s">
        <v>242</v>
      </c>
      <c r="C4" s="7" t="s">
        <v>243</v>
      </c>
      <c r="D4" s="7" t="s">
        <v>199</v>
      </c>
      <c r="E4" s="180" t="s">
        <v>48</v>
      </c>
      <c r="F4" s="8" t="s">
        <v>76</v>
      </c>
      <c r="G4" s="8" t="s">
        <v>77</v>
      </c>
      <c r="H4" s="8" t="s">
        <v>78</v>
      </c>
      <c r="I4" s="8" t="s">
        <v>79</v>
      </c>
      <c r="J4" s="8" t="s">
        <v>80</v>
      </c>
      <c r="K4" s="8" t="s">
        <v>81</v>
      </c>
      <c r="L4" s="8" t="s">
        <v>82</v>
      </c>
      <c r="M4" s="8" t="s">
        <v>83</v>
      </c>
      <c r="N4" s="8" t="s">
        <v>84</v>
      </c>
      <c r="O4" s="8" t="s">
        <v>85</v>
      </c>
      <c r="P4" s="8" t="s">
        <v>86</v>
      </c>
      <c r="Q4" s="8" t="s">
        <v>87</v>
      </c>
      <c r="R4" s="8" t="s">
        <v>88</v>
      </c>
      <c r="S4" s="8" t="s">
        <v>89</v>
      </c>
      <c r="T4" s="8" t="s">
        <v>90</v>
      </c>
      <c r="U4" s="8" t="s">
        <v>91</v>
      </c>
      <c r="V4" s="8" t="s">
        <v>92</v>
      </c>
      <c r="W4" s="8" t="s">
        <v>93</v>
      </c>
      <c r="X4" s="8" t="s">
        <v>94</v>
      </c>
      <c r="Y4" s="8" t="s">
        <v>95</v>
      </c>
      <c r="Z4" s="8" t="s">
        <v>96</v>
      </c>
      <c r="AA4" s="8" t="s">
        <v>97</v>
      </c>
      <c r="AB4" s="8" t="s">
        <v>98</v>
      </c>
      <c r="AC4" s="8" t="s">
        <v>99</v>
      </c>
      <c r="AD4" s="8" t="s">
        <v>100</v>
      </c>
      <c r="AE4" s="8" t="s">
        <v>101</v>
      </c>
      <c r="AF4" s="8" t="s">
        <v>102</v>
      </c>
      <c r="AG4" s="8" t="s">
        <v>103</v>
      </c>
      <c r="AH4" s="8" t="s">
        <v>104</v>
      </c>
      <c r="AI4" s="8" t="s">
        <v>105</v>
      </c>
      <c r="AJ4" s="8" t="s">
        <v>106</v>
      </c>
      <c r="AK4" s="8" t="s">
        <v>107</v>
      </c>
      <c r="AL4" s="8" t="s">
        <v>108</v>
      </c>
      <c r="AM4" s="8" t="s">
        <v>109</v>
      </c>
      <c r="AN4" s="8" t="s">
        <v>110</v>
      </c>
      <c r="AO4" s="8" t="s">
        <v>111</v>
      </c>
      <c r="AP4" s="8" t="s">
        <v>112</v>
      </c>
      <c r="AQ4" s="8" t="s">
        <v>113</v>
      </c>
      <c r="AR4" s="8" t="s">
        <v>114</v>
      </c>
      <c r="AS4" s="8" t="s">
        <v>115</v>
      </c>
      <c r="AT4" s="8" t="s">
        <v>116</v>
      </c>
      <c r="AU4" s="8" t="s">
        <v>117</v>
      </c>
      <c r="AV4" s="8" t="s">
        <v>118</v>
      </c>
      <c r="AW4" s="8" t="s">
        <v>119</v>
      </c>
      <c r="AX4" s="73" t="s">
        <v>244</v>
      </c>
      <c r="AY4" s="73" t="s">
        <v>245</v>
      </c>
      <c r="AZ4" s="73" t="s">
        <v>246</v>
      </c>
      <c r="BA4" s="73" t="s">
        <v>247</v>
      </c>
      <c r="BB4" s="73" t="s">
        <v>248</v>
      </c>
      <c r="BC4" s="73" t="s">
        <v>249</v>
      </c>
      <c r="BD4" s="73" t="s">
        <v>250</v>
      </c>
      <c r="BE4" s="73" t="s">
        <v>251</v>
      </c>
      <c r="BF4" s="73" t="s">
        <v>252</v>
      </c>
      <c r="BG4" s="73" t="s">
        <v>253</v>
      </c>
      <c r="BH4" s="73" t="s">
        <v>254</v>
      </c>
      <c r="BI4" s="73" t="s">
        <v>255</v>
      </c>
      <c r="BJ4" s="73" t="s">
        <v>256</v>
      </c>
      <c r="BK4" s="73" t="s">
        <v>257</v>
      </c>
      <c r="BL4" s="73" t="s">
        <v>258</v>
      </c>
      <c r="BM4" s="73" t="s">
        <v>259</v>
      </c>
      <c r="BN4" s="73" t="s">
        <v>260</v>
      </c>
      <c r="BO4" s="73" t="s">
        <v>261</v>
      </c>
      <c r="BP4" s="73" t="s">
        <v>262</v>
      </c>
      <c r="BQ4" s="73" t="s">
        <v>263</v>
      </c>
      <c r="BR4" s="73" t="s">
        <v>264</v>
      </c>
      <c r="BS4" s="73" t="s">
        <v>265</v>
      </c>
      <c r="BT4" s="73" t="s">
        <v>266</v>
      </c>
      <c r="BU4" s="73" t="s">
        <v>267</v>
      </c>
      <c r="BV4" s="73" t="s">
        <v>268</v>
      </c>
      <c r="BW4" s="73" t="s">
        <v>269</v>
      </c>
      <c r="BX4" s="73" t="s">
        <v>270</v>
      </c>
      <c r="BY4" s="73" t="s">
        <v>271</v>
      </c>
      <c r="BZ4" s="73" t="s">
        <v>272</v>
      </c>
      <c r="CA4" s="73" t="s">
        <v>273</v>
      </c>
      <c r="CB4" s="73" t="s">
        <v>274</v>
      </c>
      <c r="CC4" s="73" t="s">
        <v>275</v>
      </c>
      <c r="CD4" s="73" t="s">
        <v>276</v>
      </c>
      <c r="CE4" s="73" t="s">
        <v>277</v>
      </c>
      <c r="CF4" s="73" t="s">
        <v>278</v>
      </c>
      <c r="CG4" s="73" t="s">
        <v>279</v>
      </c>
      <c r="CH4" s="73" t="s">
        <v>280</v>
      </c>
      <c r="CI4" s="73" t="s">
        <v>281</v>
      </c>
      <c r="CJ4" s="73" t="s">
        <v>282</v>
      </c>
      <c r="CK4" s="73" t="s">
        <v>283</v>
      </c>
      <c r="CL4" s="73" t="s">
        <v>284</v>
      </c>
      <c r="CM4" s="73" t="s">
        <v>285</v>
      </c>
      <c r="CN4" s="73" t="s">
        <v>286</v>
      </c>
      <c r="CO4" s="73" t="s">
        <v>287</v>
      </c>
      <c r="CP4" s="8" t="s">
        <v>288</v>
      </c>
      <c r="CQ4" s="73" t="s">
        <v>289</v>
      </c>
      <c r="CR4" s="8" t="s">
        <v>290</v>
      </c>
      <c r="CS4" s="8" t="s">
        <v>291</v>
      </c>
      <c r="CT4" s="8" t="s">
        <v>292</v>
      </c>
      <c r="CU4" s="8" t="s">
        <v>293</v>
      </c>
      <c r="CV4" s="8" t="s">
        <v>294</v>
      </c>
      <c r="CW4" s="8" t="s">
        <v>295</v>
      </c>
      <c r="CX4" s="8" t="s">
        <v>296</v>
      </c>
      <c r="CY4" s="8" t="s">
        <v>297</v>
      </c>
      <c r="CZ4" s="8" t="s">
        <v>298</v>
      </c>
      <c r="DA4" s="8" t="s">
        <v>299</v>
      </c>
      <c r="DB4" s="8" t="s">
        <v>300</v>
      </c>
      <c r="DC4" s="8" t="s">
        <v>301</v>
      </c>
      <c r="DD4" s="8" t="s">
        <v>302</v>
      </c>
      <c r="DE4" s="8" t="s">
        <v>303</v>
      </c>
      <c r="DF4" s="8" t="s">
        <v>304</v>
      </c>
      <c r="DG4" s="8" t="s">
        <v>305</v>
      </c>
      <c r="DH4" s="8" t="s">
        <v>306</v>
      </c>
      <c r="DI4" s="8" t="s">
        <v>307</v>
      </c>
      <c r="DJ4" s="8" t="s">
        <v>308</v>
      </c>
      <c r="DK4" s="8" t="s">
        <v>309</v>
      </c>
      <c r="DL4" s="9" t="s">
        <v>310</v>
      </c>
      <c r="DM4" s="68" t="s">
        <v>311</v>
      </c>
      <c r="DN4" s="68" t="s">
        <v>312</v>
      </c>
      <c r="DO4" s="68" t="s">
        <v>313</v>
      </c>
      <c r="DP4" s="68" t="s">
        <v>314</v>
      </c>
      <c r="DQ4" s="68" t="s">
        <v>315</v>
      </c>
      <c r="DR4" s="68" t="s">
        <v>316</v>
      </c>
    </row>
    <row r="5" spans="1:122" ht="15">
      <c r="A5" s="92">
        <v>45745</v>
      </c>
      <c r="B5" s="10">
        <f>YEAR(Input_Raw[[#This Row],[Date]])+IF(MONTH(Input_Raw[[#This Row],[Date]])&gt;=4,1,0)</f>
        <v>2025</v>
      </c>
      <c r="C5" s="10">
        <f>YEAR(Input_Raw[[#This Row],[Date]])</f>
        <v>2025</v>
      </c>
      <c r="D5" s="11">
        <f t="shared" ref="D5:D8" si="73">A5-DAY(A5)+1</f>
        <v>45717</v>
      </c>
      <c r="E5" s="10">
        <f>DAY(EOMONTH(Input_Raw[[#This Row],[Date]],0))</f>
        <v>31</v>
      </c>
      <c r="F5" s="93">
        <v>6588</v>
      </c>
      <c r="G5" s="93">
        <v>6752</v>
      </c>
      <c r="H5" s="93">
        <v>7308</v>
      </c>
      <c r="I5" s="93">
        <v>4560</v>
      </c>
      <c r="J5" s="93">
        <v>4436</v>
      </c>
      <c r="K5" s="93">
        <v>3156</v>
      </c>
      <c r="L5" s="93">
        <v>4936</v>
      </c>
      <c r="M5" s="93">
        <v>2472</v>
      </c>
      <c r="N5" s="93">
        <v>1594</v>
      </c>
      <c r="O5" s="93">
        <v>1536</v>
      </c>
      <c r="P5" s="93">
        <v>1938</v>
      </c>
      <c r="Q5" s="93">
        <v>2062</v>
      </c>
      <c r="R5" s="93">
        <v>2156</v>
      </c>
      <c r="S5" s="93">
        <v>2066</v>
      </c>
      <c r="T5" s="93">
        <v>1992</v>
      </c>
      <c r="U5" s="93">
        <v>2430</v>
      </c>
      <c r="V5" s="93">
        <v>2670</v>
      </c>
      <c r="W5" s="93">
        <v>6332</v>
      </c>
      <c r="X5" s="93">
        <v>2648</v>
      </c>
      <c r="Y5" s="93">
        <v>2525</v>
      </c>
      <c r="Z5" s="93">
        <v>4952</v>
      </c>
      <c r="AA5" s="93">
        <v>5652</v>
      </c>
      <c r="AB5" s="93">
        <v>3308</v>
      </c>
      <c r="AC5" s="93">
        <v>2956</v>
      </c>
      <c r="AD5" s="93">
        <v>3544</v>
      </c>
      <c r="AE5" s="93">
        <v>3264</v>
      </c>
      <c r="AF5" s="93">
        <v>7016</v>
      </c>
      <c r="AG5" s="93">
        <v>2540</v>
      </c>
      <c r="AH5" s="93">
        <v>4808</v>
      </c>
      <c r="AI5" s="93">
        <v>3862</v>
      </c>
      <c r="AJ5" s="93">
        <v>3224</v>
      </c>
      <c r="AK5" s="93">
        <v>2220</v>
      </c>
      <c r="AL5" s="93">
        <v>3612</v>
      </c>
      <c r="AM5" s="93">
        <v>4604</v>
      </c>
      <c r="AN5" s="93">
        <v>3274</v>
      </c>
      <c r="AO5" s="93">
        <v>6072</v>
      </c>
      <c r="AP5" s="93">
        <v>4800</v>
      </c>
      <c r="AQ5" s="93">
        <v>4032</v>
      </c>
      <c r="AR5" s="93">
        <v>4272</v>
      </c>
      <c r="AS5" s="93">
        <v>2936</v>
      </c>
      <c r="AT5" s="93">
        <v>2990</v>
      </c>
      <c r="AU5" s="93">
        <v>4564</v>
      </c>
      <c r="AV5" s="93">
        <v>5896</v>
      </c>
      <c r="AW5" s="93">
        <v>4380</v>
      </c>
      <c r="AX5" s="95">
        <v>5.01</v>
      </c>
      <c r="AY5" s="95">
        <v>5.26</v>
      </c>
      <c r="AZ5" s="95">
        <v>5.33</v>
      </c>
      <c r="BA5" s="95">
        <v>5.18</v>
      </c>
      <c r="BB5" s="95">
        <v>4.5199999999999996</v>
      </c>
      <c r="BC5" s="95">
        <v>4.41</v>
      </c>
      <c r="BD5" s="95">
        <v>4.9400000000000004</v>
      </c>
      <c r="BE5" s="95">
        <v>4.26</v>
      </c>
      <c r="BF5" s="95">
        <v>3.85</v>
      </c>
      <c r="BG5" s="95">
        <v>4.1100000000000003</v>
      </c>
      <c r="BH5" s="95">
        <v>3.96</v>
      </c>
      <c r="BI5" s="95">
        <v>4.1500000000000004</v>
      </c>
      <c r="BJ5" s="95">
        <v>4.18</v>
      </c>
      <c r="BK5" s="95">
        <v>4.34</v>
      </c>
      <c r="BL5" s="95">
        <v>4.37</v>
      </c>
      <c r="BM5" s="95">
        <v>4.53</v>
      </c>
      <c r="BN5" s="95">
        <v>4.6100000000000003</v>
      </c>
      <c r="BO5" s="95">
        <v>5.17</v>
      </c>
      <c r="BP5" s="95">
        <v>4.6500000000000004</v>
      </c>
      <c r="BQ5" s="95">
        <v>4.3</v>
      </c>
      <c r="BR5" s="95">
        <v>5.46</v>
      </c>
      <c r="BS5" s="95">
        <v>5.6</v>
      </c>
      <c r="BT5" s="95">
        <v>4.2</v>
      </c>
      <c r="BU5" s="95">
        <v>4.4800000000000004</v>
      </c>
      <c r="BV5" s="95">
        <v>4.7300000000000004</v>
      </c>
      <c r="BW5" s="95">
        <v>4.71</v>
      </c>
      <c r="BX5" s="95">
        <v>4.99</v>
      </c>
      <c r="BY5" s="95">
        <v>3.82</v>
      </c>
      <c r="BZ5" s="95">
        <v>5.2</v>
      </c>
      <c r="CA5" s="95">
        <v>4.6100000000000003</v>
      </c>
      <c r="CB5" s="95">
        <v>4.51</v>
      </c>
      <c r="CC5" s="95">
        <v>4.1100000000000003</v>
      </c>
      <c r="CD5" s="95">
        <v>4.72</v>
      </c>
      <c r="CE5" s="95">
        <v>4.53</v>
      </c>
      <c r="CF5" s="95">
        <v>4.6900000000000004</v>
      </c>
      <c r="CG5" s="95">
        <v>5.68</v>
      </c>
      <c r="CH5" s="95">
        <v>4.91</v>
      </c>
      <c r="CI5" s="95">
        <v>4.3499999999999996</v>
      </c>
      <c r="CJ5" s="95">
        <v>4.67</v>
      </c>
      <c r="CK5" s="95">
        <v>4.05</v>
      </c>
      <c r="CL5" s="95">
        <v>4.09</v>
      </c>
      <c r="CM5" s="95">
        <v>4.75</v>
      </c>
      <c r="CN5" s="95">
        <v>5.16</v>
      </c>
      <c r="CO5" s="95">
        <v>5.05</v>
      </c>
      <c r="CP5" s="98">
        <f>SUM(Input_Raw[[#This Row],[P-01]:[P-56]])/1000</f>
        <v>168.935</v>
      </c>
      <c r="CQ5" s="71">
        <f>IFERROR(AVERAGEIF(Input_Raw[[#This Row],[WS_P-01]:[WS_P-56]],"&lt;&gt;",Input_Raw[[#This Row],[WS_P-01]:[WS_P-56]]),"")</f>
        <v>4.6409090909090915</v>
      </c>
      <c r="CR5" s="99">
        <f>MAX(Input_Raw[[#This Row],[WS_P-01]:[WS_P-56]])</f>
        <v>5.68</v>
      </c>
      <c r="CS5" s="99"/>
      <c r="CT5" s="70">
        <f>SUM(Input_Raw[[#This Row],[P-08]:[P-13]],Input_Raw[[#This Row],[P-25]:[P-28]])</f>
        <v>24830</v>
      </c>
      <c r="CU5" s="70"/>
      <c r="CV5" s="70">
        <f>SUM(Input_Raw[[#This Row],[P-04]],Input_Raw[[#This Row],[P-14]:[P-17]],Input_Raw[[#This Row],[P-19]:[P-20]],Input_Raw[[#This Row],[P-22]:[P-23]],Input_Raw[[#This Row],[P-34]],Input_Raw[[#This Row],[P-38]],Input_Raw[[#This Row],[P-43]])</f>
        <v>40801</v>
      </c>
      <c r="CW5" s="70"/>
      <c r="CX5" s="70">
        <f>SUM(Input_Raw[[#This Row],[P-05]:[P-06]],Input_Raw[[#This Row],[P-40]:[P-42]],Input_Raw[[#This Row],[P-45]],Input_Raw[[#This Row],[P-46]],Input_Raw[[#This Row],[P-47]:[P-48]])</f>
        <v>37204</v>
      </c>
      <c r="CY5" s="70"/>
      <c r="CZ5" s="70">
        <f>SUM(Input_Raw[[#This Row],[P-01]:[P-03]],Input_Raw[[#This Row],[P-07]],Input_Raw[[#This Row],[P-18]],Input_Raw[[#This Row],[P-31]:[P-32]],Input_Raw[[#This Row],[P-37]],Input_Raw[[#This Row],[P-50]:[P-56]])</f>
        <v>66100</v>
      </c>
      <c r="DA5" s="12"/>
      <c r="DB5" s="13">
        <f>Input_Raw[[#This Row],[33 kV_Wind_F1_Export reading]]/1000</f>
        <v>24.83</v>
      </c>
      <c r="DC5" s="13"/>
      <c r="DD5" s="13">
        <f>Input_Raw[[#This Row],[33 kV_Wind_F2_Export_reading]]/1000</f>
        <v>40.801000000000002</v>
      </c>
      <c r="DE5" s="13"/>
      <c r="DF5" s="13">
        <f>Input_Raw[[#This Row],[33 kV_Wind_F3_Export_Reading]]/1000</f>
        <v>37.204000000000001</v>
      </c>
      <c r="DG5" s="13"/>
      <c r="DH5" s="13">
        <f>Input_Raw[[#This Row],[33 kV_Wind_F4_Export Reading]]/1000</f>
        <v>66.099999999999994</v>
      </c>
      <c r="DI5" s="13"/>
      <c r="DJ5" s="13">
        <f>Input_Raw[[#This Row],[33 kV_F1_Total_Export (MWh)]]+Input_Raw[[#This Row],[33 kV_F2_Total_Export (MWh)2]]+Input_Raw[[#This Row],[33 kV_Wind_F3_Export (MWh)]]+Input_Raw[[#This Row],[33 kV_Wind_F4_Export (MWh)]]</f>
        <v>168.935</v>
      </c>
      <c r="DK5" s="13">
        <f>Input_Raw[[#This Row],[33 kV_Wind_F1_Import (MWh)]]+Input_Raw[[#This Row],[33 kV_Wind_F2_Import (MWh)]]+Input_Raw[[#This Row],[33 kV_Wind_F3_Import (MWh)2]]+Input_Raw[[#This Row],[33 kV_Wind_F4_Import (MWh)2]]</f>
        <v>0</v>
      </c>
      <c r="DL5" s="100">
        <f>IFERROR(Input_Raw[[#This Row],[33 kV_Wind_Total_Export (MWh)]]/Input_Raw[[#This Row],[WTG Total Gneration (MWh)]]-1,"")</f>
        <v>0</v>
      </c>
      <c r="DM5" s="66"/>
      <c r="DN5" s="186">
        <v>89</v>
      </c>
      <c r="DO5" s="186">
        <v>251.75</v>
      </c>
      <c r="DP5" s="102">
        <v>156.79</v>
      </c>
      <c r="DQ5" s="66"/>
      <c r="DR5" s="181">
        <v>70.400000000000006</v>
      </c>
    </row>
    <row r="6" spans="1:122" ht="15">
      <c r="A6" s="92">
        <f t="shared" ref="A6:A107" si="74">A5+1</f>
        <v>45746</v>
      </c>
      <c r="B6" s="10">
        <f>YEAR(Input_Raw[[#This Row],[Date]])+IF(MONTH(Input_Raw[[#This Row],[Date]])&gt;=4,1,0)</f>
        <v>2025</v>
      </c>
      <c r="C6" s="10">
        <f>YEAR(Input_Raw[[#This Row],[Date]])</f>
        <v>2025</v>
      </c>
      <c r="D6" s="11">
        <f t="shared" si="73"/>
        <v>45717</v>
      </c>
      <c r="E6" s="10">
        <f>DAY(EOMONTH(Input_Raw[[#This Row],[Date]],0))</f>
        <v>31</v>
      </c>
      <c r="F6" s="93">
        <v>8936</v>
      </c>
      <c r="G6" s="93">
        <v>7288</v>
      </c>
      <c r="H6" s="93">
        <v>6868</v>
      </c>
      <c r="I6" s="93">
        <v>6172</v>
      </c>
      <c r="J6" s="93">
        <v>4268</v>
      </c>
      <c r="K6" s="93">
        <v>3588</v>
      </c>
      <c r="L6" s="93">
        <v>5354</v>
      </c>
      <c r="M6" s="93">
        <v>2160</v>
      </c>
      <c r="N6" s="93">
        <v>1444</v>
      </c>
      <c r="O6" s="93">
        <v>1408</v>
      </c>
      <c r="P6" s="93">
        <v>1792</v>
      </c>
      <c r="Q6" s="93">
        <v>2198</v>
      </c>
      <c r="R6" s="93">
        <v>2320</v>
      </c>
      <c r="S6" s="93">
        <v>2460</v>
      </c>
      <c r="T6" s="93">
        <v>2208</v>
      </c>
      <c r="U6" s="93">
        <v>2244</v>
      </c>
      <c r="V6" s="93">
        <v>2764</v>
      </c>
      <c r="W6" s="93">
        <v>6940</v>
      </c>
      <c r="X6" s="93">
        <v>2756</v>
      </c>
      <c r="Y6" s="93">
        <v>2719</v>
      </c>
      <c r="Z6" s="93">
        <v>6344</v>
      </c>
      <c r="AA6" s="93">
        <v>6796</v>
      </c>
      <c r="AB6" s="93">
        <v>3068</v>
      </c>
      <c r="AC6" s="93">
        <v>3092</v>
      </c>
      <c r="AD6" s="93">
        <v>3684</v>
      </c>
      <c r="AE6" s="93">
        <v>3152</v>
      </c>
      <c r="AF6" s="93">
        <v>5592</v>
      </c>
      <c r="AG6" s="93">
        <v>2868</v>
      </c>
      <c r="AH6" s="93">
        <v>5300</v>
      </c>
      <c r="AI6" s="93">
        <v>4688</v>
      </c>
      <c r="AJ6" s="93">
        <v>3244</v>
      </c>
      <c r="AK6" s="93">
        <v>1882</v>
      </c>
      <c r="AL6" s="93">
        <v>3968</v>
      </c>
      <c r="AM6" s="93">
        <v>5704</v>
      </c>
      <c r="AN6" s="93">
        <v>3516</v>
      </c>
      <c r="AO6" s="93">
        <v>6320</v>
      </c>
      <c r="AP6" s="93">
        <v>5152</v>
      </c>
      <c r="AQ6" s="93">
        <v>4908</v>
      </c>
      <c r="AR6" s="93">
        <v>5504</v>
      </c>
      <c r="AS6" s="93">
        <v>3816</v>
      </c>
      <c r="AT6" s="93">
        <v>4472</v>
      </c>
      <c r="AU6" s="93">
        <v>5472</v>
      </c>
      <c r="AV6" s="93">
        <v>8544</v>
      </c>
      <c r="AW6" s="93">
        <v>6904</v>
      </c>
      <c r="AX6" s="95">
        <v>5.8</v>
      </c>
      <c r="AY6" s="95">
        <v>5.57</v>
      </c>
      <c r="AZ6" s="95">
        <v>5.5</v>
      </c>
      <c r="BA6" s="95">
        <v>5.61</v>
      </c>
      <c r="BB6" s="95">
        <v>4.83</v>
      </c>
      <c r="BC6" s="95">
        <v>4.92</v>
      </c>
      <c r="BD6" s="95">
        <v>5.25</v>
      </c>
      <c r="BE6" s="95">
        <v>4.5199999999999996</v>
      </c>
      <c r="BF6" s="95">
        <v>4.04</v>
      </c>
      <c r="BG6" s="95">
        <v>4.33</v>
      </c>
      <c r="BH6" s="95">
        <v>4</v>
      </c>
      <c r="BI6" s="95">
        <v>4.32</v>
      </c>
      <c r="BJ6" s="95">
        <v>4.41</v>
      </c>
      <c r="BK6" s="95">
        <v>4.46</v>
      </c>
      <c r="BL6" s="95">
        <v>4.45</v>
      </c>
      <c r="BM6" s="95">
        <v>4.38</v>
      </c>
      <c r="BN6" s="95">
        <v>4.54</v>
      </c>
      <c r="BO6" s="95">
        <v>5.58</v>
      </c>
      <c r="BP6" s="95">
        <v>4.58</v>
      </c>
      <c r="BQ6" s="95">
        <v>4.3499999999999996</v>
      </c>
      <c r="BR6" s="95">
        <v>5.63</v>
      </c>
      <c r="BS6" s="95">
        <v>5.61</v>
      </c>
      <c r="BT6" s="95">
        <v>4.5999999999999996</v>
      </c>
      <c r="BU6" s="95">
        <v>4.9800000000000004</v>
      </c>
      <c r="BV6" s="95">
        <v>5.38</v>
      </c>
      <c r="BW6" s="95">
        <v>5.24</v>
      </c>
      <c r="BX6" s="95">
        <v>4.91</v>
      </c>
      <c r="BY6" s="95">
        <v>4.21</v>
      </c>
      <c r="BZ6" s="95">
        <v>5.24</v>
      </c>
      <c r="CA6" s="95">
        <v>4.96</v>
      </c>
      <c r="CB6" s="95">
        <v>4.46</v>
      </c>
      <c r="CC6" s="95">
        <v>4.16</v>
      </c>
      <c r="CD6" s="95">
        <v>5.0199999999999996</v>
      </c>
      <c r="CE6" s="95">
        <v>5.15</v>
      </c>
      <c r="CF6" s="95">
        <v>4.49</v>
      </c>
      <c r="CG6" s="95">
        <v>5.9</v>
      </c>
      <c r="CH6" s="95">
        <v>5.21</v>
      </c>
      <c r="CI6" s="95">
        <v>4.8600000000000003</v>
      </c>
      <c r="CJ6" s="95">
        <v>5.34</v>
      </c>
      <c r="CK6" s="95">
        <v>4.38</v>
      </c>
      <c r="CL6" s="95">
        <v>4.66</v>
      </c>
      <c r="CM6" s="95">
        <v>5.17</v>
      </c>
      <c r="CN6" s="95">
        <v>6.15</v>
      </c>
      <c r="CO6" s="95">
        <v>5.88</v>
      </c>
      <c r="CP6" s="98">
        <f>SUM(Input_Raw[[#This Row],[P-01]:[P-56]])/1000</f>
        <v>189.87700000000001</v>
      </c>
      <c r="CQ6" s="71">
        <f>IFERROR(AVERAGEIF(Input_Raw[[#This Row],[WS_P-01]:[WS_P-56]],"&lt;&gt;",Input_Raw[[#This Row],[WS_P-01]:[WS_P-56]]),"")</f>
        <v>4.932500000000001</v>
      </c>
      <c r="CR6" s="99">
        <f>MAX(Input_Raw[[#This Row],[WS_P-01]:[WS_P-56]])</f>
        <v>6.15</v>
      </c>
      <c r="CS6" s="99"/>
      <c r="CT6" s="70">
        <f>SUM(Input_Raw[[#This Row],[P-08]:[P-13]],Input_Raw[[#This Row],[P-25]:[P-28]])</f>
        <v>24318</v>
      </c>
      <c r="CU6" s="70"/>
      <c r="CV6" s="70">
        <f>SUM(Input_Raw[[#This Row],[P-04]],Input_Raw[[#This Row],[P-14]:[P-17]],Input_Raw[[#This Row],[P-19]:[P-20]],Input_Raw[[#This Row],[P-22]:[P-23]],Input_Raw[[#This Row],[P-34]],Input_Raw[[#This Row],[P-38]],Input_Raw[[#This Row],[P-43]])</f>
        <v>46523</v>
      </c>
      <c r="CW6" s="70"/>
      <c r="CX6" s="70">
        <f>SUM(Input_Raw[[#This Row],[P-05]:[P-06]],Input_Raw[[#This Row],[P-40]:[P-42]],Input_Raw[[#This Row],[P-45]],Input_Raw[[#This Row],[P-46]],Input_Raw[[#This Row],[P-47]:[P-48]])</f>
        <v>41294</v>
      </c>
      <c r="CY6" s="70"/>
      <c r="CZ6" s="70">
        <f>SUM(Input_Raw[[#This Row],[P-01]:[P-03]],Input_Raw[[#This Row],[P-07]],Input_Raw[[#This Row],[P-18]],Input_Raw[[#This Row],[P-31]:[P-32]],Input_Raw[[#This Row],[P-37]],Input_Raw[[#This Row],[P-50]:[P-56]])</f>
        <v>77742</v>
      </c>
      <c r="DA6" s="12"/>
      <c r="DB6" s="13">
        <f>Input_Raw[[#This Row],[33 kV_Wind_F1_Export reading]]/1000</f>
        <v>24.318000000000001</v>
      </c>
      <c r="DC6" s="13"/>
      <c r="DD6" s="13">
        <f>Input_Raw[[#This Row],[33 kV_Wind_F2_Export_reading]]/1000</f>
        <v>46.523000000000003</v>
      </c>
      <c r="DE6" s="13"/>
      <c r="DF6" s="13">
        <f>Input_Raw[[#This Row],[33 kV_Wind_F3_Export_Reading]]/1000</f>
        <v>41.293999999999997</v>
      </c>
      <c r="DG6" s="13"/>
      <c r="DH6" s="13">
        <f>Input_Raw[[#This Row],[33 kV_Wind_F4_Export Reading]]/1000</f>
        <v>77.742000000000004</v>
      </c>
      <c r="DI6" s="13"/>
      <c r="DJ6" s="13">
        <f>Input_Raw[[#This Row],[33 kV_F1_Total_Export (MWh)]]+Input_Raw[[#This Row],[33 kV_F2_Total_Export (MWh)2]]+Input_Raw[[#This Row],[33 kV_Wind_F3_Export (MWh)]]+Input_Raw[[#This Row],[33 kV_Wind_F4_Export (MWh)]]</f>
        <v>189.87700000000001</v>
      </c>
      <c r="DK6" s="13">
        <f>Input_Raw[[#This Row],[33 kV_Wind_F1_Import (MWh)]]+Input_Raw[[#This Row],[33 kV_Wind_F2_Import (MWh)]]+Input_Raw[[#This Row],[33 kV_Wind_F3_Import (MWh)2]]+Input_Raw[[#This Row],[33 kV_Wind_F4_Import (MWh)2]]</f>
        <v>0</v>
      </c>
      <c r="DL6" s="100">
        <f>IFERROR(Input_Raw[[#This Row],[33 kV_Wind_Total_Export (MWh)]]/Input_Raw[[#This Row],[WTG Total Gneration (MWh)]]-1,"")</f>
        <v>0</v>
      </c>
      <c r="DM6" s="66"/>
      <c r="DN6" s="186">
        <v>90</v>
      </c>
      <c r="DO6" s="186">
        <v>884</v>
      </c>
      <c r="DP6" s="102">
        <v>162.74</v>
      </c>
      <c r="DQ6" s="66"/>
      <c r="DR6" s="181">
        <v>70.400000000000006</v>
      </c>
    </row>
    <row r="7" spans="1:122" ht="15">
      <c r="A7" s="92">
        <f t="shared" si="74"/>
        <v>45747</v>
      </c>
      <c r="B7" s="10">
        <f>YEAR(Input_Raw[[#This Row],[Date]])+IF(MONTH(Input_Raw[[#This Row],[Date]])&gt;=4,1,0)</f>
        <v>2025</v>
      </c>
      <c r="C7" s="10">
        <f>YEAR(Input_Raw[[#This Row],[Date]])</f>
        <v>2025</v>
      </c>
      <c r="D7" s="11">
        <f t="shared" si="73"/>
        <v>45717</v>
      </c>
      <c r="E7" s="10">
        <f>DAY(EOMONTH(Input_Raw[[#This Row],[Date]],0))</f>
        <v>31</v>
      </c>
      <c r="F7" s="93">
        <v>3784</v>
      </c>
      <c r="G7" s="93">
        <v>2960</v>
      </c>
      <c r="H7" s="93">
        <v>2816</v>
      </c>
      <c r="I7" s="93">
        <v>970</v>
      </c>
      <c r="J7" s="93">
        <v>2856</v>
      </c>
      <c r="K7" s="93">
        <v>1928</v>
      </c>
      <c r="L7" s="93">
        <v>2996</v>
      </c>
      <c r="M7" s="93">
        <v>1136</v>
      </c>
      <c r="N7" s="93">
        <v>688</v>
      </c>
      <c r="O7" s="93">
        <v>828</v>
      </c>
      <c r="P7" s="93">
        <v>994</v>
      </c>
      <c r="Q7" s="93">
        <v>1212</v>
      </c>
      <c r="R7" s="93">
        <v>1248</v>
      </c>
      <c r="S7" s="93">
        <v>1368</v>
      </c>
      <c r="T7" s="93">
        <v>1206</v>
      </c>
      <c r="U7" s="93">
        <v>1338</v>
      </c>
      <c r="V7" s="93">
        <v>1552</v>
      </c>
      <c r="W7" s="93">
        <v>3472</v>
      </c>
      <c r="X7" s="93">
        <v>1504</v>
      </c>
      <c r="Y7" s="93">
        <v>1374</v>
      </c>
      <c r="Z7" s="93">
        <v>1404</v>
      </c>
      <c r="AA7" s="93">
        <v>1652</v>
      </c>
      <c r="AB7" s="93">
        <v>1660</v>
      </c>
      <c r="AC7" s="93">
        <v>1740</v>
      </c>
      <c r="AD7" s="93">
        <v>2112</v>
      </c>
      <c r="AE7" s="93">
        <v>1848</v>
      </c>
      <c r="AF7" s="93">
        <v>2168</v>
      </c>
      <c r="AG7" s="93">
        <v>864</v>
      </c>
      <c r="AH7" s="93">
        <v>1232</v>
      </c>
      <c r="AI7" s="93">
        <v>1868</v>
      </c>
      <c r="AJ7" s="93">
        <v>1724</v>
      </c>
      <c r="AK7" s="93">
        <v>1038</v>
      </c>
      <c r="AL7" s="93">
        <v>2564</v>
      </c>
      <c r="AM7" s="93">
        <v>3656</v>
      </c>
      <c r="AN7" s="93">
        <v>1132</v>
      </c>
      <c r="AO7" s="93">
        <v>3596</v>
      </c>
      <c r="AP7" s="93">
        <v>2932</v>
      </c>
      <c r="AQ7" s="93">
        <v>2932</v>
      </c>
      <c r="AR7" s="93">
        <v>3200</v>
      </c>
      <c r="AS7" s="93">
        <v>1018</v>
      </c>
      <c r="AT7" s="93">
        <v>1536</v>
      </c>
      <c r="AU7" s="93">
        <v>1926</v>
      </c>
      <c r="AV7" s="93">
        <v>4148</v>
      </c>
      <c r="AW7" s="93">
        <v>3604</v>
      </c>
      <c r="AX7" s="95">
        <v>4.1100000000000003</v>
      </c>
      <c r="AY7" s="95">
        <v>4.13</v>
      </c>
      <c r="AZ7" s="95">
        <v>3.94</v>
      </c>
      <c r="BA7" s="95">
        <v>3.15</v>
      </c>
      <c r="BB7" s="95">
        <v>3.98</v>
      </c>
      <c r="BC7" s="95">
        <v>3.88</v>
      </c>
      <c r="BD7" s="95">
        <v>4.1900000000000004</v>
      </c>
      <c r="BE7" s="95">
        <v>3.27</v>
      </c>
      <c r="BF7" s="95">
        <v>3.02</v>
      </c>
      <c r="BG7" s="95">
        <v>3.39</v>
      </c>
      <c r="BH7" s="95">
        <v>3.26</v>
      </c>
      <c r="BI7" s="95">
        <v>3.49</v>
      </c>
      <c r="BJ7" s="95">
        <v>3.45</v>
      </c>
      <c r="BK7" s="95">
        <v>3.43</v>
      </c>
      <c r="BL7" s="95">
        <v>3.48</v>
      </c>
      <c r="BM7" s="95">
        <v>3.39</v>
      </c>
      <c r="BN7" s="95">
        <v>3.77</v>
      </c>
      <c r="BO7" s="95">
        <v>4.25</v>
      </c>
      <c r="BP7" s="95">
        <v>3.59</v>
      </c>
      <c r="BQ7" s="95">
        <v>3.31</v>
      </c>
      <c r="BR7" s="95">
        <v>3.85</v>
      </c>
      <c r="BS7" s="95">
        <v>3.86</v>
      </c>
      <c r="BT7" s="95">
        <v>3.38</v>
      </c>
      <c r="BU7" s="95">
        <v>3.97</v>
      </c>
      <c r="BV7" s="95">
        <v>4.04</v>
      </c>
      <c r="BW7" s="95">
        <v>3.91</v>
      </c>
      <c r="BX7" s="95">
        <v>3.29</v>
      </c>
      <c r="BY7" s="95">
        <v>2.89</v>
      </c>
      <c r="BZ7" s="95">
        <v>3.34</v>
      </c>
      <c r="CA7" s="95">
        <v>3.59</v>
      </c>
      <c r="CB7" s="95">
        <v>3.27</v>
      </c>
      <c r="CC7" s="95">
        <v>3.19</v>
      </c>
      <c r="CD7" s="95">
        <v>4.29</v>
      </c>
      <c r="CE7" s="95">
        <v>4.33</v>
      </c>
      <c r="CF7" s="95">
        <v>3.52</v>
      </c>
      <c r="CG7" s="95">
        <v>4.75</v>
      </c>
      <c r="CH7" s="95">
        <v>4.32</v>
      </c>
      <c r="CI7" s="95">
        <v>3.98</v>
      </c>
      <c r="CJ7" s="95">
        <v>4.3600000000000003</v>
      </c>
      <c r="CK7" s="95">
        <v>2.74</v>
      </c>
      <c r="CL7" s="95">
        <v>3.19</v>
      </c>
      <c r="CM7" s="95">
        <v>3.7</v>
      </c>
      <c r="CN7" s="95">
        <v>4.68</v>
      </c>
      <c r="CO7" s="95">
        <v>4.5999999999999996</v>
      </c>
      <c r="CP7" s="98">
        <f>SUM(Input_Raw[[#This Row],[P-01]:[P-56]])/1000</f>
        <v>87.784000000000006</v>
      </c>
      <c r="CQ7" s="71">
        <f>IFERROR(AVERAGEIF(Input_Raw[[#This Row],[WS_P-01]:[WS_P-56]],"&lt;&gt;",Input_Raw[[#This Row],[WS_P-01]:[WS_P-56]]),"")</f>
        <v>3.7163636363636368</v>
      </c>
      <c r="CR7" s="99">
        <f>MAX(Input_Raw[[#This Row],[WS_P-01]:[WS_P-56]])</f>
        <v>4.75</v>
      </c>
      <c r="CS7" s="99"/>
      <c r="CT7" s="70">
        <f>SUM(Input_Raw[[#This Row],[P-08]:[P-13]],Input_Raw[[#This Row],[P-25]:[P-28]])</f>
        <v>13466</v>
      </c>
      <c r="CU7" s="70"/>
      <c r="CV7" s="70">
        <f>SUM(Input_Raw[[#This Row],[P-04]],Input_Raw[[#This Row],[P-14]:[P-17]],Input_Raw[[#This Row],[P-19]:[P-20]],Input_Raw[[#This Row],[P-22]:[P-23]],Input_Raw[[#This Row],[P-34]],Input_Raw[[#This Row],[P-38]],Input_Raw[[#This Row],[P-43]])</f>
        <v>16456</v>
      </c>
      <c r="CW7" s="70"/>
      <c r="CX7" s="70">
        <f>SUM(Input_Raw[[#This Row],[P-05]:[P-06]],Input_Raw[[#This Row],[P-40]:[P-42]],Input_Raw[[#This Row],[P-45]],Input_Raw[[#This Row],[P-46]],Input_Raw[[#This Row],[P-47]:[P-48]])</f>
        <v>24702</v>
      </c>
      <c r="CY7" s="70"/>
      <c r="CZ7" s="70">
        <f>SUM(Input_Raw[[#This Row],[P-01]:[P-03]],Input_Raw[[#This Row],[P-07]],Input_Raw[[#This Row],[P-18]],Input_Raw[[#This Row],[P-31]:[P-32]],Input_Raw[[#This Row],[P-37]],Input_Raw[[#This Row],[P-50]:[P-56]])</f>
        <v>33160</v>
      </c>
      <c r="DA7" s="12"/>
      <c r="DB7" s="13">
        <f>Input_Raw[[#This Row],[33 kV_Wind_F1_Export reading]]/1000</f>
        <v>13.465999999999999</v>
      </c>
      <c r="DC7" s="13"/>
      <c r="DD7" s="13">
        <f>Input_Raw[[#This Row],[33 kV_Wind_F2_Export_reading]]/1000</f>
        <v>16.456</v>
      </c>
      <c r="DE7" s="13"/>
      <c r="DF7" s="13">
        <f>Input_Raw[[#This Row],[33 kV_Wind_F3_Export_Reading]]/1000</f>
        <v>24.702000000000002</v>
      </c>
      <c r="DG7" s="13"/>
      <c r="DH7" s="13">
        <f>Input_Raw[[#This Row],[33 kV_Wind_F4_Export Reading]]/1000</f>
        <v>33.159999999999997</v>
      </c>
      <c r="DI7" s="13"/>
      <c r="DJ7" s="13">
        <f>Input_Raw[[#This Row],[33 kV_F1_Total_Export (MWh)]]+Input_Raw[[#This Row],[33 kV_F2_Total_Export (MWh)2]]+Input_Raw[[#This Row],[33 kV_Wind_F3_Export (MWh)]]+Input_Raw[[#This Row],[33 kV_Wind_F4_Export (MWh)]]</f>
        <v>87.783999999999992</v>
      </c>
      <c r="DK7" s="13">
        <f>Input_Raw[[#This Row],[33 kV_Wind_F1_Import (MWh)]]+Input_Raw[[#This Row],[33 kV_Wind_F2_Import (MWh)]]+Input_Raw[[#This Row],[33 kV_Wind_F3_Import (MWh)2]]+Input_Raw[[#This Row],[33 kV_Wind_F4_Import (MWh)2]]</f>
        <v>0</v>
      </c>
      <c r="DL7" s="100">
        <f>IFERROR(Input_Raw[[#This Row],[33 kV_Wind_Total_Export (MWh)]]/Input_Raw[[#This Row],[WTG Total Gneration (MWh)]]-1,"")</f>
        <v>-1.1102230246251565E-16</v>
      </c>
      <c r="DM7" s="66"/>
      <c r="DN7" s="186">
        <v>88</v>
      </c>
      <c r="DO7" s="186">
        <v>2257.38</v>
      </c>
      <c r="DP7" s="102">
        <v>66.47</v>
      </c>
      <c r="DQ7" s="66"/>
      <c r="DR7" s="181">
        <v>70.400000000000006</v>
      </c>
    </row>
    <row r="8" spans="1:122" ht="15">
      <c r="A8" s="92">
        <f t="shared" si="74"/>
        <v>45748</v>
      </c>
      <c r="B8" s="10">
        <f>YEAR(Input_Raw[[#This Row],[Date]])+IF(MONTH(Input_Raw[[#This Row],[Date]])&gt;=4,1,0)</f>
        <v>2026</v>
      </c>
      <c r="C8" s="10">
        <f>YEAR(Input_Raw[[#This Row],[Date]])</f>
        <v>2025</v>
      </c>
      <c r="D8" s="11">
        <f t="shared" si="73"/>
        <v>45748</v>
      </c>
      <c r="E8" s="10">
        <f>DAY(EOMONTH(Input_Raw[[#This Row],[Date]],0))</f>
        <v>30</v>
      </c>
      <c r="F8" s="93">
        <v>4268</v>
      </c>
      <c r="G8" s="93">
        <v>4067.9999999999995</v>
      </c>
      <c r="H8" s="93">
        <v>3800</v>
      </c>
      <c r="I8" s="93">
        <v>7152</v>
      </c>
      <c r="J8" s="93">
        <v>6388</v>
      </c>
      <c r="K8" s="93">
        <v>6152</v>
      </c>
      <c r="L8" s="93">
        <v>2860</v>
      </c>
      <c r="M8" s="93">
        <v>5052</v>
      </c>
      <c r="N8" s="93">
        <v>4148</v>
      </c>
      <c r="O8" s="93">
        <v>6102</v>
      </c>
      <c r="P8" s="93">
        <v>7662</v>
      </c>
      <c r="Q8" s="93">
        <v>7860</v>
      </c>
      <c r="R8" s="93">
        <v>7466</v>
      </c>
      <c r="S8" s="93">
        <v>7150</v>
      </c>
      <c r="T8" s="93">
        <v>5670</v>
      </c>
      <c r="U8" s="93">
        <v>5514</v>
      </c>
      <c r="V8" s="93">
        <v>5412</v>
      </c>
      <c r="W8" s="93">
        <v>3300</v>
      </c>
      <c r="X8" s="93">
        <v>6996</v>
      </c>
      <c r="Y8" s="93">
        <v>5745</v>
      </c>
      <c r="Z8" s="93">
        <v>7184</v>
      </c>
      <c r="AA8" s="93">
        <v>8632</v>
      </c>
      <c r="AB8" s="93">
        <v>7020</v>
      </c>
      <c r="AC8" s="93">
        <v>6844</v>
      </c>
      <c r="AD8" s="93">
        <v>4100</v>
      </c>
      <c r="AE8" s="93">
        <v>6952</v>
      </c>
      <c r="AF8" s="93">
        <v>3420</v>
      </c>
      <c r="AG8" s="93">
        <v>3056</v>
      </c>
      <c r="AH8" s="93">
        <v>5872</v>
      </c>
      <c r="AI8" s="93">
        <v>3422</v>
      </c>
      <c r="AJ8" s="93">
        <v>6164</v>
      </c>
      <c r="AK8" s="93">
        <v>4716</v>
      </c>
      <c r="AL8" s="93">
        <v>6208</v>
      </c>
      <c r="AM8" s="93">
        <v>5104</v>
      </c>
      <c r="AN8" s="93">
        <v>8556</v>
      </c>
      <c r="AO8" s="93">
        <v>8624</v>
      </c>
      <c r="AP8" s="93">
        <v>6180</v>
      </c>
      <c r="AQ8" s="93">
        <v>4920</v>
      </c>
      <c r="AR8" s="93">
        <v>5324</v>
      </c>
      <c r="AS8" s="93">
        <v>4338</v>
      </c>
      <c r="AT8" s="93">
        <v>3536</v>
      </c>
      <c r="AU8" s="93">
        <v>3794</v>
      </c>
      <c r="AV8" s="93">
        <v>4236</v>
      </c>
      <c r="AW8" s="93">
        <v>3528</v>
      </c>
      <c r="AX8" s="96">
        <v>4.5199999999999996</v>
      </c>
      <c r="AY8" s="96">
        <v>4.6100000000000003</v>
      </c>
      <c r="AZ8" s="96">
        <v>4.5999999999999996</v>
      </c>
      <c r="BA8" s="96">
        <v>5.2</v>
      </c>
      <c r="BB8" s="96">
        <v>5.1100000000000003</v>
      </c>
      <c r="BC8" s="96">
        <v>5.17</v>
      </c>
      <c r="BD8" s="96">
        <v>4.42</v>
      </c>
      <c r="BE8" s="96">
        <v>5.73</v>
      </c>
      <c r="BF8" s="96">
        <v>4.8600000000000003</v>
      </c>
      <c r="BG8" s="96">
        <v>5.41</v>
      </c>
      <c r="BH8" s="96">
        <v>5.49</v>
      </c>
      <c r="BI8" s="96">
        <v>5.61</v>
      </c>
      <c r="BJ8" s="96">
        <v>5.42</v>
      </c>
      <c r="BK8" s="96">
        <v>5.37</v>
      </c>
      <c r="BL8" s="96">
        <v>5.08</v>
      </c>
      <c r="BM8" s="96">
        <v>4.8499999999999996</v>
      </c>
      <c r="BN8" s="96">
        <v>4.87</v>
      </c>
      <c r="BO8" s="96">
        <v>4.29</v>
      </c>
      <c r="BP8" s="96">
        <v>5.26</v>
      </c>
      <c r="BQ8" s="96">
        <v>4.8099999999999996</v>
      </c>
      <c r="BR8" s="96">
        <v>5.4</v>
      </c>
      <c r="BS8" s="96">
        <v>5.55</v>
      </c>
      <c r="BT8" s="96">
        <v>5.94</v>
      </c>
      <c r="BU8" s="96">
        <v>6.34</v>
      </c>
      <c r="BV8" s="96">
        <v>5.5</v>
      </c>
      <c r="BW8" s="96">
        <v>6.47</v>
      </c>
      <c r="BX8" s="96">
        <v>4.09</v>
      </c>
      <c r="BY8" s="96">
        <v>4.37</v>
      </c>
      <c r="BZ8" s="96">
        <v>4.82</v>
      </c>
      <c r="CA8" s="96">
        <v>4.79</v>
      </c>
      <c r="CB8" s="96">
        <v>4.75</v>
      </c>
      <c r="CC8" s="96">
        <v>4.5199999999999996</v>
      </c>
      <c r="CD8" s="96">
        <v>5.61</v>
      </c>
      <c r="CE8" s="96">
        <v>4.8</v>
      </c>
      <c r="CF8" s="96">
        <v>5.37</v>
      </c>
      <c r="CG8" s="96">
        <v>5.88</v>
      </c>
      <c r="CH8" s="96">
        <v>5.2</v>
      </c>
      <c r="CI8" s="96">
        <v>4.57</v>
      </c>
      <c r="CJ8" s="96">
        <v>4.92</v>
      </c>
      <c r="CK8" s="96">
        <v>4.29</v>
      </c>
      <c r="CL8" s="96">
        <v>4.6100000000000003</v>
      </c>
      <c r="CM8" s="96">
        <v>4.8</v>
      </c>
      <c r="CN8" s="96">
        <v>4.9800000000000004</v>
      </c>
      <c r="CO8" s="96">
        <v>4.7300000000000004</v>
      </c>
      <c r="CP8" s="98">
        <f>SUM(Input_Raw[[#This Row],[P-01]:[P-56]])/1000</f>
        <v>244.495</v>
      </c>
      <c r="CQ8" s="71">
        <f>IFERROR(AVERAGEIF(Input_Raw[[#This Row],[WS_P-01]:[WS_P-56]],"&lt;&gt;",Input_Raw[[#This Row],[WS_P-01]:[WS_P-56]]),"")</f>
        <v>5.0677272727272733</v>
      </c>
      <c r="CR8" s="99">
        <f>MAX(Input_Raw[[#This Row],[WS_P-01]:[WS_P-56]])</f>
        <v>6.47</v>
      </c>
      <c r="CS8" s="99"/>
      <c r="CT8" s="70">
        <f>SUM(Input_Raw[[#This Row],[P-08]:[P-13]],Input_Raw[[#This Row],[P-25]:[P-28]])</f>
        <v>63206</v>
      </c>
      <c r="CU8" s="70"/>
      <c r="CV8" s="70">
        <f>SUM(Input_Raw[[#This Row],[P-04]],Input_Raw[[#This Row],[P-14]:[P-17]],Input_Raw[[#This Row],[P-19]:[P-20]],Input_Raw[[#This Row],[P-22]:[P-23]],Input_Raw[[#This Row],[P-34]],Input_Raw[[#This Row],[P-38]],Input_Raw[[#This Row],[P-43]])</f>
        <v>80047</v>
      </c>
      <c r="CW8" s="70"/>
      <c r="CX8" s="70">
        <f>SUM(Input_Raw[[#This Row],[P-05]:[P-06]],Input_Raw[[#This Row],[P-40]:[P-42]],Input_Raw[[#This Row],[P-45]],Input_Raw[[#This Row],[P-46]],Input_Raw[[#This Row],[P-47]:[P-48]])</f>
        <v>53616</v>
      </c>
      <c r="CY8" s="70"/>
      <c r="CZ8" s="70">
        <f>SUM(Input_Raw[[#This Row],[P-01]:[P-03]],Input_Raw[[#This Row],[P-07]],Input_Raw[[#This Row],[P-18]],Input_Raw[[#This Row],[P-31]:[P-32]],Input_Raw[[#This Row],[P-37]],Input_Raw[[#This Row],[P-50]:[P-56]])</f>
        <v>47626</v>
      </c>
      <c r="DA8" s="12"/>
      <c r="DB8" s="13">
        <f>Input_Raw[[#This Row],[33 kV_Wind_F1_Export reading]]/1000</f>
        <v>63.206000000000003</v>
      </c>
      <c r="DC8" s="13"/>
      <c r="DD8" s="13">
        <f>Input_Raw[[#This Row],[33 kV_Wind_F2_Export_reading]]/1000</f>
        <v>80.046999999999997</v>
      </c>
      <c r="DE8" s="13"/>
      <c r="DF8" s="13">
        <f>Input_Raw[[#This Row],[33 kV_Wind_F3_Export_Reading]]/1000</f>
        <v>53.616</v>
      </c>
      <c r="DG8" s="13"/>
      <c r="DH8" s="13">
        <f>Input_Raw[[#This Row],[33 kV_Wind_F4_Export Reading]]/1000</f>
        <v>47.625999999999998</v>
      </c>
      <c r="DI8" s="13"/>
      <c r="DJ8" s="13">
        <f>Input_Raw[[#This Row],[33 kV_F1_Total_Export (MWh)]]+Input_Raw[[#This Row],[33 kV_F2_Total_Export (MWh)2]]+Input_Raw[[#This Row],[33 kV_Wind_F3_Export (MWh)]]+Input_Raw[[#This Row],[33 kV_Wind_F4_Export (MWh)]]</f>
        <v>244.49499999999998</v>
      </c>
      <c r="DK8" s="13">
        <f>Input_Raw[[#This Row],[33 kV_Wind_F1_Import (MWh)]]+Input_Raw[[#This Row],[33 kV_Wind_F2_Import (MWh)]]+Input_Raw[[#This Row],[33 kV_Wind_F3_Import (MWh)2]]+Input_Raw[[#This Row],[33 kV_Wind_F4_Import (MWh)2]]</f>
        <v>0</v>
      </c>
      <c r="DL8" s="100">
        <f>IFERROR(Input_Raw[[#This Row],[33 kV_Wind_Total_Export (MWh)]]/Input_Raw[[#This Row],[WTG Total Gneration (MWh)]]-1,"")</f>
        <v>-1.1102230246251565E-16</v>
      </c>
      <c r="DM8" s="66"/>
      <c r="DN8" s="186">
        <v>89</v>
      </c>
      <c r="DO8" s="186">
        <v>25300</v>
      </c>
      <c r="DP8" s="102">
        <v>261.94</v>
      </c>
      <c r="DQ8" s="66"/>
      <c r="DR8" s="181">
        <v>70.400000000000006</v>
      </c>
    </row>
    <row r="9" spans="1:122" ht="15">
      <c r="A9" s="92">
        <f t="shared" si="74"/>
        <v>45749</v>
      </c>
      <c r="B9" s="10">
        <f>YEAR(Input_Raw[[#This Row],[Date]])+IF(MONTH(Input_Raw[[#This Row],[Date]])&gt;=4,1,0)</f>
        <v>2026</v>
      </c>
      <c r="C9" s="10">
        <f>YEAR(Input_Raw[[#This Row],[Date]])</f>
        <v>2025</v>
      </c>
      <c r="D9" s="11">
        <f t="shared" ref="D9:D11" si="75">A9-DAY(A9)+1</f>
        <v>45748</v>
      </c>
      <c r="E9" s="10">
        <f>DAY(EOMONTH(Input_Raw[[#This Row],[Date]],0))</f>
        <v>30</v>
      </c>
      <c r="F9" s="93">
        <v>6296</v>
      </c>
      <c r="G9" s="93">
        <v>4972</v>
      </c>
      <c r="H9" s="93">
        <v>4080</v>
      </c>
      <c r="I9" s="93">
        <v>5304</v>
      </c>
      <c r="J9" s="93">
        <v>10732</v>
      </c>
      <c r="K9" s="93">
        <v>9008</v>
      </c>
      <c r="L9" s="93">
        <v>5052</v>
      </c>
      <c r="M9" s="93">
        <v>4672</v>
      </c>
      <c r="N9" s="93">
        <v>3214</v>
      </c>
      <c r="O9" s="93">
        <v>4976</v>
      </c>
      <c r="P9" s="93">
        <v>5884</v>
      </c>
      <c r="Q9" s="93">
        <v>7356</v>
      </c>
      <c r="R9" s="93">
        <v>8586</v>
      </c>
      <c r="S9" s="93">
        <v>8718</v>
      </c>
      <c r="T9" s="93">
        <v>6402</v>
      </c>
      <c r="U9" s="93">
        <v>7596</v>
      </c>
      <c r="V9" s="93">
        <v>8356</v>
      </c>
      <c r="W9" s="93">
        <v>5740</v>
      </c>
      <c r="X9" s="93">
        <v>10008</v>
      </c>
      <c r="Y9" s="93">
        <v>8600</v>
      </c>
      <c r="Z9" s="93">
        <v>5096</v>
      </c>
      <c r="AA9" s="93">
        <v>5336</v>
      </c>
      <c r="AB9" s="93">
        <v>6688</v>
      </c>
      <c r="AC9" s="93">
        <v>8336</v>
      </c>
      <c r="AD9" s="93">
        <v>8316</v>
      </c>
      <c r="AE9" s="93">
        <v>8028.0000000000009</v>
      </c>
      <c r="AF9" s="93">
        <v>4244</v>
      </c>
      <c r="AG9" s="93">
        <v>5576</v>
      </c>
      <c r="AH9" s="93">
        <v>4027.9999999999995</v>
      </c>
      <c r="AI9" s="93">
        <v>7408</v>
      </c>
      <c r="AJ9" s="93">
        <v>9640</v>
      </c>
      <c r="AK9" s="93">
        <v>5766</v>
      </c>
      <c r="AL9" s="93">
        <v>10360</v>
      </c>
      <c r="AM9" s="93">
        <v>7964</v>
      </c>
      <c r="AN9" s="93">
        <v>7744</v>
      </c>
      <c r="AO9" s="93">
        <v>11976</v>
      </c>
      <c r="AP9" s="93">
        <v>7700</v>
      </c>
      <c r="AQ9" s="93">
        <v>8872</v>
      </c>
      <c r="AR9" s="93">
        <v>8504</v>
      </c>
      <c r="AS9" s="93">
        <v>6352</v>
      </c>
      <c r="AT9" s="93">
        <v>7568</v>
      </c>
      <c r="AU9" s="93">
        <v>7352</v>
      </c>
      <c r="AV9" s="93">
        <v>9220</v>
      </c>
      <c r="AW9" s="93">
        <v>8084</v>
      </c>
      <c r="AX9" s="95">
        <v>5.0999999999999996</v>
      </c>
      <c r="AY9" s="95">
        <v>4.96</v>
      </c>
      <c r="AZ9" s="95">
        <v>4.74</v>
      </c>
      <c r="BA9" s="95">
        <v>5</v>
      </c>
      <c r="BB9" s="95">
        <v>6.19</v>
      </c>
      <c r="BC9" s="95">
        <v>6.02</v>
      </c>
      <c r="BD9" s="95">
        <v>5.03</v>
      </c>
      <c r="BE9" s="95">
        <v>5.12</v>
      </c>
      <c r="BF9" s="95">
        <v>4.6399999999999997</v>
      </c>
      <c r="BG9" s="95">
        <v>5.25</v>
      </c>
      <c r="BH9" s="95">
        <v>5.1100000000000003</v>
      </c>
      <c r="BI9" s="95">
        <v>5.52</v>
      </c>
      <c r="BJ9" s="95">
        <v>5.84</v>
      </c>
      <c r="BK9" s="95">
        <v>5.87</v>
      </c>
      <c r="BL9" s="95">
        <v>5.48</v>
      </c>
      <c r="BM9" s="95">
        <v>5.7</v>
      </c>
      <c r="BN9" s="95">
        <v>5.68</v>
      </c>
      <c r="BO9" s="95">
        <v>5.27</v>
      </c>
      <c r="BP9" s="95">
        <v>5.98</v>
      </c>
      <c r="BQ9" s="95">
        <v>5.65</v>
      </c>
      <c r="BR9" s="95">
        <v>5.05</v>
      </c>
      <c r="BS9" s="95">
        <v>4.95</v>
      </c>
      <c r="BT9" s="95">
        <v>5.37</v>
      </c>
      <c r="BU9" s="95">
        <v>6.07</v>
      </c>
      <c r="BV9" s="95">
        <v>6.26</v>
      </c>
      <c r="BW9" s="95">
        <v>6.2</v>
      </c>
      <c r="BX9" s="95">
        <v>4.63</v>
      </c>
      <c r="BY9" s="95">
        <v>4.68</v>
      </c>
      <c r="BZ9" s="95">
        <v>4.76</v>
      </c>
      <c r="CA9" s="95">
        <v>5.15</v>
      </c>
      <c r="CB9" s="95">
        <v>5.85</v>
      </c>
      <c r="CC9" s="95">
        <v>5.01</v>
      </c>
      <c r="CD9" s="95">
        <v>6.55</v>
      </c>
      <c r="CE9" s="95">
        <v>5.63</v>
      </c>
      <c r="CF9" s="95">
        <v>5.26</v>
      </c>
      <c r="CG9" s="95">
        <v>6.87</v>
      </c>
      <c r="CH9" s="95">
        <v>4.8</v>
      </c>
      <c r="CI9" s="95">
        <v>5.68</v>
      </c>
      <c r="CJ9" s="95">
        <v>5.94</v>
      </c>
      <c r="CK9" s="95">
        <v>5.09</v>
      </c>
      <c r="CL9" s="95">
        <v>5.35</v>
      </c>
      <c r="CM9" s="95">
        <v>5.44</v>
      </c>
      <c r="CN9" s="95">
        <v>6.04</v>
      </c>
      <c r="CO9" s="95">
        <v>5.98</v>
      </c>
      <c r="CP9" s="98">
        <f>SUM(Input_Raw[[#This Row],[P-01]:[P-56]])/1000</f>
        <v>315.70999999999998</v>
      </c>
      <c r="CQ9" s="71">
        <f>IFERROR(AVERAGEIF(Input_Raw[[#This Row],[WS_P-01]:[WS_P-56]],"&lt;&gt;",Input_Raw[[#This Row],[WS_P-01]:[WS_P-56]]),"")</f>
        <v>5.4718181818181808</v>
      </c>
      <c r="CR9" s="99">
        <f>MAX(Input_Raw[[#This Row],[WS_P-01]:[WS_P-56]])</f>
        <v>6.87</v>
      </c>
      <c r="CS9" s="99"/>
      <c r="CT9" s="70">
        <f>SUM(Input_Raw[[#This Row],[P-08]:[P-13]],Input_Raw[[#This Row],[P-25]:[P-28]])</f>
        <v>66056</v>
      </c>
      <c r="CU9" s="70"/>
      <c r="CV9" s="70">
        <f>SUM(Input_Raw[[#This Row],[P-04]],Input_Raw[[#This Row],[P-14]:[P-17]],Input_Raw[[#This Row],[P-19]:[P-20]],Input_Raw[[#This Row],[P-22]:[P-23]],Input_Raw[[#This Row],[P-34]],Input_Raw[[#This Row],[P-38]],Input_Raw[[#This Row],[P-43]])</f>
        <v>86828</v>
      </c>
      <c r="CW9" s="70"/>
      <c r="CX9" s="70">
        <f>SUM(Input_Raw[[#This Row],[P-05]:[P-06]],Input_Raw[[#This Row],[P-40]:[P-42]],Input_Raw[[#This Row],[P-45]],Input_Raw[[#This Row],[P-46]],Input_Raw[[#This Row],[P-47]:[P-48]])</f>
        <v>80882</v>
      </c>
      <c r="CY9" s="70"/>
      <c r="CZ9" s="70">
        <f>SUM(Input_Raw[[#This Row],[P-01]:[P-03]],Input_Raw[[#This Row],[P-07]],Input_Raw[[#This Row],[P-18]],Input_Raw[[#This Row],[P-31]:[P-32]],Input_Raw[[#This Row],[P-37]],Input_Raw[[#This Row],[P-50]:[P-56]])</f>
        <v>81944</v>
      </c>
      <c r="DA9" s="12"/>
      <c r="DB9" s="13">
        <f>Input_Raw[[#This Row],[33 kV_Wind_F1_Export reading]]/1000</f>
        <v>66.055999999999997</v>
      </c>
      <c r="DC9" s="13"/>
      <c r="DD9" s="13">
        <f>Input_Raw[[#This Row],[33 kV_Wind_F2_Export_reading]]/1000</f>
        <v>86.828000000000003</v>
      </c>
      <c r="DE9" s="13"/>
      <c r="DF9" s="13">
        <f>Input_Raw[[#This Row],[33 kV_Wind_F3_Export_Reading]]/1000</f>
        <v>80.882000000000005</v>
      </c>
      <c r="DG9" s="13"/>
      <c r="DH9" s="13">
        <f>Input_Raw[[#This Row],[33 kV_Wind_F4_Export Reading]]/1000</f>
        <v>81.944000000000003</v>
      </c>
      <c r="DI9" s="13"/>
      <c r="DJ9" s="13">
        <f>Input_Raw[[#This Row],[33 kV_F1_Total_Export (MWh)]]+Input_Raw[[#This Row],[33 kV_F2_Total_Export (MWh)2]]+Input_Raw[[#This Row],[33 kV_Wind_F3_Export (MWh)]]+Input_Raw[[#This Row],[33 kV_Wind_F4_Export (MWh)]]</f>
        <v>315.71000000000004</v>
      </c>
      <c r="DK9" s="13">
        <f>Input_Raw[[#This Row],[33 kV_Wind_F1_Import (MWh)]]+Input_Raw[[#This Row],[33 kV_Wind_F2_Import (MWh)]]+Input_Raw[[#This Row],[33 kV_Wind_F3_Import (MWh)2]]+Input_Raw[[#This Row],[33 kV_Wind_F4_Import (MWh)2]]</f>
        <v>0</v>
      </c>
      <c r="DL9" s="100">
        <f>IFERROR(Input_Raw[[#This Row],[33 kV_Wind_Total_Export (MWh)]]/Input_Raw[[#This Row],[WTG Total Gneration (MWh)]]-1,"")</f>
        <v>2.2204460492503131E-16</v>
      </c>
      <c r="DM9" s="66"/>
      <c r="DN9" s="186">
        <v>95</v>
      </c>
      <c r="DO9" s="186">
        <v>25676</v>
      </c>
      <c r="DP9" s="102">
        <v>310.38</v>
      </c>
      <c r="DQ9" s="66"/>
      <c r="DR9" s="181">
        <v>70.400000000000006</v>
      </c>
    </row>
    <row r="10" spans="1:122" ht="15">
      <c r="A10" s="92">
        <f t="shared" si="74"/>
        <v>45750</v>
      </c>
      <c r="B10" s="10">
        <f>YEAR(Input_Raw[[#This Row],[Date]])+IF(MONTH(Input_Raw[[#This Row],[Date]])&gt;=4,1,0)</f>
        <v>2026</v>
      </c>
      <c r="C10" s="10">
        <f>YEAR(Input_Raw[[#This Row],[Date]])</f>
        <v>2025</v>
      </c>
      <c r="D10" s="11">
        <f t="shared" si="75"/>
        <v>45748</v>
      </c>
      <c r="E10" s="10">
        <f>DAY(EOMONTH(Input_Raw[[#This Row],[Date]],0))</f>
        <v>30</v>
      </c>
      <c r="F10" s="93">
        <v>2864</v>
      </c>
      <c r="G10" s="93">
        <v>2514</v>
      </c>
      <c r="H10" s="93">
        <v>2568</v>
      </c>
      <c r="I10" s="93">
        <v>2582</v>
      </c>
      <c r="J10" s="93">
        <v>2348</v>
      </c>
      <c r="K10" s="93">
        <v>1772</v>
      </c>
      <c r="L10" s="93">
        <v>2086</v>
      </c>
      <c r="M10" s="93">
        <v>1076</v>
      </c>
      <c r="N10" s="93">
        <v>770</v>
      </c>
      <c r="O10" s="93">
        <v>922</v>
      </c>
      <c r="P10" s="93">
        <v>942</v>
      </c>
      <c r="Q10" s="93">
        <v>1016</v>
      </c>
      <c r="R10" s="93">
        <v>1002</v>
      </c>
      <c r="S10" s="93">
        <v>546</v>
      </c>
      <c r="T10" s="93">
        <v>562</v>
      </c>
      <c r="U10" s="93">
        <v>706</v>
      </c>
      <c r="V10" s="93">
        <v>894</v>
      </c>
      <c r="W10" s="93">
        <v>2588</v>
      </c>
      <c r="X10" s="93">
        <v>948</v>
      </c>
      <c r="Y10" s="93">
        <v>819</v>
      </c>
      <c r="Z10" s="93">
        <v>2296</v>
      </c>
      <c r="AA10" s="93">
        <v>2480</v>
      </c>
      <c r="AB10" s="93">
        <v>1360</v>
      </c>
      <c r="AC10" s="93">
        <v>1556</v>
      </c>
      <c r="AD10" s="93">
        <v>1696</v>
      </c>
      <c r="AE10" s="93">
        <v>1508</v>
      </c>
      <c r="AF10" s="93">
        <v>1344</v>
      </c>
      <c r="AG10" s="93">
        <v>1312</v>
      </c>
      <c r="AH10" s="93">
        <v>2600</v>
      </c>
      <c r="AI10" s="93">
        <v>1758</v>
      </c>
      <c r="AJ10" s="93">
        <v>1100</v>
      </c>
      <c r="AK10" s="93">
        <v>1526</v>
      </c>
      <c r="AL10" s="93">
        <v>2160</v>
      </c>
      <c r="AM10" s="93">
        <v>2624</v>
      </c>
      <c r="AN10" s="93">
        <v>1444</v>
      </c>
      <c r="AO10" s="93">
        <v>2944</v>
      </c>
      <c r="AP10" s="93">
        <v>2740</v>
      </c>
      <c r="AQ10" s="93">
        <v>2456</v>
      </c>
      <c r="AR10" s="93">
        <v>2628</v>
      </c>
      <c r="AS10" s="93">
        <v>1136</v>
      </c>
      <c r="AT10" s="93">
        <v>1716</v>
      </c>
      <c r="AU10" s="93">
        <v>1784</v>
      </c>
      <c r="AV10" s="93">
        <v>2800</v>
      </c>
      <c r="AW10" s="93">
        <v>2544</v>
      </c>
      <c r="AX10" s="96">
        <v>3.75</v>
      </c>
      <c r="AY10" s="96">
        <v>3.9</v>
      </c>
      <c r="AZ10" s="96">
        <v>3.77</v>
      </c>
      <c r="BA10" s="96">
        <v>3.82</v>
      </c>
      <c r="BB10" s="96">
        <v>3.63</v>
      </c>
      <c r="BC10" s="96">
        <v>3.71</v>
      </c>
      <c r="BD10" s="96">
        <v>3.81</v>
      </c>
      <c r="BE10" s="96">
        <v>3.04</v>
      </c>
      <c r="BF10" s="96">
        <v>2.96</v>
      </c>
      <c r="BG10" s="96">
        <v>3.25</v>
      </c>
      <c r="BH10" s="96">
        <v>3.06</v>
      </c>
      <c r="BI10" s="96">
        <v>3.27</v>
      </c>
      <c r="BJ10" s="96">
        <v>3.08</v>
      </c>
      <c r="BK10" s="96">
        <v>2.93</v>
      </c>
      <c r="BL10" s="96">
        <v>3.05</v>
      </c>
      <c r="BM10" s="96">
        <v>3.1</v>
      </c>
      <c r="BN10" s="96">
        <v>3.42</v>
      </c>
      <c r="BO10" s="96">
        <v>3.91</v>
      </c>
      <c r="BP10" s="96">
        <v>3.15</v>
      </c>
      <c r="BQ10" s="96">
        <v>3.08</v>
      </c>
      <c r="BR10" s="96">
        <v>3.88</v>
      </c>
      <c r="BS10" s="96">
        <v>3.78</v>
      </c>
      <c r="BT10" s="96">
        <v>3.07</v>
      </c>
      <c r="BU10" s="96">
        <v>3.8</v>
      </c>
      <c r="BV10" s="96">
        <v>3.58</v>
      </c>
      <c r="BW10" s="96">
        <v>3.47</v>
      </c>
      <c r="BX10" s="96">
        <v>3.43</v>
      </c>
      <c r="BY10" s="96">
        <v>3.06</v>
      </c>
      <c r="BZ10" s="96">
        <v>4</v>
      </c>
      <c r="CA10" s="96">
        <v>3.38</v>
      </c>
      <c r="CB10" s="96">
        <v>3</v>
      </c>
      <c r="CC10" s="96">
        <v>3.29</v>
      </c>
      <c r="CD10" s="96">
        <v>4.05</v>
      </c>
      <c r="CE10" s="96">
        <v>3.83</v>
      </c>
      <c r="CF10" s="96">
        <v>3.1</v>
      </c>
      <c r="CG10" s="96">
        <v>4.0999999999999996</v>
      </c>
      <c r="CH10" s="96">
        <v>4.17</v>
      </c>
      <c r="CI10" s="96">
        <v>3.59</v>
      </c>
      <c r="CJ10" s="96">
        <v>4.09</v>
      </c>
      <c r="CK10" s="96">
        <v>2.9</v>
      </c>
      <c r="CL10" s="96">
        <v>3.31</v>
      </c>
      <c r="CM10" s="96">
        <v>3.58</v>
      </c>
      <c r="CN10" s="96">
        <v>4.03</v>
      </c>
      <c r="CO10" s="96">
        <v>4.18</v>
      </c>
      <c r="CP10" s="98">
        <f>SUM(Input_Raw[[#This Row],[P-01]:[P-56]])/1000</f>
        <v>77.037000000000006</v>
      </c>
      <c r="CQ10" s="71">
        <f>IFERROR(AVERAGEIF(Input_Raw[[#This Row],[WS_P-01]:[WS_P-56]],"&lt;&gt;",Input_Raw[[#This Row],[WS_P-01]:[WS_P-56]]),"")</f>
        <v>3.5081818181818183</v>
      </c>
      <c r="CR10" s="99">
        <f>MAX(Input_Raw[[#This Row],[WS_P-01]:[WS_P-56]])</f>
        <v>4.18</v>
      </c>
      <c r="CS10" s="99"/>
      <c r="CT10" s="70">
        <f>SUM(Input_Raw[[#This Row],[P-08]:[P-13]],Input_Raw[[#This Row],[P-25]:[P-28]])</f>
        <v>11848</v>
      </c>
      <c r="CU10" s="70"/>
      <c r="CV10" s="70">
        <f>SUM(Input_Raw[[#This Row],[P-04]],Input_Raw[[#This Row],[P-14]:[P-17]],Input_Raw[[#This Row],[P-19]:[P-20]],Input_Raw[[#This Row],[P-22]:[P-23]],Input_Raw[[#This Row],[P-34]],Input_Raw[[#This Row],[P-38]],Input_Raw[[#This Row],[P-43]])</f>
        <v>16977</v>
      </c>
      <c r="CW10" s="70"/>
      <c r="CX10" s="70">
        <f>SUM(Input_Raw[[#This Row],[P-05]:[P-06]],Input_Raw[[#This Row],[P-40]:[P-42]],Input_Raw[[#This Row],[P-45]],Input_Raw[[#This Row],[P-46]],Input_Raw[[#This Row],[P-47]:[P-48]])</f>
        <v>21198</v>
      </c>
      <c r="CY10" s="70"/>
      <c r="CZ10" s="70">
        <f>SUM(Input_Raw[[#This Row],[P-01]:[P-03]],Input_Raw[[#This Row],[P-07]],Input_Raw[[#This Row],[P-18]],Input_Raw[[#This Row],[P-31]:[P-32]],Input_Raw[[#This Row],[P-37]],Input_Raw[[#This Row],[P-50]:[P-56]])</f>
        <v>27014</v>
      </c>
      <c r="DA10" s="12"/>
      <c r="DB10" s="13">
        <f>Input_Raw[[#This Row],[33 kV_Wind_F1_Export reading]]/1000</f>
        <v>11.848000000000001</v>
      </c>
      <c r="DC10" s="13"/>
      <c r="DD10" s="13">
        <f>Input_Raw[[#This Row],[33 kV_Wind_F2_Export_reading]]/1000</f>
        <v>16.977</v>
      </c>
      <c r="DE10" s="13"/>
      <c r="DF10" s="13">
        <f>Input_Raw[[#This Row],[33 kV_Wind_F3_Export_Reading]]/1000</f>
        <v>21.198</v>
      </c>
      <c r="DG10" s="13"/>
      <c r="DH10" s="13">
        <f>Input_Raw[[#This Row],[33 kV_Wind_F4_Export Reading]]/1000</f>
        <v>27.013999999999999</v>
      </c>
      <c r="DI10" s="13"/>
      <c r="DJ10" s="13">
        <f>Input_Raw[[#This Row],[33 kV_F1_Total_Export (MWh)]]+Input_Raw[[#This Row],[33 kV_F2_Total_Export (MWh)2]]+Input_Raw[[#This Row],[33 kV_Wind_F3_Export (MWh)]]+Input_Raw[[#This Row],[33 kV_Wind_F4_Export (MWh)]]</f>
        <v>77.037000000000006</v>
      </c>
      <c r="DK10" s="13">
        <f>Input_Raw[[#This Row],[33 kV_Wind_F1_Import (MWh)]]+Input_Raw[[#This Row],[33 kV_Wind_F2_Import (MWh)]]+Input_Raw[[#This Row],[33 kV_Wind_F3_Import (MWh)2]]+Input_Raw[[#This Row],[33 kV_Wind_F4_Import (MWh)2]]</f>
        <v>0</v>
      </c>
      <c r="DL10" s="100">
        <f>IFERROR(Input_Raw[[#This Row],[33 kV_Wind_Total_Export (MWh)]]/Input_Raw[[#This Row],[WTG Total Gneration (MWh)]]-1,"")</f>
        <v>0</v>
      </c>
      <c r="DM10" s="66"/>
      <c r="DN10" s="186">
        <v>94</v>
      </c>
      <c r="DO10" s="186">
        <v>7538.5</v>
      </c>
      <c r="DP10" s="102">
        <v>72.739999999999995</v>
      </c>
      <c r="DQ10" s="66"/>
      <c r="DR10" s="181">
        <v>70.400000000000006</v>
      </c>
    </row>
    <row r="11" spans="1:122" ht="15">
      <c r="A11" s="92">
        <f t="shared" si="74"/>
        <v>45751</v>
      </c>
      <c r="B11" s="10">
        <f>YEAR(Input_Raw[[#This Row],[Date]])+IF(MONTH(Input_Raw[[#This Row],[Date]])&gt;=4,1,0)</f>
        <v>2026</v>
      </c>
      <c r="C11" s="10">
        <f>YEAR(Input_Raw[[#This Row],[Date]])</f>
        <v>2025</v>
      </c>
      <c r="D11" s="11">
        <f t="shared" si="75"/>
        <v>45748</v>
      </c>
      <c r="E11" s="10">
        <f>DAY(EOMONTH(Input_Raw[[#This Row],[Date]],0))</f>
        <v>30</v>
      </c>
      <c r="F11" s="93">
        <v>2716</v>
      </c>
      <c r="G11" s="93">
        <v>2818</v>
      </c>
      <c r="H11" s="93">
        <v>3052</v>
      </c>
      <c r="I11" s="93">
        <v>3092</v>
      </c>
      <c r="J11" s="93">
        <v>3528</v>
      </c>
      <c r="K11" s="93">
        <v>2796</v>
      </c>
      <c r="L11" s="93">
        <v>2618</v>
      </c>
      <c r="M11" s="93">
        <v>2496</v>
      </c>
      <c r="N11" s="93">
        <v>1856</v>
      </c>
      <c r="O11" s="93">
        <v>2021.9999999999998</v>
      </c>
      <c r="P11" s="93">
        <v>2102</v>
      </c>
      <c r="Q11" s="93">
        <v>2154</v>
      </c>
      <c r="R11" s="93">
        <v>2434</v>
      </c>
      <c r="S11" s="93">
        <v>1572</v>
      </c>
      <c r="T11" s="93">
        <v>798</v>
      </c>
      <c r="U11" s="93">
        <v>1024</v>
      </c>
      <c r="V11" s="93">
        <v>1380</v>
      </c>
      <c r="W11" s="93">
        <v>3196</v>
      </c>
      <c r="X11" s="93">
        <v>1406</v>
      </c>
      <c r="Y11" s="93">
        <v>1083</v>
      </c>
      <c r="Z11" s="93">
        <v>3124</v>
      </c>
      <c r="AA11" s="93">
        <v>3560</v>
      </c>
      <c r="AB11" s="93">
        <v>3108</v>
      </c>
      <c r="AC11" s="93">
        <v>2848</v>
      </c>
      <c r="AD11" s="93">
        <v>3372</v>
      </c>
      <c r="AE11" s="93">
        <v>3032</v>
      </c>
      <c r="AF11" s="93">
        <v>3404</v>
      </c>
      <c r="AG11" s="93">
        <v>2240</v>
      </c>
      <c r="AH11" s="93">
        <v>2868</v>
      </c>
      <c r="AI11" s="93">
        <v>3262</v>
      </c>
      <c r="AJ11" s="93">
        <v>1412</v>
      </c>
      <c r="AK11" s="93">
        <v>1696</v>
      </c>
      <c r="AL11" s="93">
        <v>3168</v>
      </c>
      <c r="AM11" s="93">
        <v>2904</v>
      </c>
      <c r="AN11" s="93">
        <v>3116</v>
      </c>
      <c r="AO11" s="93">
        <v>4976</v>
      </c>
      <c r="AP11" s="93">
        <v>4096</v>
      </c>
      <c r="AQ11" s="93">
        <v>3300</v>
      </c>
      <c r="AR11" s="93">
        <v>3096</v>
      </c>
      <c r="AS11" s="93">
        <v>1672</v>
      </c>
      <c r="AT11" s="93">
        <v>2784</v>
      </c>
      <c r="AU11" s="93">
        <v>3192</v>
      </c>
      <c r="AV11" s="93">
        <v>3516</v>
      </c>
      <c r="AW11" s="93">
        <v>3316</v>
      </c>
      <c r="AX11" s="95">
        <v>3.96</v>
      </c>
      <c r="AY11" s="95">
        <v>4.34</v>
      </c>
      <c r="AZ11" s="95">
        <v>4.2699999999999996</v>
      </c>
      <c r="BA11" s="95">
        <v>3.99</v>
      </c>
      <c r="BB11" s="95">
        <v>4.1500000000000004</v>
      </c>
      <c r="BC11" s="95">
        <v>4.29</v>
      </c>
      <c r="BD11" s="95">
        <v>4.33</v>
      </c>
      <c r="BE11" s="95">
        <v>3.96</v>
      </c>
      <c r="BF11" s="95">
        <v>3.8</v>
      </c>
      <c r="BG11" s="95">
        <v>4.17</v>
      </c>
      <c r="BH11" s="95">
        <v>3.88</v>
      </c>
      <c r="BI11" s="95">
        <v>4.03</v>
      </c>
      <c r="BJ11" s="95">
        <v>4.0199999999999996</v>
      </c>
      <c r="BK11" s="95">
        <v>4.03</v>
      </c>
      <c r="BL11" s="95">
        <v>3.52</v>
      </c>
      <c r="BM11" s="95">
        <v>3.7</v>
      </c>
      <c r="BN11" s="95">
        <v>4.0199999999999996</v>
      </c>
      <c r="BO11" s="95">
        <v>4.42</v>
      </c>
      <c r="BP11" s="95">
        <v>3.89</v>
      </c>
      <c r="BQ11" s="95">
        <v>3.63</v>
      </c>
      <c r="BR11" s="95">
        <v>4.3</v>
      </c>
      <c r="BS11" s="95">
        <v>4.34</v>
      </c>
      <c r="BT11" s="95">
        <v>3.96</v>
      </c>
      <c r="BU11" s="95">
        <v>4.3499999999999996</v>
      </c>
      <c r="BV11" s="95">
        <v>4.3</v>
      </c>
      <c r="BW11" s="95">
        <v>4.22</v>
      </c>
      <c r="BX11" s="95">
        <v>3.98</v>
      </c>
      <c r="BY11" s="95">
        <v>3.89</v>
      </c>
      <c r="BZ11" s="95">
        <v>4.03</v>
      </c>
      <c r="CA11" s="95">
        <v>4.3899999999999997</v>
      </c>
      <c r="CB11" s="95">
        <v>3.61</v>
      </c>
      <c r="CC11" s="95">
        <v>3.66</v>
      </c>
      <c r="CD11" s="95">
        <v>4.53</v>
      </c>
      <c r="CE11" s="95">
        <v>4.07</v>
      </c>
      <c r="CF11" s="95">
        <v>4.04</v>
      </c>
      <c r="CG11" s="95">
        <v>5.01</v>
      </c>
      <c r="CH11" s="95">
        <v>4.83</v>
      </c>
      <c r="CI11" s="95">
        <v>4.0199999999999996</v>
      </c>
      <c r="CJ11" s="95">
        <v>4.4000000000000004</v>
      </c>
      <c r="CK11" s="95">
        <v>3.65</v>
      </c>
      <c r="CL11" s="95">
        <v>4.1900000000000004</v>
      </c>
      <c r="CM11" s="95">
        <v>4.59</v>
      </c>
      <c r="CN11" s="95">
        <v>4.67</v>
      </c>
      <c r="CO11" s="95">
        <v>4.8899999999999997</v>
      </c>
      <c r="CP11" s="98">
        <f>SUM(Input_Raw[[#This Row],[P-01]:[P-56]])/1000</f>
        <v>117.205</v>
      </c>
      <c r="CQ11" s="71">
        <f>IFERROR(AVERAGEIF(Input_Raw[[#This Row],[WS_P-01]:[WS_P-56]],"&lt;&gt;",Input_Raw[[#This Row],[WS_P-01]:[WS_P-56]]),"")</f>
        <v>4.1436363636363627</v>
      </c>
      <c r="CR11" s="99">
        <f>MAX(Input_Raw[[#This Row],[WS_P-01]:[WS_P-56]])</f>
        <v>5.01</v>
      </c>
      <c r="CS11" s="99"/>
      <c r="CT11" s="70">
        <f>SUM(Input_Raw[[#This Row],[P-08]:[P-13]],Input_Raw[[#This Row],[P-25]:[P-28]])</f>
        <v>25424</v>
      </c>
      <c r="CU11" s="70"/>
      <c r="CV11" s="70">
        <f>SUM(Input_Raw[[#This Row],[P-04]],Input_Raw[[#This Row],[P-14]:[P-17]],Input_Raw[[#This Row],[P-19]:[P-20]],Input_Raw[[#This Row],[P-22]:[P-23]],Input_Raw[[#This Row],[P-34]],Input_Raw[[#This Row],[P-38]],Input_Raw[[#This Row],[P-43]])</f>
        <v>24435</v>
      </c>
      <c r="CW11" s="70"/>
      <c r="CX11" s="70">
        <f>SUM(Input_Raw[[#This Row],[P-05]:[P-06]],Input_Raw[[#This Row],[P-40]:[P-42]],Input_Raw[[#This Row],[P-45]],Input_Raw[[#This Row],[P-46]],Input_Raw[[#This Row],[P-47]:[P-48]])</f>
        <v>29560</v>
      </c>
      <c r="CY11" s="70"/>
      <c r="CZ11" s="70">
        <f>SUM(Input_Raw[[#This Row],[P-01]:[P-03]],Input_Raw[[#This Row],[P-07]],Input_Raw[[#This Row],[P-18]],Input_Raw[[#This Row],[P-31]:[P-32]],Input_Raw[[#This Row],[P-37]],Input_Raw[[#This Row],[P-50]:[P-56]])</f>
        <v>37786</v>
      </c>
      <c r="DA11" s="12"/>
      <c r="DB11" s="13">
        <f>Input_Raw[[#This Row],[33 kV_Wind_F1_Export reading]]/1000</f>
        <v>25.423999999999999</v>
      </c>
      <c r="DC11" s="13"/>
      <c r="DD11" s="13">
        <f>Input_Raw[[#This Row],[33 kV_Wind_F2_Export_reading]]/1000</f>
        <v>24.434999999999999</v>
      </c>
      <c r="DE11" s="13"/>
      <c r="DF11" s="13">
        <f>Input_Raw[[#This Row],[33 kV_Wind_F3_Export_Reading]]/1000</f>
        <v>29.56</v>
      </c>
      <c r="DG11" s="13"/>
      <c r="DH11" s="13">
        <f>Input_Raw[[#This Row],[33 kV_Wind_F4_Export Reading]]/1000</f>
        <v>37.786000000000001</v>
      </c>
      <c r="DI11" s="13"/>
      <c r="DJ11" s="13">
        <f>Input_Raw[[#This Row],[33 kV_F1_Total_Export (MWh)]]+Input_Raw[[#This Row],[33 kV_F2_Total_Export (MWh)2]]+Input_Raw[[#This Row],[33 kV_Wind_F3_Export (MWh)]]+Input_Raw[[#This Row],[33 kV_Wind_F4_Export (MWh)]]</f>
        <v>117.205</v>
      </c>
      <c r="DK11" s="13">
        <f>Input_Raw[[#This Row],[33 kV_Wind_F1_Import (MWh)]]+Input_Raw[[#This Row],[33 kV_Wind_F2_Import (MWh)]]+Input_Raw[[#This Row],[33 kV_Wind_F3_Import (MWh)2]]+Input_Raw[[#This Row],[33 kV_Wind_F4_Import (MWh)2]]</f>
        <v>0</v>
      </c>
      <c r="DL11" s="100">
        <f>IFERROR(Input_Raw[[#This Row],[33 kV_Wind_Total_Export (MWh)]]/Input_Raw[[#This Row],[WTG Total Gneration (MWh)]]-1,"")</f>
        <v>0</v>
      </c>
      <c r="DM11" s="66"/>
      <c r="DN11" s="186">
        <v>80</v>
      </c>
      <c r="DO11" s="186">
        <v>1459.87</v>
      </c>
      <c r="DP11" s="102">
        <v>115.35</v>
      </c>
      <c r="DQ11" s="67"/>
      <c r="DR11" s="181">
        <v>70.400000000000006</v>
      </c>
    </row>
    <row r="12" spans="1:122" ht="15">
      <c r="A12" s="92">
        <f t="shared" si="74"/>
        <v>45752</v>
      </c>
      <c r="B12" s="10">
        <f>YEAR(Input_Raw[[#This Row],[Date]])+IF(MONTH(Input_Raw[[#This Row],[Date]])&gt;=4,1,0)</f>
        <v>2026</v>
      </c>
      <c r="C12" s="10">
        <f>YEAR(Input_Raw[[#This Row],[Date]])</f>
        <v>2025</v>
      </c>
      <c r="D12" s="11">
        <f t="shared" ref="D12" si="76">A12-DAY(A12)+1</f>
        <v>45748</v>
      </c>
      <c r="E12" s="10">
        <f>DAY(EOMONTH(Input_Raw[[#This Row],[Date]],0))</f>
        <v>30</v>
      </c>
      <c r="F12" s="93">
        <v>2060</v>
      </c>
      <c r="G12" s="93">
        <v>3368</v>
      </c>
      <c r="H12" s="93">
        <v>3088</v>
      </c>
      <c r="I12" s="93">
        <v>5440</v>
      </c>
      <c r="J12" s="93">
        <v>2920</v>
      </c>
      <c r="K12" s="93">
        <v>2352</v>
      </c>
      <c r="L12" s="93">
        <v>2928</v>
      </c>
      <c r="M12" s="93">
        <v>2116</v>
      </c>
      <c r="N12" s="93">
        <v>2560</v>
      </c>
      <c r="O12" s="93">
        <v>2424</v>
      </c>
      <c r="P12" s="93">
        <v>2928</v>
      </c>
      <c r="Q12" s="93">
        <v>2598</v>
      </c>
      <c r="R12" s="93">
        <v>2442</v>
      </c>
      <c r="S12" s="93">
        <v>2302</v>
      </c>
      <c r="T12" s="93">
        <v>1794</v>
      </c>
      <c r="U12" s="93">
        <v>2009.9999999999998</v>
      </c>
      <c r="V12" s="93">
        <v>1980</v>
      </c>
      <c r="W12" s="93">
        <v>2884</v>
      </c>
      <c r="X12" s="93">
        <v>2430</v>
      </c>
      <c r="Y12" s="93">
        <v>2109</v>
      </c>
      <c r="Z12" s="93">
        <v>5192</v>
      </c>
      <c r="AA12" s="93">
        <v>6060</v>
      </c>
      <c r="AB12" s="93">
        <v>4888</v>
      </c>
      <c r="AC12" s="93">
        <v>4600</v>
      </c>
      <c r="AD12" s="93">
        <v>3876</v>
      </c>
      <c r="AE12" s="93">
        <v>3448</v>
      </c>
      <c r="AF12" s="93">
        <v>932</v>
      </c>
      <c r="AG12" s="93">
        <v>1628</v>
      </c>
      <c r="AH12" s="93">
        <v>4011.9999999999995</v>
      </c>
      <c r="AI12" s="93">
        <v>3004</v>
      </c>
      <c r="AJ12" s="93">
        <v>2596</v>
      </c>
      <c r="AK12" s="93">
        <v>1232</v>
      </c>
      <c r="AL12" s="93">
        <v>2628</v>
      </c>
      <c r="AM12" s="93">
        <v>2704</v>
      </c>
      <c r="AN12" s="93">
        <v>4318</v>
      </c>
      <c r="AO12" s="93">
        <v>4075.9999999999995</v>
      </c>
      <c r="AP12" s="93">
        <v>2524</v>
      </c>
      <c r="AQ12" s="93">
        <v>2308</v>
      </c>
      <c r="AR12" s="93">
        <v>2484</v>
      </c>
      <c r="AS12" s="93">
        <v>1624</v>
      </c>
      <c r="AT12" s="93">
        <v>1794</v>
      </c>
      <c r="AU12" s="93">
        <v>2880</v>
      </c>
      <c r="AV12" s="93">
        <v>4144</v>
      </c>
      <c r="AW12" s="93">
        <v>1756</v>
      </c>
      <c r="AX12" s="95">
        <v>4.42</v>
      </c>
      <c r="AY12" s="95">
        <v>4.7699999999999996</v>
      </c>
      <c r="AZ12" s="95">
        <v>4.6399999999999997</v>
      </c>
      <c r="BA12" s="95">
        <v>5.33</v>
      </c>
      <c r="BB12" s="95">
        <v>4.37</v>
      </c>
      <c r="BC12" s="95">
        <v>4.3899999999999997</v>
      </c>
      <c r="BD12" s="95">
        <v>4.6100000000000003</v>
      </c>
      <c r="BE12" s="95">
        <v>3.98</v>
      </c>
      <c r="BF12" s="95">
        <v>4.5</v>
      </c>
      <c r="BG12" s="95">
        <v>4.7</v>
      </c>
      <c r="BH12" s="95">
        <v>4.5</v>
      </c>
      <c r="BI12" s="95">
        <v>4.4400000000000004</v>
      </c>
      <c r="BJ12" s="95">
        <v>4.3899999999999997</v>
      </c>
      <c r="BK12" s="95">
        <v>4.29</v>
      </c>
      <c r="BL12" s="95">
        <v>4.17</v>
      </c>
      <c r="BM12" s="95">
        <v>4.18</v>
      </c>
      <c r="BN12" s="95">
        <v>4.13</v>
      </c>
      <c r="BO12" s="95">
        <v>4.47</v>
      </c>
      <c r="BP12" s="95">
        <v>4.3499999999999996</v>
      </c>
      <c r="BQ12" s="95">
        <v>4.07</v>
      </c>
      <c r="BR12" s="95">
        <v>5.38</v>
      </c>
      <c r="BS12" s="95">
        <v>5.5</v>
      </c>
      <c r="BT12" s="95">
        <v>4.9000000000000004</v>
      </c>
      <c r="BU12" s="95">
        <v>5.23</v>
      </c>
      <c r="BV12" s="95">
        <v>4.8600000000000003</v>
      </c>
      <c r="BW12" s="95">
        <v>4.79</v>
      </c>
      <c r="BX12" s="95">
        <v>4.0199999999999996</v>
      </c>
      <c r="BY12" s="95">
        <v>3.47</v>
      </c>
      <c r="BZ12" s="95">
        <v>4.7699999999999996</v>
      </c>
      <c r="CA12" s="95">
        <v>4.29</v>
      </c>
      <c r="CB12" s="95">
        <v>4.09</v>
      </c>
      <c r="CC12" s="95">
        <v>3.79</v>
      </c>
      <c r="CD12" s="95">
        <v>4.63</v>
      </c>
      <c r="CE12" s="95">
        <v>4.21</v>
      </c>
      <c r="CF12" s="95">
        <v>4.78</v>
      </c>
      <c r="CG12" s="95">
        <v>5.01</v>
      </c>
      <c r="CH12" s="95">
        <v>4.37</v>
      </c>
      <c r="CI12" s="95">
        <v>3.73</v>
      </c>
      <c r="CJ12" s="95">
        <v>4.3</v>
      </c>
      <c r="CK12" s="95">
        <v>3.58</v>
      </c>
      <c r="CL12" s="95">
        <v>3.47</v>
      </c>
      <c r="CM12" s="95">
        <v>4.34</v>
      </c>
      <c r="CN12" s="95">
        <v>4.92</v>
      </c>
      <c r="CO12" s="95">
        <v>4.63</v>
      </c>
      <c r="CP12" s="98">
        <f>SUM(Input_Raw[[#This Row],[P-01]:[P-56]])/1000</f>
        <v>127.441</v>
      </c>
      <c r="CQ12" s="71">
        <f>IFERROR(AVERAGEIF(Input_Raw[[#This Row],[WS_P-01]:[WS_P-56]],"&lt;&gt;",Input_Raw[[#This Row],[WS_P-01]:[WS_P-56]]),"")</f>
        <v>4.4490909090909092</v>
      </c>
      <c r="CR12" s="99">
        <f>MAX(Input_Raw[[#This Row],[WS_P-01]:[WS_P-56]])</f>
        <v>5.5</v>
      </c>
      <c r="CS12" s="99"/>
      <c r="CT12" s="70">
        <f>SUM(Input_Raw[[#This Row],[P-08]:[P-13]],Input_Raw[[#This Row],[P-25]:[P-28]])</f>
        <v>31880</v>
      </c>
      <c r="CU12" s="70"/>
      <c r="CV12" s="70">
        <f>SUM(Input_Raw[[#This Row],[P-04]],Input_Raw[[#This Row],[P-14]:[P-17]],Input_Raw[[#This Row],[P-19]:[P-20]],Input_Raw[[#This Row],[P-22]:[P-23]],Input_Raw[[#This Row],[P-34]],Input_Raw[[#This Row],[P-38]],Input_Raw[[#This Row],[P-43]])</f>
        <v>40243</v>
      </c>
      <c r="CW12" s="70"/>
      <c r="CX12" s="70">
        <f>SUM(Input_Raw[[#This Row],[P-05]:[P-06]],Input_Raw[[#This Row],[P-40]:[P-42]],Input_Raw[[#This Row],[P-45]],Input_Raw[[#This Row],[P-46]],Input_Raw[[#This Row],[P-47]:[P-48]])</f>
        <v>23228</v>
      </c>
      <c r="CY12" s="70"/>
      <c r="CZ12" s="70">
        <f>SUM(Input_Raw[[#This Row],[P-01]:[P-03]],Input_Raw[[#This Row],[P-07]],Input_Raw[[#This Row],[P-18]],Input_Raw[[#This Row],[P-31]:[P-32]],Input_Raw[[#This Row],[P-37]],Input_Raw[[#This Row],[P-50]:[P-56]])</f>
        <v>32090</v>
      </c>
      <c r="DA12" s="12"/>
      <c r="DB12" s="13">
        <f>Input_Raw[[#This Row],[33 kV_Wind_F1_Export reading]]/1000</f>
        <v>31.88</v>
      </c>
      <c r="DC12" s="13"/>
      <c r="DD12" s="13">
        <f>Input_Raw[[#This Row],[33 kV_Wind_F2_Export_reading]]/1000</f>
        <v>40.243000000000002</v>
      </c>
      <c r="DE12" s="13"/>
      <c r="DF12" s="13">
        <f>Input_Raw[[#This Row],[33 kV_Wind_F3_Export_Reading]]/1000</f>
        <v>23.228000000000002</v>
      </c>
      <c r="DG12" s="13"/>
      <c r="DH12" s="13">
        <f>Input_Raw[[#This Row],[33 kV_Wind_F4_Export Reading]]/1000</f>
        <v>32.090000000000003</v>
      </c>
      <c r="DI12" s="13"/>
      <c r="DJ12" s="13">
        <f>Input_Raw[[#This Row],[33 kV_F1_Total_Export (MWh)]]+Input_Raw[[#This Row],[33 kV_F2_Total_Export (MWh)2]]+Input_Raw[[#This Row],[33 kV_Wind_F3_Export (MWh)]]+Input_Raw[[#This Row],[33 kV_Wind_F4_Export (MWh)]]</f>
        <v>127.441</v>
      </c>
      <c r="DK12" s="13">
        <f>Input_Raw[[#This Row],[33 kV_Wind_F1_Import (MWh)]]+Input_Raw[[#This Row],[33 kV_Wind_F2_Import (MWh)]]+Input_Raw[[#This Row],[33 kV_Wind_F3_Import (MWh)2]]+Input_Raw[[#This Row],[33 kV_Wind_F4_Import (MWh)2]]</f>
        <v>0</v>
      </c>
      <c r="DL12" s="100">
        <f>IFERROR(Input_Raw[[#This Row],[33 kV_Wind_Total_Export (MWh)]]/Input_Raw[[#This Row],[WTG Total Gneration (MWh)]]-1,"")</f>
        <v>0</v>
      </c>
      <c r="DM12" s="66"/>
      <c r="DN12" s="186">
        <v>93</v>
      </c>
      <c r="DO12" s="186">
        <v>0</v>
      </c>
      <c r="DP12" s="102">
        <v>127.87</v>
      </c>
      <c r="DQ12" s="66"/>
      <c r="DR12" s="181">
        <v>70.400000000000006</v>
      </c>
    </row>
    <row r="13" spans="1:122" ht="15">
      <c r="A13" s="92">
        <f t="shared" si="74"/>
        <v>45753</v>
      </c>
      <c r="B13" s="10">
        <f>YEAR(Input_Raw[[#This Row],[Date]])+IF(MONTH(Input_Raw[[#This Row],[Date]])&gt;=4,1,0)</f>
        <v>2026</v>
      </c>
      <c r="C13" s="10">
        <f>YEAR(Input_Raw[[#This Row],[Date]])</f>
        <v>2025</v>
      </c>
      <c r="D13" s="11">
        <f t="shared" ref="D13" si="77">A13-DAY(A13)+1</f>
        <v>45748</v>
      </c>
      <c r="E13" s="10">
        <f>DAY(EOMONTH(Input_Raw[[#This Row],[Date]],0))</f>
        <v>30</v>
      </c>
      <c r="F13" s="93">
        <v>3244</v>
      </c>
      <c r="G13" s="93">
        <v>3292</v>
      </c>
      <c r="H13" s="93">
        <v>3884</v>
      </c>
      <c r="I13" s="93">
        <v>3042</v>
      </c>
      <c r="J13" s="93">
        <v>2524</v>
      </c>
      <c r="K13" s="93">
        <v>2080</v>
      </c>
      <c r="L13" s="93">
        <v>2482</v>
      </c>
      <c r="M13" s="93">
        <v>1488</v>
      </c>
      <c r="N13" s="93">
        <v>976</v>
      </c>
      <c r="O13" s="93">
        <v>926</v>
      </c>
      <c r="P13" s="93">
        <v>1140</v>
      </c>
      <c r="Q13" s="93">
        <v>1108</v>
      </c>
      <c r="R13" s="93">
        <v>1112</v>
      </c>
      <c r="S13" s="93">
        <v>1008</v>
      </c>
      <c r="T13" s="93">
        <v>936</v>
      </c>
      <c r="U13" s="93">
        <v>1118</v>
      </c>
      <c r="V13" s="93">
        <v>1250</v>
      </c>
      <c r="W13" s="93">
        <v>2768</v>
      </c>
      <c r="X13" s="93">
        <v>1508</v>
      </c>
      <c r="Y13" s="93">
        <v>1524</v>
      </c>
      <c r="Z13" s="93">
        <v>3800</v>
      </c>
      <c r="AA13" s="93">
        <v>4304</v>
      </c>
      <c r="AB13" s="93">
        <v>2012</v>
      </c>
      <c r="AC13" s="93">
        <v>1844</v>
      </c>
      <c r="AD13" s="93">
        <v>2212</v>
      </c>
      <c r="AE13" s="93">
        <v>1920</v>
      </c>
      <c r="AF13" s="93">
        <v>2236</v>
      </c>
      <c r="AG13" s="93">
        <v>1880</v>
      </c>
      <c r="AH13" s="93">
        <v>2572</v>
      </c>
      <c r="AI13" s="93">
        <v>2672</v>
      </c>
      <c r="AJ13" s="93">
        <v>1566</v>
      </c>
      <c r="AK13" s="93">
        <v>1008</v>
      </c>
      <c r="AL13" s="93">
        <v>2348</v>
      </c>
      <c r="AM13" s="93">
        <v>2512</v>
      </c>
      <c r="AN13" s="93">
        <v>1958</v>
      </c>
      <c r="AO13" s="93">
        <v>3400</v>
      </c>
      <c r="AP13" s="93">
        <v>2372</v>
      </c>
      <c r="AQ13" s="93">
        <v>1964</v>
      </c>
      <c r="AR13" s="93">
        <v>2248</v>
      </c>
      <c r="AS13" s="93">
        <v>2640</v>
      </c>
      <c r="AT13" s="93">
        <v>2660</v>
      </c>
      <c r="AU13" s="93">
        <v>3484</v>
      </c>
      <c r="AV13" s="93">
        <v>3868</v>
      </c>
      <c r="AW13" s="93">
        <v>2240</v>
      </c>
      <c r="AX13" s="95">
        <v>4.2300000000000004</v>
      </c>
      <c r="AY13" s="95">
        <v>4.51</v>
      </c>
      <c r="AZ13" s="95">
        <v>4.5599999999999996</v>
      </c>
      <c r="BA13" s="95">
        <v>4.1399999999999997</v>
      </c>
      <c r="BB13" s="95">
        <v>3.63</v>
      </c>
      <c r="BC13" s="95">
        <v>3.82</v>
      </c>
      <c r="BD13" s="95">
        <v>4.2300000000000004</v>
      </c>
      <c r="BE13" s="95">
        <v>3.61</v>
      </c>
      <c r="BF13" s="95">
        <v>3.24</v>
      </c>
      <c r="BG13" s="95">
        <v>3.51</v>
      </c>
      <c r="BH13" s="95">
        <v>3.25</v>
      </c>
      <c r="BI13" s="95">
        <v>3.43</v>
      </c>
      <c r="BJ13" s="95">
        <v>3.26</v>
      </c>
      <c r="BK13" s="95">
        <v>3.08</v>
      </c>
      <c r="BL13" s="95">
        <v>3.13</v>
      </c>
      <c r="BM13" s="95">
        <v>3.02</v>
      </c>
      <c r="BN13" s="95">
        <v>3.43</v>
      </c>
      <c r="BO13" s="95">
        <v>4.12</v>
      </c>
      <c r="BP13" s="95">
        <v>3.39</v>
      </c>
      <c r="BQ13" s="95">
        <v>3.18</v>
      </c>
      <c r="BR13" s="95">
        <v>4.67</v>
      </c>
      <c r="BS13" s="95">
        <v>4.7</v>
      </c>
      <c r="BT13" s="95">
        <v>3.63</v>
      </c>
      <c r="BU13" s="95">
        <v>4.1399999999999997</v>
      </c>
      <c r="BV13" s="95">
        <v>4</v>
      </c>
      <c r="BW13" s="95">
        <v>3.78</v>
      </c>
      <c r="BX13" s="95">
        <v>3.84</v>
      </c>
      <c r="BY13" s="95">
        <v>3.49</v>
      </c>
      <c r="BZ13" s="95">
        <v>3.96</v>
      </c>
      <c r="CA13" s="95">
        <v>3.96</v>
      </c>
      <c r="CB13" s="95">
        <v>3.03</v>
      </c>
      <c r="CC13" s="95">
        <v>3.09</v>
      </c>
      <c r="CD13" s="95">
        <v>4.17</v>
      </c>
      <c r="CE13" s="95">
        <v>3.84</v>
      </c>
      <c r="CF13" s="95">
        <v>3.59</v>
      </c>
      <c r="CG13" s="95">
        <v>4.66</v>
      </c>
      <c r="CH13" s="95">
        <v>4.34</v>
      </c>
      <c r="CI13" s="95">
        <v>3.64</v>
      </c>
      <c r="CJ13" s="95">
        <v>3.99</v>
      </c>
      <c r="CK13" s="95">
        <v>3.64</v>
      </c>
      <c r="CL13" s="95">
        <v>3.73</v>
      </c>
      <c r="CM13" s="95">
        <v>4.3</v>
      </c>
      <c r="CN13" s="95">
        <v>4.67</v>
      </c>
      <c r="CO13" s="95">
        <v>4.24</v>
      </c>
      <c r="CP13" s="98">
        <f>SUM(Input_Raw[[#This Row],[P-01]:[P-56]])/1000</f>
        <v>97.13</v>
      </c>
      <c r="CQ13" s="71">
        <f>IFERROR(AVERAGEIF(Input_Raw[[#This Row],[WS_P-01]:[WS_P-56]],"&lt;&gt;",Input_Raw[[#This Row],[WS_P-01]:[WS_P-56]]),"")</f>
        <v>3.815227272727272</v>
      </c>
      <c r="CR13" s="99">
        <f>MAX(Input_Raw[[#This Row],[WS_P-01]:[WS_P-56]])</f>
        <v>4.7</v>
      </c>
      <c r="CS13" s="99"/>
      <c r="CT13" s="70">
        <f>SUM(Input_Raw[[#This Row],[P-08]:[P-13]],Input_Raw[[#This Row],[P-25]:[P-28]])</f>
        <v>14738</v>
      </c>
      <c r="CU13" s="70"/>
      <c r="CV13" s="70">
        <f>SUM(Input_Raw[[#This Row],[P-04]],Input_Raw[[#This Row],[P-14]:[P-17]],Input_Raw[[#This Row],[P-19]:[P-20]],Input_Raw[[#This Row],[P-22]:[P-23]],Input_Raw[[#This Row],[P-34]],Input_Raw[[#This Row],[P-38]],Input_Raw[[#This Row],[P-43]])</f>
        <v>24586</v>
      </c>
      <c r="CW13" s="70"/>
      <c r="CX13" s="70">
        <f>SUM(Input_Raw[[#This Row],[P-05]:[P-06]],Input_Raw[[#This Row],[P-40]:[P-42]],Input_Raw[[#This Row],[P-45]],Input_Raw[[#This Row],[P-46]],Input_Raw[[#This Row],[P-47]:[P-48]])</f>
        <v>20456</v>
      </c>
      <c r="CY13" s="70"/>
      <c r="CZ13" s="70">
        <f>SUM(Input_Raw[[#This Row],[P-01]:[P-03]],Input_Raw[[#This Row],[P-07]],Input_Raw[[#This Row],[P-18]],Input_Raw[[#This Row],[P-31]:[P-32]],Input_Raw[[#This Row],[P-37]],Input_Raw[[#This Row],[P-50]:[P-56]])</f>
        <v>37350</v>
      </c>
      <c r="DA13" s="12"/>
      <c r="DB13" s="13">
        <f>Input_Raw[[#This Row],[33 kV_Wind_F1_Export reading]]/1000</f>
        <v>14.738</v>
      </c>
      <c r="DC13" s="13"/>
      <c r="DD13" s="13">
        <f>Input_Raw[[#This Row],[33 kV_Wind_F2_Export_reading]]/1000</f>
        <v>24.585999999999999</v>
      </c>
      <c r="DE13" s="13"/>
      <c r="DF13" s="13">
        <f>Input_Raw[[#This Row],[33 kV_Wind_F3_Export_Reading]]/1000</f>
        <v>20.456</v>
      </c>
      <c r="DG13" s="13"/>
      <c r="DH13" s="13">
        <f>Input_Raw[[#This Row],[33 kV_Wind_F4_Export Reading]]/1000</f>
        <v>37.35</v>
      </c>
      <c r="DI13" s="13"/>
      <c r="DJ13" s="13">
        <f>Input_Raw[[#This Row],[33 kV_F1_Total_Export (MWh)]]+Input_Raw[[#This Row],[33 kV_F2_Total_Export (MWh)2]]+Input_Raw[[#This Row],[33 kV_Wind_F3_Export (MWh)]]+Input_Raw[[#This Row],[33 kV_Wind_F4_Export (MWh)]]</f>
        <v>97.13</v>
      </c>
      <c r="DK13" s="13">
        <f>Input_Raw[[#This Row],[33 kV_Wind_F1_Import (MWh)]]+Input_Raw[[#This Row],[33 kV_Wind_F2_Import (MWh)]]+Input_Raw[[#This Row],[33 kV_Wind_F3_Import (MWh)2]]+Input_Raw[[#This Row],[33 kV_Wind_F4_Import (MWh)2]]</f>
        <v>0</v>
      </c>
      <c r="DL13" s="100">
        <f>IFERROR(Input_Raw[[#This Row],[33 kV_Wind_Total_Export (MWh)]]/Input_Raw[[#This Row],[WTG Total Gneration (MWh)]]-1,"")</f>
        <v>0</v>
      </c>
      <c r="DM13" s="66"/>
      <c r="DN13" s="186">
        <v>42</v>
      </c>
      <c r="DO13" s="186">
        <v>0</v>
      </c>
      <c r="DP13" s="102">
        <v>89.31</v>
      </c>
      <c r="DQ13" s="66"/>
      <c r="DR13" s="181">
        <v>70.400000000000006</v>
      </c>
    </row>
    <row r="14" spans="1:122" ht="15">
      <c r="A14" s="92">
        <f t="shared" si="74"/>
        <v>45754</v>
      </c>
      <c r="B14" s="10">
        <f>YEAR(Input_Raw[[#This Row],[Date]])+IF(MONTH(Input_Raw[[#This Row],[Date]])&gt;=4,1,0)</f>
        <v>2026</v>
      </c>
      <c r="C14" s="10">
        <f>YEAR(Input_Raw[[#This Row],[Date]])</f>
        <v>2025</v>
      </c>
      <c r="D14" s="11">
        <f t="shared" ref="D14:D18" si="78">A14-DAY(A14)+1</f>
        <v>45748</v>
      </c>
      <c r="E14" s="10">
        <f>DAY(EOMONTH(Input_Raw[[#This Row],[Date]],0))</f>
        <v>30</v>
      </c>
      <c r="F14" s="93">
        <v>4816</v>
      </c>
      <c r="G14" s="93">
        <v>6158</v>
      </c>
      <c r="H14" s="93">
        <v>6360</v>
      </c>
      <c r="I14" s="93">
        <v>4018</v>
      </c>
      <c r="J14" s="93">
        <v>2620</v>
      </c>
      <c r="K14" s="93">
        <v>2224</v>
      </c>
      <c r="L14" s="93">
        <v>3702</v>
      </c>
      <c r="M14" s="93">
        <v>1354</v>
      </c>
      <c r="N14" s="93">
        <v>864</v>
      </c>
      <c r="O14" s="93">
        <v>940</v>
      </c>
      <c r="P14" s="93">
        <v>1064</v>
      </c>
      <c r="Q14" s="93">
        <v>1380</v>
      </c>
      <c r="R14" s="93">
        <v>1418</v>
      </c>
      <c r="S14" s="93">
        <v>1652</v>
      </c>
      <c r="T14" s="93">
        <v>1514</v>
      </c>
      <c r="U14" s="93">
        <v>1754</v>
      </c>
      <c r="V14" s="93">
        <v>1870</v>
      </c>
      <c r="W14" s="93">
        <v>4848</v>
      </c>
      <c r="X14" s="93">
        <v>2142</v>
      </c>
      <c r="Y14" s="93">
        <v>1905</v>
      </c>
      <c r="Z14" s="93">
        <v>3932</v>
      </c>
      <c r="AA14" s="93">
        <v>4732</v>
      </c>
      <c r="AB14" s="93">
        <v>2128</v>
      </c>
      <c r="AC14" s="93">
        <v>2264</v>
      </c>
      <c r="AD14" s="93">
        <v>2656</v>
      </c>
      <c r="AE14" s="93">
        <v>2448</v>
      </c>
      <c r="AF14" s="93">
        <v>6486</v>
      </c>
      <c r="AG14" s="93">
        <v>2492</v>
      </c>
      <c r="AH14" s="93">
        <v>3980</v>
      </c>
      <c r="AI14" s="93">
        <v>3524</v>
      </c>
      <c r="AJ14" s="93">
        <v>1970</v>
      </c>
      <c r="AK14" s="93">
        <v>604</v>
      </c>
      <c r="AL14" s="93">
        <v>2424</v>
      </c>
      <c r="AM14" s="93">
        <v>3584</v>
      </c>
      <c r="AN14" s="93">
        <v>2560</v>
      </c>
      <c r="AO14" s="93">
        <v>4672</v>
      </c>
      <c r="AP14" s="93">
        <v>3496</v>
      </c>
      <c r="AQ14" s="93">
        <v>3156</v>
      </c>
      <c r="AR14" s="93">
        <v>3300</v>
      </c>
      <c r="AS14" s="93">
        <v>2890</v>
      </c>
      <c r="AT14" s="93">
        <v>4412</v>
      </c>
      <c r="AU14" s="93">
        <v>4524</v>
      </c>
      <c r="AV14" s="93">
        <v>4924</v>
      </c>
      <c r="AW14" s="93">
        <v>3876</v>
      </c>
      <c r="AX14" s="95">
        <v>4.79</v>
      </c>
      <c r="AY14" s="95">
        <v>5.37</v>
      </c>
      <c r="AZ14" s="95">
        <v>5.5</v>
      </c>
      <c r="BA14" s="95">
        <v>4.8600000000000003</v>
      </c>
      <c r="BB14" s="95">
        <v>4.04</v>
      </c>
      <c r="BC14" s="95">
        <v>4.26</v>
      </c>
      <c r="BD14" s="95">
        <v>4.8600000000000003</v>
      </c>
      <c r="BE14" s="95">
        <v>3.65</v>
      </c>
      <c r="BF14" s="95">
        <v>3.57</v>
      </c>
      <c r="BG14" s="95">
        <v>3.76</v>
      </c>
      <c r="BH14" s="95">
        <v>3.51</v>
      </c>
      <c r="BI14" s="95">
        <v>3.8</v>
      </c>
      <c r="BJ14" s="95">
        <v>3.77</v>
      </c>
      <c r="BK14" s="95">
        <v>3.82</v>
      </c>
      <c r="BL14" s="95">
        <v>3.92</v>
      </c>
      <c r="BM14" s="95">
        <v>3.88</v>
      </c>
      <c r="BN14" s="95">
        <v>4</v>
      </c>
      <c r="BO14" s="95">
        <v>5.07</v>
      </c>
      <c r="BP14" s="95">
        <v>4.0999999999999996</v>
      </c>
      <c r="BQ14" s="95">
        <v>3.75</v>
      </c>
      <c r="BR14" s="95">
        <v>4.99</v>
      </c>
      <c r="BS14" s="95">
        <v>5.12</v>
      </c>
      <c r="BT14" s="95">
        <v>3.84</v>
      </c>
      <c r="BU14" s="95">
        <v>4.43</v>
      </c>
      <c r="BV14" s="95">
        <v>4.38</v>
      </c>
      <c r="BW14" s="95">
        <v>4.32</v>
      </c>
      <c r="BX14" s="95">
        <v>5.13</v>
      </c>
      <c r="BY14" s="95">
        <v>4.03</v>
      </c>
      <c r="BZ14" s="95">
        <v>4.83</v>
      </c>
      <c r="CA14" s="95">
        <v>4.5199999999999996</v>
      </c>
      <c r="CB14" s="95">
        <v>3.62</v>
      </c>
      <c r="CC14" s="95">
        <v>3.43</v>
      </c>
      <c r="CD14" s="95">
        <v>4.5</v>
      </c>
      <c r="CE14" s="95">
        <v>4.43</v>
      </c>
      <c r="CF14" s="95">
        <v>4.07</v>
      </c>
      <c r="CG14" s="95">
        <v>5.13</v>
      </c>
      <c r="CH14" s="95">
        <v>4.88</v>
      </c>
      <c r="CI14" s="95">
        <v>4.17</v>
      </c>
      <c r="CJ14" s="95">
        <v>4.58</v>
      </c>
      <c r="CK14" s="95">
        <v>3.96</v>
      </c>
      <c r="CL14" s="95">
        <v>4.5999999999999996</v>
      </c>
      <c r="CM14" s="95">
        <v>4.9000000000000004</v>
      </c>
      <c r="CN14" s="95">
        <v>5.19</v>
      </c>
      <c r="CO14" s="95">
        <v>4.99</v>
      </c>
      <c r="CP14" s="98">
        <f>SUM(Input_Raw[[#This Row],[P-01]:[P-56]])/1000</f>
        <v>133.637</v>
      </c>
      <c r="CQ14" s="71">
        <f>IFERROR(AVERAGEIF(Input_Raw[[#This Row],[WS_P-01]:[WS_P-56]],"&lt;&gt;",Input_Raw[[#This Row],[WS_P-01]:[WS_P-56]]),"")</f>
        <v>4.3709090909090911</v>
      </c>
      <c r="CR14" s="99">
        <f>MAX(Input_Raw[[#This Row],[WS_P-01]:[WS_P-56]])</f>
        <v>5.5</v>
      </c>
      <c r="CS14" s="99"/>
      <c r="CT14" s="70">
        <f>SUM(Input_Raw[[#This Row],[P-08]:[P-13]],Input_Raw[[#This Row],[P-25]:[P-28]])</f>
        <v>16516</v>
      </c>
      <c r="CU14" s="70"/>
      <c r="CV14" s="70">
        <f>SUM(Input_Raw[[#This Row],[P-04]],Input_Raw[[#This Row],[P-14]:[P-17]],Input_Raw[[#This Row],[P-19]:[P-20]],Input_Raw[[#This Row],[P-22]:[P-23]],Input_Raw[[#This Row],[P-34]],Input_Raw[[#This Row],[P-38]],Input_Raw[[#This Row],[P-43]])</f>
        <v>32029</v>
      </c>
      <c r="CW14" s="70"/>
      <c r="CX14" s="70">
        <f>SUM(Input_Raw[[#This Row],[P-05]:[P-06]],Input_Raw[[#This Row],[P-40]:[P-42]],Input_Raw[[#This Row],[P-45]],Input_Raw[[#This Row],[P-46]],Input_Raw[[#This Row],[P-47]:[P-48]])</f>
        <v>26080</v>
      </c>
      <c r="CY14" s="70"/>
      <c r="CZ14" s="70">
        <f>SUM(Input_Raw[[#This Row],[P-01]:[P-03]],Input_Raw[[#This Row],[P-07]],Input_Raw[[#This Row],[P-18]],Input_Raw[[#This Row],[P-31]:[P-32]],Input_Raw[[#This Row],[P-37]],Input_Raw[[#This Row],[P-50]:[P-56]])</f>
        <v>59012</v>
      </c>
      <c r="DA14" s="12"/>
      <c r="DB14" s="13">
        <f>Input_Raw[[#This Row],[33 kV_Wind_F1_Export reading]]/1000</f>
        <v>16.515999999999998</v>
      </c>
      <c r="DC14" s="13"/>
      <c r="DD14" s="13">
        <f>Input_Raw[[#This Row],[33 kV_Wind_F2_Export_reading]]/1000</f>
        <v>32.029000000000003</v>
      </c>
      <c r="DE14" s="13"/>
      <c r="DF14" s="13">
        <f>Input_Raw[[#This Row],[33 kV_Wind_F3_Export_Reading]]/1000</f>
        <v>26.08</v>
      </c>
      <c r="DG14" s="13"/>
      <c r="DH14" s="13">
        <f>Input_Raw[[#This Row],[33 kV_Wind_F4_Export Reading]]/1000</f>
        <v>59.012</v>
      </c>
      <c r="DI14" s="13"/>
      <c r="DJ14" s="13">
        <f>Input_Raw[[#This Row],[33 kV_F1_Total_Export (MWh)]]+Input_Raw[[#This Row],[33 kV_F2_Total_Export (MWh)2]]+Input_Raw[[#This Row],[33 kV_Wind_F3_Export (MWh)]]+Input_Raw[[#This Row],[33 kV_Wind_F4_Export (MWh)]]</f>
        <v>133.637</v>
      </c>
      <c r="DK14" s="13">
        <f>Input_Raw[[#This Row],[33 kV_Wind_F1_Import (MWh)]]+Input_Raw[[#This Row],[33 kV_Wind_F2_Import (MWh)]]+Input_Raw[[#This Row],[33 kV_Wind_F3_Import (MWh)2]]+Input_Raw[[#This Row],[33 kV_Wind_F4_Import (MWh)2]]</f>
        <v>0</v>
      </c>
      <c r="DL14" s="100">
        <f>IFERROR(Input_Raw[[#This Row],[33 kV_Wind_Total_Export (MWh)]]/Input_Raw[[#This Row],[WTG Total Gneration (MWh)]]-1,"")</f>
        <v>0</v>
      </c>
      <c r="DM14" s="66"/>
      <c r="DN14" s="186">
        <v>88</v>
      </c>
      <c r="DO14" s="186">
        <v>753.5</v>
      </c>
      <c r="DP14" s="102">
        <v>120.74</v>
      </c>
      <c r="DQ14" s="66"/>
      <c r="DR14" s="181">
        <v>70.400000000000006</v>
      </c>
    </row>
    <row r="15" spans="1:122" ht="15">
      <c r="A15" s="92">
        <f t="shared" si="74"/>
        <v>45755</v>
      </c>
      <c r="B15" s="190">
        <f>YEAR(Input_Raw[[#This Row],[Date]])+IF(MONTH(Input_Raw[[#This Row],[Date]])&gt;=4,1,0)</f>
        <v>2026</v>
      </c>
      <c r="C15" s="190">
        <f>YEAR(Input_Raw[[#This Row],[Date]])</f>
        <v>2025</v>
      </c>
      <c r="D15" s="11">
        <f t="shared" si="78"/>
        <v>45748</v>
      </c>
      <c r="E15" s="190">
        <f>DAY(EOMONTH(Input_Raw[[#This Row],[Date]],0))</f>
        <v>30</v>
      </c>
      <c r="F15" s="93">
        <v>3588</v>
      </c>
      <c r="G15" s="93">
        <v>1666</v>
      </c>
      <c r="H15" s="93">
        <v>2912</v>
      </c>
      <c r="I15" s="93">
        <v>2518</v>
      </c>
      <c r="J15" s="93">
        <v>2796</v>
      </c>
      <c r="K15" s="93">
        <v>2304</v>
      </c>
      <c r="L15" s="93">
        <v>3262</v>
      </c>
      <c r="M15" s="93">
        <v>1310</v>
      </c>
      <c r="N15" s="93">
        <v>772</v>
      </c>
      <c r="O15" s="93">
        <v>796</v>
      </c>
      <c r="P15" s="93">
        <v>884</v>
      </c>
      <c r="Q15" s="93">
        <v>1082</v>
      </c>
      <c r="R15" s="93">
        <v>1258</v>
      </c>
      <c r="S15" s="93">
        <v>1118</v>
      </c>
      <c r="T15" s="93">
        <v>1130</v>
      </c>
      <c r="U15" s="93">
        <v>1160</v>
      </c>
      <c r="V15" s="93">
        <v>1552</v>
      </c>
      <c r="W15" s="93">
        <v>3528</v>
      </c>
      <c r="X15" s="93">
        <v>1812</v>
      </c>
      <c r="Y15" s="93">
        <v>1467</v>
      </c>
      <c r="Z15" s="93">
        <v>2608</v>
      </c>
      <c r="AA15" s="93">
        <v>2816</v>
      </c>
      <c r="AB15" s="93">
        <v>1656</v>
      </c>
      <c r="AC15" s="93">
        <v>1684</v>
      </c>
      <c r="AD15" s="93">
        <v>2024</v>
      </c>
      <c r="AE15" s="93">
        <v>1904</v>
      </c>
      <c r="AF15" s="93">
        <v>2276</v>
      </c>
      <c r="AG15" s="93">
        <v>1236</v>
      </c>
      <c r="AH15" s="93">
        <v>2236</v>
      </c>
      <c r="AI15" s="93">
        <v>2142</v>
      </c>
      <c r="AJ15" s="93">
        <v>1766</v>
      </c>
      <c r="AK15" s="93">
        <v>1798</v>
      </c>
      <c r="AL15" s="93">
        <v>2904</v>
      </c>
      <c r="AM15" s="93">
        <v>3448</v>
      </c>
      <c r="AN15" s="93">
        <v>1660</v>
      </c>
      <c r="AO15" s="93">
        <v>3304</v>
      </c>
      <c r="AP15" s="93">
        <v>3252</v>
      </c>
      <c r="AQ15" s="93">
        <v>1624</v>
      </c>
      <c r="AR15" s="93">
        <v>3272</v>
      </c>
      <c r="AS15" s="93">
        <v>1198</v>
      </c>
      <c r="AT15" s="93">
        <v>1706</v>
      </c>
      <c r="AU15" s="93">
        <v>2192</v>
      </c>
      <c r="AV15" s="93">
        <v>3764</v>
      </c>
      <c r="AW15" s="93">
        <v>3380</v>
      </c>
      <c r="AX15" s="95">
        <v>4.41</v>
      </c>
      <c r="AY15" s="95">
        <v>4.43</v>
      </c>
      <c r="AZ15" s="95">
        <v>4.37</v>
      </c>
      <c r="BA15" s="95">
        <v>4.17</v>
      </c>
      <c r="BB15" s="95">
        <v>4.12</v>
      </c>
      <c r="BC15" s="95">
        <v>4.38</v>
      </c>
      <c r="BD15" s="95">
        <v>4.57</v>
      </c>
      <c r="BE15" s="95">
        <v>3.88</v>
      </c>
      <c r="BF15" s="95">
        <v>3.53</v>
      </c>
      <c r="BG15" s="95">
        <v>3.84</v>
      </c>
      <c r="BH15" s="95">
        <v>3.64</v>
      </c>
      <c r="BI15" s="95">
        <v>3.84</v>
      </c>
      <c r="BJ15" s="95">
        <v>3.87</v>
      </c>
      <c r="BK15" s="95">
        <v>3.71</v>
      </c>
      <c r="BL15" s="95">
        <v>3.73</v>
      </c>
      <c r="BM15" s="95">
        <v>3.64</v>
      </c>
      <c r="BN15" s="95">
        <v>4</v>
      </c>
      <c r="BO15" s="95">
        <v>4.45</v>
      </c>
      <c r="BP15" s="95">
        <v>4.1399999999999997</v>
      </c>
      <c r="BQ15" s="95">
        <v>3.7</v>
      </c>
      <c r="BR15" s="95">
        <v>4.47</v>
      </c>
      <c r="BS15" s="95">
        <v>4.4000000000000004</v>
      </c>
      <c r="BT15" s="95">
        <v>3.93</v>
      </c>
      <c r="BU15" s="95">
        <v>4.41</v>
      </c>
      <c r="BV15" s="95">
        <v>4.5</v>
      </c>
      <c r="BW15" s="95">
        <v>4.4800000000000004</v>
      </c>
      <c r="BX15" s="95">
        <v>3.79</v>
      </c>
      <c r="BY15" s="95">
        <v>3.21</v>
      </c>
      <c r="BZ15" s="95">
        <v>4.16</v>
      </c>
      <c r="CA15" s="95">
        <v>3.87</v>
      </c>
      <c r="CB15" s="95">
        <v>3.66</v>
      </c>
      <c r="CC15" s="95">
        <v>3.86</v>
      </c>
      <c r="CD15" s="95">
        <v>4.6399999999999997</v>
      </c>
      <c r="CE15" s="95">
        <v>4.5199999999999996</v>
      </c>
      <c r="CF15" s="95">
        <v>3.76</v>
      </c>
      <c r="CG15" s="95">
        <v>4.8600000000000003</v>
      </c>
      <c r="CH15" s="95">
        <v>4.8600000000000003</v>
      </c>
      <c r="CI15" s="95">
        <v>4.33</v>
      </c>
      <c r="CJ15" s="95">
        <v>4.6900000000000004</v>
      </c>
      <c r="CK15" s="95">
        <v>3.08</v>
      </c>
      <c r="CL15" s="95">
        <v>3.49</v>
      </c>
      <c r="CM15" s="95">
        <v>4.05</v>
      </c>
      <c r="CN15" s="95">
        <v>4.75</v>
      </c>
      <c r="CO15" s="95">
        <v>4.6900000000000004</v>
      </c>
      <c r="CP15" s="98">
        <f>SUM(Input_Raw[[#This Row],[P-01]:[P-56]])/1000</f>
        <v>92.765000000000001</v>
      </c>
      <c r="CQ15" s="71">
        <f>IFERROR(AVERAGEIF(Input_Raw[[#This Row],[WS_P-01]:[WS_P-56]],"&lt;&gt;",Input_Raw[[#This Row],[WS_P-01]:[WS_P-56]]),"")</f>
        <v>4.1109090909090931</v>
      </c>
      <c r="CR15" s="99">
        <f>MAX(Input_Raw[[#This Row],[WS_P-01]:[WS_P-56]])</f>
        <v>4.8600000000000003</v>
      </c>
      <c r="CS15" s="99"/>
      <c r="CT15" s="70">
        <f>SUM(Input_Raw[[#This Row],[P-08]:[P-13]],Input_Raw[[#This Row],[P-25]:[P-28]])</f>
        <v>13370</v>
      </c>
      <c r="CU15" s="70"/>
      <c r="CV15" s="70">
        <f>SUM(Input_Raw[[#This Row],[P-04]],Input_Raw[[#This Row],[P-14]:[P-17]],Input_Raw[[#This Row],[P-19]:[P-20]],Input_Raw[[#This Row],[P-22]:[P-23]],Input_Raw[[#This Row],[P-34]],Input_Raw[[#This Row],[P-38]],Input_Raw[[#This Row],[P-43]])</f>
        <v>21843</v>
      </c>
      <c r="CW15" s="70"/>
      <c r="CX15" s="70">
        <f>SUM(Input_Raw[[#This Row],[P-05]:[P-06]],Input_Raw[[#This Row],[P-40]:[P-42]],Input_Raw[[#This Row],[P-45]],Input_Raw[[#This Row],[P-46]],Input_Raw[[#This Row],[P-47]:[P-48]])</f>
        <v>24702</v>
      </c>
      <c r="CY15" s="70"/>
      <c r="CZ15" s="70">
        <f>SUM(Input_Raw[[#This Row],[P-01]:[P-03]],Input_Raw[[#This Row],[P-07]],Input_Raw[[#This Row],[P-18]],Input_Raw[[#This Row],[P-31]:[P-32]],Input_Raw[[#This Row],[P-37]],Input_Raw[[#This Row],[P-50]:[P-56]])</f>
        <v>32850</v>
      </c>
      <c r="DA15" s="12"/>
      <c r="DB15" s="13">
        <f>Input_Raw[[#This Row],[33 kV_Wind_F1_Export reading]]/1000</f>
        <v>13.37</v>
      </c>
      <c r="DC15" s="13"/>
      <c r="DD15" s="13">
        <f>Input_Raw[[#This Row],[33 kV_Wind_F2_Export_reading]]/1000</f>
        <v>21.843</v>
      </c>
      <c r="DE15" s="13"/>
      <c r="DF15" s="13">
        <f>Input_Raw[[#This Row],[33 kV_Wind_F3_Export_Reading]]/1000</f>
        <v>24.702000000000002</v>
      </c>
      <c r="DG15" s="13"/>
      <c r="DH15" s="13">
        <f>Input_Raw[[#This Row],[33 kV_Wind_F4_Export Reading]]/1000</f>
        <v>32.85</v>
      </c>
      <c r="DI15" s="13"/>
      <c r="DJ15" s="13">
        <f>Input_Raw[[#This Row],[33 kV_F1_Total_Export (MWh)]]+Input_Raw[[#This Row],[33 kV_F2_Total_Export (MWh)2]]+Input_Raw[[#This Row],[33 kV_Wind_F3_Export (MWh)]]+Input_Raw[[#This Row],[33 kV_Wind_F4_Export (MWh)]]</f>
        <v>92.765000000000015</v>
      </c>
      <c r="DK15" s="13">
        <f>Input_Raw[[#This Row],[33 kV_Wind_F1_Import (MWh)]]+Input_Raw[[#This Row],[33 kV_Wind_F2_Import (MWh)]]+Input_Raw[[#This Row],[33 kV_Wind_F3_Import (MWh)2]]+Input_Raw[[#This Row],[33 kV_Wind_F4_Import (MWh)2]]</f>
        <v>0</v>
      </c>
      <c r="DL15" s="100">
        <f>IFERROR(Input_Raw[[#This Row],[33 kV_Wind_Total_Export (MWh)]]/Input_Raw[[#This Row],[WTG Total Gneration (MWh)]]-1,"")</f>
        <v>2.2204460492503131E-16</v>
      </c>
      <c r="DM15" s="66"/>
      <c r="DN15" s="186">
        <v>57</v>
      </c>
      <c r="DO15" s="186">
        <v>0</v>
      </c>
      <c r="DP15" s="102">
        <v>98.25</v>
      </c>
      <c r="DQ15" s="66"/>
      <c r="DR15" s="181">
        <v>70.400000000000006</v>
      </c>
    </row>
    <row r="16" spans="1:122" ht="15">
      <c r="A16" s="92">
        <f t="shared" si="74"/>
        <v>45756</v>
      </c>
      <c r="B16" s="190">
        <f>YEAR(Input_Raw[[#This Row],[Date]])+IF(MONTH(Input_Raw[[#This Row],[Date]])&gt;=4,1,0)</f>
        <v>2026</v>
      </c>
      <c r="C16" s="190">
        <f>YEAR(Input_Raw[[#This Row],[Date]])</f>
        <v>2025</v>
      </c>
      <c r="D16" s="11">
        <f t="shared" si="78"/>
        <v>45748</v>
      </c>
      <c r="E16" s="190">
        <f>DAY(EOMONTH(Input_Raw[[#This Row],[Date]],0))</f>
        <v>30</v>
      </c>
      <c r="F16" s="93">
        <v>5684</v>
      </c>
      <c r="G16" s="93">
        <v>5040</v>
      </c>
      <c r="H16" s="93">
        <v>3864</v>
      </c>
      <c r="I16" s="93">
        <v>4080</v>
      </c>
      <c r="J16" s="93">
        <v>3472</v>
      </c>
      <c r="K16" s="93">
        <v>3760</v>
      </c>
      <c r="L16" s="93">
        <v>5310</v>
      </c>
      <c r="M16" s="93">
        <v>2120</v>
      </c>
      <c r="N16" s="93">
        <v>1412</v>
      </c>
      <c r="O16" s="93">
        <v>1598</v>
      </c>
      <c r="P16" s="93">
        <v>1914</v>
      </c>
      <c r="Q16" s="93">
        <v>2114</v>
      </c>
      <c r="R16" s="93">
        <v>2158</v>
      </c>
      <c r="S16" s="93">
        <v>2354</v>
      </c>
      <c r="T16" s="93">
        <v>2188</v>
      </c>
      <c r="U16" s="93">
        <v>2644</v>
      </c>
      <c r="V16" s="93">
        <v>2842</v>
      </c>
      <c r="W16" s="93">
        <v>3504</v>
      </c>
      <c r="X16" s="93">
        <v>2940</v>
      </c>
      <c r="Y16" s="93">
        <v>2546</v>
      </c>
      <c r="Z16" s="93">
        <v>3968</v>
      </c>
      <c r="AA16" s="93">
        <v>3264</v>
      </c>
      <c r="AB16" s="93">
        <v>2184</v>
      </c>
      <c r="AC16" s="93">
        <v>2680</v>
      </c>
      <c r="AD16" s="93">
        <v>2864</v>
      </c>
      <c r="AE16" s="93">
        <v>2632</v>
      </c>
      <c r="AF16" s="93">
        <v>3202</v>
      </c>
      <c r="AG16" s="93">
        <v>1676</v>
      </c>
      <c r="AH16" s="93">
        <v>4083.9999999999995</v>
      </c>
      <c r="AI16" s="93">
        <v>2292</v>
      </c>
      <c r="AJ16" s="93">
        <v>2702</v>
      </c>
      <c r="AK16" s="93">
        <v>2586</v>
      </c>
      <c r="AL16" s="93">
        <v>3384</v>
      </c>
      <c r="AM16" s="93">
        <v>3928</v>
      </c>
      <c r="AN16" s="93">
        <v>2786</v>
      </c>
      <c r="AO16" s="93">
        <v>4772</v>
      </c>
      <c r="AP16" s="93">
        <v>4544</v>
      </c>
      <c r="AQ16" s="93">
        <v>3144</v>
      </c>
      <c r="AR16" s="93">
        <v>3176</v>
      </c>
      <c r="AS16" s="93">
        <v>2280</v>
      </c>
      <c r="AT16" s="93">
        <v>2364</v>
      </c>
      <c r="AU16" s="93">
        <v>2540</v>
      </c>
      <c r="AV16" s="93">
        <v>5452</v>
      </c>
      <c r="AW16" s="93">
        <v>5684</v>
      </c>
      <c r="AX16" s="95">
        <v>4.83</v>
      </c>
      <c r="AY16" s="95">
        <v>4.93</v>
      </c>
      <c r="AZ16" s="95">
        <v>4.4400000000000004</v>
      </c>
      <c r="BA16" s="95">
        <v>4.78</v>
      </c>
      <c r="BB16" s="95">
        <v>4.13</v>
      </c>
      <c r="BC16" s="95">
        <v>4.67</v>
      </c>
      <c r="BD16" s="95">
        <v>5.0199999999999996</v>
      </c>
      <c r="BE16" s="95">
        <v>3.85</v>
      </c>
      <c r="BF16" s="95">
        <v>3.49</v>
      </c>
      <c r="BG16" s="95">
        <v>3.89</v>
      </c>
      <c r="BH16" s="95">
        <v>3.75</v>
      </c>
      <c r="BI16" s="95">
        <v>3.96</v>
      </c>
      <c r="BJ16" s="95">
        <v>3.95</v>
      </c>
      <c r="BK16" s="95">
        <v>3.9</v>
      </c>
      <c r="BL16" s="95">
        <v>3.96</v>
      </c>
      <c r="BM16" s="95">
        <v>4.05</v>
      </c>
      <c r="BN16" s="95">
        <v>4.1900000000000004</v>
      </c>
      <c r="BO16" s="95">
        <v>4.51</v>
      </c>
      <c r="BP16" s="95">
        <v>4.25</v>
      </c>
      <c r="BQ16" s="95">
        <v>3.91</v>
      </c>
      <c r="BR16" s="95">
        <v>4.9000000000000004</v>
      </c>
      <c r="BS16" s="95">
        <v>4.3600000000000003</v>
      </c>
      <c r="BT16" s="95">
        <v>3.73</v>
      </c>
      <c r="BU16" s="95">
        <v>4.49</v>
      </c>
      <c r="BV16" s="95">
        <v>4.42</v>
      </c>
      <c r="BW16" s="95">
        <v>4.3099999999999996</v>
      </c>
      <c r="BX16" s="95">
        <v>3.9</v>
      </c>
      <c r="BY16" s="95">
        <v>3.33</v>
      </c>
      <c r="BZ16" s="95">
        <v>4.8099999999999996</v>
      </c>
      <c r="CA16" s="95">
        <v>3.77</v>
      </c>
      <c r="CB16" s="95">
        <v>3.73</v>
      </c>
      <c r="CC16" s="95">
        <v>3.98</v>
      </c>
      <c r="CD16" s="95">
        <v>4.6500000000000004</v>
      </c>
      <c r="CE16" s="95">
        <v>4.5199999999999996</v>
      </c>
      <c r="CF16" s="95">
        <v>4.08</v>
      </c>
      <c r="CG16" s="95">
        <v>5.16</v>
      </c>
      <c r="CH16" s="95">
        <v>5.21</v>
      </c>
      <c r="CI16" s="95">
        <v>4.22</v>
      </c>
      <c r="CJ16" s="95">
        <v>5.39</v>
      </c>
      <c r="CK16" s="95">
        <v>3.6</v>
      </c>
      <c r="CL16" s="95">
        <v>3.69</v>
      </c>
      <c r="CM16" s="95">
        <v>3.96</v>
      </c>
      <c r="CN16" s="95">
        <v>5.09</v>
      </c>
      <c r="CO16" s="95">
        <v>5.26</v>
      </c>
      <c r="CP16" s="98">
        <f>SUM(Input_Raw[[#This Row],[P-01]:[P-56]])/1000</f>
        <v>139.732</v>
      </c>
      <c r="CQ16" s="71">
        <f>IFERROR(AVERAGEIF(Input_Raw[[#This Row],[WS_P-01]:[WS_P-56]],"&lt;&gt;",Input_Raw[[#This Row],[WS_P-01]:[WS_P-56]]),"")</f>
        <v>4.2959090909090909</v>
      </c>
      <c r="CR16" s="99">
        <f>MAX(Input_Raw[[#This Row],[WS_P-01]:[WS_P-56]])</f>
        <v>5.39</v>
      </c>
      <c r="CS16" s="99"/>
      <c r="CT16" s="70">
        <f>SUM(Input_Raw[[#This Row],[P-08]:[P-13]],Input_Raw[[#This Row],[P-25]:[P-28]])</f>
        <v>21676</v>
      </c>
      <c r="CU16" s="70"/>
      <c r="CV16" s="70">
        <f>SUM(Input_Raw[[#This Row],[P-04]],Input_Raw[[#This Row],[P-14]:[P-17]],Input_Raw[[#This Row],[P-19]:[P-20]],Input_Raw[[#This Row],[P-22]:[P-23]],Input_Raw[[#This Row],[P-34]],Input_Raw[[#This Row],[P-38]],Input_Raw[[#This Row],[P-43]])</f>
        <v>36398</v>
      </c>
      <c r="CW16" s="70"/>
      <c r="CX16" s="70">
        <f>SUM(Input_Raw[[#This Row],[P-05]:[P-06]],Input_Raw[[#This Row],[P-40]:[P-42]],Input_Raw[[#This Row],[P-45]],Input_Raw[[#This Row],[P-46]],Input_Raw[[#This Row],[P-47]:[P-48]])</f>
        <v>32766</v>
      </c>
      <c r="CY16" s="70"/>
      <c r="CZ16" s="70">
        <f>SUM(Input_Raw[[#This Row],[P-01]:[P-03]],Input_Raw[[#This Row],[P-07]],Input_Raw[[#This Row],[P-18]],Input_Raw[[#This Row],[P-31]:[P-32]],Input_Raw[[#This Row],[P-37]],Input_Raw[[#This Row],[P-50]:[P-56]])</f>
        <v>48892</v>
      </c>
      <c r="DA16" s="12"/>
      <c r="DB16" s="13">
        <f>Input_Raw[[#This Row],[33 kV_Wind_F1_Export reading]]/1000</f>
        <v>21.675999999999998</v>
      </c>
      <c r="DC16" s="13"/>
      <c r="DD16" s="13">
        <f>Input_Raw[[#This Row],[33 kV_Wind_F2_Export_reading]]/1000</f>
        <v>36.398000000000003</v>
      </c>
      <c r="DE16" s="13"/>
      <c r="DF16" s="13">
        <f>Input_Raw[[#This Row],[33 kV_Wind_F3_Export_Reading]]/1000</f>
        <v>32.765999999999998</v>
      </c>
      <c r="DG16" s="13"/>
      <c r="DH16" s="13">
        <f>Input_Raw[[#This Row],[33 kV_Wind_F4_Export Reading]]/1000</f>
        <v>48.892000000000003</v>
      </c>
      <c r="DI16" s="13"/>
      <c r="DJ16" s="13">
        <f>Input_Raw[[#This Row],[33 kV_F1_Total_Export (MWh)]]+Input_Raw[[#This Row],[33 kV_F2_Total_Export (MWh)2]]+Input_Raw[[#This Row],[33 kV_Wind_F3_Export (MWh)]]+Input_Raw[[#This Row],[33 kV_Wind_F4_Export (MWh)]]</f>
        <v>139.732</v>
      </c>
      <c r="DK16" s="13">
        <f>Input_Raw[[#This Row],[33 kV_Wind_F1_Import (MWh)]]+Input_Raw[[#This Row],[33 kV_Wind_F2_Import (MWh)]]+Input_Raw[[#This Row],[33 kV_Wind_F3_Import (MWh)2]]+Input_Raw[[#This Row],[33 kV_Wind_F4_Import (MWh)2]]</f>
        <v>0</v>
      </c>
      <c r="DL16" s="100">
        <f>IFERROR(Input_Raw[[#This Row],[33 kV_Wind_Total_Export (MWh)]]/Input_Raw[[#This Row],[WTG Total Gneration (MWh)]]-1,"")</f>
        <v>0</v>
      </c>
      <c r="DM16" s="66"/>
      <c r="DN16" s="186">
        <v>57</v>
      </c>
      <c r="DO16" s="186">
        <v>786.88</v>
      </c>
      <c r="DP16" s="102">
        <v>137.01</v>
      </c>
      <c r="DQ16" s="66"/>
      <c r="DR16" s="181">
        <v>70.400000000000006</v>
      </c>
    </row>
    <row r="17" spans="1:122" ht="15">
      <c r="A17" s="92">
        <f t="shared" si="74"/>
        <v>45757</v>
      </c>
      <c r="B17" s="190">
        <f>YEAR(Input_Raw[[#This Row],[Date]])+IF(MONTH(Input_Raw[[#This Row],[Date]])&gt;=4,1,0)</f>
        <v>2026</v>
      </c>
      <c r="C17" s="190">
        <f>YEAR(Input_Raw[[#This Row],[Date]])</f>
        <v>2025</v>
      </c>
      <c r="D17" s="11">
        <f t="shared" si="78"/>
        <v>45748</v>
      </c>
      <c r="E17" s="190">
        <f>DAY(EOMONTH(Input_Raw[[#This Row],[Date]],0))</f>
        <v>30</v>
      </c>
      <c r="F17" s="93">
        <v>10424</v>
      </c>
      <c r="G17" s="93">
        <v>12190</v>
      </c>
      <c r="H17" s="93">
        <v>6296</v>
      </c>
      <c r="I17" s="93">
        <v>7670</v>
      </c>
      <c r="J17" s="93">
        <v>7064</v>
      </c>
      <c r="K17" s="93">
        <v>7756</v>
      </c>
      <c r="L17" s="93">
        <v>11548</v>
      </c>
      <c r="M17" s="93">
        <v>3632</v>
      </c>
      <c r="N17" s="93">
        <v>2029.9999999999998</v>
      </c>
      <c r="O17" s="93">
        <v>2106</v>
      </c>
      <c r="P17" s="93">
        <v>2814</v>
      </c>
      <c r="Q17" s="93">
        <v>3628</v>
      </c>
      <c r="R17" s="93">
        <v>4604</v>
      </c>
      <c r="S17" s="93">
        <v>4408</v>
      </c>
      <c r="T17" s="93">
        <v>4292</v>
      </c>
      <c r="U17" s="93">
        <v>4496</v>
      </c>
      <c r="V17" s="93">
        <v>4924</v>
      </c>
      <c r="W17" s="93">
        <v>9236</v>
      </c>
      <c r="X17" s="93">
        <v>5034</v>
      </c>
      <c r="Y17" s="93">
        <v>4201</v>
      </c>
      <c r="Z17" s="93">
        <v>6720</v>
      </c>
      <c r="AA17" s="93">
        <v>5204</v>
      </c>
      <c r="AB17" s="93">
        <v>3724</v>
      </c>
      <c r="AC17" s="93">
        <v>4296</v>
      </c>
      <c r="AD17" s="93">
        <v>4368</v>
      </c>
      <c r="AE17" s="93">
        <v>4048</v>
      </c>
      <c r="AF17" s="93">
        <v>4240</v>
      </c>
      <c r="AG17" s="93">
        <v>3476</v>
      </c>
      <c r="AH17" s="93">
        <v>7492</v>
      </c>
      <c r="AI17" s="93">
        <v>4094.0000000000005</v>
      </c>
      <c r="AJ17" s="93">
        <v>4744</v>
      </c>
      <c r="AK17" s="93">
        <v>4258</v>
      </c>
      <c r="AL17" s="93">
        <v>6916</v>
      </c>
      <c r="AM17" s="93">
        <v>8448</v>
      </c>
      <c r="AN17" s="93">
        <v>3622</v>
      </c>
      <c r="AO17" s="93">
        <v>9128</v>
      </c>
      <c r="AP17" s="93">
        <v>9048</v>
      </c>
      <c r="AQ17" s="93">
        <v>6536</v>
      </c>
      <c r="AR17" s="93">
        <v>8824</v>
      </c>
      <c r="AS17" s="93">
        <v>4904</v>
      </c>
      <c r="AT17" s="93">
        <v>2812</v>
      </c>
      <c r="AU17" s="93">
        <v>3112</v>
      </c>
      <c r="AV17" s="93">
        <v>10932</v>
      </c>
      <c r="AW17" s="93">
        <v>12068</v>
      </c>
      <c r="AX17" s="95">
        <v>6.35</v>
      </c>
      <c r="AY17" s="95">
        <v>6.56</v>
      </c>
      <c r="AZ17" s="95">
        <v>5.27</v>
      </c>
      <c r="BA17" s="95">
        <v>5.94</v>
      </c>
      <c r="BB17" s="95">
        <v>5.41</v>
      </c>
      <c r="BC17" s="95">
        <v>6.01</v>
      </c>
      <c r="BD17" s="95">
        <v>6.63</v>
      </c>
      <c r="BE17" s="95">
        <v>4.67</v>
      </c>
      <c r="BF17" s="95">
        <v>4.1100000000000003</v>
      </c>
      <c r="BG17" s="95">
        <v>4.51</v>
      </c>
      <c r="BH17" s="95">
        <v>4.41</v>
      </c>
      <c r="BI17" s="95">
        <v>4.8</v>
      </c>
      <c r="BJ17" s="95">
        <v>5.12</v>
      </c>
      <c r="BK17" s="95">
        <v>5.0599999999999996</v>
      </c>
      <c r="BL17" s="95">
        <v>5.16</v>
      </c>
      <c r="BM17" s="95">
        <v>5.16</v>
      </c>
      <c r="BN17" s="95">
        <v>5.07</v>
      </c>
      <c r="BO17" s="95">
        <v>5.98</v>
      </c>
      <c r="BP17" s="95">
        <v>5.27</v>
      </c>
      <c r="BQ17" s="95">
        <v>4.78</v>
      </c>
      <c r="BR17" s="95">
        <v>5.77</v>
      </c>
      <c r="BS17" s="95">
        <v>5.0599999999999996</v>
      </c>
      <c r="BT17" s="95">
        <v>4.41</v>
      </c>
      <c r="BU17" s="95">
        <v>5.1100000000000003</v>
      </c>
      <c r="BV17" s="95">
        <v>5.05</v>
      </c>
      <c r="BW17" s="95">
        <v>4.95</v>
      </c>
      <c r="BX17" s="95">
        <v>4.4000000000000004</v>
      </c>
      <c r="BY17" s="95">
        <v>4.63</v>
      </c>
      <c r="BZ17" s="95">
        <v>5.88</v>
      </c>
      <c r="CA17" s="95">
        <v>4.84</v>
      </c>
      <c r="CB17" s="95">
        <v>4.72</v>
      </c>
      <c r="CC17" s="95">
        <v>5.0199999999999996</v>
      </c>
      <c r="CD17" s="95">
        <v>5.88</v>
      </c>
      <c r="CE17" s="95">
        <v>5.85</v>
      </c>
      <c r="CF17" s="95">
        <v>4.42</v>
      </c>
      <c r="CG17" s="95">
        <v>6.56</v>
      </c>
      <c r="CH17" s="95">
        <v>6.41</v>
      </c>
      <c r="CI17" s="95">
        <v>5.24</v>
      </c>
      <c r="CJ17" s="95">
        <v>6.21</v>
      </c>
      <c r="CK17" s="95">
        <v>5.0999999999999996</v>
      </c>
      <c r="CL17" s="95">
        <v>5.67</v>
      </c>
      <c r="CM17" s="95">
        <v>5.9</v>
      </c>
      <c r="CN17" s="95">
        <v>6.79</v>
      </c>
      <c r="CO17" s="95">
        <v>6.9</v>
      </c>
      <c r="CP17" s="98">
        <f>SUM(Input_Raw[[#This Row],[P-01]:[P-56]])/1000</f>
        <v>261.36700000000002</v>
      </c>
      <c r="CQ17" s="71">
        <f>IFERROR(AVERAGEIF(Input_Raw[[#This Row],[WS_P-01]:[WS_P-56]],"&lt;&gt;",Input_Raw[[#This Row],[WS_P-01]:[WS_P-56]]),"")</f>
        <v>5.3872727272727268</v>
      </c>
      <c r="CR17" s="99">
        <f>MAX(Input_Raw[[#This Row],[WS_P-01]:[WS_P-56]])</f>
        <v>6.9</v>
      </c>
      <c r="CS17" s="99"/>
      <c r="CT17" s="70">
        <f>SUM(Input_Raw[[#This Row],[P-08]:[P-13]],Input_Raw[[#This Row],[P-25]:[P-28]])</f>
        <v>35250</v>
      </c>
      <c r="CU17" s="70"/>
      <c r="CV17" s="70">
        <f>SUM(Input_Raw[[#This Row],[P-04]],Input_Raw[[#This Row],[P-14]:[P-17]],Input_Raw[[#This Row],[P-19]:[P-20]],Input_Raw[[#This Row],[P-22]:[P-23]],Input_Raw[[#This Row],[P-34]],Input_Raw[[#This Row],[P-38]],Input_Raw[[#This Row],[P-43]])</f>
        <v>62807</v>
      </c>
      <c r="CW17" s="70"/>
      <c r="CX17" s="70">
        <f>SUM(Input_Raw[[#This Row],[P-05]:[P-06]],Input_Raw[[#This Row],[P-40]:[P-42]],Input_Raw[[#This Row],[P-45]],Input_Raw[[#This Row],[P-46]],Input_Raw[[#This Row],[P-47]:[P-48]])</f>
        <v>67978</v>
      </c>
      <c r="CY17" s="70"/>
      <c r="CZ17" s="70">
        <f>SUM(Input_Raw[[#This Row],[P-01]:[P-03]],Input_Raw[[#This Row],[P-07]],Input_Raw[[#This Row],[P-18]],Input_Raw[[#This Row],[P-31]:[P-32]],Input_Raw[[#This Row],[P-37]],Input_Raw[[#This Row],[P-50]:[P-56]])</f>
        <v>95332</v>
      </c>
      <c r="DA17" s="12"/>
      <c r="DB17" s="13">
        <f>Input_Raw[[#This Row],[33 kV_Wind_F1_Export reading]]/1000</f>
        <v>35.25</v>
      </c>
      <c r="DC17" s="13"/>
      <c r="DD17" s="13">
        <f>Input_Raw[[#This Row],[33 kV_Wind_F2_Export_reading]]/1000</f>
        <v>62.807000000000002</v>
      </c>
      <c r="DE17" s="13"/>
      <c r="DF17" s="13">
        <f>Input_Raw[[#This Row],[33 kV_Wind_F3_Export_Reading]]/1000</f>
        <v>67.977999999999994</v>
      </c>
      <c r="DG17" s="13"/>
      <c r="DH17" s="13">
        <f>Input_Raw[[#This Row],[33 kV_Wind_F4_Export Reading]]/1000</f>
        <v>95.331999999999994</v>
      </c>
      <c r="DI17" s="13"/>
      <c r="DJ17" s="13">
        <f>Input_Raw[[#This Row],[33 kV_F1_Total_Export (MWh)]]+Input_Raw[[#This Row],[33 kV_F2_Total_Export (MWh)2]]+Input_Raw[[#This Row],[33 kV_Wind_F3_Export (MWh)]]+Input_Raw[[#This Row],[33 kV_Wind_F4_Export (MWh)]]</f>
        <v>261.36699999999996</v>
      </c>
      <c r="DK17" s="13">
        <f>Input_Raw[[#This Row],[33 kV_Wind_F1_Import (MWh)]]+Input_Raw[[#This Row],[33 kV_Wind_F2_Import (MWh)]]+Input_Raw[[#This Row],[33 kV_Wind_F3_Import (MWh)2]]+Input_Raw[[#This Row],[33 kV_Wind_F4_Import (MWh)2]]</f>
        <v>0</v>
      </c>
      <c r="DL17" s="100">
        <f>IFERROR(Input_Raw[[#This Row],[33 kV_Wind_Total_Export (MWh)]]/Input_Raw[[#This Row],[WTG Total Gneration (MWh)]]-1,"")</f>
        <v>-2.2204460492503131E-16</v>
      </c>
      <c r="DM17" s="66"/>
      <c r="DN17" s="186">
        <v>96</v>
      </c>
      <c r="DO17" s="186">
        <v>559</v>
      </c>
      <c r="DP17" s="102">
        <v>246.08</v>
      </c>
      <c r="DQ17" s="66"/>
      <c r="DR17" s="181">
        <v>70.400000000000006</v>
      </c>
    </row>
    <row r="18" spans="1:122" ht="15">
      <c r="A18" s="92">
        <f t="shared" si="74"/>
        <v>45758</v>
      </c>
      <c r="B18" s="190">
        <f>YEAR(Input_Raw[[#This Row],[Date]])+IF(MONTH(Input_Raw[[#This Row],[Date]])&gt;=4,1,0)</f>
        <v>2026</v>
      </c>
      <c r="C18" s="190">
        <f>YEAR(Input_Raw[[#This Row],[Date]])</f>
        <v>2025</v>
      </c>
      <c r="D18" s="11">
        <f t="shared" si="78"/>
        <v>45748</v>
      </c>
      <c r="E18" s="190">
        <f>DAY(EOMONTH(Input_Raw[[#This Row],[Date]],0))</f>
        <v>30</v>
      </c>
      <c r="F18" s="93">
        <v>8048</v>
      </c>
      <c r="G18" s="93">
        <v>6866</v>
      </c>
      <c r="H18" s="93">
        <v>6204</v>
      </c>
      <c r="I18" s="93">
        <v>6172</v>
      </c>
      <c r="J18" s="93">
        <v>8244</v>
      </c>
      <c r="K18" s="93">
        <v>6180</v>
      </c>
      <c r="L18" s="93">
        <v>4388</v>
      </c>
      <c r="M18" s="93">
        <v>3544</v>
      </c>
      <c r="N18" s="93">
        <v>2542</v>
      </c>
      <c r="O18" s="93">
        <v>3226</v>
      </c>
      <c r="P18" s="93">
        <v>3752</v>
      </c>
      <c r="Q18" s="93">
        <v>4476</v>
      </c>
      <c r="R18" s="93">
        <v>4496</v>
      </c>
      <c r="S18" s="93">
        <v>4530</v>
      </c>
      <c r="T18" s="93">
        <v>4392</v>
      </c>
      <c r="U18" s="93">
        <v>5048</v>
      </c>
      <c r="V18" s="93">
        <v>5862</v>
      </c>
      <c r="W18" s="93">
        <v>7580</v>
      </c>
      <c r="X18" s="93">
        <v>5384</v>
      </c>
      <c r="Y18" s="93">
        <v>4687</v>
      </c>
      <c r="Z18" s="93">
        <v>6188</v>
      </c>
      <c r="AA18" s="93">
        <v>6220</v>
      </c>
      <c r="AB18" s="93">
        <v>4844</v>
      </c>
      <c r="AC18" s="93">
        <v>5336</v>
      </c>
      <c r="AD18" s="93">
        <v>5680</v>
      </c>
      <c r="AE18" s="93">
        <v>5264</v>
      </c>
      <c r="AF18" s="93">
        <v>4884</v>
      </c>
      <c r="AG18" s="93">
        <v>482</v>
      </c>
      <c r="AH18" s="93">
        <v>5216</v>
      </c>
      <c r="AI18" s="93">
        <v>820</v>
      </c>
      <c r="AJ18" s="93">
        <v>6316</v>
      </c>
      <c r="AK18" s="93">
        <v>4034</v>
      </c>
      <c r="AL18" s="93">
        <v>7780</v>
      </c>
      <c r="AM18" s="93">
        <v>8520</v>
      </c>
      <c r="AN18" s="93">
        <v>4568</v>
      </c>
      <c r="AO18" s="93">
        <v>7112</v>
      </c>
      <c r="AP18" s="93">
        <v>7456</v>
      </c>
      <c r="AQ18" s="93">
        <v>6608</v>
      </c>
      <c r="AR18" s="93">
        <v>7756</v>
      </c>
      <c r="AS18" s="93">
        <v>2994</v>
      </c>
      <c r="AT18" s="93">
        <v>3082</v>
      </c>
      <c r="AU18" s="93">
        <v>3576</v>
      </c>
      <c r="AV18" s="93">
        <v>6392</v>
      </c>
      <c r="AW18" s="93">
        <v>7284</v>
      </c>
      <c r="AX18" s="95">
        <v>5.51</v>
      </c>
      <c r="AY18" s="95">
        <v>5.34</v>
      </c>
      <c r="AZ18" s="95">
        <v>5.21</v>
      </c>
      <c r="BA18" s="95">
        <v>5.4</v>
      </c>
      <c r="BB18" s="95">
        <v>5.59</v>
      </c>
      <c r="BC18" s="95">
        <v>5.55</v>
      </c>
      <c r="BD18" s="95">
        <v>5.36</v>
      </c>
      <c r="BE18" s="95">
        <v>4.6900000000000004</v>
      </c>
      <c r="BF18" s="95">
        <v>4.41</v>
      </c>
      <c r="BG18" s="95">
        <v>4.92</v>
      </c>
      <c r="BH18" s="95">
        <v>4.84</v>
      </c>
      <c r="BI18" s="95">
        <v>4.96</v>
      </c>
      <c r="BJ18" s="95">
        <v>5.01</v>
      </c>
      <c r="BK18" s="95">
        <v>5.03</v>
      </c>
      <c r="BL18" s="95">
        <v>5.1100000000000003</v>
      </c>
      <c r="BM18" s="95">
        <v>5.25</v>
      </c>
      <c r="BN18" s="95">
        <v>5.29</v>
      </c>
      <c r="BO18" s="95">
        <v>5.57</v>
      </c>
      <c r="BP18" s="95">
        <v>5.2</v>
      </c>
      <c r="BQ18" s="95">
        <v>4.8</v>
      </c>
      <c r="BR18" s="95">
        <v>5.51</v>
      </c>
      <c r="BS18" s="95">
        <v>5.26</v>
      </c>
      <c r="BT18" s="95">
        <v>4.7699999999999996</v>
      </c>
      <c r="BU18" s="95">
        <v>5.29</v>
      </c>
      <c r="BV18" s="95">
        <v>5.29</v>
      </c>
      <c r="BW18" s="95">
        <v>5.18</v>
      </c>
      <c r="BX18" s="95">
        <v>4.43</v>
      </c>
      <c r="BY18" s="95">
        <v>3.14</v>
      </c>
      <c r="BZ18" s="95">
        <v>5.21</v>
      </c>
      <c r="CA18" s="95">
        <v>3.73</v>
      </c>
      <c r="CB18" s="95">
        <v>5.14</v>
      </c>
      <c r="CC18" s="95">
        <v>4.93</v>
      </c>
      <c r="CD18" s="95">
        <v>6.01</v>
      </c>
      <c r="CE18" s="95">
        <v>5.7</v>
      </c>
      <c r="CF18" s="95">
        <v>4.66</v>
      </c>
      <c r="CG18" s="95">
        <v>6</v>
      </c>
      <c r="CH18" s="95">
        <v>6.04</v>
      </c>
      <c r="CI18" s="95">
        <v>5.17</v>
      </c>
      <c r="CJ18" s="95">
        <v>5.83</v>
      </c>
      <c r="CK18" s="95">
        <v>4.21</v>
      </c>
      <c r="CL18" s="95">
        <v>4.34</v>
      </c>
      <c r="CM18" s="95">
        <v>4.72</v>
      </c>
      <c r="CN18" s="95">
        <v>5.67</v>
      </c>
      <c r="CO18" s="95">
        <v>5.83</v>
      </c>
      <c r="CP18" s="98">
        <f>SUM(Input_Raw[[#This Row],[P-01]:[P-56]])/1000</f>
        <v>234.03299999999999</v>
      </c>
      <c r="CQ18" s="71">
        <f>IFERROR(AVERAGEIF(Input_Raw[[#This Row],[WS_P-01]:[WS_P-56]],"&lt;&gt;",Input_Raw[[#This Row],[WS_P-01]:[WS_P-56]]),"")</f>
        <v>5.1159090909090912</v>
      </c>
      <c r="CR18" s="99">
        <f>MAX(Input_Raw[[#This Row],[WS_P-01]:[WS_P-56]])</f>
        <v>6.04</v>
      </c>
      <c r="CS18" s="99"/>
      <c r="CT18" s="70">
        <f>SUM(Input_Raw[[#This Row],[P-08]:[P-13]],Input_Raw[[#This Row],[P-25]:[P-28]])</f>
        <v>43160</v>
      </c>
      <c r="CU18" s="70"/>
      <c r="CV18" s="70">
        <f>SUM(Input_Raw[[#This Row],[P-04]],Input_Raw[[#This Row],[P-14]:[P-17]],Input_Raw[[#This Row],[P-19]:[P-20]],Input_Raw[[#This Row],[P-22]:[P-23]],Input_Raw[[#This Row],[P-34]],Input_Raw[[#This Row],[P-38]],Input_Raw[[#This Row],[P-43]])</f>
        <v>64583</v>
      </c>
      <c r="CW18" s="70"/>
      <c r="CX18" s="70">
        <f>SUM(Input_Raw[[#This Row],[P-05]:[P-06]],Input_Raw[[#This Row],[P-40]:[P-42]],Input_Raw[[#This Row],[P-45]],Input_Raw[[#This Row],[P-46]],Input_Raw[[#This Row],[P-47]:[P-48]])</f>
        <v>63690</v>
      </c>
      <c r="CY18" s="70"/>
      <c r="CZ18" s="70">
        <f>SUM(Input_Raw[[#This Row],[P-01]:[P-03]],Input_Raw[[#This Row],[P-07]],Input_Raw[[#This Row],[P-18]],Input_Raw[[#This Row],[P-31]:[P-32]],Input_Raw[[#This Row],[P-37]],Input_Raw[[#This Row],[P-50]:[P-56]])</f>
        <v>62600</v>
      </c>
      <c r="DA18" s="12"/>
      <c r="DB18" s="13">
        <f>Input_Raw[[#This Row],[33 kV_Wind_F1_Export reading]]/1000</f>
        <v>43.16</v>
      </c>
      <c r="DC18" s="13"/>
      <c r="DD18" s="13">
        <f>Input_Raw[[#This Row],[33 kV_Wind_F2_Export_reading]]/1000</f>
        <v>64.582999999999998</v>
      </c>
      <c r="DE18" s="13"/>
      <c r="DF18" s="13">
        <f>Input_Raw[[#This Row],[33 kV_Wind_F3_Export_Reading]]/1000</f>
        <v>63.69</v>
      </c>
      <c r="DG18" s="13"/>
      <c r="DH18" s="13">
        <f>Input_Raw[[#This Row],[33 kV_Wind_F4_Export Reading]]/1000</f>
        <v>62.6</v>
      </c>
      <c r="DI18" s="13"/>
      <c r="DJ18" s="13">
        <f>Input_Raw[[#This Row],[33 kV_F1_Total_Export (MWh)]]+Input_Raw[[#This Row],[33 kV_F2_Total_Export (MWh)2]]+Input_Raw[[#This Row],[33 kV_Wind_F3_Export (MWh)]]+Input_Raw[[#This Row],[33 kV_Wind_F4_Export (MWh)]]</f>
        <v>234.03299999999999</v>
      </c>
      <c r="DK18" s="13">
        <f>Input_Raw[[#This Row],[33 kV_Wind_F1_Import (MWh)]]+Input_Raw[[#This Row],[33 kV_Wind_F2_Import (MWh)]]+Input_Raw[[#This Row],[33 kV_Wind_F3_Import (MWh)2]]+Input_Raw[[#This Row],[33 kV_Wind_F4_Import (MWh)2]]</f>
        <v>0</v>
      </c>
      <c r="DL18" s="100">
        <f>IFERROR(Input_Raw[[#This Row],[33 kV_Wind_Total_Export (MWh)]]/Input_Raw[[#This Row],[WTG Total Gneration (MWh)]]-1,"")</f>
        <v>0</v>
      </c>
      <c r="DM18" s="66"/>
      <c r="DN18" s="186">
        <v>96</v>
      </c>
      <c r="DO18" s="186">
        <v>1616</v>
      </c>
      <c r="DP18" s="102">
        <v>228.85</v>
      </c>
      <c r="DQ18" s="66"/>
      <c r="DR18" s="181">
        <v>70.400000000000006</v>
      </c>
    </row>
    <row r="19" spans="1:122" ht="15">
      <c r="A19" s="92">
        <f t="shared" si="74"/>
        <v>45759</v>
      </c>
      <c r="B19" s="190">
        <f>YEAR(Input_Raw[[#This Row],[Date]])+IF(MONTH(Input_Raw[[#This Row],[Date]])&gt;=4,1,0)</f>
        <v>2026</v>
      </c>
      <c r="C19" s="190">
        <f>YEAR(Input_Raw[[#This Row],[Date]])</f>
        <v>2025</v>
      </c>
      <c r="D19" s="11">
        <f t="shared" ref="D19" si="79">A19-DAY(A19)+1</f>
        <v>45748</v>
      </c>
      <c r="E19" s="190">
        <f>DAY(EOMONTH(Input_Raw[[#This Row],[Date]],0))</f>
        <v>30</v>
      </c>
      <c r="F19" s="93">
        <v>9372</v>
      </c>
      <c r="G19" s="93">
        <v>7640</v>
      </c>
      <c r="H19" s="93">
        <v>7404</v>
      </c>
      <c r="I19" s="93">
        <v>7204</v>
      </c>
      <c r="J19" s="93">
        <v>6904</v>
      </c>
      <c r="K19" s="93">
        <v>5168</v>
      </c>
      <c r="L19" s="93">
        <v>7328</v>
      </c>
      <c r="M19" s="93">
        <v>3656</v>
      </c>
      <c r="N19" s="93">
        <v>2614</v>
      </c>
      <c r="O19" s="93">
        <v>3416</v>
      </c>
      <c r="P19" s="93">
        <v>3996</v>
      </c>
      <c r="Q19" s="93">
        <v>4676</v>
      </c>
      <c r="R19" s="93">
        <v>4802</v>
      </c>
      <c r="S19" s="93">
        <v>5186</v>
      </c>
      <c r="T19" s="93">
        <v>4848</v>
      </c>
      <c r="U19" s="93">
        <v>6084</v>
      </c>
      <c r="V19" s="93">
        <v>6810</v>
      </c>
      <c r="W19" s="93">
        <v>8039.9999999999991</v>
      </c>
      <c r="X19" s="93">
        <v>6078</v>
      </c>
      <c r="Y19" s="93">
        <v>5279</v>
      </c>
      <c r="Z19" s="93">
        <v>6748</v>
      </c>
      <c r="AA19" s="93">
        <v>7992</v>
      </c>
      <c r="AB19" s="93">
        <v>4904</v>
      </c>
      <c r="AC19" s="93">
        <v>5392</v>
      </c>
      <c r="AD19" s="93">
        <v>6312</v>
      </c>
      <c r="AE19" s="93">
        <v>6128</v>
      </c>
      <c r="AF19" s="93">
        <v>5726</v>
      </c>
      <c r="AG19" s="93">
        <v>3162</v>
      </c>
      <c r="AH19" s="93">
        <v>6636</v>
      </c>
      <c r="AI19" s="93">
        <v>4011.9999999999995</v>
      </c>
      <c r="AJ19" s="93">
        <v>7254</v>
      </c>
      <c r="AK19" s="93">
        <v>3960</v>
      </c>
      <c r="AL19" s="93">
        <v>6420</v>
      </c>
      <c r="AM19" s="93">
        <v>8160</v>
      </c>
      <c r="AN19" s="93">
        <v>5812</v>
      </c>
      <c r="AO19" s="93">
        <v>10452</v>
      </c>
      <c r="AP19" s="93">
        <v>10084</v>
      </c>
      <c r="AQ19" s="93">
        <v>8388</v>
      </c>
      <c r="AR19" s="93">
        <v>8116</v>
      </c>
      <c r="AS19" s="93">
        <v>3196</v>
      </c>
      <c r="AT19" s="93">
        <v>2426</v>
      </c>
      <c r="AU19" s="93">
        <v>4840</v>
      </c>
      <c r="AV19" s="93">
        <v>9440</v>
      </c>
      <c r="AW19" s="93">
        <v>7704</v>
      </c>
      <c r="AX19" s="95">
        <v>6.03</v>
      </c>
      <c r="AY19" s="95">
        <v>5.74</v>
      </c>
      <c r="AZ19" s="95">
        <v>5.79</v>
      </c>
      <c r="BA19" s="95">
        <v>5.84</v>
      </c>
      <c r="BB19" s="95">
        <v>5.39</v>
      </c>
      <c r="BC19" s="95">
        <v>5.26</v>
      </c>
      <c r="BD19" s="95">
        <v>5.84</v>
      </c>
      <c r="BE19" s="95">
        <v>4.79</v>
      </c>
      <c r="BF19" s="95">
        <v>4.3899999999999997</v>
      </c>
      <c r="BG19" s="95">
        <v>4.92</v>
      </c>
      <c r="BH19" s="95">
        <v>4.78</v>
      </c>
      <c r="BI19" s="95">
        <v>5</v>
      </c>
      <c r="BJ19" s="95">
        <v>5.17</v>
      </c>
      <c r="BK19" s="95">
        <v>5.35</v>
      </c>
      <c r="BL19" s="95">
        <v>5.38</v>
      </c>
      <c r="BM19" s="95">
        <v>5.72</v>
      </c>
      <c r="BN19" s="95">
        <v>5.63</v>
      </c>
      <c r="BO19" s="95">
        <v>6.01</v>
      </c>
      <c r="BP19" s="95">
        <v>5.5</v>
      </c>
      <c r="BQ19" s="95">
        <v>5.08</v>
      </c>
      <c r="BR19" s="95">
        <v>5.87</v>
      </c>
      <c r="BS19" s="95">
        <v>5.88</v>
      </c>
      <c r="BT19" s="95">
        <v>4.96</v>
      </c>
      <c r="BU19" s="95">
        <v>5.5</v>
      </c>
      <c r="BV19" s="95">
        <v>5.78</v>
      </c>
      <c r="BW19" s="95">
        <v>5.79</v>
      </c>
      <c r="BX19" s="95">
        <v>4.92</v>
      </c>
      <c r="BY19" s="95">
        <v>4.0599999999999996</v>
      </c>
      <c r="BZ19" s="95">
        <v>5.85</v>
      </c>
      <c r="CA19" s="95">
        <v>4.6100000000000003</v>
      </c>
      <c r="CB19" s="95">
        <v>5.47</v>
      </c>
      <c r="CC19" s="95">
        <v>4.9000000000000004</v>
      </c>
      <c r="CD19" s="95">
        <v>5.72</v>
      </c>
      <c r="CE19" s="95">
        <v>5.86</v>
      </c>
      <c r="CF19" s="95">
        <v>5.19</v>
      </c>
      <c r="CG19" s="95">
        <v>6.85</v>
      </c>
      <c r="CH19" s="95">
        <v>6.72</v>
      </c>
      <c r="CI19" s="95">
        <v>5.82</v>
      </c>
      <c r="CJ19" s="95">
        <v>6.07</v>
      </c>
      <c r="CK19" s="95">
        <v>3.83</v>
      </c>
      <c r="CL19" s="95">
        <v>4.3600000000000003</v>
      </c>
      <c r="CM19" s="95">
        <v>4.8600000000000003</v>
      </c>
      <c r="CN19" s="95">
        <v>6.38</v>
      </c>
      <c r="CO19" s="95">
        <v>6.02</v>
      </c>
      <c r="CP19" s="98">
        <f>SUM(Input_Raw[[#This Row],[P-01]:[P-56]])/1000</f>
        <v>269.76900000000001</v>
      </c>
      <c r="CQ19" s="71">
        <f>IFERROR(AVERAGEIF(Input_Raw[[#This Row],[WS_P-01]:[WS_P-56]],"&lt;&gt;",Input_Raw[[#This Row],[WS_P-01]:[WS_P-56]]),"")</f>
        <v>5.4290909090909096</v>
      </c>
      <c r="CR19" s="99">
        <f>MAX(Input_Raw[[#This Row],[WS_P-01]:[WS_P-56]])</f>
        <v>6.85</v>
      </c>
      <c r="CS19" s="99"/>
      <c r="CT19" s="70">
        <f>SUM(Input_Raw[[#This Row],[P-08]:[P-13]],Input_Raw[[#This Row],[P-25]:[P-28]])</f>
        <v>45896</v>
      </c>
      <c r="CU19" s="70"/>
      <c r="CV19" s="70">
        <f>SUM(Input_Raw[[#This Row],[P-04]],Input_Raw[[#This Row],[P-14]:[P-17]],Input_Raw[[#This Row],[P-19]:[P-20]],Input_Raw[[#This Row],[P-22]:[P-23]],Input_Raw[[#This Row],[P-34]],Input_Raw[[#This Row],[P-38]],Input_Raw[[#This Row],[P-43]])</f>
        <v>75931</v>
      </c>
      <c r="CW19" s="70"/>
      <c r="CX19" s="70">
        <f>SUM(Input_Raw[[#This Row],[P-05]:[P-06]],Input_Raw[[#This Row],[P-40]:[P-42]],Input_Raw[[#This Row],[P-45]],Input_Raw[[#This Row],[P-46]],Input_Raw[[#This Row],[P-47]:[P-48]])</f>
        <v>67652</v>
      </c>
      <c r="CY19" s="70"/>
      <c r="CZ19" s="70">
        <f>SUM(Input_Raw[[#This Row],[P-01]:[P-03]],Input_Raw[[#This Row],[P-07]],Input_Raw[[#This Row],[P-18]],Input_Raw[[#This Row],[P-31]:[P-32]],Input_Raw[[#This Row],[P-37]],Input_Raw[[#This Row],[P-50]:[P-56]])</f>
        <v>80290</v>
      </c>
      <c r="DA19" s="12"/>
      <c r="DB19" s="13">
        <f>Input_Raw[[#This Row],[33 kV_Wind_F1_Export reading]]/1000</f>
        <v>45.896000000000001</v>
      </c>
      <c r="DC19" s="13"/>
      <c r="DD19" s="13">
        <f>Input_Raw[[#This Row],[33 kV_Wind_F2_Export_reading]]/1000</f>
        <v>75.930999999999997</v>
      </c>
      <c r="DE19" s="13"/>
      <c r="DF19" s="13">
        <f>Input_Raw[[#This Row],[33 kV_Wind_F3_Export_Reading]]/1000</f>
        <v>67.652000000000001</v>
      </c>
      <c r="DG19" s="13"/>
      <c r="DH19" s="13">
        <f>Input_Raw[[#This Row],[33 kV_Wind_F4_Export Reading]]/1000</f>
        <v>80.290000000000006</v>
      </c>
      <c r="DI19" s="13"/>
      <c r="DJ19" s="13">
        <f>Input_Raw[[#This Row],[33 kV_F1_Total_Export (MWh)]]+Input_Raw[[#This Row],[33 kV_F2_Total_Export (MWh)2]]+Input_Raw[[#This Row],[33 kV_Wind_F3_Export (MWh)]]+Input_Raw[[#This Row],[33 kV_Wind_F4_Export (MWh)]]</f>
        <v>269.76900000000001</v>
      </c>
      <c r="DK19" s="13">
        <f>Input_Raw[[#This Row],[33 kV_Wind_F1_Import (MWh)]]+Input_Raw[[#This Row],[33 kV_Wind_F2_Import (MWh)]]+Input_Raw[[#This Row],[33 kV_Wind_F3_Import (MWh)2]]+Input_Raw[[#This Row],[33 kV_Wind_F4_Import (MWh)2]]</f>
        <v>0</v>
      </c>
      <c r="DL19" s="100">
        <f>IFERROR(Input_Raw[[#This Row],[33 kV_Wind_Total_Export (MWh)]]/Input_Raw[[#This Row],[WTG Total Gneration (MWh)]]-1,"")</f>
        <v>0</v>
      </c>
      <c r="DM19" s="66"/>
      <c r="DN19" s="186">
        <v>96</v>
      </c>
      <c r="DO19" s="186">
        <v>275</v>
      </c>
      <c r="DP19" s="102">
        <v>262.35000000000002</v>
      </c>
      <c r="DQ19" s="66"/>
      <c r="DR19" s="181">
        <v>70.400000000000006</v>
      </c>
    </row>
    <row r="20" spans="1:122" ht="15">
      <c r="A20" s="92">
        <f t="shared" si="74"/>
        <v>45760</v>
      </c>
      <c r="B20" s="190">
        <f>YEAR(Input_Raw[[#This Row],[Date]])+IF(MONTH(Input_Raw[[#This Row],[Date]])&gt;=4,1,0)</f>
        <v>2026</v>
      </c>
      <c r="C20" s="190">
        <f>YEAR(Input_Raw[[#This Row],[Date]])</f>
        <v>2025</v>
      </c>
      <c r="D20" s="11">
        <f t="shared" ref="D20:D25" si="80">A20-DAY(A20)+1</f>
        <v>45748</v>
      </c>
      <c r="E20" s="190">
        <f>DAY(EOMONTH(Input_Raw[[#This Row],[Date]],0))</f>
        <v>30</v>
      </c>
      <c r="F20" s="93">
        <v>10252</v>
      </c>
      <c r="G20" s="93">
        <v>8528</v>
      </c>
      <c r="H20" s="93">
        <v>9040</v>
      </c>
      <c r="I20" s="93">
        <v>5548</v>
      </c>
      <c r="J20" s="93">
        <v>5512</v>
      </c>
      <c r="K20" s="93">
        <v>4576</v>
      </c>
      <c r="L20" s="93">
        <v>9688</v>
      </c>
      <c r="M20" s="93">
        <v>1936</v>
      </c>
      <c r="N20" s="93">
        <v>1346</v>
      </c>
      <c r="O20" s="93">
        <v>1522</v>
      </c>
      <c r="P20" s="93">
        <v>1848</v>
      </c>
      <c r="Q20" s="93">
        <v>2180</v>
      </c>
      <c r="R20" s="93">
        <v>2054</v>
      </c>
      <c r="S20" s="93">
        <v>2208</v>
      </c>
      <c r="T20" s="93">
        <v>1996</v>
      </c>
      <c r="U20" s="93">
        <v>2324</v>
      </c>
      <c r="V20" s="93">
        <v>2952</v>
      </c>
      <c r="W20" s="93">
        <v>9008</v>
      </c>
      <c r="X20" s="93">
        <v>2884</v>
      </c>
      <c r="Y20" s="93">
        <v>2956</v>
      </c>
      <c r="Z20" s="93">
        <v>7852</v>
      </c>
      <c r="AA20" s="93">
        <v>8448</v>
      </c>
      <c r="AB20" s="93">
        <v>3824</v>
      </c>
      <c r="AC20" s="93">
        <v>3912</v>
      </c>
      <c r="AD20" s="93">
        <v>4724</v>
      </c>
      <c r="AE20" s="93">
        <v>3824</v>
      </c>
      <c r="AF20" s="93">
        <v>6906</v>
      </c>
      <c r="AG20" s="93">
        <v>3808</v>
      </c>
      <c r="AH20" s="93">
        <v>5404</v>
      </c>
      <c r="AI20" s="93">
        <v>5510</v>
      </c>
      <c r="AJ20" s="93">
        <v>3404</v>
      </c>
      <c r="AK20" s="93">
        <v>2072</v>
      </c>
      <c r="AL20" s="93">
        <v>5196</v>
      </c>
      <c r="AM20" s="93">
        <v>7980</v>
      </c>
      <c r="AN20" s="93">
        <v>3836</v>
      </c>
      <c r="AO20" s="93">
        <v>7772</v>
      </c>
      <c r="AP20" s="93">
        <v>6076</v>
      </c>
      <c r="AQ20" s="93">
        <v>6068</v>
      </c>
      <c r="AR20" s="93">
        <v>6396</v>
      </c>
      <c r="AS20" s="93">
        <v>3194</v>
      </c>
      <c r="AT20" s="93">
        <v>5612</v>
      </c>
      <c r="AU20" s="93">
        <v>7896</v>
      </c>
      <c r="AV20" s="93">
        <v>11188</v>
      </c>
      <c r="AW20" s="93">
        <v>8320</v>
      </c>
      <c r="AX20" s="95">
        <v>5.88</v>
      </c>
      <c r="AY20" s="95">
        <v>5.68</v>
      </c>
      <c r="AZ20" s="95">
        <v>5.92</v>
      </c>
      <c r="BA20" s="95">
        <v>5.18</v>
      </c>
      <c r="BB20" s="95">
        <v>4.92</v>
      </c>
      <c r="BC20" s="95">
        <v>5.01</v>
      </c>
      <c r="BD20" s="95">
        <v>6.16</v>
      </c>
      <c r="BE20" s="95">
        <v>3.96</v>
      </c>
      <c r="BF20" s="95">
        <v>3.7</v>
      </c>
      <c r="BG20" s="95">
        <v>4</v>
      </c>
      <c r="BH20" s="95">
        <v>3.79</v>
      </c>
      <c r="BI20" s="95">
        <v>4.0599999999999996</v>
      </c>
      <c r="BJ20" s="95">
        <v>4.03</v>
      </c>
      <c r="BK20" s="95">
        <v>4.09</v>
      </c>
      <c r="BL20" s="95">
        <v>4.09</v>
      </c>
      <c r="BM20" s="95">
        <v>4.21</v>
      </c>
      <c r="BN20" s="95">
        <v>4.43</v>
      </c>
      <c r="BO20" s="95">
        <v>5.93</v>
      </c>
      <c r="BP20" s="95">
        <v>4.3499999999999996</v>
      </c>
      <c r="BQ20" s="95">
        <v>4.1900000000000004</v>
      </c>
      <c r="BR20" s="95">
        <v>5.87</v>
      </c>
      <c r="BS20" s="95">
        <v>5.87</v>
      </c>
      <c r="BT20" s="95">
        <v>4.5199999999999996</v>
      </c>
      <c r="BU20" s="95">
        <v>4.93</v>
      </c>
      <c r="BV20" s="95">
        <v>5.1100000000000003</v>
      </c>
      <c r="BW20" s="95">
        <v>4.82</v>
      </c>
      <c r="BX20" s="95">
        <v>5.1100000000000003</v>
      </c>
      <c r="BY20" s="95">
        <v>4.57</v>
      </c>
      <c r="BZ20" s="95">
        <v>5.26</v>
      </c>
      <c r="CA20" s="95">
        <v>5.17</v>
      </c>
      <c r="CB20" s="95">
        <v>4.2300000000000004</v>
      </c>
      <c r="CC20" s="95">
        <v>3.91</v>
      </c>
      <c r="CD20" s="95">
        <v>5.32</v>
      </c>
      <c r="CE20" s="95">
        <v>5.58</v>
      </c>
      <c r="CF20" s="95">
        <v>4.42</v>
      </c>
      <c r="CG20" s="95">
        <v>6.17</v>
      </c>
      <c r="CH20" s="95">
        <v>5.62</v>
      </c>
      <c r="CI20" s="95">
        <v>5.01</v>
      </c>
      <c r="CJ20" s="95">
        <v>5.35</v>
      </c>
      <c r="CK20" s="95">
        <v>3.93</v>
      </c>
      <c r="CL20" s="95">
        <v>4.96</v>
      </c>
      <c r="CM20" s="95">
        <v>5.59</v>
      </c>
      <c r="CN20" s="95">
        <v>6.62</v>
      </c>
      <c r="CO20" s="95">
        <v>5.96</v>
      </c>
      <c r="CP20" s="98">
        <f>SUM(Input_Raw[[#This Row],[P-01]:[P-56]])/1000</f>
        <v>227.58</v>
      </c>
      <c r="CQ20" s="71">
        <f>IFERROR(AVERAGEIF(Input_Raw[[#This Row],[WS_P-01]:[WS_P-56]],"&lt;&gt;",Input_Raw[[#This Row],[WS_P-01]:[WS_P-56]]),"")</f>
        <v>4.9427272727272724</v>
      </c>
      <c r="CR20" s="99">
        <f>MAX(Input_Raw[[#This Row],[WS_P-01]:[WS_P-56]])</f>
        <v>6.62</v>
      </c>
      <c r="CS20" s="99"/>
      <c r="CT20" s="70">
        <f>SUM(Input_Raw[[#This Row],[P-08]:[P-13]],Input_Raw[[#This Row],[P-25]:[P-28]])</f>
        <v>27170</v>
      </c>
      <c r="CU20" s="70"/>
      <c r="CV20" s="70">
        <f>SUM(Input_Raw[[#This Row],[P-04]],Input_Raw[[#This Row],[P-14]:[P-17]],Input_Raw[[#This Row],[P-19]:[P-20]],Input_Raw[[#This Row],[P-22]:[P-23]],Input_Raw[[#This Row],[P-34]],Input_Raw[[#This Row],[P-38]],Input_Raw[[#This Row],[P-43]])</f>
        <v>49812</v>
      </c>
      <c r="CW20" s="70"/>
      <c r="CX20" s="70">
        <f>SUM(Input_Raw[[#This Row],[P-05]:[P-06]],Input_Raw[[#This Row],[P-40]:[P-42]],Input_Raw[[#This Row],[P-45]],Input_Raw[[#This Row],[P-46]],Input_Raw[[#This Row],[P-47]:[P-48]])</f>
        <v>51648</v>
      </c>
      <c r="CY20" s="70"/>
      <c r="CZ20" s="70">
        <f>SUM(Input_Raw[[#This Row],[P-01]:[P-03]],Input_Raw[[#This Row],[P-07]],Input_Raw[[#This Row],[P-18]],Input_Raw[[#This Row],[P-31]:[P-32]],Input_Raw[[#This Row],[P-37]],Input_Raw[[#This Row],[P-50]:[P-56]])</f>
        <v>98950</v>
      </c>
      <c r="DA20" s="12"/>
      <c r="DB20" s="13">
        <f>Input_Raw[[#This Row],[33 kV_Wind_F1_Export reading]]/1000</f>
        <v>27.17</v>
      </c>
      <c r="DC20" s="13"/>
      <c r="DD20" s="13">
        <f>Input_Raw[[#This Row],[33 kV_Wind_F2_Export_reading]]/1000</f>
        <v>49.811999999999998</v>
      </c>
      <c r="DE20" s="13"/>
      <c r="DF20" s="13">
        <f>Input_Raw[[#This Row],[33 kV_Wind_F3_Export_Reading]]/1000</f>
        <v>51.648000000000003</v>
      </c>
      <c r="DG20" s="13"/>
      <c r="DH20" s="13">
        <f>Input_Raw[[#This Row],[33 kV_Wind_F4_Export Reading]]/1000</f>
        <v>98.95</v>
      </c>
      <c r="DI20" s="13"/>
      <c r="DJ20" s="13">
        <f>Input_Raw[[#This Row],[33 kV_F1_Total_Export (MWh)]]+Input_Raw[[#This Row],[33 kV_F2_Total_Export (MWh)2]]+Input_Raw[[#This Row],[33 kV_Wind_F3_Export (MWh)]]+Input_Raw[[#This Row],[33 kV_Wind_F4_Export (MWh)]]</f>
        <v>227.57999999999998</v>
      </c>
      <c r="DK20" s="13">
        <f>Input_Raw[[#This Row],[33 kV_Wind_F1_Import (MWh)]]+Input_Raw[[#This Row],[33 kV_Wind_F2_Import (MWh)]]+Input_Raw[[#This Row],[33 kV_Wind_F3_Import (MWh)2]]+Input_Raw[[#This Row],[33 kV_Wind_F4_Import (MWh)2]]</f>
        <v>0</v>
      </c>
      <c r="DL20" s="100">
        <f>IFERROR(Input_Raw[[#This Row],[33 kV_Wind_Total_Export (MWh)]]/Input_Raw[[#This Row],[WTG Total Gneration (MWh)]]-1,"")</f>
        <v>-1.1102230246251565E-16</v>
      </c>
      <c r="DM20" s="66"/>
      <c r="DN20" s="186">
        <v>96</v>
      </c>
      <c r="DO20" s="186">
        <v>2148</v>
      </c>
      <c r="DP20" s="102">
        <v>219.75</v>
      </c>
      <c r="DQ20" s="66"/>
      <c r="DR20" s="181">
        <v>70.400000000000006</v>
      </c>
    </row>
    <row r="21" spans="1:122" ht="15">
      <c r="A21" s="92">
        <f t="shared" si="74"/>
        <v>45761</v>
      </c>
      <c r="B21" s="190">
        <f>YEAR(Input_Raw[[#This Row],[Date]])+IF(MONTH(Input_Raw[[#This Row],[Date]])&gt;=4,1,0)</f>
        <v>2026</v>
      </c>
      <c r="C21" s="190">
        <f>YEAR(Input_Raw[[#This Row],[Date]])</f>
        <v>2025</v>
      </c>
      <c r="D21" s="11">
        <f t="shared" si="80"/>
        <v>45748</v>
      </c>
      <c r="E21" s="190">
        <f>DAY(EOMONTH(Input_Raw[[#This Row],[Date]],0))</f>
        <v>30</v>
      </c>
      <c r="F21" s="93">
        <v>8752</v>
      </c>
      <c r="G21" s="93">
        <v>10494</v>
      </c>
      <c r="H21" s="93">
        <v>11348</v>
      </c>
      <c r="I21" s="93">
        <v>5314</v>
      </c>
      <c r="J21" s="93">
        <v>5624</v>
      </c>
      <c r="K21" s="93">
        <v>5428</v>
      </c>
      <c r="L21" s="93">
        <v>6458</v>
      </c>
      <c r="M21" s="93">
        <v>3284</v>
      </c>
      <c r="N21" s="93">
        <v>2346</v>
      </c>
      <c r="O21" s="93">
        <v>2432</v>
      </c>
      <c r="P21" s="93">
        <v>2628</v>
      </c>
      <c r="Q21" s="93">
        <v>2916</v>
      </c>
      <c r="R21" s="93">
        <v>2880</v>
      </c>
      <c r="S21" s="93">
        <v>2448</v>
      </c>
      <c r="T21" s="93">
        <v>2096</v>
      </c>
      <c r="U21" s="93">
        <v>2540</v>
      </c>
      <c r="V21" s="93">
        <v>2974</v>
      </c>
      <c r="W21" s="93">
        <v>7524</v>
      </c>
      <c r="X21" s="93">
        <v>2560</v>
      </c>
      <c r="Y21" s="93">
        <v>2070</v>
      </c>
      <c r="Z21" s="93">
        <v>5224</v>
      </c>
      <c r="AA21" s="93">
        <v>5896</v>
      </c>
      <c r="AB21" s="93">
        <v>3704</v>
      </c>
      <c r="AC21" s="93">
        <v>3560</v>
      </c>
      <c r="AD21" s="93">
        <v>4268</v>
      </c>
      <c r="AE21" s="93">
        <v>3784</v>
      </c>
      <c r="AF21" s="93">
        <v>10572</v>
      </c>
      <c r="AG21" s="93">
        <v>5176</v>
      </c>
      <c r="AH21" s="93">
        <v>5960</v>
      </c>
      <c r="AI21" s="93">
        <v>6360</v>
      </c>
      <c r="AJ21" s="93">
        <v>2934</v>
      </c>
      <c r="AK21" s="93">
        <v>3408</v>
      </c>
      <c r="AL21" s="93">
        <v>5572</v>
      </c>
      <c r="AM21" s="93">
        <v>6320</v>
      </c>
      <c r="AN21" s="93">
        <v>3756</v>
      </c>
      <c r="AO21" s="93">
        <v>7904</v>
      </c>
      <c r="AP21" s="93">
        <v>7272</v>
      </c>
      <c r="AQ21" s="93">
        <v>5684</v>
      </c>
      <c r="AR21" s="93">
        <v>6216</v>
      </c>
      <c r="AS21" s="93">
        <v>5606</v>
      </c>
      <c r="AT21" s="93">
        <v>7404</v>
      </c>
      <c r="AU21" s="93">
        <v>8664</v>
      </c>
      <c r="AV21" s="93">
        <v>7740</v>
      </c>
      <c r="AW21" s="93">
        <v>6140</v>
      </c>
      <c r="AX21" s="95">
        <v>5.61</v>
      </c>
      <c r="AY21" s="95">
        <v>6.22</v>
      </c>
      <c r="AZ21" s="95">
        <v>6.46</v>
      </c>
      <c r="BA21" s="95">
        <v>5.16</v>
      </c>
      <c r="BB21" s="95">
        <v>4.5599999999999996</v>
      </c>
      <c r="BC21" s="95">
        <v>5.12</v>
      </c>
      <c r="BD21" s="95">
        <v>5.53</v>
      </c>
      <c r="BE21" s="95">
        <v>4.5599999999999996</v>
      </c>
      <c r="BF21" s="95">
        <v>4.3099999999999996</v>
      </c>
      <c r="BG21" s="95">
        <v>4.57</v>
      </c>
      <c r="BH21" s="95">
        <v>4.21</v>
      </c>
      <c r="BI21" s="95">
        <v>4.34</v>
      </c>
      <c r="BJ21" s="95">
        <v>4.28</v>
      </c>
      <c r="BK21" s="95">
        <v>4.0599999999999996</v>
      </c>
      <c r="BL21" s="95">
        <v>4.0999999999999996</v>
      </c>
      <c r="BM21" s="95">
        <v>4.08</v>
      </c>
      <c r="BN21" s="95">
        <v>4.3</v>
      </c>
      <c r="BO21" s="95">
        <v>5.69</v>
      </c>
      <c r="BP21" s="95">
        <v>4.21</v>
      </c>
      <c r="BQ21" s="95">
        <v>3.71</v>
      </c>
      <c r="BR21" s="95">
        <v>5.17</v>
      </c>
      <c r="BS21" s="95">
        <v>5.15</v>
      </c>
      <c r="BT21" s="95">
        <v>4.33</v>
      </c>
      <c r="BU21" s="95">
        <v>4.79</v>
      </c>
      <c r="BV21" s="95">
        <v>4.8499999999999996</v>
      </c>
      <c r="BW21" s="95">
        <v>4.67</v>
      </c>
      <c r="BX21" s="95">
        <v>6.02</v>
      </c>
      <c r="BY21" s="95">
        <v>4.74</v>
      </c>
      <c r="BZ21" s="95">
        <v>5.28</v>
      </c>
      <c r="CA21" s="95">
        <v>5.1100000000000003</v>
      </c>
      <c r="CB21" s="95">
        <v>3.74</v>
      </c>
      <c r="CC21" s="95">
        <v>4.43</v>
      </c>
      <c r="CD21" s="95">
        <v>5.18</v>
      </c>
      <c r="CE21" s="95">
        <v>5.13</v>
      </c>
      <c r="CF21" s="95">
        <v>4.3600000000000003</v>
      </c>
      <c r="CG21" s="95">
        <v>5.93</v>
      </c>
      <c r="CH21" s="95">
        <v>5.75</v>
      </c>
      <c r="CI21" s="95">
        <v>4.82</v>
      </c>
      <c r="CJ21" s="95">
        <v>5.3</v>
      </c>
      <c r="CK21" s="95">
        <v>4.59</v>
      </c>
      <c r="CL21" s="95">
        <v>5.34</v>
      </c>
      <c r="CM21" s="95">
        <v>5.7</v>
      </c>
      <c r="CN21" s="95">
        <v>5.78</v>
      </c>
      <c r="CO21" s="95">
        <v>5.51</v>
      </c>
      <c r="CP21" s="98">
        <f>SUM(Input_Raw[[#This Row],[P-01]:[P-56]])/1000</f>
        <v>231.24</v>
      </c>
      <c r="CQ21" s="71">
        <f>IFERROR(AVERAGEIF(Input_Raw[[#This Row],[WS_P-01]:[WS_P-56]],"&lt;&gt;",Input_Raw[[#This Row],[WS_P-01]:[WS_P-56]]),"")</f>
        <v>4.9261363636363651</v>
      </c>
      <c r="CR21" s="99">
        <f>MAX(Input_Raw[[#This Row],[WS_P-01]:[WS_P-56]])</f>
        <v>6.46</v>
      </c>
      <c r="CS21" s="99"/>
      <c r="CT21" s="70">
        <f>SUM(Input_Raw[[#This Row],[P-08]:[P-13]],Input_Raw[[#This Row],[P-25]:[P-28]])</f>
        <v>31802</v>
      </c>
      <c r="CU21" s="70"/>
      <c r="CV21" s="70">
        <f>SUM(Input_Raw[[#This Row],[P-04]],Input_Raw[[#This Row],[P-14]:[P-17]],Input_Raw[[#This Row],[P-19]:[P-20]],Input_Raw[[#This Row],[P-22]:[P-23]],Input_Raw[[#This Row],[P-34]],Input_Raw[[#This Row],[P-38]],Input_Raw[[#This Row],[P-43]])</f>
        <v>43772</v>
      </c>
      <c r="CW21" s="70"/>
      <c r="CX21" s="70">
        <f>SUM(Input_Raw[[#This Row],[P-05]:[P-06]],Input_Raw[[#This Row],[P-40]:[P-42]],Input_Raw[[#This Row],[P-45]],Input_Raw[[#This Row],[P-46]],Input_Raw[[#This Row],[P-47]:[P-48]])</f>
        <v>53428</v>
      </c>
      <c r="CY21" s="70"/>
      <c r="CZ21" s="70">
        <f>SUM(Input_Raw[[#This Row],[P-01]:[P-03]],Input_Raw[[#This Row],[P-07]],Input_Raw[[#This Row],[P-18]],Input_Raw[[#This Row],[P-31]:[P-32]],Input_Raw[[#This Row],[P-37]],Input_Raw[[#This Row],[P-50]:[P-56]])</f>
        <v>102238</v>
      </c>
      <c r="DA21" s="12"/>
      <c r="DB21" s="13">
        <f>Input_Raw[[#This Row],[33 kV_Wind_F1_Export reading]]/1000</f>
        <v>31.802</v>
      </c>
      <c r="DC21" s="13"/>
      <c r="DD21" s="13">
        <f>Input_Raw[[#This Row],[33 kV_Wind_F2_Export_reading]]/1000</f>
        <v>43.771999999999998</v>
      </c>
      <c r="DE21" s="13"/>
      <c r="DF21" s="13">
        <f>Input_Raw[[#This Row],[33 kV_Wind_F3_Export_Reading]]/1000</f>
        <v>53.427999999999997</v>
      </c>
      <c r="DG21" s="13"/>
      <c r="DH21" s="13">
        <f>Input_Raw[[#This Row],[33 kV_Wind_F4_Export Reading]]/1000</f>
        <v>102.238</v>
      </c>
      <c r="DI21" s="13"/>
      <c r="DJ21" s="13">
        <f>Input_Raw[[#This Row],[33 kV_F1_Total_Export (MWh)]]+Input_Raw[[#This Row],[33 kV_F2_Total_Export (MWh)2]]+Input_Raw[[#This Row],[33 kV_Wind_F3_Export (MWh)]]+Input_Raw[[#This Row],[33 kV_Wind_F4_Export (MWh)]]</f>
        <v>231.24</v>
      </c>
      <c r="DK21" s="13">
        <f>Input_Raw[[#This Row],[33 kV_Wind_F1_Import (MWh)]]+Input_Raw[[#This Row],[33 kV_Wind_F2_Import (MWh)]]+Input_Raw[[#This Row],[33 kV_Wind_F3_Import (MWh)2]]+Input_Raw[[#This Row],[33 kV_Wind_F4_Import (MWh)2]]</f>
        <v>0</v>
      </c>
      <c r="DL21" s="100">
        <f>IFERROR(Input_Raw[[#This Row],[33 kV_Wind_Total_Export (MWh)]]/Input_Raw[[#This Row],[WTG Total Gneration (MWh)]]-1,"")</f>
        <v>0</v>
      </c>
      <c r="DM21" s="66"/>
      <c r="DN21" s="186">
        <v>96</v>
      </c>
      <c r="DO21" s="186">
        <v>654</v>
      </c>
      <c r="DP21" s="102">
        <v>223.32</v>
      </c>
      <c r="DQ21" s="66"/>
      <c r="DR21" s="181">
        <v>70.400000000000006</v>
      </c>
    </row>
    <row r="22" spans="1:122" ht="15">
      <c r="A22" s="92">
        <f t="shared" si="74"/>
        <v>45762</v>
      </c>
      <c r="B22" s="190">
        <f>YEAR(Input_Raw[[#This Row],[Date]])+IF(MONTH(Input_Raw[[#This Row],[Date]])&gt;=4,1,0)</f>
        <v>2026</v>
      </c>
      <c r="C22" s="190">
        <f>YEAR(Input_Raw[[#This Row],[Date]])</f>
        <v>2025</v>
      </c>
      <c r="D22" s="11">
        <f t="shared" si="80"/>
        <v>45748</v>
      </c>
      <c r="E22" s="190">
        <f>DAY(EOMONTH(Input_Raw[[#This Row],[Date]],0))</f>
        <v>30</v>
      </c>
      <c r="F22" s="93">
        <v>12860</v>
      </c>
      <c r="G22" s="93">
        <v>14146</v>
      </c>
      <c r="H22" s="93">
        <v>15412</v>
      </c>
      <c r="I22" s="93">
        <v>4154</v>
      </c>
      <c r="J22" s="93">
        <v>8044.0000000000009</v>
      </c>
      <c r="K22" s="93">
        <v>6360</v>
      </c>
      <c r="L22" s="93">
        <v>8280</v>
      </c>
      <c r="M22" s="93">
        <v>1792</v>
      </c>
      <c r="N22" s="93">
        <v>862</v>
      </c>
      <c r="O22" s="93">
        <v>700</v>
      </c>
      <c r="P22" s="93">
        <v>724</v>
      </c>
      <c r="Q22" s="93">
        <v>812</v>
      </c>
      <c r="R22" s="93">
        <v>1028</v>
      </c>
      <c r="S22" s="93">
        <v>1316</v>
      </c>
      <c r="T22" s="93">
        <v>1186</v>
      </c>
      <c r="U22" s="93">
        <v>1692</v>
      </c>
      <c r="V22" s="93">
        <v>2434</v>
      </c>
      <c r="W22" s="93">
        <v>11076</v>
      </c>
      <c r="X22" s="93">
        <v>1606</v>
      </c>
      <c r="Y22" s="93">
        <v>1318</v>
      </c>
      <c r="Z22" s="93">
        <v>6200</v>
      </c>
      <c r="AA22" s="93">
        <v>7796</v>
      </c>
      <c r="AB22" s="93">
        <v>2760</v>
      </c>
      <c r="AC22" s="93">
        <v>2600</v>
      </c>
      <c r="AD22" s="93">
        <v>3512</v>
      </c>
      <c r="AE22" s="93">
        <v>2928</v>
      </c>
      <c r="AF22" s="93">
        <v>13956</v>
      </c>
      <c r="AG22" s="93">
        <v>6452</v>
      </c>
      <c r="AH22" s="93">
        <v>4752</v>
      </c>
      <c r="AI22" s="93">
        <v>7662</v>
      </c>
      <c r="AJ22" s="93">
        <v>2122</v>
      </c>
      <c r="AK22" s="93">
        <v>3868</v>
      </c>
      <c r="AL22" s="93">
        <v>7772</v>
      </c>
      <c r="AM22" s="93">
        <v>8560</v>
      </c>
      <c r="AN22" s="93">
        <v>2872</v>
      </c>
      <c r="AO22" s="93">
        <v>8824</v>
      </c>
      <c r="AP22" s="93">
        <v>7508</v>
      </c>
      <c r="AQ22" s="93">
        <v>7052</v>
      </c>
      <c r="AR22" s="93">
        <v>7100</v>
      </c>
      <c r="AS22" s="93">
        <v>9034</v>
      </c>
      <c r="AT22" s="93">
        <v>8356</v>
      </c>
      <c r="AU22" s="93">
        <v>10844</v>
      </c>
      <c r="AV22" s="93">
        <v>10088</v>
      </c>
      <c r="AW22" s="93">
        <v>6440</v>
      </c>
      <c r="AX22" s="95">
        <v>6.01</v>
      </c>
      <c r="AY22" s="95">
        <v>6.54</v>
      </c>
      <c r="AZ22" s="95">
        <v>6.81</v>
      </c>
      <c r="BA22" s="95">
        <v>4.9000000000000004</v>
      </c>
      <c r="BB22" s="95">
        <v>5.3</v>
      </c>
      <c r="BC22" s="95">
        <v>5.22</v>
      </c>
      <c r="BD22" s="95">
        <v>5.69</v>
      </c>
      <c r="BE22" s="95">
        <v>4.42</v>
      </c>
      <c r="BF22" s="95">
        <v>3.81</v>
      </c>
      <c r="BG22" s="95">
        <v>4</v>
      </c>
      <c r="BH22" s="95">
        <v>3.67</v>
      </c>
      <c r="BI22" s="95">
        <v>3.89</v>
      </c>
      <c r="BJ22" s="95">
        <v>3.8</v>
      </c>
      <c r="BK22" s="95">
        <v>3.98</v>
      </c>
      <c r="BL22" s="95">
        <v>3.92</v>
      </c>
      <c r="BM22" s="95">
        <v>4.05</v>
      </c>
      <c r="BN22" s="95">
        <v>4.63</v>
      </c>
      <c r="BO22" s="95">
        <v>5.94</v>
      </c>
      <c r="BP22" s="95">
        <v>4.13</v>
      </c>
      <c r="BQ22" s="95">
        <v>3.85</v>
      </c>
      <c r="BR22" s="95">
        <v>6.03</v>
      </c>
      <c r="BS22" s="95">
        <v>6.78</v>
      </c>
      <c r="BT22" s="95">
        <v>4.4800000000000004</v>
      </c>
      <c r="BU22" s="95">
        <v>4.96</v>
      </c>
      <c r="BV22" s="95">
        <v>5.45</v>
      </c>
      <c r="BW22" s="95">
        <v>5.29</v>
      </c>
      <c r="BX22" s="95">
        <v>6.33</v>
      </c>
      <c r="BY22" s="95">
        <v>5.0599999999999996</v>
      </c>
      <c r="BZ22" s="95">
        <v>5.01</v>
      </c>
      <c r="CA22" s="95">
        <v>5.45</v>
      </c>
      <c r="CB22" s="95">
        <v>4.21</v>
      </c>
      <c r="CC22" s="95">
        <v>4.58</v>
      </c>
      <c r="CD22" s="95">
        <v>5.75</v>
      </c>
      <c r="CE22" s="95">
        <v>5.42</v>
      </c>
      <c r="CF22" s="95">
        <v>4.8499999999999996</v>
      </c>
      <c r="CG22" s="95">
        <v>6.04</v>
      </c>
      <c r="CH22" s="95">
        <v>5.69</v>
      </c>
      <c r="CI22" s="95">
        <v>5.05</v>
      </c>
      <c r="CJ22" s="95">
        <v>5.28</v>
      </c>
      <c r="CK22" s="95">
        <v>5.22</v>
      </c>
      <c r="CL22" s="95">
        <v>5.33</v>
      </c>
      <c r="CM22" s="95">
        <v>5.89</v>
      </c>
      <c r="CN22" s="95">
        <v>5.94</v>
      </c>
      <c r="CO22" s="95">
        <v>5.48</v>
      </c>
      <c r="CP22" s="98">
        <f>SUM(Input_Raw[[#This Row],[P-01]:[P-56]])/1000</f>
        <v>254.86</v>
      </c>
      <c r="CQ22" s="71">
        <f>IFERROR(AVERAGEIF(Input_Raw[[#This Row],[WS_P-01]:[WS_P-56]],"&lt;&gt;",Input_Raw[[#This Row],[WS_P-01]:[WS_P-56]]),"")</f>
        <v>5.0938636363636354</v>
      </c>
      <c r="CR22" s="99">
        <f>MAX(Input_Raw[[#This Row],[WS_P-01]:[WS_P-56]])</f>
        <v>6.81</v>
      </c>
      <c r="CS22" s="99"/>
      <c r="CT22" s="70">
        <f>SUM(Input_Raw[[#This Row],[P-08]:[P-13]],Input_Raw[[#This Row],[P-25]:[P-28]])</f>
        <v>17718</v>
      </c>
      <c r="CU22" s="70"/>
      <c r="CV22" s="70">
        <f>SUM(Input_Raw[[#This Row],[P-04]],Input_Raw[[#This Row],[P-14]:[P-17]],Input_Raw[[#This Row],[P-19]:[P-20]],Input_Raw[[#This Row],[P-22]:[P-23]],Input_Raw[[#This Row],[P-34]],Input_Raw[[#This Row],[P-38]],Input_Raw[[#This Row],[P-43]])</f>
        <v>37448</v>
      </c>
      <c r="CW22" s="70"/>
      <c r="CX22" s="70">
        <f>SUM(Input_Raw[[#This Row],[P-05]:[P-06]],Input_Raw[[#This Row],[P-40]:[P-42]],Input_Raw[[#This Row],[P-45]],Input_Raw[[#This Row],[P-46]],Input_Raw[[#This Row],[P-47]:[P-48]])</f>
        <v>65088</v>
      </c>
      <c r="CY22" s="70"/>
      <c r="CZ22" s="70">
        <f>SUM(Input_Raw[[#This Row],[P-01]:[P-03]],Input_Raw[[#This Row],[P-07]],Input_Raw[[#This Row],[P-18]],Input_Raw[[#This Row],[P-31]:[P-32]],Input_Raw[[#This Row],[P-37]],Input_Raw[[#This Row],[P-50]:[P-56]])</f>
        <v>134606</v>
      </c>
      <c r="DA22" s="12"/>
      <c r="DB22" s="13">
        <f>Input_Raw[[#This Row],[33 kV_Wind_F1_Export reading]]/1000</f>
        <v>17.718</v>
      </c>
      <c r="DC22" s="13"/>
      <c r="DD22" s="13">
        <f>Input_Raw[[#This Row],[33 kV_Wind_F2_Export_reading]]/1000</f>
        <v>37.448</v>
      </c>
      <c r="DE22" s="13"/>
      <c r="DF22" s="13">
        <f>Input_Raw[[#This Row],[33 kV_Wind_F3_Export_Reading]]/1000</f>
        <v>65.087999999999994</v>
      </c>
      <c r="DG22" s="13"/>
      <c r="DH22" s="13">
        <f>Input_Raw[[#This Row],[33 kV_Wind_F4_Export Reading]]/1000</f>
        <v>134.60599999999999</v>
      </c>
      <c r="DI22" s="13"/>
      <c r="DJ22" s="13">
        <f>Input_Raw[[#This Row],[33 kV_F1_Total_Export (MWh)]]+Input_Raw[[#This Row],[33 kV_F2_Total_Export (MWh)2]]+Input_Raw[[#This Row],[33 kV_Wind_F3_Export (MWh)]]+Input_Raw[[#This Row],[33 kV_Wind_F4_Export (MWh)]]</f>
        <v>254.85999999999999</v>
      </c>
      <c r="DK22" s="13">
        <f>Input_Raw[[#This Row],[33 kV_Wind_F1_Import (MWh)]]+Input_Raw[[#This Row],[33 kV_Wind_F2_Import (MWh)]]+Input_Raw[[#This Row],[33 kV_Wind_F3_Import (MWh)2]]+Input_Raw[[#This Row],[33 kV_Wind_F4_Import (MWh)2]]</f>
        <v>0</v>
      </c>
      <c r="DL22" s="100">
        <f>IFERROR(Input_Raw[[#This Row],[33 kV_Wind_Total_Export (MWh)]]/Input_Raw[[#This Row],[WTG Total Gneration (MWh)]]-1,"")</f>
        <v>-1.1102230246251565E-16</v>
      </c>
      <c r="DM22" s="66"/>
      <c r="DN22" s="186">
        <v>52</v>
      </c>
      <c r="DO22" s="186">
        <v>409</v>
      </c>
      <c r="DP22" s="102">
        <v>249.16</v>
      </c>
      <c r="DQ22" s="66"/>
      <c r="DR22" s="181">
        <v>70.400000000000006</v>
      </c>
    </row>
    <row r="23" spans="1:122" ht="15">
      <c r="A23" s="92">
        <f t="shared" si="74"/>
        <v>45763</v>
      </c>
      <c r="B23" s="190">
        <f>YEAR(Input_Raw[[#This Row],[Date]])+IF(MONTH(Input_Raw[[#This Row],[Date]])&gt;=4,1,0)</f>
        <v>2026</v>
      </c>
      <c r="C23" s="190">
        <f>YEAR(Input_Raw[[#This Row],[Date]])</f>
        <v>2025</v>
      </c>
      <c r="D23" s="11">
        <f t="shared" si="80"/>
        <v>45748</v>
      </c>
      <c r="E23" s="190">
        <f>DAY(EOMONTH(Input_Raw[[#This Row],[Date]],0))</f>
        <v>30</v>
      </c>
      <c r="F23" s="93">
        <v>11848</v>
      </c>
      <c r="G23" s="93">
        <v>9914</v>
      </c>
      <c r="H23" s="93">
        <v>9336</v>
      </c>
      <c r="I23" s="93">
        <v>7400</v>
      </c>
      <c r="J23" s="93">
        <v>10516</v>
      </c>
      <c r="K23" s="93">
        <v>7636</v>
      </c>
      <c r="L23" s="93">
        <v>9334</v>
      </c>
      <c r="M23" s="93">
        <v>3618</v>
      </c>
      <c r="N23" s="93">
        <v>2236</v>
      </c>
      <c r="O23" s="93">
        <v>3346</v>
      </c>
      <c r="P23" s="93">
        <v>3888</v>
      </c>
      <c r="Q23" s="93">
        <v>4528</v>
      </c>
      <c r="R23" s="93">
        <v>4960</v>
      </c>
      <c r="S23" s="93">
        <v>4768</v>
      </c>
      <c r="T23" s="93">
        <v>4528</v>
      </c>
      <c r="U23" s="93">
        <v>5788</v>
      </c>
      <c r="V23" s="93">
        <v>7052</v>
      </c>
      <c r="W23" s="93">
        <v>9612</v>
      </c>
      <c r="X23" s="93">
        <v>5256</v>
      </c>
      <c r="Y23" s="93">
        <v>4855</v>
      </c>
      <c r="Z23" s="93">
        <v>7872</v>
      </c>
      <c r="AA23" s="93">
        <v>8956</v>
      </c>
      <c r="AB23" s="93">
        <v>5040</v>
      </c>
      <c r="AC23" s="93">
        <v>5504</v>
      </c>
      <c r="AD23" s="93">
        <v>6236</v>
      </c>
      <c r="AE23" s="93">
        <v>5984</v>
      </c>
      <c r="AF23" s="93">
        <v>6604</v>
      </c>
      <c r="AG23" s="93">
        <v>4808</v>
      </c>
      <c r="AH23" s="93">
        <v>7580</v>
      </c>
      <c r="AI23" s="93">
        <v>5616</v>
      </c>
      <c r="AJ23" s="93">
        <v>6358</v>
      </c>
      <c r="AK23" s="93">
        <v>4282</v>
      </c>
      <c r="AL23" s="93">
        <v>9732</v>
      </c>
      <c r="AM23" s="93">
        <v>11024</v>
      </c>
      <c r="AN23" s="93">
        <v>5388</v>
      </c>
      <c r="AO23" s="93">
        <v>7504</v>
      </c>
      <c r="AP23" s="93">
        <v>7832</v>
      </c>
      <c r="AQ23" s="93">
        <v>7608</v>
      </c>
      <c r="AR23" s="93">
        <v>8672</v>
      </c>
      <c r="AS23" s="93">
        <v>7524</v>
      </c>
      <c r="AT23" s="93">
        <v>6680</v>
      </c>
      <c r="AU23" s="93">
        <v>8652</v>
      </c>
      <c r="AV23" s="93">
        <v>9644</v>
      </c>
      <c r="AW23" s="93">
        <v>6100</v>
      </c>
      <c r="AX23" s="95">
        <v>5.91</v>
      </c>
      <c r="AY23" s="95">
        <v>5.82</v>
      </c>
      <c r="AZ23" s="95">
        <v>5.71</v>
      </c>
      <c r="BA23" s="95">
        <v>5.53</v>
      </c>
      <c r="BB23" s="95">
        <v>5.67</v>
      </c>
      <c r="BC23" s="95">
        <v>5.4</v>
      </c>
      <c r="BD23" s="95">
        <v>5.83</v>
      </c>
      <c r="BE23" s="95">
        <v>4.57</v>
      </c>
      <c r="BF23" s="95">
        <v>4.07</v>
      </c>
      <c r="BG23" s="95">
        <v>4.74</v>
      </c>
      <c r="BH23" s="95">
        <v>4.58</v>
      </c>
      <c r="BI23" s="95">
        <v>4.76</v>
      </c>
      <c r="BJ23" s="95">
        <v>4.92</v>
      </c>
      <c r="BK23" s="95">
        <v>4.83</v>
      </c>
      <c r="BL23" s="95">
        <v>4.88</v>
      </c>
      <c r="BM23" s="95">
        <v>5.08</v>
      </c>
      <c r="BN23" s="95">
        <v>5.39</v>
      </c>
      <c r="BO23" s="95">
        <v>5.8</v>
      </c>
      <c r="BP23" s="95">
        <v>4.95</v>
      </c>
      <c r="BQ23" s="95">
        <v>4.58</v>
      </c>
      <c r="BR23" s="95">
        <v>5.73</v>
      </c>
      <c r="BS23" s="95">
        <v>5.77</v>
      </c>
      <c r="BT23" s="95">
        <v>4.72</v>
      </c>
      <c r="BU23" s="95">
        <v>5.37</v>
      </c>
      <c r="BV23" s="95">
        <v>5.44</v>
      </c>
      <c r="BW23" s="95">
        <v>5.37</v>
      </c>
      <c r="BX23" s="95">
        <v>4.63</v>
      </c>
      <c r="BY23" s="95">
        <v>4.6100000000000003</v>
      </c>
      <c r="BZ23" s="95">
        <v>5.48</v>
      </c>
      <c r="CA23" s="95">
        <v>4.96</v>
      </c>
      <c r="CB23" s="95">
        <v>4.9800000000000004</v>
      </c>
      <c r="CC23" s="95">
        <v>4.5599999999999996</v>
      </c>
      <c r="CD23" s="95">
        <v>6.18</v>
      </c>
      <c r="CE23" s="95">
        <v>6.05</v>
      </c>
      <c r="CF23" s="95">
        <v>4.8099999999999996</v>
      </c>
      <c r="CG23" s="95">
        <v>5.9</v>
      </c>
      <c r="CH23" s="95">
        <v>5.76</v>
      </c>
      <c r="CI23" s="95">
        <v>5.17</v>
      </c>
      <c r="CJ23" s="95">
        <v>5.7</v>
      </c>
      <c r="CK23" s="95">
        <v>4.96</v>
      </c>
      <c r="CL23" s="95">
        <v>4.99</v>
      </c>
      <c r="CM23" s="95">
        <v>5.56</v>
      </c>
      <c r="CN23" s="95">
        <v>6.05</v>
      </c>
      <c r="CO23" s="95">
        <v>5.66</v>
      </c>
      <c r="CP23" s="98">
        <f>SUM(Input_Raw[[#This Row],[P-01]:[P-56]])/1000</f>
        <v>301.61900000000003</v>
      </c>
      <c r="CQ23" s="71">
        <f>IFERROR(AVERAGEIF(Input_Raw[[#This Row],[WS_P-01]:[WS_P-56]],"&lt;&gt;",Input_Raw[[#This Row],[WS_P-01]:[WS_P-56]]),"")</f>
        <v>5.2597727272727273</v>
      </c>
      <c r="CR23" s="99">
        <f>MAX(Input_Raw[[#This Row],[WS_P-01]:[WS_P-56]])</f>
        <v>6.18</v>
      </c>
      <c r="CS23" s="99"/>
      <c r="CT23" s="70">
        <f>SUM(Input_Raw[[#This Row],[P-08]:[P-13]],Input_Raw[[#This Row],[P-25]:[P-28]])</f>
        <v>45340</v>
      </c>
      <c r="CU23" s="70"/>
      <c r="CV23" s="70">
        <f>SUM(Input_Raw[[#This Row],[P-04]],Input_Raw[[#This Row],[P-14]:[P-17]],Input_Raw[[#This Row],[P-19]:[P-20]],Input_Raw[[#This Row],[P-22]:[P-23]],Input_Raw[[#This Row],[P-34]],Input_Raw[[#This Row],[P-38]],Input_Raw[[#This Row],[P-43]])</f>
        <v>75801</v>
      </c>
      <c r="CW23" s="70"/>
      <c r="CX23" s="70">
        <f>SUM(Input_Raw[[#This Row],[P-05]:[P-06]],Input_Raw[[#This Row],[P-40]:[P-42]],Input_Raw[[#This Row],[P-45]],Input_Raw[[#This Row],[P-46]],Input_Raw[[#This Row],[P-47]:[P-48]])</f>
        <v>74806</v>
      </c>
      <c r="CY23" s="70"/>
      <c r="CZ23" s="70">
        <f>SUM(Input_Raw[[#This Row],[P-01]:[P-03]],Input_Raw[[#This Row],[P-07]],Input_Raw[[#This Row],[P-18]],Input_Raw[[#This Row],[P-31]:[P-32]],Input_Raw[[#This Row],[P-37]],Input_Raw[[#This Row],[P-50]:[P-56]])</f>
        <v>105672</v>
      </c>
      <c r="DA23" s="12"/>
      <c r="DB23" s="13">
        <f>Input_Raw[[#This Row],[33 kV_Wind_F1_Export reading]]/1000</f>
        <v>45.34</v>
      </c>
      <c r="DC23" s="13"/>
      <c r="DD23" s="13">
        <f>Input_Raw[[#This Row],[33 kV_Wind_F2_Export_reading]]/1000</f>
        <v>75.801000000000002</v>
      </c>
      <c r="DE23" s="13"/>
      <c r="DF23" s="13">
        <f>Input_Raw[[#This Row],[33 kV_Wind_F3_Export_Reading]]/1000</f>
        <v>74.805999999999997</v>
      </c>
      <c r="DG23" s="13"/>
      <c r="DH23" s="13">
        <f>Input_Raw[[#This Row],[33 kV_Wind_F4_Export Reading]]/1000</f>
        <v>105.672</v>
      </c>
      <c r="DI23" s="13"/>
      <c r="DJ23" s="13">
        <f>Input_Raw[[#This Row],[33 kV_F1_Total_Export (MWh)]]+Input_Raw[[#This Row],[33 kV_F2_Total_Export (MWh)2]]+Input_Raw[[#This Row],[33 kV_Wind_F3_Export (MWh)]]+Input_Raw[[#This Row],[33 kV_Wind_F4_Export (MWh)]]</f>
        <v>301.61900000000003</v>
      </c>
      <c r="DK23" s="13">
        <f>Input_Raw[[#This Row],[33 kV_Wind_F1_Import (MWh)]]+Input_Raw[[#This Row],[33 kV_Wind_F2_Import (MWh)]]+Input_Raw[[#This Row],[33 kV_Wind_F3_Import (MWh)2]]+Input_Raw[[#This Row],[33 kV_Wind_F4_Import (MWh)2]]</f>
        <v>0</v>
      </c>
      <c r="DL23" s="100">
        <f>IFERROR(Input_Raw[[#This Row],[33 kV_Wind_Total_Export (MWh)]]/Input_Raw[[#This Row],[WTG Total Gneration (MWh)]]-1,"")</f>
        <v>0</v>
      </c>
      <c r="DM23" s="66"/>
      <c r="DN23" s="186">
        <v>54</v>
      </c>
      <c r="DO23" s="186">
        <v>1534</v>
      </c>
      <c r="DP23" s="102">
        <v>288.87</v>
      </c>
      <c r="DQ23" s="66"/>
      <c r="DR23" s="181">
        <v>70.400000000000006</v>
      </c>
    </row>
    <row r="24" spans="1:122" ht="15">
      <c r="A24" s="92">
        <f t="shared" si="74"/>
        <v>45764</v>
      </c>
      <c r="B24" s="190">
        <f>YEAR(Input_Raw[[#This Row],[Date]])+IF(MONTH(Input_Raw[[#This Row],[Date]])&gt;=4,1,0)</f>
        <v>2026</v>
      </c>
      <c r="C24" s="190">
        <f>YEAR(Input_Raw[[#This Row],[Date]])</f>
        <v>2025</v>
      </c>
      <c r="D24" s="11">
        <f t="shared" si="80"/>
        <v>45748</v>
      </c>
      <c r="E24" s="190">
        <f>DAY(EOMONTH(Input_Raw[[#This Row],[Date]],0))</f>
        <v>30</v>
      </c>
      <c r="F24" s="93">
        <v>15284</v>
      </c>
      <c r="G24" s="93">
        <v>11874</v>
      </c>
      <c r="H24" s="93">
        <v>11896</v>
      </c>
      <c r="I24" s="93">
        <v>8462</v>
      </c>
      <c r="J24" s="93">
        <v>12948</v>
      </c>
      <c r="K24" s="93">
        <v>13064</v>
      </c>
      <c r="L24" s="93">
        <v>13038</v>
      </c>
      <c r="M24" s="93">
        <v>4766</v>
      </c>
      <c r="N24" s="93">
        <v>3500</v>
      </c>
      <c r="O24" s="93">
        <v>4270</v>
      </c>
      <c r="P24" s="93">
        <v>4484</v>
      </c>
      <c r="Q24" s="93">
        <v>4816</v>
      </c>
      <c r="R24" s="93">
        <v>4888</v>
      </c>
      <c r="S24" s="93">
        <v>5088</v>
      </c>
      <c r="T24" s="93">
        <v>4234</v>
      </c>
      <c r="U24" s="93">
        <v>5196</v>
      </c>
      <c r="V24" s="93">
        <v>5596</v>
      </c>
      <c r="W24" s="93">
        <v>13036</v>
      </c>
      <c r="X24" s="93">
        <v>5816</v>
      </c>
      <c r="Y24" s="93">
        <v>4839</v>
      </c>
      <c r="Z24" s="93">
        <v>9548</v>
      </c>
      <c r="AA24" s="93">
        <v>10992</v>
      </c>
      <c r="AB24" s="93">
        <v>7196</v>
      </c>
      <c r="AC24" s="93">
        <v>7096</v>
      </c>
      <c r="AD24" s="93">
        <v>8764</v>
      </c>
      <c r="AE24" s="93">
        <v>7728</v>
      </c>
      <c r="AF24" s="93">
        <v>9738</v>
      </c>
      <c r="AG24" s="93">
        <v>5820</v>
      </c>
      <c r="AH24" s="93">
        <v>8528</v>
      </c>
      <c r="AI24" s="93">
        <v>8864</v>
      </c>
      <c r="AJ24" s="93">
        <v>5484</v>
      </c>
      <c r="AK24" s="93">
        <v>5638</v>
      </c>
      <c r="AL24" s="93">
        <v>13948</v>
      </c>
      <c r="AM24" s="93">
        <v>17140</v>
      </c>
      <c r="AN24" s="93">
        <v>6798</v>
      </c>
      <c r="AO24" s="93">
        <v>14928</v>
      </c>
      <c r="AP24" s="93">
        <v>15268</v>
      </c>
      <c r="AQ24" s="93">
        <v>14804</v>
      </c>
      <c r="AR24" s="93">
        <v>15024</v>
      </c>
      <c r="AS24" s="93">
        <v>6020</v>
      </c>
      <c r="AT24" s="93">
        <v>9376</v>
      </c>
      <c r="AU24" s="93">
        <v>12416</v>
      </c>
      <c r="AV24" s="93">
        <v>13312</v>
      </c>
      <c r="AW24" s="93">
        <v>15068</v>
      </c>
      <c r="AX24" s="95">
        <v>7.05</v>
      </c>
      <c r="AY24" s="95">
        <v>6.47</v>
      </c>
      <c r="AZ24" s="95">
        <v>6.5</v>
      </c>
      <c r="BA24" s="95">
        <v>6.17</v>
      </c>
      <c r="BB24" s="95">
        <v>7</v>
      </c>
      <c r="BC24" s="95">
        <v>7.22</v>
      </c>
      <c r="BD24" s="95">
        <v>6.94</v>
      </c>
      <c r="BE24" s="95">
        <v>5.27</v>
      </c>
      <c r="BF24" s="95">
        <v>5.03</v>
      </c>
      <c r="BG24" s="95">
        <v>5.58</v>
      </c>
      <c r="BH24" s="95">
        <v>5.23</v>
      </c>
      <c r="BI24" s="95">
        <v>5.25</v>
      </c>
      <c r="BJ24" s="95">
        <v>5.46</v>
      </c>
      <c r="BK24" s="95">
        <v>5.51</v>
      </c>
      <c r="BL24" s="95">
        <v>5.38</v>
      </c>
      <c r="BM24" s="95">
        <v>5.6</v>
      </c>
      <c r="BN24" s="95">
        <v>5.45</v>
      </c>
      <c r="BO24" s="95">
        <v>6.95</v>
      </c>
      <c r="BP24" s="95">
        <v>5.57</v>
      </c>
      <c r="BQ24" s="95">
        <v>5.14</v>
      </c>
      <c r="BR24" s="95">
        <v>6.47</v>
      </c>
      <c r="BS24" s="95">
        <v>6.65</v>
      </c>
      <c r="BT24" s="95">
        <v>5.68</v>
      </c>
      <c r="BU24" s="95">
        <v>6.06</v>
      </c>
      <c r="BV24" s="95">
        <v>6.52</v>
      </c>
      <c r="BW24" s="95">
        <v>6.28</v>
      </c>
      <c r="BX24" s="95">
        <v>5.72</v>
      </c>
      <c r="BY24" s="95">
        <v>5.2</v>
      </c>
      <c r="BZ24" s="95">
        <v>6.18</v>
      </c>
      <c r="CA24" s="95">
        <v>6.07</v>
      </c>
      <c r="CB24" s="95">
        <v>5.28</v>
      </c>
      <c r="CC24" s="95">
        <v>5.62</v>
      </c>
      <c r="CD24" s="95">
        <v>7.63</v>
      </c>
      <c r="CE24" s="95">
        <v>7.65</v>
      </c>
      <c r="CF24" s="95">
        <v>5.6</v>
      </c>
      <c r="CG24" s="95">
        <v>8.07</v>
      </c>
      <c r="CH24" s="95">
        <v>7.7</v>
      </c>
      <c r="CI24" s="95">
        <v>7.02</v>
      </c>
      <c r="CJ24" s="95">
        <v>7.41</v>
      </c>
      <c r="CK24" s="95">
        <v>5.01</v>
      </c>
      <c r="CL24" s="95">
        <v>6.14</v>
      </c>
      <c r="CM24" s="95">
        <v>6.75</v>
      </c>
      <c r="CN24" s="95">
        <v>7.58</v>
      </c>
      <c r="CO24" s="95">
        <v>7.54</v>
      </c>
      <c r="CP24" s="98">
        <f>SUM(Input_Raw[[#This Row],[P-01]:[P-56]])/1000</f>
        <v>406.59300000000002</v>
      </c>
      <c r="CQ24" s="71">
        <f>IFERROR(AVERAGEIF(Input_Raw[[#This Row],[WS_P-01]:[WS_P-56]],"&lt;&gt;",Input_Raw[[#This Row],[WS_P-01]:[WS_P-56]]),"")</f>
        <v>6.2409090909090903</v>
      </c>
      <c r="CR24" s="99">
        <f>MAX(Input_Raw[[#This Row],[WS_P-01]:[WS_P-56]])</f>
        <v>8.07</v>
      </c>
      <c r="CS24" s="99"/>
      <c r="CT24" s="70">
        <f>SUM(Input_Raw[[#This Row],[P-08]:[P-13]],Input_Raw[[#This Row],[P-25]:[P-28]])</f>
        <v>57508</v>
      </c>
      <c r="CU24" s="70"/>
      <c r="CV24" s="70">
        <f>SUM(Input_Raw[[#This Row],[P-04]],Input_Raw[[#This Row],[P-14]:[P-17]],Input_Raw[[#This Row],[P-19]:[P-20]],Input_Raw[[#This Row],[P-22]:[P-23]],Input_Raw[[#This Row],[P-34]],Input_Raw[[#This Row],[P-38]],Input_Raw[[#This Row],[P-43]])</f>
        <v>80581</v>
      </c>
      <c r="CW24" s="70"/>
      <c r="CX24" s="70">
        <f>SUM(Input_Raw[[#This Row],[P-05]:[P-06]],Input_Raw[[#This Row],[P-40]:[P-42]],Input_Raw[[#This Row],[P-45]],Input_Raw[[#This Row],[P-46]],Input_Raw[[#This Row],[P-47]:[P-48]])</f>
        <v>122762</v>
      </c>
      <c r="CY24" s="70"/>
      <c r="CZ24" s="70">
        <f>SUM(Input_Raw[[#This Row],[P-01]:[P-03]],Input_Raw[[#This Row],[P-07]],Input_Raw[[#This Row],[P-18]],Input_Raw[[#This Row],[P-31]:[P-32]],Input_Raw[[#This Row],[P-37]],Input_Raw[[#This Row],[P-50]:[P-56]])</f>
        <v>145742</v>
      </c>
      <c r="DA24" s="12"/>
      <c r="DB24" s="13">
        <f>Input_Raw[[#This Row],[33 kV_Wind_F1_Export reading]]/1000</f>
        <v>57.508000000000003</v>
      </c>
      <c r="DC24" s="13"/>
      <c r="DD24" s="13">
        <f>Input_Raw[[#This Row],[33 kV_Wind_F2_Export_reading]]/1000</f>
        <v>80.581000000000003</v>
      </c>
      <c r="DE24" s="13"/>
      <c r="DF24" s="13">
        <f>Input_Raw[[#This Row],[33 kV_Wind_F3_Export_Reading]]/1000</f>
        <v>122.762</v>
      </c>
      <c r="DG24" s="13"/>
      <c r="DH24" s="13">
        <f>Input_Raw[[#This Row],[33 kV_Wind_F4_Export Reading]]/1000</f>
        <v>145.74199999999999</v>
      </c>
      <c r="DI24" s="13"/>
      <c r="DJ24" s="13">
        <f>Input_Raw[[#This Row],[33 kV_F1_Total_Export (MWh)]]+Input_Raw[[#This Row],[33 kV_F2_Total_Export (MWh)2]]+Input_Raw[[#This Row],[33 kV_Wind_F3_Export (MWh)]]+Input_Raw[[#This Row],[33 kV_Wind_F4_Export (MWh)]]</f>
        <v>406.59299999999996</v>
      </c>
      <c r="DK24" s="13">
        <f>Input_Raw[[#This Row],[33 kV_Wind_F1_Import (MWh)]]+Input_Raw[[#This Row],[33 kV_Wind_F2_Import (MWh)]]+Input_Raw[[#This Row],[33 kV_Wind_F3_Import (MWh)2]]+Input_Raw[[#This Row],[33 kV_Wind_F4_Import (MWh)2]]</f>
        <v>0</v>
      </c>
      <c r="DL24" s="100">
        <f>IFERROR(Input_Raw[[#This Row],[33 kV_Wind_Total_Export (MWh)]]/Input_Raw[[#This Row],[WTG Total Gneration (MWh)]]-1,"")</f>
        <v>-1.1102230246251565E-16</v>
      </c>
      <c r="DM24" s="66"/>
      <c r="DN24" s="186">
        <v>95</v>
      </c>
      <c r="DO24" s="186">
        <v>6832</v>
      </c>
      <c r="DP24" s="102">
        <v>398.35</v>
      </c>
      <c r="DQ24" s="66"/>
      <c r="DR24" s="181">
        <v>70.400000000000006</v>
      </c>
    </row>
    <row r="25" spans="1:122" ht="15">
      <c r="A25" s="92">
        <f t="shared" si="74"/>
        <v>45765</v>
      </c>
      <c r="B25" s="190">
        <f>YEAR(Input_Raw[[#This Row],[Date]])+IF(MONTH(Input_Raw[[#This Row],[Date]])&gt;=4,1,0)</f>
        <v>2026</v>
      </c>
      <c r="C25" s="190">
        <f>YEAR(Input_Raw[[#This Row],[Date]])</f>
        <v>2025</v>
      </c>
      <c r="D25" s="11">
        <f t="shared" si="80"/>
        <v>45748</v>
      </c>
      <c r="E25" s="190">
        <f>DAY(EOMONTH(Input_Raw[[#This Row],[Date]],0))</f>
        <v>30</v>
      </c>
      <c r="F25" s="93">
        <v>15976</v>
      </c>
      <c r="G25" s="93">
        <v>12770</v>
      </c>
      <c r="H25" s="93">
        <v>12612</v>
      </c>
      <c r="I25" s="93">
        <v>10010</v>
      </c>
      <c r="J25" s="93">
        <v>11112</v>
      </c>
      <c r="K25" s="93">
        <v>7176</v>
      </c>
      <c r="L25" s="93">
        <v>14158</v>
      </c>
      <c r="M25" s="93">
        <v>4776</v>
      </c>
      <c r="N25" s="93">
        <v>3140</v>
      </c>
      <c r="O25" s="93">
        <v>3936</v>
      </c>
      <c r="P25" s="93">
        <v>4360</v>
      </c>
      <c r="Q25" s="93">
        <v>4548</v>
      </c>
      <c r="R25" s="93">
        <v>4646</v>
      </c>
      <c r="S25" s="93">
        <v>4580</v>
      </c>
      <c r="T25" s="93">
        <v>4064</v>
      </c>
      <c r="U25" s="93">
        <v>5096</v>
      </c>
      <c r="V25" s="93">
        <v>5804</v>
      </c>
      <c r="W25" s="93">
        <v>14696</v>
      </c>
      <c r="X25" s="93">
        <v>5658</v>
      </c>
      <c r="Y25" s="93">
        <v>5017</v>
      </c>
      <c r="Z25" s="93">
        <v>11860</v>
      </c>
      <c r="AA25" s="93">
        <v>12088</v>
      </c>
      <c r="AB25" s="93">
        <v>7464</v>
      </c>
      <c r="AC25" s="93">
        <v>7344</v>
      </c>
      <c r="AD25" s="93">
        <v>8116</v>
      </c>
      <c r="AE25" s="93">
        <v>6556</v>
      </c>
      <c r="AF25" s="93">
        <v>8210</v>
      </c>
      <c r="AG25" s="93">
        <v>4848</v>
      </c>
      <c r="AH25" s="93">
        <v>8776</v>
      </c>
      <c r="AI25" s="93">
        <v>7210</v>
      </c>
      <c r="AJ25" s="93">
        <v>6166</v>
      </c>
      <c r="AK25" s="93">
        <v>3616</v>
      </c>
      <c r="AL25" s="93">
        <v>9868</v>
      </c>
      <c r="AM25" s="93">
        <v>11124</v>
      </c>
      <c r="AN25" s="93">
        <v>6944</v>
      </c>
      <c r="AO25" s="93">
        <v>7432</v>
      </c>
      <c r="AP25" s="93">
        <v>9120</v>
      </c>
      <c r="AQ25" s="93">
        <v>8864</v>
      </c>
      <c r="AR25" s="93">
        <v>9816</v>
      </c>
      <c r="AS25" s="93">
        <v>6288</v>
      </c>
      <c r="AT25" s="93">
        <v>8292</v>
      </c>
      <c r="AU25" s="93">
        <v>10952</v>
      </c>
      <c r="AV25" s="93">
        <v>15328</v>
      </c>
      <c r="AW25" s="93">
        <v>13316</v>
      </c>
      <c r="AX25" s="95">
        <v>6.84</v>
      </c>
      <c r="AY25" s="95">
        <v>6.52</v>
      </c>
      <c r="AZ25" s="95">
        <v>6.52</v>
      </c>
      <c r="BA25" s="95">
        <v>6.15</v>
      </c>
      <c r="BB25" s="95">
        <v>6.17</v>
      </c>
      <c r="BC25" s="95">
        <v>5.58</v>
      </c>
      <c r="BD25" s="95">
        <v>6.93</v>
      </c>
      <c r="BE25" s="95">
        <v>5.05</v>
      </c>
      <c r="BF25" s="95">
        <v>4.5999999999999996</v>
      </c>
      <c r="BG25" s="95">
        <v>5.1100000000000003</v>
      </c>
      <c r="BH25" s="95">
        <v>4.8600000000000003</v>
      </c>
      <c r="BI25" s="95">
        <v>4.88</v>
      </c>
      <c r="BJ25" s="95">
        <v>4.96</v>
      </c>
      <c r="BK25" s="95">
        <v>4.9400000000000004</v>
      </c>
      <c r="BL25" s="95">
        <v>4.9400000000000004</v>
      </c>
      <c r="BM25" s="95">
        <v>5.09</v>
      </c>
      <c r="BN25" s="95">
        <v>5.2</v>
      </c>
      <c r="BO25" s="95">
        <v>6.94</v>
      </c>
      <c r="BP25" s="95">
        <v>5.16</v>
      </c>
      <c r="BQ25" s="95">
        <v>4.8099999999999996</v>
      </c>
      <c r="BR25" s="95">
        <v>6.54</v>
      </c>
      <c r="BS25" s="95">
        <v>6.51</v>
      </c>
      <c r="BT25" s="95">
        <v>5.42</v>
      </c>
      <c r="BU25" s="95">
        <v>5.84</v>
      </c>
      <c r="BV25" s="95">
        <v>6.02</v>
      </c>
      <c r="BW25" s="95">
        <v>5.61</v>
      </c>
      <c r="BX25" s="95">
        <v>5.44</v>
      </c>
      <c r="BY25" s="95">
        <v>4.8099999999999996</v>
      </c>
      <c r="BZ25" s="95">
        <v>5.96</v>
      </c>
      <c r="CA25" s="95">
        <v>5.52</v>
      </c>
      <c r="CB25" s="95">
        <v>5.0199999999999996</v>
      </c>
      <c r="CC25" s="95">
        <v>4.55</v>
      </c>
      <c r="CD25" s="95">
        <v>6.4</v>
      </c>
      <c r="CE25" s="95">
        <v>6.15</v>
      </c>
      <c r="CF25" s="95">
        <v>5.25</v>
      </c>
      <c r="CG25" s="95">
        <v>6.46</v>
      </c>
      <c r="CH25" s="95">
        <v>6.17</v>
      </c>
      <c r="CI25" s="95">
        <v>5.57</v>
      </c>
      <c r="CJ25" s="95">
        <v>6.12</v>
      </c>
      <c r="CK25" s="95">
        <v>4.91</v>
      </c>
      <c r="CL25" s="95">
        <v>5.65</v>
      </c>
      <c r="CM25" s="95">
        <v>6.16</v>
      </c>
      <c r="CN25" s="95">
        <v>7.18</v>
      </c>
      <c r="CO25" s="95">
        <v>6.85</v>
      </c>
      <c r="CP25" s="98">
        <f>SUM(Input_Raw[[#This Row],[P-01]:[P-56]])/1000</f>
        <v>363.733</v>
      </c>
      <c r="CQ25" s="71">
        <f>IFERROR(AVERAGEIF(Input_Raw[[#This Row],[WS_P-01]:[WS_P-56]],"&lt;&gt;",Input_Raw[[#This Row],[WS_P-01]:[WS_P-56]]),"")</f>
        <v>5.7127272727272747</v>
      </c>
      <c r="CR25" s="99">
        <f>MAX(Input_Raw[[#This Row],[WS_P-01]:[WS_P-56]])</f>
        <v>7.18</v>
      </c>
      <c r="CS25" s="99"/>
      <c r="CT25" s="70">
        <f>SUM(Input_Raw[[#This Row],[P-08]:[P-13]],Input_Raw[[#This Row],[P-25]:[P-28]])</f>
        <v>54886</v>
      </c>
      <c r="CU25" s="70"/>
      <c r="CV25" s="70">
        <f>SUM(Input_Raw[[#This Row],[P-04]],Input_Raw[[#This Row],[P-14]:[P-17]],Input_Raw[[#This Row],[P-19]:[P-20]],Input_Raw[[#This Row],[P-22]:[P-23]],Input_Raw[[#This Row],[P-34]],Input_Raw[[#This Row],[P-38]],Input_Raw[[#This Row],[P-43]])</f>
        <v>86063</v>
      </c>
      <c r="CW25" s="70"/>
      <c r="CX25" s="70">
        <f>SUM(Input_Raw[[#This Row],[P-05]:[P-06]],Input_Raw[[#This Row],[P-40]:[P-42]],Input_Raw[[#This Row],[P-45]],Input_Raw[[#This Row],[P-46]],Input_Raw[[#This Row],[P-47]:[P-48]])</f>
        <v>78128</v>
      </c>
      <c r="CY25" s="70"/>
      <c r="CZ25" s="70">
        <f>SUM(Input_Raw[[#This Row],[P-01]:[P-03]],Input_Raw[[#This Row],[P-07]],Input_Raw[[#This Row],[P-18]],Input_Raw[[#This Row],[P-31]:[P-32]],Input_Raw[[#This Row],[P-37]],Input_Raw[[#This Row],[P-50]:[P-56]])</f>
        <v>144656</v>
      </c>
      <c r="DA25" s="12"/>
      <c r="DB25" s="13">
        <f>Input_Raw[[#This Row],[33 kV_Wind_F1_Export reading]]/1000</f>
        <v>54.886000000000003</v>
      </c>
      <c r="DC25" s="13"/>
      <c r="DD25" s="13">
        <f>Input_Raw[[#This Row],[33 kV_Wind_F2_Export_reading]]/1000</f>
        <v>86.063000000000002</v>
      </c>
      <c r="DE25" s="13"/>
      <c r="DF25" s="13">
        <f>Input_Raw[[#This Row],[33 kV_Wind_F3_Export_Reading]]/1000</f>
        <v>78.128</v>
      </c>
      <c r="DG25" s="13"/>
      <c r="DH25" s="13">
        <f>Input_Raw[[#This Row],[33 kV_Wind_F4_Export Reading]]/1000</f>
        <v>144.65600000000001</v>
      </c>
      <c r="DI25" s="13"/>
      <c r="DJ25" s="13">
        <f>Input_Raw[[#This Row],[33 kV_F1_Total_Export (MWh)]]+Input_Raw[[#This Row],[33 kV_F2_Total_Export (MWh)2]]+Input_Raw[[#This Row],[33 kV_Wind_F3_Export (MWh)]]+Input_Raw[[#This Row],[33 kV_Wind_F4_Export (MWh)]]</f>
        <v>363.733</v>
      </c>
      <c r="DK25" s="13">
        <f>Input_Raw[[#This Row],[33 kV_Wind_F1_Import (MWh)]]+Input_Raw[[#This Row],[33 kV_Wind_F2_Import (MWh)]]+Input_Raw[[#This Row],[33 kV_Wind_F3_Import (MWh)2]]+Input_Raw[[#This Row],[33 kV_Wind_F4_Import (MWh)2]]</f>
        <v>0</v>
      </c>
      <c r="DL25" s="100">
        <f>IFERROR(Input_Raw[[#This Row],[33 kV_Wind_Total_Export (MWh)]]/Input_Raw[[#This Row],[WTG Total Gneration (MWh)]]-1,"")</f>
        <v>0</v>
      </c>
      <c r="DM25" s="66"/>
      <c r="DN25" s="186">
        <v>90</v>
      </c>
      <c r="DO25" s="186">
        <v>1677</v>
      </c>
      <c r="DP25" s="102">
        <v>353.43</v>
      </c>
      <c r="DQ25" s="66"/>
      <c r="DR25" s="181">
        <v>70.400000000000006</v>
      </c>
    </row>
    <row r="26" spans="1:122" ht="15">
      <c r="A26" s="92">
        <f t="shared" si="74"/>
        <v>45766</v>
      </c>
      <c r="B26" s="190">
        <f>YEAR(Input_Raw[[#This Row],[Date]])+IF(MONTH(Input_Raw[[#This Row],[Date]])&gt;=4,1,0)</f>
        <v>2026</v>
      </c>
      <c r="C26" s="190">
        <f>YEAR(Input_Raw[[#This Row],[Date]])</f>
        <v>2025</v>
      </c>
      <c r="D26" s="11">
        <f t="shared" ref="D26:D27" si="81">A26-DAY(A26)+1</f>
        <v>45748</v>
      </c>
      <c r="E26" s="190">
        <f>DAY(EOMONTH(Input_Raw[[#This Row],[Date]],0))</f>
        <v>30</v>
      </c>
      <c r="F26" s="93">
        <v>13680</v>
      </c>
      <c r="G26" s="93">
        <v>13158</v>
      </c>
      <c r="H26" s="93">
        <v>13488</v>
      </c>
      <c r="I26" s="93">
        <v>8300</v>
      </c>
      <c r="J26" s="93">
        <v>10264</v>
      </c>
      <c r="K26" s="93">
        <v>7384</v>
      </c>
      <c r="L26" s="93">
        <v>10792</v>
      </c>
      <c r="M26" s="93">
        <v>3822</v>
      </c>
      <c r="N26" s="93">
        <v>2828</v>
      </c>
      <c r="O26" s="93">
        <v>3448</v>
      </c>
      <c r="P26" s="93">
        <v>3536</v>
      </c>
      <c r="Q26" s="93">
        <v>3702</v>
      </c>
      <c r="R26" s="93">
        <v>3660</v>
      </c>
      <c r="S26" s="93">
        <v>3876</v>
      </c>
      <c r="T26" s="93">
        <v>3660</v>
      </c>
      <c r="U26" s="93">
        <v>4466</v>
      </c>
      <c r="V26" s="93">
        <v>4928</v>
      </c>
      <c r="W26" s="93">
        <v>12576</v>
      </c>
      <c r="X26" s="93">
        <v>4910</v>
      </c>
      <c r="Y26" s="93">
        <v>4344</v>
      </c>
      <c r="Z26" s="93">
        <v>9272</v>
      </c>
      <c r="AA26" s="93">
        <v>10664</v>
      </c>
      <c r="AB26" s="93">
        <v>5864</v>
      </c>
      <c r="AC26" s="93">
        <v>6008</v>
      </c>
      <c r="AD26" s="93">
        <v>6416</v>
      </c>
      <c r="AE26" s="93">
        <v>5564</v>
      </c>
      <c r="AF26" s="93">
        <v>11814</v>
      </c>
      <c r="AG26" s="93">
        <v>4048</v>
      </c>
      <c r="AH26" s="93">
        <v>7996</v>
      </c>
      <c r="AI26" s="93">
        <v>5792</v>
      </c>
      <c r="AJ26" s="93">
        <v>5648</v>
      </c>
      <c r="AK26" s="93">
        <v>4340</v>
      </c>
      <c r="AL26" s="93">
        <v>9520</v>
      </c>
      <c r="AM26" s="93">
        <v>8880</v>
      </c>
      <c r="AN26" s="93">
        <v>5436</v>
      </c>
      <c r="AO26" s="93">
        <v>8876</v>
      </c>
      <c r="AP26" s="93">
        <v>5292</v>
      </c>
      <c r="AQ26" s="93">
        <v>8108.0000000000009</v>
      </c>
      <c r="AR26" s="93">
        <v>8848</v>
      </c>
      <c r="AS26" s="93">
        <v>4104</v>
      </c>
      <c r="AT26" s="93">
        <v>6444</v>
      </c>
      <c r="AU26" s="93">
        <v>8614</v>
      </c>
      <c r="AV26" s="93">
        <v>11768</v>
      </c>
      <c r="AW26" s="93">
        <v>10300</v>
      </c>
      <c r="AX26" s="95">
        <v>6.71</v>
      </c>
      <c r="AY26" s="95">
        <v>6.79</v>
      </c>
      <c r="AZ26" s="95">
        <v>7.01</v>
      </c>
      <c r="BA26" s="95">
        <v>5.94</v>
      </c>
      <c r="BB26" s="95">
        <v>6.38</v>
      </c>
      <c r="BC26" s="95">
        <v>6.03</v>
      </c>
      <c r="BD26" s="95">
        <v>6.49</v>
      </c>
      <c r="BE26" s="95">
        <v>4.8499999999999996</v>
      </c>
      <c r="BF26" s="95">
        <v>4.6500000000000004</v>
      </c>
      <c r="BG26" s="95">
        <v>5.16</v>
      </c>
      <c r="BH26" s="95">
        <v>4.78</v>
      </c>
      <c r="BI26" s="95">
        <v>4.8099999999999996</v>
      </c>
      <c r="BJ26" s="95">
        <v>4.88</v>
      </c>
      <c r="BK26" s="95">
        <v>4.95</v>
      </c>
      <c r="BL26" s="95">
        <v>4.99</v>
      </c>
      <c r="BM26" s="95">
        <v>5.26</v>
      </c>
      <c r="BN26" s="95">
        <v>5.18</v>
      </c>
      <c r="BO26" s="95">
        <v>6.83</v>
      </c>
      <c r="BP26" s="95">
        <v>5.23</v>
      </c>
      <c r="BQ26" s="95">
        <v>4.9000000000000004</v>
      </c>
      <c r="BR26" s="95">
        <v>6.23</v>
      </c>
      <c r="BS26" s="95">
        <v>6.42</v>
      </c>
      <c r="BT26" s="95">
        <v>5.22</v>
      </c>
      <c r="BU26" s="95">
        <v>5.66</v>
      </c>
      <c r="BV26" s="95">
        <v>5.81</v>
      </c>
      <c r="BW26" s="95">
        <v>5.58</v>
      </c>
      <c r="BX26" s="95">
        <v>6.52</v>
      </c>
      <c r="BY26" s="95">
        <v>4.7</v>
      </c>
      <c r="BZ26" s="95">
        <v>6</v>
      </c>
      <c r="CA26" s="95">
        <v>5.39</v>
      </c>
      <c r="CB26" s="95">
        <v>5.18</v>
      </c>
      <c r="CC26" s="95">
        <v>5.29</v>
      </c>
      <c r="CD26" s="95">
        <v>6.63</v>
      </c>
      <c r="CE26" s="95">
        <v>5.98</v>
      </c>
      <c r="CF26" s="95">
        <v>4.95</v>
      </c>
      <c r="CG26" s="95">
        <v>6.56</v>
      </c>
      <c r="CH26" s="95">
        <v>6.19</v>
      </c>
      <c r="CI26" s="95">
        <v>5.74</v>
      </c>
      <c r="CJ26" s="95">
        <v>6.28</v>
      </c>
      <c r="CK26" s="95">
        <v>4.51</v>
      </c>
      <c r="CL26" s="95">
        <v>5.5</v>
      </c>
      <c r="CM26" s="95">
        <v>5.98</v>
      </c>
      <c r="CN26" s="95">
        <v>6.74</v>
      </c>
      <c r="CO26" s="95">
        <v>6.59</v>
      </c>
      <c r="CP26" s="98">
        <f>SUM(Input_Raw[[#This Row],[P-01]:[P-56]])/1000</f>
        <v>316.43799999999999</v>
      </c>
      <c r="CQ26" s="71">
        <f>IFERROR(AVERAGEIF(Input_Raw[[#This Row],[WS_P-01]:[WS_P-56]],"&lt;&gt;",Input_Raw[[#This Row],[WS_P-01]:[WS_P-56]]),"")</f>
        <v>5.7152272727272724</v>
      </c>
      <c r="CR26" s="99">
        <f>MAX(Input_Raw[[#This Row],[WS_P-01]:[WS_P-56]])</f>
        <v>7.01</v>
      </c>
      <c r="CS26" s="99"/>
      <c r="CT26" s="70">
        <f>SUM(Input_Raw[[#This Row],[P-08]:[P-13]],Input_Raw[[#This Row],[P-25]:[P-28]])</f>
        <v>44848</v>
      </c>
      <c r="CU26" s="70"/>
      <c r="CV26" s="70">
        <f>SUM(Input_Raw[[#This Row],[P-04]],Input_Raw[[#This Row],[P-14]:[P-17]],Input_Raw[[#This Row],[P-19]:[P-20]],Input_Raw[[#This Row],[P-22]:[P-23]],Input_Raw[[#This Row],[P-34]],Input_Raw[[#This Row],[P-38]],Input_Raw[[#This Row],[P-43]])</f>
        <v>73500</v>
      </c>
      <c r="CW26" s="70"/>
      <c r="CX26" s="70">
        <f>SUM(Input_Raw[[#This Row],[P-05]:[P-06]],Input_Raw[[#This Row],[P-40]:[P-42]],Input_Raw[[#This Row],[P-45]],Input_Raw[[#This Row],[P-46]],Input_Raw[[#This Row],[P-47]:[P-48]])</f>
        <v>71512</v>
      </c>
      <c r="CY26" s="70"/>
      <c r="CZ26" s="70">
        <f>SUM(Input_Raw[[#This Row],[P-01]:[P-03]],Input_Raw[[#This Row],[P-07]],Input_Raw[[#This Row],[P-18]],Input_Raw[[#This Row],[P-31]:[P-32]],Input_Raw[[#This Row],[P-37]],Input_Raw[[#This Row],[P-50]:[P-56]])</f>
        <v>126578</v>
      </c>
      <c r="DA26" s="12"/>
      <c r="DB26" s="13">
        <f>Input_Raw[[#This Row],[33 kV_Wind_F1_Export reading]]/1000</f>
        <v>44.847999999999999</v>
      </c>
      <c r="DC26" s="13"/>
      <c r="DD26" s="13">
        <f>Input_Raw[[#This Row],[33 kV_Wind_F2_Export_reading]]/1000</f>
        <v>73.5</v>
      </c>
      <c r="DE26" s="13"/>
      <c r="DF26" s="13">
        <f>Input_Raw[[#This Row],[33 kV_Wind_F3_Export_Reading]]/1000</f>
        <v>71.512</v>
      </c>
      <c r="DG26" s="13"/>
      <c r="DH26" s="13">
        <f>Input_Raw[[#This Row],[33 kV_Wind_F4_Export Reading]]/1000</f>
        <v>126.578</v>
      </c>
      <c r="DI26" s="13"/>
      <c r="DJ26" s="13">
        <f>Input_Raw[[#This Row],[33 kV_F1_Total_Export (MWh)]]+Input_Raw[[#This Row],[33 kV_F2_Total_Export (MWh)2]]+Input_Raw[[#This Row],[33 kV_Wind_F3_Export (MWh)]]+Input_Raw[[#This Row],[33 kV_Wind_F4_Export (MWh)]]</f>
        <v>316.43799999999999</v>
      </c>
      <c r="DK26" s="13">
        <f>Input_Raw[[#This Row],[33 kV_Wind_F1_Import (MWh)]]+Input_Raw[[#This Row],[33 kV_Wind_F2_Import (MWh)]]+Input_Raw[[#This Row],[33 kV_Wind_F3_Import (MWh)2]]+Input_Raw[[#This Row],[33 kV_Wind_F4_Import (MWh)2]]</f>
        <v>0</v>
      </c>
      <c r="DL26" s="100">
        <f>IFERROR(Input_Raw[[#This Row],[33 kV_Wind_Total_Export (MWh)]]/Input_Raw[[#This Row],[WTG Total Gneration (MWh)]]-1,"")</f>
        <v>0</v>
      </c>
      <c r="DM26" s="66"/>
      <c r="DN26" s="186">
        <v>96</v>
      </c>
      <c r="DO26" s="186">
        <v>2198</v>
      </c>
      <c r="DP26" s="102">
        <v>305.33</v>
      </c>
      <c r="DQ26" s="66"/>
      <c r="DR26" s="181">
        <v>70.400000000000006</v>
      </c>
    </row>
    <row r="27" spans="1:122" ht="15">
      <c r="A27" s="92">
        <f t="shared" si="74"/>
        <v>45767</v>
      </c>
      <c r="B27" s="190">
        <f>YEAR(Input_Raw[[#This Row],[Date]])+IF(MONTH(Input_Raw[[#This Row],[Date]])&gt;=4,1,0)</f>
        <v>2026</v>
      </c>
      <c r="C27" s="190">
        <f>YEAR(Input_Raw[[#This Row],[Date]])</f>
        <v>2025</v>
      </c>
      <c r="D27" s="11">
        <f t="shared" si="81"/>
        <v>45748</v>
      </c>
      <c r="E27" s="190">
        <f>DAY(EOMONTH(Input_Raw[[#This Row],[Date]],0))</f>
        <v>30</v>
      </c>
      <c r="F27" s="93">
        <v>14444</v>
      </c>
      <c r="G27" s="93">
        <v>12916</v>
      </c>
      <c r="H27" s="93">
        <v>12512</v>
      </c>
      <c r="I27" s="93">
        <v>6832</v>
      </c>
      <c r="J27" s="93">
        <v>7132</v>
      </c>
      <c r="K27" s="93">
        <v>5584</v>
      </c>
      <c r="L27" s="93">
        <v>12548</v>
      </c>
      <c r="M27" s="93">
        <v>3418</v>
      </c>
      <c r="N27" s="93">
        <v>2158</v>
      </c>
      <c r="O27" s="93">
        <v>2478</v>
      </c>
      <c r="P27" s="93">
        <v>2616</v>
      </c>
      <c r="Q27" s="93">
        <v>2986</v>
      </c>
      <c r="R27" s="93">
        <v>2762</v>
      </c>
      <c r="S27" s="93">
        <v>2916</v>
      </c>
      <c r="T27" s="93">
        <v>2752</v>
      </c>
      <c r="U27" s="93">
        <v>3098</v>
      </c>
      <c r="V27" s="93">
        <v>3614</v>
      </c>
      <c r="W27" s="93">
        <v>12772</v>
      </c>
      <c r="X27" s="93">
        <v>3732</v>
      </c>
      <c r="Y27" s="93">
        <v>3553</v>
      </c>
      <c r="Z27" s="93">
        <v>9992</v>
      </c>
      <c r="AA27" s="93">
        <v>11776</v>
      </c>
      <c r="AB27" s="93">
        <v>5596</v>
      </c>
      <c r="AC27" s="93">
        <v>5596</v>
      </c>
      <c r="AD27" s="93">
        <v>6704</v>
      </c>
      <c r="AE27" s="93">
        <v>5404</v>
      </c>
      <c r="AF27" s="93">
        <v>10238</v>
      </c>
      <c r="AG27" s="93">
        <v>5266</v>
      </c>
      <c r="AH27" s="93">
        <v>6368</v>
      </c>
      <c r="AI27" s="93">
        <v>7618</v>
      </c>
      <c r="AJ27" s="93">
        <v>4176</v>
      </c>
      <c r="AK27" s="93">
        <v>3340</v>
      </c>
      <c r="AL27" s="93">
        <v>6752</v>
      </c>
      <c r="AM27" s="93">
        <v>7816</v>
      </c>
      <c r="AN27" s="93">
        <v>5444</v>
      </c>
      <c r="AO27" s="93">
        <v>9800</v>
      </c>
      <c r="AP27" s="93">
        <v>7772</v>
      </c>
      <c r="AQ27" s="93">
        <v>7272</v>
      </c>
      <c r="AR27" s="93">
        <v>7304</v>
      </c>
      <c r="AS27" s="93">
        <v>6668</v>
      </c>
      <c r="AT27" s="93">
        <v>7058</v>
      </c>
      <c r="AU27" s="93">
        <v>11286</v>
      </c>
      <c r="AV27" s="93">
        <v>13840</v>
      </c>
      <c r="AW27" s="93">
        <v>10576</v>
      </c>
      <c r="AX27" s="96">
        <v>6.32</v>
      </c>
      <c r="AY27" s="96">
        <v>6.31</v>
      </c>
      <c r="AZ27" s="96">
        <v>6.23</v>
      </c>
      <c r="BA27" s="96">
        <v>5.04</v>
      </c>
      <c r="BB27" s="96">
        <v>4.93</v>
      </c>
      <c r="BC27" s="96">
        <v>4.91</v>
      </c>
      <c r="BD27" s="96">
        <v>6.3</v>
      </c>
      <c r="BE27" s="96">
        <v>4.5199999999999996</v>
      </c>
      <c r="BF27" s="96">
        <v>4.13</v>
      </c>
      <c r="BG27" s="96">
        <v>4.42</v>
      </c>
      <c r="BH27" s="96">
        <v>4.13</v>
      </c>
      <c r="BI27" s="96">
        <v>4.3</v>
      </c>
      <c r="BJ27" s="96">
        <v>4.2</v>
      </c>
      <c r="BK27" s="96">
        <v>4.16</v>
      </c>
      <c r="BL27" s="96">
        <v>4.1900000000000004</v>
      </c>
      <c r="BM27" s="96">
        <v>4.17</v>
      </c>
      <c r="BN27" s="96">
        <v>4.49</v>
      </c>
      <c r="BO27" s="96">
        <v>6.27</v>
      </c>
      <c r="BP27" s="96">
        <v>4.4000000000000004</v>
      </c>
      <c r="BQ27" s="96">
        <v>4.18</v>
      </c>
      <c r="BR27" s="96">
        <v>5.93</v>
      </c>
      <c r="BS27" s="96">
        <v>6.19</v>
      </c>
      <c r="BT27" s="96">
        <v>4.84</v>
      </c>
      <c r="BU27" s="96">
        <v>5.3</v>
      </c>
      <c r="BV27" s="96">
        <v>5.5</v>
      </c>
      <c r="BW27" s="96">
        <v>5.16</v>
      </c>
      <c r="BX27" s="96">
        <v>5.58</v>
      </c>
      <c r="BY27" s="96">
        <v>4.71</v>
      </c>
      <c r="BZ27" s="96">
        <v>5.07</v>
      </c>
      <c r="CA27" s="96">
        <v>5.41</v>
      </c>
      <c r="CB27" s="96">
        <v>4.21</v>
      </c>
      <c r="CC27" s="96">
        <v>4.28</v>
      </c>
      <c r="CD27" s="96">
        <v>5.42</v>
      </c>
      <c r="CE27" s="96">
        <v>5.2</v>
      </c>
      <c r="CF27" s="96">
        <v>4.76</v>
      </c>
      <c r="CG27" s="96">
        <v>6.22</v>
      </c>
      <c r="CH27" s="96">
        <v>5.65</v>
      </c>
      <c r="CI27" s="96">
        <v>5</v>
      </c>
      <c r="CJ27" s="96">
        <v>5.26</v>
      </c>
      <c r="CK27" s="96">
        <v>4.57</v>
      </c>
      <c r="CL27" s="96">
        <v>5.01</v>
      </c>
      <c r="CM27" s="96">
        <v>5.95</v>
      </c>
      <c r="CN27" s="96">
        <v>6.58</v>
      </c>
      <c r="CO27" s="96">
        <v>6.03</v>
      </c>
      <c r="CP27" s="98">
        <f>SUM(Input_Raw[[#This Row],[P-01]:[P-56]])/1000</f>
        <v>304.48500000000001</v>
      </c>
      <c r="CQ27" s="71">
        <f>IFERROR(AVERAGEIF(Input_Raw[[#This Row],[WS_P-01]:[WS_P-56]],"&lt;&gt;",Input_Raw[[#This Row],[WS_P-01]:[WS_P-56]]),"")</f>
        <v>5.1234090909090906</v>
      </c>
      <c r="CR27" s="99">
        <f>MAX(Input_Raw[[#This Row],[WS_P-01]:[WS_P-56]])</f>
        <v>6.58</v>
      </c>
      <c r="CS27" s="99"/>
      <c r="CT27" s="70">
        <f>SUM(Input_Raw[[#This Row],[P-08]:[P-13]],Input_Raw[[#This Row],[P-25]:[P-28]])</f>
        <v>39718</v>
      </c>
      <c r="CU27" s="70"/>
      <c r="CV27" s="70">
        <f>SUM(Input_Raw[[#This Row],[P-04]],Input_Raw[[#This Row],[P-14]:[P-17]],Input_Raw[[#This Row],[P-19]:[P-20]],Input_Raw[[#This Row],[P-22]:[P-23]],Input_Raw[[#This Row],[P-34]],Input_Raw[[#This Row],[P-38]],Input_Raw[[#This Row],[P-43]])</f>
        <v>64253</v>
      </c>
      <c r="CW27" s="70"/>
      <c r="CX27" s="70">
        <f>SUM(Input_Raw[[#This Row],[P-05]:[P-06]],Input_Raw[[#This Row],[P-40]:[P-42]],Input_Raw[[#This Row],[P-45]],Input_Raw[[#This Row],[P-46]],Input_Raw[[#This Row],[P-47]:[P-48]])</f>
        <v>62772</v>
      </c>
      <c r="CY27" s="70"/>
      <c r="CZ27" s="70">
        <f>SUM(Input_Raw[[#This Row],[P-01]:[P-03]],Input_Raw[[#This Row],[P-07]],Input_Raw[[#This Row],[P-18]],Input_Raw[[#This Row],[P-31]:[P-32]],Input_Raw[[#This Row],[P-37]],Input_Raw[[#This Row],[P-50]:[P-56]])</f>
        <v>137742</v>
      </c>
      <c r="DA27" s="12"/>
      <c r="DB27" s="13">
        <f>Input_Raw[[#This Row],[33 kV_Wind_F1_Export reading]]/1000</f>
        <v>39.718000000000004</v>
      </c>
      <c r="DC27" s="13"/>
      <c r="DD27" s="13">
        <f>Input_Raw[[#This Row],[33 kV_Wind_F2_Export_reading]]/1000</f>
        <v>64.253</v>
      </c>
      <c r="DE27" s="13"/>
      <c r="DF27" s="13">
        <f>Input_Raw[[#This Row],[33 kV_Wind_F3_Export_Reading]]/1000</f>
        <v>62.771999999999998</v>
      </c>
      <c r="DG27" s="13"/>
      <c r="DH27" s="13">
        <f>Input_Raw[[#This Row],[33 kV_Wind_F4_Export Reading]]/1000</f>
        <v>137.74199999999999</v>
      </c>
      <c r="DI27" s="13"/>
      <c r="DJ27" s="13">
        <f>Input_Raw[[#This Row],[33 kV_F1_Total_Export (MWh)]]+Input_Raw[[#This Row],[33 kV_F2_Total_Export (MWh)2]]+Input_Raw[[#This Row],[33 kV_Wind_F3_Export (MWh)]]+Input_Raw[[#This Row],[33 kV_Wind_F4_Export (MWh)]]</f>
        <v>304.48500000000001</v>
      </c>
      <c r="DK27" s="13">
        <f>Input_Raw[[#This Row],[33 kV_Wind_F1_Import (MWh)]]+Input_Raw[[#This Row],[33 kV_Wind_F2_Import (MWh)]]+Input_Raw[[#This Row],[33 kV_Wind_F3_Import (MWh)2]]+Input_Raw[[#This Row],[33 kV_Wind_F4_Import (MWh)2]]</f>
        <v>0</v>
      </c>
      <c r="DL27" s="100">
        <f>IFERROR(Input_Raw[[#This Row],[33 kV_Wind_Total_Export (MWh)]]/Input_Raw[[#This Row],[WTG Total Gneration (MWh)]]-1,"")</f>
        <v>0</v>
      </c>
      <c r="DM27" s="66"/>
      <c r="DN27" s="186">
        <v>96</v>
      </c>
      <c r="DO27" s="186">
        <v>8829.6299999999992</v>
      </c>
      <c r="DP27" s="102">
        <v>290.89999999999998</v>
      </c>
      <c r="DQ27" s="66"/>
      <c r="DR27" s="181">
        <v>70.400000000000006</v>
      </c>
    </row>
    <row r="28" spans="1:122" ht="15">
      <c r="A28" s="92">
        <f t="shared" si="74"/>
        <v>45768</v>
      </c>
      <c r="B28" s="190">
        <f>YEAR(Input_Raw[[#This Row],[Date]])+IF(MONTH(Input_Raw[[#This Row],[Date]])&gt;=4,1,0)</f>
        <v>2026</v>
      </c>
      <c r="C28" s="190">
        <f>YEAR(Input_Raw[[#This Row],[Date]])</f>
        <v>2025</v>
      </c>
      <c r="D28" s="11">
        <f t="shared" ref="D28" si="82">A28-DAY(A28)+1</f>
        <v>45748</v>
      </c>
      <c r="E28" s="190">
        <f>DAY(EOMONTH(Input_Raw[[#This Row],[Date]],0))</f>
        <v>30</v>
      </c>
      <c r="F28" s="199">
        <v>7024</v>
      </c>
      <c r="G28" s="199">
        <v>7886</v>
      </c>
      <c r="H28" s="199">
        <v>8292</v>
      </c>
      <c r="I28" s="199">
        <v>4064</v>
      </c>
      <c r="J28" s="199">
        <v>3800</v>
      </c>
      <c r="K28" s="199">
        <v>3248</v>
      </c>
      <c r="L28" s="199">
        <v>6370</v>
      </c>
      <c r="M28" s="199">
        <v>2004</v>
      </c>
      <c r="N28" s="199">
        <v>1064</v>
      </c>
      <c r="O28" s="199">
        <v>1256</v>
      </c>
      <c r="P28" s="199">
        <v>1392</v>
      </c>
      <c r="Q28" s="199">
        <v>1772</v>
      </c>
      <c r="R28" s="199">
        <v>1664</v>
      </c>
      <c r="S28" s="199">
        <v>1800</v>
      </c>
      <c r="T28" s="199">
        <v>1636</v>
      </c>
      <c r="U28" s="199">
        <v>1796</v>
      </c>
      <c r="V28" s="199">
        <v>1942</v>
      </c>
      <c r="W28" s="199">
        <v>7492</v>
      </c>
      <c r="X28" s="199">
        <v>2364</v>
      </c>
      <c r="Y28" s="199">
        <v>2073</v>
      </c>
      <c r="Z28" s="199">
        <v>6348</v>
      </c>
      <c r="AA28" s="199">
        <v>7508</v>
      </c>
      <c r="AB28" s="199">
        <v>3160</v>
      </c>
      <c r="AC28" s="199">
        <v>3128</v>
      </c>
      <c r="AD28" s="199">
        <v>3956</v>
      </c>
      <c r="AE28" s="199">
        <v>3272</v>
      </c>
      <c r="AF28" s="199">
        <v>7778</v>
      </c>
      <c r="AG28" s="199">
        <v>5382</v>
      </c>
      <c r="AH28" s="199">
        <v>3704</v>
      </c>
      <c r="AI28" s="199">
        <v>6804</v>
      </c>
      <c r="AJ28" s="199">
        <v>2336</v>
      </c>
      <c r="AK28" s="199">
        <v>2037.9999999999998</v>
      </c>
      <c r="AL28" s="199">
        <v>3604</v>
      </c>
      <c r="AM28" s="199">
        <v>4900</v>
      </c>
      <c r="AN28" s="199">
        <v>4026</v>
      </c>
      <c r="AO28" s="199">
        <v>6560</v>
      </c>
      <c r="AP28" s="199">
        <v>4824</v>
      </c>
      <c r="AQ28" s="199">
        <v>4476</v>
      </c>
      <c r="AR28" s="199">
        <v>4364</v>
      </c>
      <c r="AS28" s="199">
        <v>5864</v>
      </c>
      <c r="AT28" s="199">
        <v>5564</v>
      </c>
      <c r="AU28" s="199">
        <v>8416</v>
      </c>
      <c r="AV28" s="199">
        <v>7520</v>
      </c>
      <c r="AW28" s="199">
        <v>6224</v>
      </c>
      <c r="AX28" s="200">
        <v>4.9000000000000004</v>
      </c>
      <c r="AY28" s="200">
        <v>5.48</v>
      </c>
      <c r="AZ28" s="200">
        <v>5.52</v>
      </c>
      <c r="BA28" s="200">
        <v>4.2300000000000004</v>
      </c>
      <c r="BB28" s="200">
        <v>4.18</v>
      </c>
      <c r="BC28" s="200">
        <v>4.42</v>
      </c>
      <c r="BD28" s="200">
        <v>5.14</v>
      </c>
      <c r="BE28" s="200">
        <v>3.96</v>
      </c>
      <c r="BF28" s="200">
        <v>3.54</v>
      </c>
      <c r="BG28" s="200">
        <v>3.9</v>
      </c>
      <c r="BH28" s="200">
        <v>3.6</v>
      </c>
      <c r="BI28" s="200">
        <v>3.89</v>
      </c>
      <c r="BJ28" s="200">
        <v>3.72</v>
      </c>
      <c r="BK28" s="200">
        <v>3.68</v>
      </c>
      <c r="BL28" s="200">
        <v>3.67</v>
      </c>
      <c r="BM28" s="200">
        <v>3.66</v>
      </c>
      <c r="BN28" s="200">
        <v>3.84</v>
      </c>
      <c r="BO28" s="200">
        <v>5.33</v>
      </c>
      <c r="BP28" s="200">
        <v>3.93</v>
      </c>
      <c r="BQ28" s="200">
        <v>3.61</v>
      </c>
      <c r="BR28" s="200">
        <v>5.22</v>
      </c>
      <c r="BS28" s="200">
        <v>5.27</v>
      </c>
      <c r="BT28" s="200">
        <v>4.22</v>
      </c>
      <c r="BU28" s="200">
        <v>4.6900000000000004</v>
      </c>
      <c r="BV28" s="200">
        <v>4.82</v>
      </c>
      <c r="BW28" s="200">
        <v>4.5599999999999996</v>
      </c>
      <c r="BX28" s="200">
        <v>5.08</v>
      </c>
      <c r="BY28" s="200">
        <v>4.6500000000000004</v>
      </c>
      <c r="BZ28" s="200">
        <v>4.16</v>
      </c>
      <c r="CA28" s="200">
        <v>5.18</v>
      </c>
      <c r="CB28" s="200">
        <v>3.47</v>
      </c>
      <c r="CC28" s="200">
        <v>3.79</v>
      </c>
      <c r="CD28" s="200">
        <v>4.67</v>
      </c>
      <c r="CE28" s="200">
        <v>4.6399999999999997</v>
      </c>
      <c r="CF28" s="200">
        <v>4.33</v>
      </c>
      <c r="CG28" s="200">
        <v>5.55</v>
      </c>
      <c r="CH28" s="200">
        <v>5.0999999999999996</v>
      </c>
      <c r="CI28" s="200">
        <v>4.4400000000000004</v>
      </c>
      <c r="CJ28" s="200">
        <v>4.75</v>
      </c>
      <c r="CK28" s="200">
        <v>4.3600000000000003</v>
      </c>
      <c r="CL28" s="200">
        <v>4.54</v>
      </c>
      <c r="CM28" s="200">
        <v>5.43</v>
      </c>
      <c r="CN28" s="200">
        <v>5.48</v>
      </c>
      <c r="CO28" s="200">
        <v>5.3</v>
      </c>
      <c r="CP28" s="182">
        <f>SUM(Input_Raw[[#This Row],[P-01]:[P-56]])/1000</f>
        <v>190.69499999999999</v>
      </c>
      <c r="CQ28" s="185">
        <f>IFERROR(AVERAGEIF(Input_Raw[[#This Row],[WS_P-01]:[WS_P-56]],"&lt;&gt;",Input_Raw[[#This Row],[WS_P-01]:[WS_P-56]]),"")</f>
        <v>4.497727272727273</v>
      </c>
      <c r="CR28" s="183">
        <f>MAX(Input_Raw[[#This Row],[WS_P-01]:[WS_P-56]])</f>
        <v>5.55</v>
      </c>
      <c r="CS28" s="183"/>
      <c r="CT28" s="80">
        <f>SUM(Input_Raw[[#This Row],[P-08]:[P-13]],Input_Raw[[#This Row],[P-25]:[P-28]])</f>
        <v>22668</v>
      </c>
      <c r="CU28" s="80"/>
      <c r="CV28" s="80">
        <f>SUM(Input_Raw[[#This Row],[P-04]],Input_Raw[[#This Row],[P-14]:[P-17]],Input_Raw[[#This Row],[P-19]:[P-20]],Input_Raw[[#This Row],[P-22]:[P-23]],Input_Raw[[#This Row],[P-34]],Input_Raw[[#This Row],[P-38]],Input_Raw[[#This Row],[P-43]])</f>
        <v>39597</v>
      </c>
      <c r="CW28" s="80"/>
      <c r="CX28" s="80">
        <f>SUM(Input_Raw[[#This Row],[P-05]:[P-06]],Input_Raw[[#This Row],[P-40]:[P-42]],Input_Raw[[#This Row],[P-45]],Input_Raw[[#This Row],[P-46]],Input_Raw[[#This Row],[P-47]:[P-48]])</f>
        <v>37814</v>
      </c>
      <c r="CY28" s="80"/>
      <c r="CZ28" s="80">
        <f>SUM(Input_Raw[[#This Row],[P-01]:[P-03]],Input_Raw[[#This Row],[P-07]],Input_Raw[[#This Row],[P-18]],Input_Raw[[#This Row],[P-31]:[P-32]],Input_Raw[[#This Row],[P-37]],Input_Raw[[#This Row],[P-50]:[P-56]])</f>
        <v>90616</v>
      </c>
      <c r="DA28" s="14"/>
      <c r="DB28" s="81">
        <f>Input_Raw[[#This Row],[33 kV_Wind_F1_Export reading]]/1000</f>
        <v>22.667999999999999</v>
      </c>
      <c r="DC28" s="81"/>
      <c r="DD28" s="81">
        <f>Input_Raw[[#This Row],[33 kV_Wind_F2_Export_reading]]/1000</f>
        <v>39.597000000000001</v>
      </c>
      <c r="DE28" s="81"/>
      <c r="DF28" s="81">
        <f>Input_Raw[[#This Row],[33 kV_Wind_F3_Export_Reading]]/1000</f>
        <v>37.814</v>
      </c>
      <c r="DG28" s="81"/>
      <c r="DH28" s="81">
        <f>Input_Raw[[#This Row],[33 kV_Wind_F4_Export Reading]]/1000</f>
        <v>90.616</v>
      </c>
      <c r="DI28" s="81"/>
      <c r="DJ28" s="81">
        <f>Input_Raw[[#This Row],[33 kV_F1_Total_Export (MWh)]]+Input_Raw[[#This Row],[33 kV_F2_Total_Export (MWh)2]]+Input_Raw[[#This Row],[33 kV_Wind_F3_Export (MWh)]]+Input_Raw[[#This Row],[33 kV_Wind_F4_Export (MWh)]]</f>
        <v>190.69499999999999</v>
      </c>
      <c r="DK28" s="81">
        <f>Input_Raw[[#This Row],[33 kV_Wind_F1_Import (MWh)]]+Input_Raw[[#This Row],[33 kV_Wind_F2_Import (MWh)]]+Input_Raw[[#This Row],[33 kV_Wind_F3_Import (MWh)2]]+Input_Raw[[#This Row],[33 kV_Wind_F4_Import (MWh)2]]</f>
        <v>0</v>
      </c>
      <c r="DL28" s="184">
        <f>IFERROR(Input_Raw[[#This Row],[33 kV_Wind_Total_Export (MWh)]]/Input_Raw[[#This Row],[WTG Total Gneration (MWh)]]-1,"")</f>
        <v>0</v>
      </c>
      <c r="DM28" s="67"/>
      <c r="DN28" s="186">
        <v>96</v>
      </c>
      <c r="DO28" s="186">
        <v>4696.13</v>
      </c>
      <c r="DP28" s="102">
        <v>186.07</v>
      </c>
      <c r="DQ28" s="66"/>
      <c r="DR28" s="181">
        <v>70.400000000000006</v>
      </c>
    </row>
    <row r="29" spans="1:122" ht="15">
      <c r="A29" s="92">
        <f t="shared" si="74"/>
        <v>45769</v>
      </c>
      <c r="B29" s="190">
        <f>YEAR(Input_Raw[[#This Row],[Date]])+IF(MONTH(Input_Raw[[#This Row],[Date]])&gt;=4,1,0)</f>
        <v>2026</v>
      </c>
      <c r="C29" s="190">
        <f>YEAR(Input_Raw[[#This Row],[Date]])</f>
        <v>2025</v>
      </c>
      <c r="D29" s="11">
        <f t="shared" ref="D29" si="83">A29-DAY(A29)+1</f>
        <v>45748</v>
      </c>
      <c r="E29" s="190">
        <f>DAY(EOMONTH(Input_Raw[[#This Row],[Date]],0))</f>
        <v>30</v>
      </c>
      <c r="F29" s="93">
        <v>3564</v>
      </c>
      <c r="G29" s="93">
        <v>3242</v>
      </c>
      <c r="H29" s="93">
        <v>2616</v>
      </c>
      <c r="I29" s="93">
        <v>3462</v>
      </c>
      <c r="J29" s="93">
        <v>2120</v>
      </c>
      <c r="K29" s="93">
        <v>2144</v>
      </c>
      <c r="L29" s="93">
        <v>3370</v>
      </c>
      <c r="M29" s="93">
        <v>2470</v>
      </c>
      <c r="N29" s="93">
        <v>1926</v>
      </c>
      <c r="O29" s="93">
        <v>1778</v>
      </c>
      <c r="P29" s="93">
        <v>3022</v>
      </c>
      <c r="Q29" s="93">
        <v>3280</v>
      </c>
      <c r="R29" s="93">
        <v>3238</v>
      </c>
      <c r="S29" s="93">
        <v>2876</v>
      </c>
      <c r="T29" s="93">
        <v>2724</v>
      </c>
      <c r="U29" s="93">
        <v>2960</v>
      </c>
      <c r="V29" s="93">
        <v>3342</v>
      </c>
      <c r="W29" s="93">
        <v>3552</v>
      </c>
      <c r="X29" s="93">
        <v>3516</v>
      </c>
      <c r="Y29" s="93">
        <v>3202</v>
      </c>
      <c r="Z29" s="93">
        <v>4032</v>
      </c>
      <c r="AA29" s="93">
        <v>3948</v>
      </c>
      <c r="AB29" s="93">
        <v>3136</v>
      </c>
      <c r="AC29" s="93">
        <v>3496</v>
      </c>
      <c r="AD29" s="93">
        <v>3852</v>
      </c>
      <c r="AE29" s="93">
        <v>3564</v>
      </c>
      <c r="AF29" s="93">
        <v>2130</v>
      </c>
      <c r="AG29" s="93">
        <v>908</v>
      </c>
      <c r="AH29" s="93">
        <v>3192</v>
      </c>
      <c r="AI29" s="93">
        <v>1262</v>
      </c>
      <c r="AJ29" s="93">
        <v>3684</v>
      </c>
      <c r="AK29" s="93">
        <v>1490</v>
      </c>
      <c r="AL29" s="93">
        <v>2092</v>
      </c>
      <c r="AM29" s="93">
        <v>1932</v>
      </c>
      <c r="AN29" s="93">
        <v>3240</v>
      </c>
      <c r="AO29" s="93">
        <v>3292</v>
      </c>
      <c r="AP29" s="93">
        <v>2560</v>
      </c>
      <c r="AQ29" s="93">
        <v>1884</v>
      </c>
      <c r="AR29" s="93">
        <v>2156</v>
      </c>
      <c r="AS29" s="93">
        <v>1288</v>
      </c>
      <c r="AT29" s="93">
        <v>1178</v>
      </c>
      <c r="AU29" s="93">
        <v>1676</v>
      </c>
      <c r="AV29" s="93">
        <v>3784</v>
      </c>
      <c r="AW29" s="93">
        <v>3280</v>
      </c>
      <c r="AX29" s="96">
        <v>4.5599999999999996</v>
      </c>
      <c r="AY29" s="96">
        <v>4.74</v>
      </c>
      <c r="AZ29" s="96">
        <v>4.26</v>
      </c>
      <c r="BA29" s="96">
        <v>4.2</v>
      </c>
      <c r="BB29" s="96">
        <v>3.84</v>
      </c>
      <c r="BC29" s="96">
        <v>4.33</v>
      </c>
      <c r="BD29" s="96">
        <v>4.72</v>
      </c>
      <c r="BE29" s="96">
        <v>4.03</v>
      </c>
      <c r="BF29" s="96">
        <v>3.9</v>
      </c>
      <c r="BG29" s="96">
        <v>4.3600000000000003</v>
      </c>
      <c r="BH29" s="96">
        <v>4.26</v>
      </c>
      <c r="BI29" s="96">
        <v>4.4400000000000004</v>
      </c>
      <c r="BJ29" s="96">
        <v>4.3600000000000003</v>
      </c>
      <c r="BK29" s="96">
        <v>4.16</v>
      </c>
      <c r="BL29" s="96">
        <v>4.2300000000000004</v>
      </c>
      <c r="BM29" s="96">
        <v>4.16</v>
      </c>
      <c r="BN29" s="96">
        <v>4.3499999999999996</v>
      </c>
      <c r="BO29" s="96">
        <v>4.58</v>
      </c>
      <c r="BP29" s="96">
        <v>4.41</v>
      </c>
      <c r="BQ29" s="96">
        <v>4.0599999999999996</v>
      </c>
      <c r="BR29" s="96">
        <v>4.76</v>
      </c>
      <c r="BS29" s="96">
        <v>4.5</v>
      </c>
      <c r="BT29" s="96">
        <v>4.1399999999999997</v>
      </c>
      <c r="BU29" s="96">
        <v>4.8099999999999996</v>
      </c>
      <c r="BV29" s="96">
        <v>4.75</v>
      </c>
      <c r="BW29" s="96">
        <v>4.62</v>
      </c>
      <c r="BX29" s="96">
        <v>3.55</v>
      </c>
      <c r="BY29" s="96">
        <v>3.18</v>
      </c>
      <c r="BZ29" s="96">
        <v>4.1100000000000003</v>
      </c>
      <c r="CA29" s="96">
        <v>3.69</v>
      </c>
      <c r="CB29" s="96">
        <v>4.0599999999999996</v>
      </c>
      <c r="CC29" s="96">
        <v>3.73</v>
      </c>
      <c r="CD29" s="96">
        <v>4.4000000000000004</v>
      </c>
      <c r="CE29" s="96">
        <v>3.95</v>
      </c>
      <c r="CF29" s="96">
        <v>4.1399999999999997</v>
      </c>
      <c r="CG29" s="96">
        <v>5.27</v>
      </c>
      <c r="CH29" s="96">
        <v>4.92</v>
      </c>
      <c r="CI29" s="96">
        <v>3.85</v>
      </c>
      <c r="CJ29" s="96">
        <v>4.2699999999999996</v>
      </c>
      <c r="CK29" s="96">
        <v>3.2</v>
      </c>
      <c r="CL29" s="96">
        <v>3.35</v>
      </c>
      <c r="CM29" s="96">
        <v>3.93</v>
      </c>
      <c r="CN29" s="96">
        <v>5.27</v>
      </c>
      <c r="CO29" s="96">
        <v>4.8899999999999997</v>
      </c>
      <c r="CP29" s="98">
        <f>SUM(Input_Raw[[#This Row],[P-01]:[P-56]])/1000</f>
        <v>121.46</v>
      </c>
      <c r="CQ29" s="71">
        <f>IFERROR(AVERAGEIF(Input_Raw[[#This Row],[WS_P-01]:[WS_P-56]],"&lt;&gt;",Input_Raw[[#This Row],[WS_P-01]:[WS_P-56]]),"")</f>
        <v>4.2565909090909084</v>
      </c>
      <c r="CR29" s="99">
        <f>MAX(Input_Raw[[#This Row],[WS_P-01]:[WS_P-56]])</f>
        <v>5.27</v>
      </c>
      <c r="CS29" s="99"/>
      <c r="CT29" s="70">
        <f>SUM(Input_Raw[[#This Row],[P-08]:[P-13]],Input_Raw[[#This Row],[P-25]:[P-28]])</f>
        <v>29762</v>
      </c>
      <c r="CU29" s="70"/>
      <c r="CV29" s="70">
        <f>SUM(Input_Raw[[#This Row],[P-04]],Input_Raw[[#This Row],[P-14]:[P-17]],Input_Raw[[#This Row],[P-19]:[P-20]],Input_Raw[[#This Row],[P-22]:[P-23]],Input_Raw[[#This Row],[P-34]],Input_Raw[[#This Row],[P-38]],Input_Raw[[#This Row],[P-43]])</f>
        <v>40178</v>
      </c>
      <c r="CW29" s="70"/>
      <c r="CX29" s="70">
        <f>SUM(Input_Raw[[#This Row],[P-05]:[P-06]],Input_Raw[[#This Row],[P-40]:[P-42]],Input_Raw[[#This Row],[P-45]],Input_Raw[[#This Row],[P-46]],Input_Raw[[#This Row],[P-47]:[P-48]])</f>
        <v>19670</v>
      </c>
      <c r="CY29" s="70"/>
      <c r="CZ29" s="70">
        <f>SUM(Input_Raw[[#This Row],[P-01]:[P-03]],Input_Raw[[#This Row],[P-07]],Input_Raw[[#This Row],[P-18]],Input_Raw[[#This Row],[P-31]:[P-32]],Input_Raw[[#This Row],[P-37]],Input_Raw[[#This Row],[P-50]:[P-56]])</f>
        <v>31850</v>
      </c>
      <c r="DA29" s="12"/>
      <c r="DB29" s="13">
        <f>Input_Raw[[#This Row],[33 kV_Wind_F1_Export reading]]/1000</f>
        <v>29.762</v>
      </c>
      <c r="DC29" s="13"/>
      <c r="DD29" s="13">
        <f>Input_Raw[[#This Row],[33 kV_Wind_F2_Export_reading]]/1000</f>
        <v>40.177999999999997</v>
      </c>
      <c r="DE29" s="13"/>
      <c r="DF29" s="13">
        <f>Input_Raw[[#This Row],[33 kV_Wind_F3_Export_Reading]]/1000</f>
        <v>19.670000000000002</v>
      </c>
      <c r="DG29" s="13"/>
      <c r="DH29" s="13">
        <f>Input_Raw[[#This Row],[33 kV_Wind_F4_Export Reading]]/1000</f>
        <v>31.85</v>
      </c>
      <c r="DI29" s="13"/>
      <c r="DJ29" s="13">
        <f>Input_Raw[[#This Row],[33 kV_F1_Total_Export (MWh)]]+Input_Raw[[#This Row],[33 kV_F2_Total_Export (MWh)2]]+Input_Raw[[#This Row],[33 kV_Wind_F3_Export (MWh)]]+Input_Raw[[#This Row],[33 kV_Wind_F4_Export (MWh)]]</f>
        <v>121.46000000000001</v>
      </c>
      <c r="DK29" s="13">
        <f>Input_Raw[[#This Row],[33 kV_Wind_F1_Import (MWh)]]+Input_Raw[[#This Row],[33 kV_Wind_F2_Import (MWh)]]+Input_Raw[[#This Row],[33 kV_Wind_F3_Import (MWh)2]]+Input_Raw[[#This Row],[33 kV_Wind_F4_Import (MWh)2]]</f>
        <v>0</v>
      </c>
      <c r="DL29" s="100">
        <f>IFERROR(Input_Raw[[#This Row],[33 kV_Wind_Total_Export (MWh)]]/Input_Raw[[#This Row],[WTG Total Gneration (MWh)]]-1,"")</f>
        <v>2.2204460492503131E-16</v>
      </c>
      <c r="DM29" s="66"/>
      <c r="DN29" s="186">
        <v>68</v>
      </c>
      <c r="DO29" s="186">
        <v>480</v>
      </c>
      <c r="DP29" s="102">
        <v>123.66</v>
      </c>
      <c r="DQ29" s="66"/>
      <c r="DR29" s="181">
        <v>70.400000000000006</v>
      </c>
    </row>
    <row r="30" spans="1:122" ht="15">
      <c r="A30" s="92">
        <f t="shared" si="74"/>
        <v>45770</v>
      </c>
      <c r="B30" s="190">
        <f>YEAR(Input_Raw[[#This Row],[Date]])+IF(MONTH(Input_Raw[[#This Row],[Date]])&gt;=4,1,0)</f>
        <v>2026</v>
      </c>
      <c r="C30" s="190">
        <f>YEAR(Input_Raw[[#This Row],[Date]])</f>
        <v>2025</v>
      </c>
      <c r="D30" s="11">
        <f t="shared" ref="D30" si="84">A30-DAY(A30)+1</f>
        <v>45748</v>
      </c>
      <c r="E30" s="190">
        <f>DAY(EOMONTH(Input_Raw[[#This Row],[Date]],0))</f>
        <v>30</v>
      </c>
      <c r="F30" s="93">
        <v>7452</v>
      </c>
      <c r="G30" s="93">
        <v>5908</v>
      </c>
      <c r="H30" s="93">
        <v>5648</v>
      </c>
      <c r="I30" s="93">
        <v>5262</v>
      </c>
      <c r="J30" s="93">
        <v>5500</v>
      </c>
      <c r="K30" s="93">
        <v>4176</v>
      </c>
      <c r="L30" s="93">
        <v>6712</v>
      </c>
      <c r="M30" s="93">
        <v>994</v>
      </c>
      <c r="N30" s="93">
        <v>1904</v>
      </c>
      <c r="O30" s="93">
        <v>2586</v>
      </c>
      <c r="P30" s="93">
        <v>3026</v>
      </c>
      <c r="Q30" s="93">
        <v>3416</v>
      </c>
      <c r="R30" s="93">
        <v>3490</v>
      </c>
      <c r="S30" s="93">
        <v>3348</v>
      </c>
      <c r="T30" s="93">
        <v>3192</v>
      </c>
      <c r="U30" s="93">
        <v>3524</v>
      </c>
      <c r="V30" s="93">
        <v>3978</v>
      </c>
      <c r="W30" s="93">
        <v>6956</v>
      </c>
      <c r="X30" s="93">
        <v>3580</v>
      </c>
      <c r="Y30" s="93">
        <v>3241</v>
      </c>
      <c r="Z30" s="93">
        <v>6220</v>
      </c>
      <c r="AA30" s="93">
        <v>5972</v>
      </c>
      <c r="AB30" s="93">
        <v>1584</v>
      </c>
      <c r="AC30" s="93">
        <v>1536</v>
      </c>
      <c r="AD30" s="93">
        <v>1844</v>
      </c>
      <c r="AE30" s="93">
        <v>1308</v>
      </c>
      <c r="AF30" s="93">
        <v>4083.9999999999995</v>
      </c>
      <c r="AG30" s="93">
        <v>2696</v>
      </c>
      <c r="AH30" s="93">
        <v>4200</v>
      </c>
      <c r="AI30" s="93">
        <v>3742</v>
      </c>
      <c r="AJ30" s="93">
        <v>3810</v>
      </c>
      <c r="AK30" s="93">
        <v>2596</v>
      </c>
      <c r="AL30" s="93">
        <v>5180</v>
      </c>
      <c r="AM30" s="93">
        <v>6252</v>
      </c>
      <c r="AN30" s="93">
        <v>4488</v>
      </c>
      <c r="AO30" s="93">
        <v>6128</v>
      </c>
      <c r="AP30" s="93">
        <v>6048</v>
      </c>
      <c r="AQ30" s="93">
        <v>1312</v>
      </c>
      <c r="AR30" s="93">
        <v>5680</v>
      </c>
      <c r="AS30" s="93">
        <v>3648</v>
      </c>
      <c r="AT30" s="93">
        <v>3764</v>
      </c>
      <c r="AU30" s="93">
        <v>4762</v>
      </c>
      <c r="AV30" s="93">
        <v>7880</v>
      </c>
      <c r="AW30" s="93">
        <v>6892</v>
      </c>
      <c r="AX30" s="96">
        <v>5.2</v>
      </c>
      <c r="AY30" s="96">
        <v>5.09</v>
      </c>
      <c r="AZ30" s="96">
        <v>5.1100000000000003</v>
      </c>
      <c r="BA30" s="96">
        <v>4.88</v>
      </c>
      <c r="BB30" s="96">
        <v>4.6399999999999997</v>
      </c>
      <c r="BC30" s="96">
        <v>4.7699999999999996</v>
      </c>
      <c r="BD30" s="96">
        <v>5.37</v>
      </c>
      <c r="BE30" s="96">
        <v>3.89</v>
      </c>
      <c r="BF30" s="96">
        <v>3.8</v>
      </c>
      <c r="BG30" s="96">
        <v>4.3499999999999996</v>
      </c>
      <c r="BH30" s="96">
        <v>4.1900000000000004</v>
      </c>
      <c r="BI30" s="96">
        <v>4.4000000000000004</v>
      </c>
      <c r="BJ30" s="96">
        <v>4.33</v>
      </c>
      <c r="BK30" s="96">
        <v>4.3</v>
      </c>
      <c r="BL30" s="96">
        <v>4.34</v>
      </c>
      <c r="BM30" s="96">
        <v>4.28</v>
      </c>
      <c r="BN30" s="96">
        <v>4.51</v>
      </c>
      <c r="BO30" s="96">
        <v>5.36</v>
      </c>
      <c r="BP30" s="96">
        <v>4.37</v>
      </c>
      <c r="BQ30" s="96">
        <v>4.0199999999999996</v>
      </c>
      <c r="BR30" s="96">
        <v>5.36</v>
      </c>
      <c r="BS30" s="96">
        <v>5.16</v>
      </c>
      <c r="BT30" s="96">
        <v>3.96</v>
      </c>
      <c r="BU30" s="96">
        <v>4.34</v>
      </c>
      <c r="BV30" s="96">
        <v>4.5599999999999996</v>
      </c>
      <c r="BW30" s="96">
        <v>4.2699999999999996</v>
      </c>
      <c r="BX30" s="96">
        <v>4.22</v>
      </c>
      <c r="BY30" s="96">
        <v>3.85</v>
      </c>
      <c r="BZ30" s="96">
        <v>4.5999999999999996</v>
      </c>
      <c r="CA30" s="96">
        <v>4.5</v>
      </c>
      <c r="CB30" s="96">
        <v>4.0199999999999996</v>
      </c>
      <c r="CC30" s="96">
        <v>3.96</v>
      </c>
      <c r="CD30" s="96">
        <v>5.2</v>
      </c>
      <c r="CE30" s="96">
        <v>5.03</v>
      </c>
      <c r="CF30" s="96">
        <v>4.5199999999999996</v>
      </c>
      <c r="CG30" s="96">
        <v>5.65</v>
      </c>
      <c r="CH30" s="96">
        <v>5.41</v>
      </c>
      <c r="CI30" s="96">
        <v>4.71</v>
      </c>
      <c r="CJ30" s="96">
        <v>5.0599999999999996</v>
      </c>
      <c r="CK30" s="96">
        <v>4.01</v>
      </c>
      <c r="CL30" s="96">
        <v>4.26</v>
      </c>
      <c r="CM30" s="96">
        <v>4.7300000000000004</v>
      </c>
      <c r="CN30" s="96">
        <v>5.79</v>
      </c>
      <c r="CO30" s="96">
        <v>5.58</v>
      </c>
      <c r="CP30" s="98">
        <f>SUM(Input_Raw[[#This Row],[P-01]:[P-56]])/1000</f>
        <v>185.51900000000001</v>
      </c>
      <c r="CQ30" s="71">
        <f>IFERROR(AVERAGEIF(Input_Raw[[#This Row],[WS_P-01]:[WS_P-56]],"&lt;&gt;",Input_Raw[[#This Row],[WS_P-01]:[WS_P-56]]),"")</f>
        <v>4.6352272727272723</v>
      </c>
      <c r="CR30" s="99">
        <f>MAX(Input_Raw[[#This Row],[WS_P-01]:[WS_P-56]])</f>
        <v>5.79</v>
      </c>
      <c r="CS30" s="99"/>
      <c r="CT30" s="70">
        <f>SUM(Input_Raw[[#This Row],[P-08]:[P-13]],Input_Raw[[#This Row],[P-25]:[P-28]])</f>
        <v>21688</v>
      </c>
      <c r="CU30" s="70"/>
      <c r="CV30" s="70">
        <f>SUM(Input_Raw[[#This Row],[P-04]],Input_Raw[[#This Row],[P-14]:[P-17]],Input_Raw[[#This Row],[P-19]:[P-20]],Input_Raw[[#This Row],[P-22]:[P-23]],Input_Raw[[#This Row],[P-34]],Input_Raw[[#This Row],[P-38]],Input_Raw[[#This Row],[P-43]])</f>
        <v>50815</v>
      </c>
      <c r="CW30" s="70"/>
      <c r="CX30" s="70">
        <f>SUM(Input_Raw[[#This Row],[P-05]:[P-06]],Input_Raw[[#This Row],[P-40]:[P-42]],Input_Raw[[#This Row],[P-45]],Input_Raw[[#This Row],[P-46]],Input_Raw[[#This Row],[P-47]:[P-48]])</f>
        <v>42872</v>
      </c>
      <c r="CY30" s="70"/>
      <c r="CZ30" s="70">
        <f>SUM(Input_Raw[[#This Row],[P-01]:[P-03]],Input_Raw[[#This Row],[P-07]],Input_Raw[[#This Row],[P-18]],Input_Raw[[#This Row],[P-31]:[P-32]],Input_Raw[[#This Row],[P-37]],Input_Raw[[#This Row],[P-50]:[P-56]])</f>
        <v>70144</v>
      </c>
      <c r="DA30" s="12"/>
      <c r="DB30" s="13">
        <f>Input_Raw[[#This Row],[33 kV_Wind_F1_Export reading]]/1000</f>
        <v>21.687999999999999</v>
      </c>
      <c r="DC30" s="13"/>
      <c r="DD30" s="13">
        <f>Input_Raw[[#This Row],[33 kV_Wind_F2_Export_reading]]/1000</f>
        <v>50.814999999999998</v>
      </c>
      <c r="DE30" s="13"/>
      <c r="DF30" s="13">
        <f>Input_Raw[[#This Row],[33 kV_Wind_F3_Export_Reading]]/1000</f>
        <v>42.872</v>
      </c>
      <c r="DG30" s="13"/>
      <c r="DH30" s="13">
        <f>Input_Raw[[#This Row],[33 kV_Wind_F4_Export Reading]]/1000</f>
        <v>70.144000000000005</v>
      </c>
      <c r="DI30" s="13"/>
      <c r="DJ30" s="13">
        <f>Input_Raw[[#This Row],[33 kV_F1_Total_Export (MWh)]]+Input_Raw[[#This Row],[33 kV_F2_Total_Export (MWh)2]]+Input_Raw[[#This Row],[33 kV_Wind_F3_Export (MWh)]]+Input_Raw[[#This Row],[33 kV_Wind_F4_Export (MWh)]]</f>
        <v>185.51900000000001</v>
      </c>
      <c r="DK30" s="13">
        <f>Input_Raw[[#This Row],[33 kV_Wind_F1_Import (MWh)]]+Input_Raw[[#This Row],[33 kV_Wind_F2_Import (MWh)]]+Input_Raw[[#This Row],[33 kV_Wind_F3_Import (MWh)2]]+Input_Raw[[#This Row],[33 kV_Wind_F4_Import (MWh)2]]</f>
        <v>0</v>
      </c>
      <c r="DL30" s="100">
        <f>IFERROR(Input_Raw[[#This Row],[33 kV_Wind_Total_Export (MWh)]]/Input_Raw[[#This Row],[WTG Total Gneration (MWh)]]-1,"")</f>
        <v>0</v>
      </c>
      <c r="DM30" s="66"/>
      <c r="DN30" s="186">
        <v>96</v>
      </c>
      <c r="DO30" s="186">
        <v>2995.5</v>
      </c>
      <c r="DP30" s="102">
        <v>185.49</v>
      </c>
      <c r="DQ30" s="66"/>
      <c r="DR30" s="181">
        <v>70.400000000000006</v>
      </c>
    </row>
    <row r="31" spans="1:122" ht="15">
      <c r="A31" s="92">
        <f t="shared" si="74"/>
        <v>45771</v>
      </c>
      <c r="B31" s="190">
        <f>YEAR(Input_Raw[[#This Row],[Date]])+IF(MONTH(Input_Raw[[#This Row],[Date]])&gt;=4,1,0)</f>
        <v>2026</v>
      </c>
      <c r="C31" s="190">
        <f>YEAR(Input_Raw[[#This Row],[Date]])</f>
        <v>2025</v>
      </c>
      <c r="D31" s="11">
        <f t="shared" ref="D31" si="85">A31-DAY(A31)+1</f>
        <v>45748</v>
      </c>
      <c r="E31" s="190">
        <f>DAY(EOMONTH(Input_Raw[[#This Row],[Date]],0))</f>
        <v>30</v>
      </c>
      <c r="F31" s="93">
        <v>5176</v>
      </c>
      <c r="G31" s="93">
        <v>4024</v>
      </c>
      <c r="H31" s="93">
        <v>3460</v>
      </c>
      <c r="I31" s="93">
        <v>3884</v>
      </c>
      <c r="J31" s="93">
        <v>5396</v>
      </c>
      <c r="K31" s="93">
        <v>4756</v>
      </c>
      <c r="L31" s="93">
        <v>4432</v>
      </c>
      <c r="M31" s="93">
        <v>2468</v>
      </c>
      <c r="N31" s="93">
        <v>720</v>
      </c>
      <c r="O31" s="93">
        <v>710</v>
      </c>
      <c r="P31" s="93">
        <v>780</v>
      </c>
      <c r="Q31" s="93">
        <v>852</v>
      </c>
      <c r="R31" s="93">
        <v>894</v>
      </c>
      <c r="S31" s="93">
        <v>2644</v>
      </c>
      <c r="T31" s="93">
        <v>2464</v>
      </c>
      <c r="U31" s="93">
        <v>2842</v>
      </c>
      <c r="V31" s="93">
        <v>3594</v>
      </c>
      <c r="W31" s="93">
        <v>4136</v>
      </c>
      <c r="X31" s="93">
        <v>3436</v>
      </c>
      <c r="Y31" s="93">
        <v>3144</v>
      </c>
      <c r="Z31" s="93">
        <v>4168</v>
      </c>
      <c r="AA31" s="93">
        <v>3564</v>
      </c>
      <c r="AB31" s="93">
        <v>3216</v>
      </c>
      <c r="AC31" s="93">
        <v>3620</v>
      </c>
      <c r="AD31" s="93">
        <v>4344</v>
      </c>
      <c r="AE31" s="93">
        <v>3904</v>
      </c>
      <c r="AF31" s="93">
        <v>2804</v>
      </c>
      <c r="AG31" s="93">
        <v>1252</v>
      </c>
      <c r="AH31" s="93">
        <v>3132</v>
      </c>
      <c r="AI31" s="93">
        <v>1966</v>
      </c>
      <c r="AJ31" s="93">
        <v>3540</v>
      </c>
      <c r="AK31" s="93">
        <v>2584</v>
      </c>
      <c r="AL31" s="93">
        <v>4984</v>
      </c>
      <c r="AM31" s="93">
        <v>6472</v>
      </c>
      <c r="AN31" s="93">
        <v>3216</v>
      </c>
      <c r="AO31" s="93">
        <v>5352</v>
      </c>
      <c r="AP31" s="93">
        <v>5860</v>
      </c>
      <c r="AQ31" s="93">
        <v>3344</v>
      </c>
      <c r="AR31" s="93">
        <v>5456</v>
      </c>
      <c r="AS31" s="93">
        <v>1876</v>
      </c>
      <c r="AT31" s="93">
        <v>2045.9999999999998</v>
      </c>
      <c r="AU31" s="93">
        <v>2598</v>
      </c>
      <c r="AV31" s="93">
        <v>5744</v>
      </c>
      <c r="AW31" s="93">
        <v>5948</v>
      </c>
      <c r="AX31" s="96">
        <v>4.7699999999999996</v>
      </c>
      <c r="AY31" s="96">
        <v>4.63</v>
      </c>
      <c r="AZ31" s="96">
        <v>4.45</v>
      </c>
      <c r="BA31" s="96">
        <v>4.82</v>
      </c>
      <c r="BB31" s="96">
        <v>5.19</v>
      </c>
      <c r="BC31" s="96">
        <v>5.26</v>
      </c>
      <c r="BD31" s="96">
        <v>4.92</v>
      </c>
      <c r="BE31" s="96">
        <v>4.33</v>
      </c>
      <c r="BF31" s="96">
        <v>3.87</v>
      </c>
      <c r="BG31" s="96">
        <v>4.17</v>
      </c>
      <c r="BH31" s="96">
        <v>3.84</v>
      </c>
      <c r="BI31" s="96">
        <v>4.04</v>
      </c>
      <c r="BJ31" s="96">
        <v>4</v>
      </c>
      <c r="BK31" s="96">
        <v>4.3499999999999996</v>
      </c>
      <c r="BL31" s="96">
        <v>4.3600000000000003</v>
      </c>
      <c r="BM31" s="96">
        <v>4.49</v>
      </c>
      <c r="BN31" s="96">
        <v>4.75</v>
      </c>
      <c r="BO31" s="96">
        <v>4.78</v>
      </c>
      <c r="BP31" s="96">
        <v>4.67</v>
      </c>
      <c r="BQ31" s="96">
        <v>4.3600000000000003</v>
      </c>
      <c r="BR31" s="96">
        <v>5.12</v>
      </c>
      <c r="BS31" s="96">
        <v>4.6500000000000004</v>
      </c>
      <c r="BT31" s="96">
        <v>4.3499999999999996</v>
      </c>
      <c r="BU31" s="96">
        <v>4.96</v>
      </c>
      <c r="BV31" s="96">
        <v>5.12</v>
      </c>
      <c r="BW31" s="96">
        <v>5</v>
      </c>
      <c r="BX31" s="96">
        <v>3.8</v>
      </c>
      <c r="BY31" s="96">
        <v>3.29</v>
      </c>
      <c r="BZ31" s="96">
        <v>4.54</v>
      </c>
      <c r="CA31" s="96">
        <v>3.93</v>
      </c>
      <c r="CB31" s="96">
        <v>4.37</v>
      </c>
      <c r="CC31" s="96">
        <v>4.28</v>
      </c>
      <c r="CD31" s="96">
        <v>5.42</v>
      </c>
      <c r="CE31" s="96">
        <v>5.37</v>
      </c>
      <c r="CF31" s="96">
        <v>4.3099999999999996</v>
      </c>
      <c r="CG31" s="96">
        <v>5.58</v>
      </c>
      <c r="CH31" s="96">
        <v>5.65</v>
      </c>
      <c r="CI31" s="96">
        <v>5.01</v>
      </c>
      <c r="CJ31" s="96">
        <v>5.64</v>
      </c>
      <c r="CK31" s="96">
        <v>3.62</v>
      </c>
      <c r="CL31" s="96">
        <v>3.77</v>
      </c>
      <c r="CM31" s="96">
        <v>4.2300000000000004</v>
      </c>
      <c r="CN31" s="96">
        <v>5.39</v>
      </c>
      <c r="CO31" s="96">
        <v>5.55</v>
      </c>
      <c r="CP31" s="98">
        <f>SUM(Input_Raw[[#This Row],[P-01]:[P-56]])/1000</f>
        <v>150.80199999999999</v>
      </c>
      <c r="CQ31" s="71">
        <f>IFERROR(AVERAGEIF(Input_Raw[[#This Row],[WS_P-01]:[WS_P-56]],"&lt;&gt;",Input_Raw[[#This Row],[WS_P-01]:[WS_P-56]]),"")</f>
        <v>4.6136363636363633</v>
      </c>
      <c r="CR31" s="99">
        <f>MAX(Input_Raw[[#This Row],[WS_P-01]:[WS_P-56]])</f>
        <v>5.65</v>
      </c>
      <c r="CS31" s="99"/>
      <c r="CT31" s="70">
        <f>SUM(Input_Raw[[#This Row],[P-08]:[P-13]],Input_Raw[[#This Row],[P-25]:[P-28]])</f>
        <v>21508</v>
      </c>
      <c r="CU31" s="70"/>
      <c r="CV31" s="70">
        <f>SUM(Input_Raw[[#This Row],[P-04]],Input_Raw[[#This Row],[P-14]:[P-17]],Input_Raw[[#This Row],[P-19]:[P-20]],Input_Raw[[#This Row],[P-22]:[P-23]],Input_Raw[[#This Row],[P-34]],Input_Raw[[#This Row],[P-38]],Input_Raw[[#This Row],[P-43]])</f>
        <v>39628</v>
      </c>
      <c r="CW31" s="70"/>
      <c r="CX31" s="70">
        <f>SUM(Input_Raw[[#This Row],[P-05]:[P-06]],Input_Raw[[#This Row],[P-40]:[P-42]],Input_Raw[[#This Row],[P-45]],Input_Raw[[#This Row],[P-46]],Input_Raw[[#This Row],[P-47]:[P-48]])</f>
        <v>44204</v>
      </c>
      <c r="CY31" s="70"/>
      <c r="CZ31" s="70">
        <f>SUM(Input_Raw[[#This Row],[P-01]:[P-03]],Input_Raw[[#This Row],[P-07]],Input_Raw[[#This Row],[P-18]],Input_Raw[[#This Row],[P-31]:[P-32]],Input_Raw[[#This Row],[P-37]],Input_Raw[[#This Row],[P-50]:[P-56]])</f>
        <v>45462</v>
      </c>
      <c r="DA31" s="12"/>
      <c r="DB31" s="13">
        <f>Input_Raw[[#This Row],[33 kV_Wind_F1_Export reading]]/1000</f>
        <v>21.507999999999999</v>
      </c>
      <c r="DC31" s="13"/>
      <c r="DD31" s="13">
        <f>Input_Raw[[#This Row],[33 kV_Wind_F2_Export_reading]]/1000</f>
        <v>39.628</v>
      </c>
      <c r="DE31" s="13"/>
      <c r="DF31" s="13">
        <f>Input_Raw[[#This Row],[33 kV_Wind_F3_Export_Reading]]/1000</f>
        <v>44.204000000000001</v>
      </c>
      <c r="DG31" s="13"/>
      <c r="DH31" s="13">
        <f>Input_Raw[[#This Row],[33 kV_Wind_F4_Export Reading]]/1000</f>
        <v>45.462000000000003</v>
      </c>
      <c r="DI31" s="13"/>
      <c r="DJ31" s="13">
        <f>Input_Raw[[#This Row],[33 kV_F1_Total_Export (MWh)]]+Input_Raw[[#This Row],[33 kV_F2_Total_Export (MWh)2]]+Input_Raw[[#This Row],[33 kV_Wind_F3_Export (MWh)]]+Input_Raw[[#This Row],[33 kV_Wind_F4_Export (MWh)]]</f>
        <v>150.80200000000002</v>
      </c>
      <c r="DK31" s="13">
        <f>Input_Raw[[#This Row],[33 kV_Wind_F1_Import (MWh)]]+Input_Raw[[#This Row],[33 kV_Wind_F2_Import (MWh)]]+Input_Raw[[#This Row],[33 kV_Wind_F3_Import (MWh)2]]+Input_Raw[[#This Row],[33 kV_Wind_F4_Import (MWh)2]]</f>
        <v>0</v>
      </c>
      <c r="DL31" s="100">
        <f>IFERROR(Input_Raw[[#This Row],[33 kV_Wind_Total_Export (MWh)]]/Input_Raw[[#This Row],[WTG Total Gneration (MWh)]]-1,"")</f>
        <v>2.2204460492503131E-16</v>
      </c>
      <c r="DM31" s="66"/>
      <c r="DN31" s="186">
        <v>54</v>
      </c>
      <c r="DO31" s="186">
        <v>0</v>
      </c>
      <c r="DP31" s="102">
        <v>152.06</v>
      </c>
      <c r="DQ31" s="66"/>
      <c r="DR31" s="181">
        <v>70.400000000000006</v>
      </c>
    </row>
    <row r="32" spans="1:122" ht="15">
      <c r="A32" s="92">
        <f t="shared" si="74"/>
        <v>45772</v>
      </c>
      <c r="B32" s="190">
        <f>YEAR(Input_Raw[[#This Row],[Date]])+IF(MONTH(Input_Raw[[#This Row],[Date]])&gt;=4,1,0)</f>
        <v>2026</v>
      </c>
      <c r="C32" s="190">
        <f>YEAR(Input_Raw[[#This Row],[Date]])</f>
        <v>2025</v>
      </c>
      <c r="D32" s="11">
        <f t="shared" ref="D32" si="86">A32-DAY(A32)+1</f>
        <v>45748</v>
      </c>
      <c r="E32" s="190">
        <f>DAY(EOMONTH(Input_Raw[[#This Row],[Date]],0))</f>
        <v>30</v>
      </c>
      <c r="F32" s="93">
        <v>6648</v>
      </c>
      <c r="G32" s="93">
        <v>4724</v>
      </c>
      <c r="H32" s="93">
        <v>4067.9999999999995</v>
      </c>
      <c r="I32" s="93">
        <v>5136</v>
      </c>
      <c r="J32" s="93">
        <v>5292</v>
      </c>
      <c r="K32" s="93">
        <v>3564</v>
      </c>
      <c r="L32" s="93">
        <v>5910</v>
      </c>
      <c r="M32" s="93">
        <v>2316</v>
      </c>
      <c r="N32" s="93">
        <v>1188</v>
      </c>
      <c r="O32" s="93">
        <v>1320</v>
      </c>
      <c r="P32" s="93">
        <v>1536</v>
      </c>
      <c r="Q32" s="93">
        <v>1712</v>
      </c>
      <c r="R32" s="93">
        <v>2029.9999999999998</v>
      </c>
      <c r="S32" s="93">
        <v>2300</v>
      </c>
      <c r="T32" s="93">
        <v>2200</v>
      </c>
      <c r="U32" s="93">
        <v>2684</v>
      </c>
      <c r="V32" s="93">
        <v>3294</v>
      </c>
      <c r="W32" s="93">
        <v>6260</v>
      </c>
      <c r="X32" s="93">
        <v>3364</v>
      </c>
      <c r="Y32" s="93">
        <v>2969</v>
      </c>
      <c r="Z32" s="93">
        <v>5980</v>
      </c>
      <c r="AA32" s="93">
        <v>6040</v>
      </c>
      <c r="AB32" s="93">
        <v>3576</v>
      </c>
      <c r="AC32" s="93">
        <v>3608</v>
      </c>
      <c r="AD32" s="93">
        <v>4272</v>
      </c>
      <c r="AE32" s="93">
        <v>3968</v>
      </c>
      <c r="AF32" s="93">
        <v>3424</v>
      </c>
      <c r="AG32" s="93">
        <v>1296</v>
      </c>
      <c r="AH32" s="93">
        <v>3976</v>
      </c>
      <c r="AI32" s="93">
        <v>2598</v>
      </c>
      <c r="AJ32" s="93">
        <v>3710</v>
      </c>
      <c r="AK32" s="93">
        <v>1280</v>
      </c>
      <c r="AL32" s="93">
        <v>4612</v>
      </c>
      <c r="AM32" s="93">
        <v>5452</v>
      </c>
      <c r="AN32" s="93">
        <v>4040</v>
      </c>
      <c r="AO32" s="93">
        <v>5648</v>
      </c>
      <c r="AP32" s="93">
        <v>5228</v>
      </c>
      <c r="AQ32" s="93">
        <v>4772</v>
      </c>
      <c r="AR32" s="93">
        <v>6416</v>
      </c>
      <c r="AS32" s="93">
        <v>1788</v>
      </c>
      <c r="AT32" s="93">
        <v>2118</v>
      </c>
      <c r="AU32" s="93">
        <v>3224</v>
      </c>
      <c r="AV32" s="93">
        <v>7256</v>
      </c>
      <c r="AW32" s="93">
        <v>7388</v>
      </c>
      <c r="AX32" s="96">
        <v>4.99</v>
      </c>
      <c r="AY32" s="96">
        <v>4.83</v>
      </c>
      <c r="AZ32" s="96">
        <v>4.67</v>
      </c>
      <c r="BA32" s="96">
        <v>4.8499999999999996</v>
      </c>
      <c r="BB32" s="96">
        <v>4.83</v>
      </c>
      <c r="BC32" s="96">
        <v>4.58</v>
      </c>
      <c r="BD32" s="96">
        <v>5.14</v>
      </c>
      <c r="BE32" s="96">
        <v>4.13</v>
      </c>
      <c r="BF32" s="96">
        <v>3.63</v>
      </c>
      <c r="BG32" s="96">
        <v>3.92</v>
      </c>
      <c r="BH32" s="96">
        <v>3.73</v>
      </c>
      <c r="BI32" s="96">
        <v>3.88</v>
      </c>
      <c r="BJ32" s="96">
        <v>3.99</v>
      </c>
      <c r="BK32" s="96">
        <v>4.05</v>
      </c>
      <c r="BL32" s="96">
        <v>4.1500000000000004</v>
      </c>
      <c r="BM32" s="96">
        <v>4.18</v>
      </c>
      <c r="BN32" s="96">
        <v>4.41</v>
      </c>
      <c r="BO32" s="96">
        <v>5.24</v>
      </c>
      <c r="BP32" s="96">
        <v>4.4400000000000004</v>
      </c>
      <c r="BQ32" s="96">
        <v>4.04</v>
      </c>
      <c r="BR32" s="96">
        <v>5.33</v>
      </c>
      <c r="BS32" s="96">
        <v>5.19</v>
      </c>
      <c r="BT32" s="96">
        <v>4.33</v>
      </c>
      <c r="BU32" s="96">
        <v>4.8099999999999996</v>
      </c>
      <c r="BV32" s="96">
        <v>5</v>
      </c>
      <c r="BW32" s="96">
        <v>5.03</v>
      </c>
      <c r="BX32" s="96">
        <v>4.12</v>
      </c>
      <c r="BY32" s="96">
        <v>3.25</v>
      </c>
      <c r="BZ32" s="96">
        <v>4.58</v>
      </c>
      <c r="CA32" s="96">
        <v>4.16</v>
      </c>
      <c r="CB32" s="96">
        <v>4.1100000000000003</v>
      </c>
      <c r="CC32" s="96">
        <v>3.53</v>
      </c>
      <c r="CD32" s="96">
        <v>5.0599999999999996</v>
      </c>
      <c r="CE32" s="96">
        <v>5.33</v>
      </c>
      <c r="CF32" s="96">
        <v>4.5</v>
      </c>
      <c r="CG32" s="96">
        <v>5.56</v>
      </c>
      <c r="CH32" s="96">
        <v>5.37</v>
      </c>
      <c r="CI32" s="96">
        <v>4.87</v>
      </c>
      <c r="CJ32" s="96">
        <v>5.37</v>
      </c>
      <c r="CK32" s="96">
        <v>3.28</v>
      </c>
      <c r="CL32" s="96">
        <v>3.63</v>
      </c>
      <c r="CM32" s="96">
        <v>4.34</v>
      </c>
      <c r="CN32" s="96">
        <v>5.66</v>
      </c>
      <c r="CO32" s="96">
        <v>5.76</v>
      </c>
      <c r="CP32" s="98">
        <f>SUM(Input_Raw[[#This Row],[P-01]:[P-56]])/1000</f>
        <v>170.185</v>
      </c>
      <c r="CQ32" s="71">
        <f>IFERROR(AVERAGEIF(Input_Raw[[#This Row],[WS_P-01]:[WS_P-56]],"&lt;&gt;",Input_Raw[[#This Row],[WS_P-01]:[WS_P-56]]),"")</f>
        <v>4.5420454545454554</v>
      </c>
      <c r="CR32" s="99">
        <f>MAX(Input_Raw[[#This Row],[WS_P-01]:[WS_P-56]])</f>
        <v>5.76</v>
      </c>
      <c r="CS32" s="99"/>
      <c r="CT32" s="70">
        <f>SUM(Input_Raw[[#This Row],[P-08]:[P-13]],Input_Raw[[#This Row],[P-25]:[P-28]])</f>
        <v>25526</v>
      </c>
      <c r="CU32" s="70"/>
      <c r="CV32" s="70">
        <f>SUM(Input_Raw[[#This Row],[P-04]],Input_Raw[[#This Row],[P-14]:[P-17]],Input_Raw[[#This Row],[P-19]:[P-20]],Input_Raw[[#This Row],[P-22]:[P-23]],Input_Raw[[#This Row],[P-34]],Input_Raw[[#This Row],[P-38]],Input_Raw[[#This Row],[P-43]])</f>
        <v>45693</v>
      </c>
      <c r="CW32" s="70"/>
      <c r="CX32" s="70">
        <f>SUM(Input_Raw[[#This Row],[P-05]:[P-06]],Input_Raw[[#This Row],[P-40]:[P-42]],Input_Raw[[#This Row],[P-45]],Input_Raw[[#This Row],[P-46]],Input_Raw[[#This Row],[P-47]:[P-48]])</f>
        <v>42264</v>
      </c>
      <c r="CY32" s="70"/>
      <c r="CZ32" s="70">
        <f>SUM(Input_Raw[[#This Row],[P-01]:[P-03]],Input_Raw[[#This Row],[P-07]],Input_Raw[[#This Row],[P-18]],Input_Raw[[#This Row],[P-31]:[P-32]],Input_Raw[[#This Row],[P-37]],Input_Raw[[#This Row],[P-50]:[P-56]])</f>
        <v>56702</v>
      </c>
      <c r="DA32" s="12"/>
      <c r="DB32" s="13">
        <f>Input_Raw[[#This Row],[33 kV_Wind_F1_Export reading]]/1000</f>
        <v>25.526</v>
      </c>
      <c r="DC32" s="13"/>
      <c r="DD32" s="13">
        <f>Input_Raw[[#This Row],[33 kV_Wind_F2_Export_reading]]/1000</f>
        <v>45.692999999999998</v>
      </c>
      <c r="DE32" s="13"/>
      <c r="DF32" s="13">
        <f>Input_Raw[[#This Row],[33 kV_Wind_F3_Export_Reading]]/1000</f>
        <v>42.264000000000003</v>
      </c>
      <c r="DG32" s="13"/>
      <c r="DH32" s="13">
        <f>Input_Raw[[#This Row],[33 kV_Wind_F4_Export Reading]]/1000</f>
        <v>56.701999999999998</v>
      </c>
      <c r="DI32" s="13"/>
      <c r="DJ32" s="13">
        <f>Input_Raw[[#This Row],[33 kV_F1_Total_Export (MWh)]]+Input_Raw[[#This Row],[33 kV_F2_Total_Export (MWh)2]]+Input_Raw[[#This Row],[33 kV_Wind_F3_Export (MWh)]]+Input_Raw[[#This Row],[33 kV_Wind_F4_Export (MWh)]]</f>
        <v>170.185</v>
      </c>
      <c r="DK32" s="13">
        <f>Input_Raw[[#This Row],[33 kV_Wind_F1_Import (MWh)]]+Input_Raw[[#This Row],[33 kV_Wind_F2_Import (MWh)]]+Input_Raw[[#This Row],[33 kV_Wind_F3_Import (MWh)2]]+Input_Raw[[#This Row],[33 kV_Wind_F4_Import (MWh)2]]</f>
        <v>0</v>
      </c>
      <c r="DL32" s="100">
        <f>IFERROR(Input_Raw[[#This Row],[33 kV_Wind_Total_Export (MWh)]]/Input_Raw[[#This Row],[WTG Total Gneration (MWh)]]-1,"")</f>
        <v>0</v>
      </c>
      <c r="DM32" s="66"/>
      <c r="DN32" s="186">
        <v>40</v>
      </c>
      <c r="DO32" s="186">
        <v>435.62</v>
      </c>
      <c r="DP32" s="102">
        <v>173.65</v>
      </c>
      <c r="DQ32" s="66"/>
      <c r="DR32" s="181">
        <v>70.400000000000006</v>
      </c>
    </row>
    <row r="33" spans="1:122" ht="15">
      <c r="A33" s="92">
        <f t="shared" si="74"/>
        <v>45773</v>
      </c>
      <c r="B33" s="190">
        <f>YEAR(Input_Raw[[#This Row],[Date]])+IF(MONTH(Input_Raw[[#This Row],[Date]])&gt;=4,1,0)</f>
        <v>2026</v>
      </c>
      <c r="C33" s="190">
        <f>YEAR(Input_Raw[[#This Row],[Date]])</f>
        <v>2025</v>
      </c>
      <c r="D33" s="11">
        <f t="shared" ref="D33" si="87">A33-DAY(A33)+1</f>
        <v>45748</v>
      </c>
      <c r="E33" s="190">
        <f>DAY(EOMONTH(Input_Raw[[#This Row],[Date]],0))</f>
        <v>30</v>
      </c>
      <c r="F33" s="93">
        <v>5692</v>
      </c>
      <c r="G33" s="93">
        <v>4588</v>
      </c>
      <c r="H33" s="93">
        <v>4000</v>
      </c>
      <c r="I33" s="93">
        <v>4256</v>
      </c>
      <c r="J33" s="93">
        <v>4616</v>
      </c>
      <c r="K33" s="93">
        <v>1684</v>
      </c>
      <c r="L33" s="93">
        <v>3182</v>
      </c>
      <c r="M33" s="93">
        <v>2448</v>
      </c>
      <c r="N33" s="93">
        <v>2012</v>
      </c>
      <c r="O33" s="93">
        <v>2256</v>
      </c>
      <c r="P33" s="93">
        <v>2516</v>
      </c>
      <c r="Q33" s="93">
        <v>2744</v>
      </c>
      <c r="R33" s="93">
        <v>2988</v>
      </c>
      <c r="S33" s="93">
        <v>824</v>
      </c>
      <c r="T33" s="93">
        <v>882</v>
      </c>
      <c r="U33" s="93">
        <v>954</v>
      </c>
      <c r="V33" s="93">
        <v>900</v>
      </c>
      <c r="W33" s="93">
        <v>5020</v>
      </c>
      <c r="X33" s="93">
        <v>1124</v>
      </c>
      <c r="Y33" s="93">
        <v>897</v>
      </c>
      <c r="Z33" s="93">
        <v>4176</v>
      </c>
      <c r="AA33" s="93">
        <v>3892</v>
      </c>
      <c r="AB33" s="93">
        <v>3104</v>
      </c>
      <c r="AC33" s="93">
        <v>3336</v>
      </c>
      <c r="AD33" s="93">
        <v>3776</v>
      </c>
      <c r="AE33" s="93">
        <v>3280</v>
      </c>
      <c r="AF33" s="93">
        <v>4152</v>
      </c>
      <c r="AG33" s="93">
        <v>2009.9999999999998</v>
      </c>
      <c r="AH33" s="93">
        <v>3764</v>
      </c>
      <c r="AI33" s="93">
        <v>3298</v>
      </c>
      <c r="AJ33" s="93">
        <v>746</v>
      </c>
      <c r="AK33" s="93">
        <v>2972</v>
      </c>
      <c r="AL33" s="93">
        <v>4552</v>
      </c>
      <c r="AM33" s="93">
        <v>5872</v>
      </c>
      <c r="AN33" s="93">
        <v>3396</v>
      </c>
      <c r="AO33" s="93">
        <v>4964</v>
      </c>
      <c r="AP33" s="93">
        <v>5152</v>
      </c>
      <c r="AQ33" s="93">
        <v>4700</v>
      </c>
      <c r="AR33" s="93">
        <v>5328</v>
      </c>
      <c r="AS33" s="93">
        <v>1756</v>
      </c>
      <c r="AT33" s="93">
        <v>2548</v>
      </c>
      <c r="AU33" s="93">
        <v>3328</v>
      </c>
      <c r="AV33" s="93">
        <v>5704</v>
      </c>
      <c r="AW33" s="93">
        <v>5308</v>
      </c>
      <c r="AX33" s="96">
        <v>4.6500000000000004</v>
      </c>
      <c r="AY33" s="96">
        <v>4.63</v>
      </c>
      <c r="AZ33" s="96">
        <v>4.42</v>
      </c>
      <c r="BA33" s="96">
        <v>4.49</v>
      </c>
      <c r="BB33" s="96">
        <v>4.66</v>
      </c>
      <c r="BC33" s="96">
        <v>4.54</v>
      </c>
      <c r="BD33" s="96">
        <v>4.1100000000000003</v>
      </c>
      <c r="BE33" s="96">
        <v>4.0999999999999996</v>
      </c>
      <c r="BF33" s="96">
        <v>4.05</v>
      </c>
      <c r="BG33" s="96">
        <v>4.38</v>
      </c>
      <c r="BH33" s="96">
        <v>4.12</v>
      </c>
      <c r="BI33" s="96">
        <v>4.3</v>
      </c>
      <c r="BJ33" s="96">
        <v>4.33</v>
      </c>
      <c r="BK33" s="96">
        <v>3.63</v>
      </c>
      <c r="BL33" s="96">
        <v>3.76</v>
      </c>
      <c r="BM33" s="96">
        <v>3.83</v>
      </c>
      <c r="BN33" s="96">
        <v>3.83</v>
      </c>
      <c r="BO33" s="96">
        <v>4.76</v>
      </c>
      <c r="BP33" s="96">
        <v>3.91</v>
      </c>
      <c r="BQ33" s="96">
        <v>3.72</v>
      </c>
      <c r="BR33" s="96">
        <v>4.72</v>
      </c>
      <c r="BS33" s="96">
        <v>4.4000000000000004</v>
      </c>
      <c r="BT33" s="96">
        <v>4.1100000000000003</v>
      </c>
      <c r="BU33" s="96">
        <v>4.6900000000000004</v>
      </c>
      <c r="BV33" s="96">
        <v>4.74</v>
      </c>
      <c r="BW33" s="96">
        <v>4.59</v>
      </c>
      <c r="BX33" s="96">
        <v>4.17</v>
      </c>
      <c r="BY33" s="96">
        <v>3.41</v>
      </c>
      <c r="BZ33" s="96">
        <v>4.3600000000000003</v>
      </c>
      <c r="CA33" s="96">
        <v>4.0999999999999996</v>
      </c>
      <c r="CB33" s="96">
        <v>3.19</v>
      </c>
      <c r="CC33" s="96">
        <v>4.37</v>
      </c>
      <c r="CD33" s="96">
        <v>5.0599999999999996</v>
      </c>
      <c r="CE33" s="96">
        <v>5.05</v>
      </c>
      <c r="CF33" s="96">
        <v>4.1900000000000004</v>
      </c>
      <c r="CG33" s="96">
        <v>5.01</v>
      </c>
      <c r="CH33" s="96">
        <v>5.12</v>
      </c>
      <c r="CI33" s="96">
        <v>4.54</v>
      </c>
      <c r="CJ33" s="96">
        <v>5.09</v>
      </c>
      <c r="CK33" s="96">
        <v>3.12</v>
      </c>
      <c r="CL33" s="96">
        <v>3.75</v>
      </c>
      <c r="CM33" s="96">
        <v>4.13</v>
      </c>
      <c r="CN33" s="96">
        <v>4.99</v>
      </c>
      <c r="CO33" s="96">
        <v>5.07</v>
      </c>
      <c r="CP33" s="98">
        <f>SUM(Input_Raw[[#This Row],[P-01]:[P-56]])/1000</f>
        <v>144.697</v>
      </c>
      <c r="CQ33" s="71">
        <f>IFERROR(AVERAGEIF(Input_Raw[[#This Row],[WS_P-01]:[WS_P-56]],"&lt;&gt;",Input_Raw[[#This Row],[WS_P-01]:[WS_P-56]]),"")</f>
        <v>4.3224999999999998</v>
      </c>
      <c r="CR33" s="99">
        <f>MAX(Input_Raw[[#This Row],[WS_P-01]:[WS_P-56]])</f>
        <v>5.12</v>
      </c>
      <c r="CS33" s="99"/>
      <c r="CT33" s="70">
        <f>SUM(Input_Raw[[#This Row],[P-08]:[P-13]],Input_Raw[[#This Row],[P-25]:[P-28]])</f>
        <v>28460</v>
      </c>
      <c r="CU33" s="70"/>
      <c r="CV33" s="70">
        <f>SUM(Input_Raw[[#This Row],[P-04]],Input_Raw[[#This Row],[P-14]:[P-17]],Input_Raw[[#This Row],[P-19]:[P-20]],Input_Raw[[#This Row],[P-22]:[P-23]],Input_Raw[[#This Row],[P-34]],Input_Raw[[#This Row],[P-38]],Input_Raw[[#This Row],[P-43]])</f>
        <v>25811</v>
      </c>
      <c r="CW33" s="70"/>
      <c r="CX33" s="70">
        <f>SUM(Input_Raw[[#This Row],[P-05]:[P-06]],Input_Raw[[#This Row],[P-40]:[P-42]],Input_Raw[[#This Row],[P-45]],Input_Raw[[#This Row],[P-46]],Input_Raw[[#This Row],[P-47]:[P-48]])</f>
        <v>39840</v>
      </c>
      <c r="CY33" s="70"/>
      <c r="CZ33" s="70">
        <f>SUM(Input_Raw[[#This Row],[P-01]:[P-03]],Input_Raw[[#This Row],[P-07]],Input_Raw[[#This Row],[P-18]],Input_Raw[[#This Row],[P-31]:[P-32]],Input_Raw[[#This Row],[P-37]],Input_Raw[[#This Row],[P-50]:[P-56]])</f>
        <v>50586</v>
      </c>
      <c r="DA33" s="12"/>
      <c r="DB33" s="13">
        <f>Input_Raw[[#This Row],[33 kV_Wind_F1_Export reading]]/1000</f>
        <v>28.46</v>
      </c>
      <c r="DC33" s="13"/>
      <c r="DD33" s="13">
        <f>Input_Raw[[#This Row],[33 kV_Wind_F2_Export_reading]]/1000</f>
        <v>25.811</v>
      </c>
      <c r="DE33" s="13"/>
      <c r="DF33" s="13">
        <f>Input_Raw[[#This Row],[33 kV_Wind_F3_Export_Reading]]/1000</f>
        <v>39.840000000000003</v>
      </c>
      <c r="DG33" s="13"/>
      <c r="DH33" s="13">
        <f>Input_Raw[[#This Row],[33 kV_Wind_F4_Export Reading]]/1000</f>
        <v>50.585999999999999</v>
      </c>
      <c r="DI33" s="13"/>
      <c r="DJ33" s="13">
        <f>Input_Raw[[#This Row],[33 kV_F1_Total_Export (MWh)]]+Input_Raw[[#This Row],[33 kV_F2_Total_Export (MWh)2]]+Input_Raw[[#This Row],[33 kV_Wind_F3_Export (MWh)]]+Input_Raw[[#This Row],[33 kV_Wind_F4_Export (MWh)]]</f>
        <v>144.697</v>
      </c>
      <c r="DK33" s="13">
        <f>Input_Raw[[#This Row],[33 kV_Wind_F1_Import (MWh)]]+Input_Raw[[#This Row],[33 kV_Wind_F2_Import (MWh)]]+Input_Raw[[#This Row],[33 kV_Wind_F3_Import (MWh)2]]+Input_Raw[[#This Row],[33 kV_Wind_F4_Import (MWh)2]]</f>
        <v>0</v>
      </c>
      <c r="DL33" s="100">
        <f>IFERROR(Input_Raw[[#This Row],[33 kV_Wind_Total_Export (MWh)]]/Input_Raw[[#This Row],[WTG Total Gneration (MWh)]]-1,"")</f>
        <v>0</v>
      </c>
      <c r="DM33" s="66"/>
      <c r="DN33" s="186">
        <v>96</v>
      </c>
      <c r="DO33" s="186">
        <v>1141.6199999999999</v>
      </c>
      <c r="DP33" s="102">
        <v>143.44999999999999</v>
      </c>
      <c r="DQ33" s="66"/>
      <c r="DR33" s="181">
        <v>70.400000000000006</v>
      </c>
    </row>
    <row r="34" spans="1:122" ht="15">
      <c r="A34" s="92">
        <f t="shared" si="74"/>
        <v>45774</v>
      </c>
      <c r="B34" s="190">
        <f>YEAR(Input_Raw[[#This Row],[Date]])+IF(MONTH(Input_Raw[[#This Row],[Date]])&gt;=4,1,0)</f>
        <v>2026</v>
      </c>
      <c r="C34" s="190">
        <f>YEAR(Input_Raw[[#This Row],[Date]])</f>
        <v>2025</v>
      </c>
      <c r="D34" s="11">
        <f t="shared" ref="D34" si="88">A34-DAY(A34)+1</f>
        <v>45748</v>
      </c>
      <c r="E34" s="190">
        <f>DAY(EOMONTH(Input_Raw[[#This Row],[Date]],0))</f>
        <v>30</v>
      </c>
      <c r="F34" s="93">
        <v>3824</v>
      </c>
      <c r="G34" s="93">
        <v>2852</v>
      </c>
      <c r="H34" s="93">
        <v>2860</v>
      </c>
      <c r="I34" s="93">
        <v>2566</v>
      </c>
      <c r="J34" s="93">
        <v>4008</v>
      </c>
      <c r="K34" s="93">
        <v>2728</v>
      </c>
      <c r="L34" s="93">
        <v>2960</v>
      </c>
      <c r="M34" s="93">
        <v>1484</v>
      </c>
      <c r="N34" s="93">
        <v>1076</v>
      </c>
      <c r="O34" s="93">
        <v>1476</v>
      </c>
      <c r="P34" s="93">
        <v>1724</v>
      </c>
      <c r="Q34" s="93">
        <v>2000</v>
      </c>
      <c r="R34" s="93">
        <v>2148</v>
      </c>
      <c r="S34" s="93">
        <v>1974</v>
      </c>
      <c r="T34" s="93">
        <v>1918</v>
      </c>
      <c r="U34" s="93">
        <v>2004</v>
      </c>
      <c r="V34" s="93">
        <v>2308</v>
      </c>
      <c r="W34" s="93">
        <v>3400</v>
      </c>
      <c r="X34" s="93">
        <v>2150</v>
      </c>
      <c r="Y34" s="93">
        <v>2005.9999999999998</v>
      </c>
      <c r="Z34" s="93">
        <v>2892</v>
      </c>
      <c r="AA34" s="93">
        <v>2720</v>
      </c>
      <c r="AB34" s="93">
        <v>2244</v>
      </c>
      <c r="AC34" s="93">
        <v>2456</v>
      </c>
      <c r="AD34" s="93">
        <v>2752</v>
      </c>
      <c r="AE34" s="93">
        <v>2476</v>
      </c>
      <c r="AF34" s="93">
        <v>2416</v>
      </c>
      <c r="AG34" s="93">
        <v>1570</v>
      </c>
      <c r="AH34" s="93">
        <v>2600</v>
      </c>
      <c r="AI34" s="93">
        <v>2098</v>
      </c>
      <c r="AJ34" s="93">
        <v>2384</v>
      </c>
      <c r="AK34" s="93">
        <v>1632</v>
      </c>
      <c r="AL34" s="93">
        <v>2252</v>
      </c>
      <c r="AM34" s="93">
        <v>4356</v>
      </c>
      <c r="AN34" s="93">
        <v>2390</v>
      </c>
      <c r="AO34" s="93">
        <v>3424</v>
      </c>
      <c r="AP34" s="93">
        <v>3552</v>
      </c>
      <c r="AQ34" s="93">
        <v>3536</v>
      </c>
      <c r="AR34" s="93">
        <v>3944</v>
      </c>
      <c r="AS34" s="93">
        <v>1984</v>
      </c>
      <c r="AT34" s="93">
        <v>2172</v>
      </c>
      <c r="AU34" s="93">
        <v>2656</v>
      </c>
      <c r="AV34" s="93">
        <v>3792</v>
      </c>
      <c r="AW34" s="93">
        <v>3840</v>
      </c>
      <c r="AX34" s="96">
        <v>3.8</v>
      </c>
      <c r="AY34" s="96">
        <v>4.04</v>
      </c>
      <c r="AZ34" s="96">
        <v>3.87</v>
      </c>
      <c r="BA34" s="96">
        <v>3.95</v>
      </c>
      <c r="BB34" s="96">
        <v>4.33</v>
      </c>
      <c r="BC34" s="96">
        <v>4.1900000000000004</v>
      </c>
      <c r="BD34" s="96">
        <v>3.96</v>
      </c>
      <c r="BE34" s="96">
        <v>3.61</v>
      </c>
      <c r="BF34" s="96">
        <v>3.32</v>
      </c>
      <c r="BG34" s="96">
        <v>3.71</v>
      </c>
      <c r="BH34" s="96">
        <v>3.57</v>
      </c>
      <c r="BI34" s="96">
        <v>3.78</v>
      </c>
      <c r="BJ34" s="96">
        <v>3.76</v>
      </c>
      <c r="BK34" s="96">
        <v>3.68</v>
      </c>
      <c r="BL34" s="96">
        <v>3.84</v>
      </c>
      <c r="BM34" s="96">
        <v>3.7</v>
      </c>
      <c r="BN34" s="96">
        <v>3.97</v>
      </c>
      <c r="BO34" s="96">
        <v>4.13</v>
      </c>
      <c r="BP34" s="96">
        <v>3.86</v>
      </c>
      <c r="BQ34" s="96">
        <v>3.62</v>
      </c>
      <c r="BR34" s="96">
        <v>4.42</v>
      </c>
      <c r="BS34" s="96">
        <v>4.17</v>
      </c>
      <c r="BT34" s="96">
        <v>3.81</v>
      </c>
      <c r="BU34" s="96">
        <v>4.41</v>
      </c>
      <c r="BV34" s="96">
        <v>4.33</v>
      </c>
      <c r="BW34" s="96">
        <v>4.22</v>
      </c>
      <c r="BX34" s="96">
        <v>3.43</v>
      </c>
      <c r="BY34" s="96">
        <v>3.37</v>
      </c>
      <c r="BZ34" s="96">
        <v>4.07</v>
      </c>
      <c r="CA34" s="96">
        <v>3.83</v>
      </c>
      <c r="CB34" s="96">
        <v>3.53</v>
      </c>
      <c r="CC34" s="96">
        <v>3.44</v>
      </c>
      <c r="CD34" s="96">
        <v>4.54</v>
      </c>
      <c r="CE34" s="96">
        <v>4.43</v>
      </c>
      <c r="CF34" s="96">
        <v>3.85</v>
      </c>
      <c r="CG34" s="96">
        <v>4.4800000000000004</v>
      </c>
      <c r="CH34" s="96">
        <v>4.59</v>
      </c>
      <c r="CI34" s="96">
        <v>4.12</v>
      </c>
      <c r="CJ34" s="96">
        <v>4.57</v>
      </c>
      <c r="CK34" s="96">
        <v>3.39</v>
      </c>
      <c r="CL34" s="96">
        <v>3.64</v>
      </c>
      <c r="CM34" s="96">
        <v>4.0199999999999996</v>
      </c>
      <c r="CN34" s="96">
        <v>4.3</v>
      </c>
      <c r="CO34" s="96">
        <v>4.5199999999999996</v>
      </c>
      <c r="CP34" s="98">
        <f>SUM(Input_Raw[[#This Row],[P-01]:[P-56]])/1000</f>
        <v>113.604</v>
      </c>
      <c r="CQ34" s="71">
        <f>IFERROR(AVERAGEIF(Input_Raw[[#This Row],[WS_P-01]:[WS_P-56]],"&lt;&gt;",Input_Raw[[#This Row],[WS_P-01]:[WS_P-56]]),"")</f>
        <v>3.9584090909090914</v>
      </c>
      <c r="CR34" s="99">
        <f>MAX(Input_Raw[[#This Row],[WS_P-01]:[WS_P-56]])</f>
        <v>4.59</v>
      </c>
      <c r="CS34" s="99"/>
      <c r="CT34" s="70">
        <f>SUM(Input_Raw[[#This Row],[P-08]:[P-13]],Input_Raw[[#This Row],[P-25]:[P-28]])</f>
        <v>19836</v>
      </c>
      <c r="CU34" s="70"/>
      <c r="CV34" s="70">
        <f>SUM(Input_Raw[[#This Row],[P-04]],Input_Raw[[#This Row],[P-14]:[P-17]],Input_Raw[[#This Row],[P-19]:[P-20]],Input_Raw[[#This Row],[P-22]:[P-23]],Input_Raw[[#This Row],[P-34]],Input_Raw[[#This Row],[P-38]],Input_Raw[[#This Row],[P-43]])</f>
        <v>27912</v>
      </c>
      <c r="CW34" s="70"/>
      <c r="CX34" s="70">
        <f>SUM(Input_Raw[[#This Row],[P-05]:[P-06]],Input_Raw[[#This Row],[P-40]:[P-42]],Input_Raw[[#This Row],[P-45]],Input_Raw[[#This Row],[P-46]],Input_Raw[[#This Row],[P-47]:[P-48]])</f>
        <v>29432</v>
      </c>
      <c r="CY34" s="70"/>
      <c r="CZ34" s="70">
        <f>SUM(Input_Raw[[#This Row],[P-01]:[P-03]],Input_Raw[[#This Row],[P-07]],Input_Raw[[#This Row],[P-18]],Input_Raw[[#This Row],[P-31]:[P-32]],Input_Raw[[#This Row],[P-37]],Input_Raw[[#This Row],[P-50]:[P-56]])</f>
        <v>36424</v>
      </c>
      <c r="DA34" s="12"/>
      <c r="DB34" s="13">
        <f>Input_Raw[[#This Row],[33 kV_Wind_F1_Export reading]]/1000</f>
        <v>19.835999999999999</v>
      </c>
      <c r="DC34" s="13"/>
      <c r="DD34" s="13">
        <f>Input_Raw[[#This Row],[33 kV_Wind_F2_Export_reading]]/1000</f>
        <v>27.911999999999999</v>
      </c>
      <c r="DE34" s="13"/>
      <c r="DF34" s="13">
        <f>Input_Raw[[#This Row],[33 kV_Wind_F3_Export_Reading]]/1000</f>
        <v>29.431999999999999</v>
      </c>
      <c r="DG34" s="13"/>
      <c r="DH34" s="13">
        <f>Input_Raw[[#This Row],[33 kV_Wind_F4_Export Reading]]/1000</f>
        <v>36.423999999999999</v>
      </c>
      <c r="DI34" s="13"/>
      <c r="DJ34" s="13">
        <f>Input_Raw[[#This Row],[33 kV_F1_Total_Export (MWh)]]+Input_Raw[[#This Row],[33 kV_F2_Total_Export (MWh)2]]+Input_Raw[[#This Row],[33 kV_Wind_F3_Export (MWh)]]+Input_Raw[[#This Row],[33 kV_Wind_F4_Export (MWh)]]</f>
        <v>113.60399999999998</v>
      </c>
      <c r="DK34" s="13">
        <f>Input_Raw[[#This Row],[33 kV_Wind_F1_Import (MWh)]]+Input_Raw[[#This Row],[33 kV_Wind_F2_Import (MWh)]]+Input_Raw[[#This Row],[33 kV_Wind_F3_Import (MWh)2]]+Input_Raw[[#This Row],[33 kV_Wind_F4_Import (MWh)2]]</f>
        <v>0</v>
      </c>
      <c r="DL34" s="100">
        <f>IFERROR(Input_Raw[[#This Row],[33 kV_Wind_Total_Export (MWh)]]/Input_Raw[[#This Row],[WTG Total Gneration (MWh)]]-1,"")</f>
        <v>-1.1102230246251565E-16</v>
      </c>
      <c r="DM34" s="66"/>
      <c r="DN34" s="186">
        <v>96</v>
      </c>
      <c r="DO34" s="186">
        <v>12</v>
      </c>
      <c r="DP34" s="102">
        <v>110.6</v>
      </c>
      <c r="DQ34" s="66"/>
      <c r="DR34" s="181">
        <v>70.400000000000006</v>
      </c>
    </row>
    <row r="35" spans="1:122" ht="15">
      <c r="A35" s="92">
        <f t="shared" si="74"/>
        <v>45775</v>
      </c>
      <c r="B35" s="190">
        <f>YEAR(Input_Raw[[#This Row],[Date]])+IF(MONTH(Input_Raw[[#This Row],[Date]])&gt;=4,1,0)</f>
        <v>2026</v>
      </c>
      <c r="C35" s="190">
        <f>YEAR(Input_Raw[[#This Row],[Date]])</f>
        <v>2025</v>
      </c>
      <c r="D35" s="11">
        <f t="shared" ref="D35" si="89">A35-DAY(A35)+1</f>
        <v>45748</v>
      </c>
      <c r="E35" s="190">
        <f>DAY(EOMONTH(Input_Raw[[#This Row],[Date]],0))</f>
        <v>30</v>
      </c>
      <c r="F35" s="93">
        <v>5012</v>
      </c>
      <c r="G35" s="93">
        <v>3940</v>
      </c>
      <c r="H35" s="93">
        <v>3304</v>
      </c>
      <c r="I35" s="93">
        <v>3790</v>
      </c>
      <c r="J35" s="93">
        <v>2020</v>
      </c>
      <c r="K35" s="93">
        <v>3148</v>
      </c>
      <c r="L35" s="93">
        <v>4404</v>
      </c>
      <c r="M35" s="93">
        <v>1704</v>
      </c>
      <c r="N35" s="93">
        <v>1252</v>
      </c>
      <c r="O35" s="93">
        <v>1540</v>
      </c>
      <c r="P35" s="93">
        <v>1584</v>
      </c>
      <c r="Q35" s="93">
        <v>1776</v>
      </c>
      <c r="R35" s="93">
        <v>1728</v>
      </c>
      <c r="S35" s="93">
        <v>1878</v>
      </c>
      <c r="T35" s="93">
        <v>1862</v>
      </c>
      <c r="U35" s="93">
        <v>2262</v>
      </c>
      <c r="V35" s="93">
        <v>2504</v>
      </c>
      <c r="W35" s="93">
        <v>5480</v>
      </c>
      <c r="X35" s="93">
        <v>2750</v>
      </c>
      <c r="Y35" s="93">
        <v>2280</v>
      </c>
      <c r="Z35" s="93">
        <v>3716</v>
      </c>
      <c r="AA35" s="93">
        <v>3836</v>
      </c>
      <c r="AB35" s="93">
        <v>2540</v>
      </c>
      <c r="AC35" s="93">
        <v>2608</v>
      </c>
      <c r="AD35" s="93">
        <v>2948</v>
      </c>
      <c r="AE35" s="93">
        <v>2620</v>
      </c>
      <c r="AF35" s="93">
        <v>2988</v>
      </c>
      <c r="AG35" s="93">
        <v>1360</v>
      </c>
      <c r="AH35" s="93">
        <v>3320</v>
      </c>
      <c r="AI35" s="93">
        <v>2360</v>
      </c>
      <c r="AJ35" s="93">
        <v>2912</v>
      </c>
      <c r="AK35" s="93">
        <v>1594</v>
      </c>
      <c r="AL35" s="93">
        <v>3948</v>
      </c>
      <c r="AM35" s="93">
        <v>5376</v>
      </c>
      <c r="AN35" s="93">
        <v>2382</v>
      </c>
      <c r="AO35" s="93">
        <v>4448</v>
      </c>
      <c r="AP35" s="93">
        <v>4116</v>
      </c>
      <c r="AQ35" s="93">
        <v>4132</v>
      </c>
      <c r="AR35" s="93">
        <v>4752</v>
      </c>
      <c r="AS35" s="93">
        <v>1450</v>
      </c>
      <c r="AT35" s="93">
        <v>1628</v>
      </c>
      <c r="AU35" s="93">
        <v>2396</v>
      </c>
      <c r="AV35" s="93">
        <v>4856</v>
      </c>
      <c r="AW35" s="93">
        <v>5208</v>
      </c>
      <c r="AX35" s="96">
        <v>4.4800000000000004</v>
      </c>
      <c r="AY35" s="96">
        <v>4.51</v>
      </c>
      <c r="AZ35" s="96">
        <v>4.21</v>
      </c>
      <c r="BA35" s="96">
        <v>4.3899999999999997</v>
      </c>
      <c r="BB35" s="96">
        <v>4.28</v>
      </c>
      <c r="BC35" s="96">
        <v>4.38</v>
      </c>
      <c r="BD35" s="96">
        <v>4.66</v>
      </c>
      <c r="BE35" s="96">
        <v>3.74</v>
      </c>
      <c r="BF35" s="96">
        <v>3.56</v>
      </c>
      <c r="BG35" s="96">
        <v>3.85</v>
      </c>
      <c r="BH35" s="96">
        <v>3.6</v>
      </c>
      <c r="BI35" s="96">
        <v>3.76</v>
      </c>
      <c r="BJ35" s="96">
        <v>3.66</v>
      </c>
      <c r="BK35" s="96">
        <v>3.75</v>
      </c>
      <c r="BL35" s="96">
        <v>3.85</v>
      </c>
      <c r="BM35" s="96">
        <v>3.97</v>
      </c>
      <c r="BN35" s="96">
        <v>4.12</v>
      </c>
      <c r="BO35" s="96">
        <v>4.8</v>
      </c>
      <c r="BP35" s="96">
        <v>4.1399999999999997</v>
      </c>
      <c r="BQ35" s="96">
        <v>3.83</v>
      </c>
      <c r="BR35" s="96">
        <v>4.6500000000000004</v>
      </c>
      <c r="BS35" s="96">
        <v>4.45</v>
      </c>
      <c r="BT35" s="96">
        <v>3.88</v>
      </c>
      <c r="BU35" s="96">
        <v>4.42</v>
      </c>
      <c r="BV35" s="96">
        <v>4.3</v>
      </c>
      <c r="BW35" s="96">
        <v>4.1900000000000004</v>
      </c>
      <c r="BX35" s="96">
        <v>3.74</v>
      </c>
      <c r="BY35" s="96">
        <v>3.13</v>
      </c>
      <c r="BZ35" s="96">
        <v>4.3099999999999996</v>
      </c>
      <c r="CA35" s="96">
        <v>3.9</v>
      </c>
      <c r="CB35" s="96">
        <v>3.87</v>
      </c>
      <c r="CC35" s="96">
        <v>3.54</v>
      </c>
      <c r="CD35" s="96">
        <v>4.76</v>
      </c>
      <c r="CE35" s="96">
        <v>4.7</v>
      </c>
      <c r="CF35" s="96">
        <v>3.73</v>
      </c>
      <c r="CG35" s="96">
        <v>4.93</v>
      </c>
      <c r="CH35" s="96">
        <v>4.87</v>
      </c>
      <c r="CI35" s="96">
        <v>4.3899999999999997</v>
      </c>
      <c r="CJ35" s="96">
        <v>4.82</v>
      </c>
      <c r="CK35" s="96">
        <v>3.12</v>
      </c>
      <c r="CL35" s="96">
        <v>3.41</v>
      </c>
      <c r="CM35" s="96">
        <v>3.93</v>
      </c>
      <c r="CN35" s="96">
        <v>4.96</v>
      </c>
      <c r="CO35" s="96">
        <v>5.13</v>
      </c>
      <c r="CP35" s="98">
        <f>SUM(Input_Raw[[#This Row],[P-01]:[P-56]])/1000</f>
        <v>131.71199999999999</v>
      </c>
      <c r="CQ35" s="71">
        <f>IFERROR(AVERAGEIF(Input_Raw[[#This Row],[WS_P-01]:[WS_P-56]],"&lt;&gt;",Input_Raw[[#This Row],[WS_P-01]:[WS_P-56]]),"")</f>
        <v>4.1515909090909089</v>
      </c>
      <c r="CR35" s="99">
        <f>MAX(Input_Raw[[#This Row],[WS_P-01]:[WS_P-56]])</f>
        <v>5.13</v>
      </c>
      <c r="CS35" s="99"/>
      <c r="CT35" s="70">
        <f>SUM(Input_Raw[[#This Row],[P-08]:[P-13]],Input_Raw[[#This Row],[P-25]:[P-28]])</f>
        <v>20300</v>
      </c>
      <c r="CU35" s="70"/>
      <c r="CV35" s="70">
        <f>SUM(Input_Raw[[#This Row],[P-04]],Input_Raw[[#This Row],[P-14]:[P-17]],Input_Raw[[#This Row],[P-19]:[P-20]],Input_Raw[[#This Row],[P-22]:[P-23]],Input_Raw[[#This Row],[P-34]],Input_Raw[[#This Row],[P-38]],Input_Raw[[#This Row],[P-43]])</f>
        <v>33492</v>
      </c>
      <c r="CW35" s="70"/>
      <c r="CX35" s="70">
        <f>SUM(Input_Raw[[#This Row],[P-05]:[P-06]],Input_Raw[[#This Row],[P-40]:[P-42]],Input_Raw[[#This Row],[P-45]],Input_Raw[[#This Row],[P-46]],Input_Raw[[#This Row],[P-47]:[P-48]])</f>
        <v>33534</v>
      </c>
      <c r="CY35" s="70"/>
      <c r="CZ35" s="70">
        <f>SUM(Input_Raw[[#This Row],[P-01]:[P-03]],Input_Raw[[#This Row],[P-07]],Input_Raw[[#This Row],[P-18]],Input_Raw[[#This Row],[P-31]:[P-32]],Input_Raw[[#This Row],[P-37]],Input_Raw[[#This Row],[P-50]:[P-56]])</f>
        <v>44386</v>
      </c>
      <c r="DA35" s="12"/>
      <c r="DB35" s="13">
        <f>Input_Raw[[#This Row],[33 kV_Wind_F1_Export reading]]/1000</f>
        <v>20.3</v>
      </c>
      <c r="DC35" s="13"/>
      <c r="DD35" s="13">
        <f>Input_Raw[[#This Row],[33 kV_Wind_F2_Export_reading]]/1000</f>
        <v>33.491999999999997</v>
      </c>
      <c r="DE35" s="13"/>
      <c r="DF35" s="13">
        <f>Input_Raw[[#This Row],[33 kV_Wind_F3_Export_Reading]]/1000</f>
        <v>33.533999999999999</v>
      </c>
      <c r="DG35" s="13"/>
      <c r="DH35" s="13">
        <f>Input_Raw[[#This Row],[33 kV_Wind_F4_Export Reading]]/1000</f>
        <v>44.386000000000003</v>
      </c>
      <c r="DI35" s="13"/>
      <c r="DJ35" s="13">
        <f>Input_Raw[[#This Row],[33 kV_F1_Total_Export (MWh)]]+Input_Raw[[#This Row],[33 kV_F2_Total_Export (MWh)2]]+Input_Raw[[#This Row],[33 kV_Wind_F3_Export (MWh)]]+Input_Raw[[#This Row],[33 kV_Wind_F4_Export (MWh)]]</f>
        <v>131.71199999999999</v>
      </c>
      <c r="DK35" s="13">
        <f>Input_Raw[[#This Row],[33 kV_Wind_F1_Import (MWh)]]+Input_Raw[[#This Row],[33 kV_Wind_F2_Import (MWh)]]+Input_Raw[[#This Row],[33 kV_Wind_F3_Import (MWh)2]]+Input_Raw[[#This Row],[33 kV_Wind_F4_Import (MWh)2]]</f>
        <v>0</v>
      </c>
      <c r="DL35" s="100">
        <f>IFERROR(Input_Raw[[#This Row],[33 kV_Wind_Total_Export (MWh)]]/Input_Raw[[#This Row],[WTG Total Gneration (MWh)]]-1,"")</f>
        <v>0</v>
      </c>
      <c r="DM35" s="66"/>
      <c r="DN35" s="186">
        <v>96</v>
      </c>
      <c r="DO35" s="186">
        <v>88.62</v>
      </c>
      <c r="DP35" s="102">
        <v>131.18</v>
      </c>
      <c r="DQ35" s="66"/>
      <c r="DR35" s="181">
        <v>70.400000000000006</v>
      </c>
    </row>
    <row r="36" spans="1:122" ht="15">
      <c r="A36" s="92">
        <f t="shared" si="74"/>
        <v>45776</v>
      </c>
      <c r="B36" s="190">
        <f>YEAR(Input_Raw[[#This Row],[Date]])+IF(MONTH(Input_Raw[[#This Row],[Date]])&gt;=4,1,0)</f>
        <v>2026</v>
      </c>
      <c r="C36" s="190">
        <f>YEAR(Input_Raw[[#This Row],[Date]])</f>
        <v>2025</v>
      </c>
      <c r="D36" s="11">
        <f t="shared" ref="D36" si="90">A36-DAY(A36)+1</f>
        <v>45748</v>
      </c>
      <c r="E36" s="190">
        <f>DAY(EOMONTH(Input_Raw[[#This Row],[Date]],0))</f>
        <v>30</v>
      </c>
      <c r="F36" s="93">
        <v>7672</v>
      </c>
      <c r="G36" s="93">
        <v>6560</v>
      </c>
      <c r="H36" s="93">
        <v>5388</v>
      </c>
      <c r="I36" s="93">
        <v>5362</v>
      </c>
      <c r="J36" s="93">
        <v>6732</v>
      </c>
      <c r="K36" s="93">
        <v>5172</v>
      </c>
      <c r="L36" s="93">
        <v>6084</v>
      </c>
      <c r="M36" s="93">
        <v>2736</v>
      </c>
      <c r="N36" s="93">
        <v>2032</v>
      </c>
      <c r="O36" s="93">
        <v>2700</v>
      </c>
      <c r="P36" s="93">
        <v>2960</v>
      </c>
      <c r="Q36" s="93">
        <v>3348</v>
      </c>
      <c r="R36" s="93">
        <v>3376</v>
      </c>
      <c r="S36" s="93">
        <v>3416</v>
      </c>
      <c r="T36" s="93">
        <v>3266</v>
      </c>
      <c r="U36" s="93">
        <v>3874</v>
      </c>
      <c r="V36" s="93">
        <v>4404</v>
      </c>
      <c r="W36" s="93">
        <v>8060.0000000000009</v>
      </c>
      <c r="X36" s="93">
        <v>4280</v>
      </c>
      <c r="Y36" s="93">
        <v>3542</v>
      </c>
      <c r="Z36" s="93">
        <v>5192</v>
      </c>
      <c r="AA36" s="93">
        <v>5880</v>
      </c>
      <c r="AB36" s="93">
        <v>4024</v>
      </c>
      <c r="AC36" s="93">
        <v>4624</v>
      </c>
      <c r="AD36" s="93">
        <v>5232</v>
      </c>
      <c r="AE36" s="93">
        <v>4500</v>
      </c>
      <c r="AF36" s="93">
        <v>3488</v>
      </c>
      <c r="AG36" s="93">
        <v>1818</v>
      </c>
      <c r="AH36" s="93">
        <v>4840</v>
      </c>
      <c r="AI36" s="93">
        <v>2784</v>
      </c>
      <c r="AJ36" s="93">
        <v>4220</v>
      </c>
      <c r="AK36" s="93">
        <v>1238</v>
      </c>
      <c r="AL36" s="93">
        <v>6408</v>
      </c>
      <c r="AM36" s="93">
        <v>7940</v>
      </c>
      <c r="AN36" s="93">
        <v>3714</v>
      </c>
      <c r="AO36" s="93">
        <v>6600</v>
      </c>
      <c r="AP36" s="93">
        <v>6332</v>
      </c>
      <c r="AQ36" s="93">
        <v>6240</v>
      </c>
      <c r="AR36" s="93">
        <v>7216</v>
      </c>
      <c r="AS36" s="93">
        <v>2017.9999999999998</v>
      </c>
      <c r="AT36" s="93">
        <v>2456</v>
      </c>
      <c r="AU36" s="93">
        <v>3264</v>
      </c>
      <c r="AV36" s="93">
        <v>6996</v>
      </c>
      <c r="AW36" s="93">
        <v>6920</v>
      </c>
      <c r="AX36" s="96">
        <v>5.26</v>
      </c>
      <c r="AY36" s="96">
        <v>5.18</v>
      </c>
      <c r="AZ36" s="96">
        <v>4.9000000000000004</v>
      </c>
      <c r="BA36" s="96">
        <v>5.0999999999999996</v>
      </c>
      <c r="BB36" s="96">
        <v>5.31</v>
      </c>
      <c r="BC36" s="96">
        <v>5.2</v>
      </c>
      <c r="BD36" s="96">
        <v>5.18</v>
      </c>
      <c r="BE36" s="96">
        <v>4.3499999999999996</v>
      </c>
      <c r="BF36" s="96">
        <v>4.16</v>
      </c>
      <c r="BG36" s="96">
        <v>4.67</v>
      </c>
      <c r="BH36" s="96">
        <v>4.43</v>
      </c>
      <c r="BI36" s="96">
        <v>4.5999999999999996</v>
      </c>
      <c r="BJ36" s="96">
        <v>4.7</v>
      </c>
      <c r="BK36" s="96">
        <v>4.68</v>
      </c>
      <c r="BL36" s="96">
        <v>4.76</v>
      </c>
      <c r="BM36" s="96">
        <v>4.9000000000000004</v>
      </c>
      <c r="BN36" s="96">
        <v>4.96</v>
      </c>
      <c r="BO36" s="96">
        <v>5.57</v>
      </c>
      <c r="BP36" s="96">
        <v>4.88</v>
      </c>
      <c r="BQ36" s="96">
        <v>4.45</v>
      </c>
      <c r="BR36" s="96">
        <v>5.25</v>
      </c>
      <c r="BS36" s="96">
        <v>5.21</v>
      </c>
      <c r="BT36" s="96">
        <v>4.54</v>
      </c>
      <c r="BU36" s="96">
        <v>5.2</v>
      </c>
      <c r="BV36" s="96">
        <v>5.38</v>
      </c>
      <c r="BW36" s="96">
        <v>5.19</v>
      </c>
      <c r="BX36" s="96">
        <v>3.99</v>
      </c>
      <c r="BY36" s="96">
        <v>3.48</v>
      </c>
      <c r="BZ36" s="96">
        <v>5.05</v>
      </c>
      <c r="CA36" s="96">
        <v>4.13</v>
      </c>
      <c r="CB36" s="96">
        <v>4.45</v>
      </c>
      <c r="CC36" s="96">
        <v>3.88</v>
      </c>
      <c r="CD36" s="96">
        <v>5.73</v>
      </c>
      <c r="CE36" s="96">
        <v>5.61</v>
      </c>
      <c r="CF36" s="96">
        <v>4.3899999999999997</v>
      </c>
      <c r="CG36" s="96">
        <v>5.78</v>
      </c>
      <c r="CH36" s="96">
        <v>5.65</v>
      </c>
      <c r="CI36" s="96">
        <v>5.13</v>
      </c>
      <c r="CJ36" s="96">
        <v>5.68</v>
      </c>
      <c r="CK36" s="96">
        <v>3.67</v>
      </c>
      <c r="CL36" s="96">
        <v>3.87</v>
      </c>
      <c r="CM36" s="96">
        <v>4.3600000000000003</v>
      </c>
      <c r="CN36" s="96">
        <v>5.56</v>
      </c>
      <c r="CO36" s="96">
        <v>5.6</v>
      </c>
      <c r="CP36" s="98">
        <f>SUM(Input_Raw[[#This Row],[P-01]:[P-56]])/1000</f>
        <v>204.90799999999999</v>
      </c>
      <c r="CQ36" s="71">
        <f>IFERROR(AVERAGEIF(Input_Raw[[#This Row],[WS_P-01]:[WS_P-56]],"&lt;&gt;",Input_Raw[[#This Row],[WS_P-01]:[WS_P-56]]),"")</f>
        <v>4.8640909090909084</v>
      </c>
      <c r="CR36" s="99">
        <f>MAX(Input_Raw[[#This Row],[WS_P-01]:[WS_P-56]])</f>
        <v>5.78</v>
      </c>
      <c r="CS36" s="99"/>
      <c r="CT36" s="70">
        <f>SUM(Input_Raw[[#This Row],[P-08]:[P-13]],Input_Raw[[#This Row],[P-25]:[P-28]])</f>
        <v>35532</v>
      </c>
      <c r="CU36" s="70"/>
      <c r="CV36" s="70">
        <f>SUM(Input_Raw[[#This Row],[P-04]],Input_Raw[[#This Row],[P-14]:[P-17]],Input_Raw[[#This Row],[P-19]:[P-20]],Input_Raw[[#This Row],[P-22]:[P-23]],Input_Raw[[#This Row],[P-34]],Input_Raw[[#This Row],[P-38]],Input_Raw[[#This Row],[P-43]])</f>
        <v>51990</v>
      </c>
      <c r="CW36" s="70"/>
      <c r="CX36" s="70">
        <f>SUM(Input_Raw[[#This Row],[P-05]:[P-06]],Input_Raw[[#This Row],[P-40]:[P-42]],Input_Raw[[#This Row],[P-45]],Input_Raw[[#This Row],[P-46]],Input_Raw[[#This Row],[P-47]:[P-48]])</f>
        <v>53878</v>
      </c>
      <c r="CY36" s="70"/>
      <c r="CZ36" s="70">
        <f>SUM(Input_Raw[[#This Row],[P-01]:[P-03]],Input_Raw[[#This Row],[P-07]],Input_Raw[[#This Row],[P-18]],Input_Raw[[#This Row],[P-31]:[P-32]],Input_Raw[[#This Row],[P-37]],Input_Raw[[#This Row],[P-50]:[P-56]])</f>
        <v>63508</v>
      </c>
      <c r="DA36" s="12"/>
      <c r="DB36" s="13">
        <f>Input_Raw[[#This Row],[33 kV_Wind_F1_Export reading]]/1000</f>
        <v>35.531999999999996</v>
      </c>
      <c r="DC36" s="13"/>
      <c r="DD36" s="13">
        <f>Input_Raw[[#This Row],[33 kV_Wind_F2_Export_reading]]/1000</f>
        <v>51.99</v>
      </c>
      <c r="DE36" s="13"/>
      <c r="DF36" s="13">
        <f>Input_Raw[[#This Row],[33 kV_Wind_F3_Export_Reading]]/1000</f>
        <v>53.878</v>
      </c>
      <c r="DG36" s="13"/>
      <c r="DH36" s="13">
        <f>Input_Raw[[#This Row],[33 kV_Wind_F4_Export Reading]]/1000</f>
        <v>63.508000000000003</v>
      </c>
      <c r="DI36" s="13"/>
      <c r="DJ36" s="13">
        <f>Input_Raw[[#This Row],[33 kV_F1_Total_Export (MWh)]]+Input_Raw[[#This Row],[33 kV_F2_Total_Export (MWh)2]]+Input_Raw[[#This Row],[33 kV_Wind_F3_Export (MWh)]]+Input_Raw[[#This Row],[33 kV_Wind_F4_Export (MWh)]]</f>
        <v>204.90799999999999</v>
      </c>
      <c r="DK36" s="13">
        <f>Input_Raw[[#This Row],[33 kV_Wind_F1_Import (MWh)]]+Input_Raw[[#This Row],[33 kV_Wind_F2_Import (MWh)]]+Input_Raw[[#This Row],[33 kV_Wind_F3_Import (MWh)2]]+Input_Raw[[#This Row],[33 kV_Wind_F4_Import (MWh)2]]</f>
        <v>0</v>
      </c>
      <c r="DL36" s="100">
        <f>IFERROR(Input_Raw[[#This Row],[33 kV_Wind_Total_Export (MWh)]]/Input_Raw[[#This Row],[WTG Total Gneration (MWh)]]-1,"")</f>
        <v>0</v>
      </c>
      <c r="DM36" s="66"/>
      <c r="DN36" s="186">
        <v>96</v>
      </c>
      <c r="DO36" s="186">
        <v>691.5</v>
      </c>
      <c r="DP36" s="102">
        <v>201.28</v>
      </c>
      <c r="DQ36" s="66"/>
      <c r="DR36" s="181">
        <v>70.400000000000006</v>
      </c>
    </row>
    <row r="37" spans="1:122" ht="15">
      <c r="A37" s="92">
        <f t="shared" si="74"/>
        <v>45777</v>
      </c>
      <c r="B37" s="190">
        <f>YEAR(Input_Raw[[#This Row],[Date]])+IF(MONTH(Input_Raw[[#This Row],[Date]])&gt;=4,1,0)</f>
        <v>2026</v>
      </c>
      <c r="C37" s="190">
        <f>YEAR(Input_Raw[[#This Row],[Date]])</f>
        <v>2025</v>
      </c>
      <c r="D37" s="11">
        <f t="shared" ref="D37" si="91">A37-DAY(A37)+1</f>
        <v>45748</v>
      </c>
      <c r="E37" s="190">
        <f>DAY(EOMONTH(Input_Raw[[#This Row],[Date]],0))</f>
        <v>30</v>
      </c>
      <c r="F37" s="93">
        <v>13028</v>
      </c>
      <c r="G37" s="93">
        <v>10924</v>
      </c>
      <c r="H37" s="93">
        <v>10548</v>
      </c>
      <c r="I37" s="93">
        <v>8370</v>
      </c>
      <c r="J37" s="93">
        <v>10156</v>
      </c>
      <c r="K37" s="93">
        <v>7608</v>
      </c>
      <c r="L37" s="93">
        <v>10324</v>
      </c>
      <c r="M37" s="93">
        <v>3228</v>
      </c>
      <c r="N37" s="93">
        <v>2502</v>
      </c>
      <c r="O37" s="93">
        <v>3068</v>
      </c>
      <c r="P37" s="93">
        <v>3256</v>
      </c>
      <c r="Q37" s="93">
        <v>3080</v>
      </c>
      <c r="R37" s="93">
        <v>3508</v>
      </c>
      <c r="S37" s="93">
        <v>3896</v>
      </c>
      <c r="T37" s="93">
        <v>3744</v>
      </c>
      <c r="U37" s="93">
        <v>4368</v>
      </c>
      <c r="V37" s="93">
        <v>4804</v>
      </c>
      <c r="W37" s="93">
        <v>11728</v>
      </c>
      <c r="X37" s="93">
        <v>4580</v>
      </c>
      <c r="Y37" s="93">
        <v>3627</v>
      </c>
      <c r="Z37" s="93">
        <v>8504</v>
      </c>
      <c r="AA37" s="93">
        <v>9688</v>
      </c>
      <c r="AB37" s="93">
        <v>5688</v>
      </c>
      <c r="AC37" s="93">
        <v>6040</v>
      </c>
      <c r="AD37" s="93">
        <v>6752</v>
      </c>
      <c r="AE37" s="93">
        <v>5712</v>
      </c>
      <c r="AF37" s="93">
        <v>8652</v>
      </c>
      <c r="AG37" s="93">
        <v>4224</v>
      </c>
      <c r="AH37" s="93">
        <v>7912</v>
      </c>
      <c r="AI37" s="93">
        <v>5660</v>
      </c>
      <c r="AJ37" s="93">
        <v>5072</v>
      </c>
      <c r="AK37" s="93">
        <v>3712</v>
      </c>
      <c r="AL37" s="93">
        <v>9692</v>
      </c>
      <c r="AM37" s="93">
        <v>10188</v>
      </c>
      <c r="AN37" s="93">
        <v>5342</v>
      </c>
      <c r="AO37" s="93">
        <v>8264</v>
      </c>
      <c r="AP37" s="93">
        <v>7652</v>
      </c>
      <c r="AQ37" s="93">
        <v>8092.0000000000009</v>
      </c>
      <c r="AR37" s="93">
        <v>9060</v>
      </c>
      <c r="AS37" s="93">
        <v>3480</v>
      </c>
      <c r="AT37" s="93">
        <v>6956</v>
      </c>
      <c r="AU37" s="93">
        <v>8868</v>
      </c>
      <c r="AV37" s="93">
        <v>12284</v>
      </c>
      <c r="AW37" s="93">
        <v>10192</v>
      </c>
      <c r="AX37" s="96">
        <v>6.74</v>
      </c>
      <c r="AY37" s="96">
        <v>6.33</v>
      </c>
      <c r="AZ37" s="96">
        <v>6.44</v>
      </c>
      <c r="BA37" s="96">
        <v>6.16</v>
      </c>
      <c r="BB37" s="96">
        <v>6.45</v>
      </c>
      <c r="BC37" s="96">
        <v>6.08</v>
      </c>
      <c r="BD37" s="96">
        <v>6.5</v>
      </c>
      <c r="BE37" s="96">
        <v>4.66</v>
      </c>
      <c r="BF37" s="96">
        <v>4.54</v>
      </c>
      <c r="BG37" s="96">
        <v>5.03</v>
      </c>
      <c r="BH37" s="96">
        <v>4.68</v>
      </c>
      <c r="BI37" s="96">
        <v>4.66</v>
      </c>
      <c r="BJ37" s="96">
        <v>4.8600000000000003</v>
      </c>
      <c r="BK37" s="96">
        <v>5</v>
      </c>
      <c r="BL37" s="96">
        <v>5.05</v>
      </c>
      <c r="BM37" s="96">
        <v>5.22</v>
      </c>
      <c r="BN37" s="96">
        <v>5.14</v>
      </c>
      <c r="BO37" s="96">
        <v>6.75</v>
      </c>
      <c r="BP37" s="96">
        <v>5.03</v>
      </c>
      <c r="BQ37" s="96">
        <v>4.6100000000000003</v>
      </c>
      <c r="BR37" s="96">
        <v>6.19</v>
      </c>
      <c r="BS37" s="96">
        <v>6.35</v>
      </c>
      <c r="BT37" s="96">
        <v>5.25</v>
      </c>
      <c r="BU37" s="96">
        <v>5.72</v>
      </c>
      <c r="BV37" s="96">
        <v>6.02</v>
      </c>
      <c r="BW37" s="96">
        <v>5.73</v>
      </c>
      <c r="BX37" s="96">
        <v>5.7</v>
      </c>
      <c r="BY37" s="96">
        <v>4.74</v>
      </c>
      <c r="BZ37" s="96">
        <v>6.08</v>
      </c>
      <c r="CA37" s="96">
        <v>5.4</v>
      </c>
      <c r="CB37" s="96">
        <v>4.9800000000000004</v>
      </c>
      <c r="CC37" s="96">
        <v>5.03</v>
      </c>
      <c r="CD37" s="96">
        <v>6.72</v>
      </c>
      <c r="CE37" s="96">
        <v>6.3</v>
      </c>
      <c r="CF37" s="96">
        <v>5.0999999999999996</v>
      </c>
      <c r="CG37" s="96">
        <v>6.48</v>
      </c>
      <c r="CH37" s="96">
        <v>6.23</v>
      </c>
      <c r="CI37" s="96">
        <v>5.75</v>
      </c>
      <c r="CJ37" s="96">
        <v>6.34</v>
      </c>
      <c r="CK37" s="96">
        <v>4.16</v>
      </c>
      <c r="CL37" s="96">
        <v>5.6</v>
      </c>
      <c r="CM37" s="96">
        <v>6.1</v>
      </c>
      <c r="CN37" s="96">
        <v>7.02</v>
      </c>
      <c r="CO37" s="96">
        <v>6.67</v>
      </c>
      <c r="CP37" s="98">
        <f>SUM(Input_Raw[[#This Row],[P-01]:[P-56]])/1000</f>
        <v>304.03300000000002</v>
      </c>
      <c r="CQ37" s="71">
        <f>IFERROR(AVERAGEIF(Input_Raw[[#This Row],[WS_P-01]:[WS_P-56]],"&lt;&gt;",Input_Raw[[#This Row],[WS_P-01]:[WS_P-56]]),"")</f>
        <v>5.6724999999999994</v>
      </c>
      <c r="CR37" s="99">
        <f>MAX(Input_Raw[[#This Row],[WS_P-01]:[WS_P-56]])</f>
        <v>7.02</v>
      </c>
      <c r="CS37" s="99"/>
      <c r="CT37" s="70">
        <f>SUM(Input_Raw[[#This Row],[P-08]:[P-13]],Input_Raw[[#This Row],[P-25]:[P-28]])</f>
        <v>42834</v>
      </c>
      <c r="CU37" s="70"/>
      <c r="CV37" s="70">
        <f>SUM(Input_Raw[[#This Row],[P-04]],Input_Raw[[#This Row],[P-14]:[P-17]],Input_Raw[[#This Row],[P-19]:[P-20]],Input_Raw[[#This Row],[P-22]:[P-23]],Input_Raw[[#This Row],[P-34]],Input_Raw[[#This Row],[P-38]],Input_Raw[[#This Row],[P-43]])</f>
        <v>69907</v>
      </c>
      <c r="CW37" s="70"/>
      <c r="CX37" s="70">
        <f>SUM(Input_Raw[[#This Row],[P-05]:[P-06]],Input_Raw[[#This Row],[P-40]:[P-42]],Input_Raw[[#This Row],[P-45]],Input_Raw[[#This Row],[P-46]],Input_Raw[[#This Row],[P-47]:[P-48]])</f>
        <v>74424</v>
      </c>
      <c r="CY37" s="70"/>
      <c r="CZ37" s="70">
        <f>SUM(Input_Raw[[#This Row],[P-01]:[P-03]],Input_Raw[[#This Row],[P-07]],Input_Raw[[#This Row],[P-18]],Input_Raw[[#This Row],[P-31]:[P-32]],Input_Raw[[#This Row],[P-37]],Input_Raw[[#This Row],[P-50]:[P-56]])</f>
        <v>116868</v>
      </c>
      <c r="DA37" s="12"/>
      <c r="DB37" s="13">
        <f>Input_Raw[[#This Row],[33 kV_Wind_F1_Export reading]]/1000</f>
        <v>42.834000000000003</v>
      </c>
      <c r="DC37" s="13"/>
      <c r="DD37" s="13">
        <f>Input_Raw[[#This Row],[33 kV_Wind_F2_Export_reading]]/1000</f>
        <v>69.906999999999996</v>
      </c>
      <c r="DE37" s="13"/>
      <c r="DF37" s="13">
        <f>Input_Raw[[#This Row],[33 kV_Wind_F3_Export_Reading]]/1000</f>
        <v>74.424000000000007</v>
      </c>
      <c r="DG37" s="13"/>
      <c r="DH37" s="13">
        <f>Input_Raw[[#This Row],[33 kV_Wind_F4_Export Reading]]/1000</f>
        <v>116.86799999999999</v>
      </c>
      <c r="DI37" s="13"/>
      <c r="DJ37" s="13">
        <f>Input_Raw[[#This Row],[33 kV_F1_Total_Export (MWh)]]+Input_Raw[[#This Row],[33 kV_F2_Total_Export (MWh)2]]+Input_Raw[[#This Row],[33 kV_Wind_F3_Export (MWh)]]+Input_Raw[[#This Row],[33 kV_Wind_F4_Export (MWh)]]</f>
        <v>304.03300000000002</v>
      </c>
      <c r="DK37" s="13">
        <f>Input_Raw[[#This Row],[33 kV_Wind_F1_Import (MWh)]]+Input_Raw[[#This Row],[33 kV_Wind_F2_Import (MWh)]]+Input_Raw[[#This Row],[33 kV_Wind_F3_Import (MWh)2]]+Input_Raw[[#This Row],[33 kV_Wind_F4_Import (MWh)2]]</f>
        <v>0</v>
      </c>
      <c r="DL37" s="100">
        <f>IFERROR(Input_Raw[[#This Row],[33 kV_Wind_Total_Export (MWh)]]/Input_Raw[[#This Row],[WTG Total Gneration (MWh)]]-1,"")</f>
        <v>0</v>
      </c>
      <c r="DM37" s="66"/>
      <c r="DN37" s="186">
        <v>96</v>
      </c>
      <c r="DO37" s="186">
        <v>1791.5</v>
      </c>
      <c r="DP37" s="102">
        <v>294.64</v>
      </c>
      <c r="DQ37" s="66"/>
      <c r="DR37" s="181">
        <v>70.400000000000006</v>
      </c>
    </row>
    <row r="38" spans="1:122" ht="15">
      <c r="A38" s="92">
        <f t="shared" si="74"/>
        <v>45778</v>
      </c>
      <c r="B38" s="190">
        <f>YEAR(Input_Raw[[#This Row],[Date]])+IF(MONTH(Input_Raw[[#This Row],[Date]])&gt;=4,1,0)</f>
        <v>2026</v>
      </c>
      <c r="C38" s="190">
        <f>YEAR(Input_Raw[[#This Row],[Date]])</f>
        <v>2025</v>
      </c>
      <c r="D38" s="11">
        <f t="shared" ref="D38" si="92">A38-DAY(A38)+1</f>
        <v>45778</v>
      </c>
      <c r="E38" s="190">
        <f>DAY(EOMONTH(Input_Raw[[#This Row],[Date]],0))</f>
        <v>31</v>
      </c>
      <c r="F38" s="93">
        <v>13832</v>
      </c>
      <c r="G38" s="93">
        <v>13376</v>
      </c>
      <c r="H38" s="93">
        <v>14452</v>
      </c>
      <c r="I38" s="93">
        <v>9372</v>
      </c>
      <c r="J38" s="93">
        <v>9904</v>
      </c>
      <c r="K38" s="93">
        <v>7568</v>
      </c>
      <c r="L38" s="93">
        <v>12124</v>
      </c>
      <c r="M38" s="93">
        <v>3156</v>
      </c>
      <c r="N38" s="93">
        <v>1902</v>
      </c>
      <c r="O38" s="93">
        <v>2176</v>
      </c>
      <c r="P38" s="93">
        <v>2252</v>
      </c>
      <c r="Q38" s="93">
        <v>2558</v>
      </c>
      <c r="R38" s="93">
        <v>2572</v>
      </c>
      <c r="S38" s="93">
        <v>2838</v>
      </c>
      <c r="T38" s="93">
        <v>2744</v>
      </c>
      <c r="U38" s="93">
        <v>3324</v>
      </c>
      <c r="V38" s="93">
        <v>4656</v>
      </c>
      <c r="W38" s="93">
        <v>12544</v>
      </c>
      <c r="X38" s="93">
        <v>3830</v>
      </c>
      <c r="Y38" s="93">
        <v>3599</v>
      </c>
      <c r="Z38" s="93">
        <v>11508</v>
      </c>
      <c r="AA38" s="93">
        <v>12828</v>
      </c>
      <c r="AB38" s="93">
        <v>5552</v>
      </c>
      <c r="AC38" s="93">
        <v>5348</v>
      </c>
      <c r="AD38" s="93">
        <v>6376</v>
      </c>
      <c r="AE38" s="93">
        <v>4880</v>
      </c>
      <c r="AF38" s="93">
        <v>12474</v>
      </c>
      <c r="AG38" s="93">
        <v>5426</v>
      </c>
      <c r="AH38" s="93">
        <v>8352</v>
      </c>
      <c r="AI38" s="93">
        <v>7698</v>
      </c>
      <c r="AJ38" s="93">
        <v>4700</v>
      </c>
      <c r="AK38" s="93">
        <v>3292</v>
      </c>
      <c r="AL38" s="93">
        <v>9248</v>
      </c>
      <c r="AM38" s="93">
        <v>10860</v>
      </c>
      <c r="AN38" s="93">
        <v>5350</v>
      </c>
      <c r="AO38" s="93">
        <v>11476</v>
      </c>
      <c r="AP38" s="93">
        <v>8976</v>
      </c>
      <c r="AQ38" s="93">
        <v>8592</v>
      </c>
      <c r="AR38" s="93">
        <v>8848</v>
      </c>
      <c r="AS38" s="93">
        <v>8212</v>
      </c>
      <c r="AT38" s="93">
        <v>9652</v>
      </c>
      <c r="AU38" s="93">
        <v>12636</v>
      </c>
      <c r="AV38" s="93">
        <v>14936</v>
      </c>
      <c r="AW38" s="93">
        <v>10844</v>
      </c>
      <c r="AX38" s="96">
        <v>6.46</v>
      </c>
      <c r="AY38" s="96">
        <v>6.62</v>
      </c>
      <c r="AZ38" s="96">
        <v>7.03</v>
      </c>
      <c r="BA38" s="96">
        <v>5.8</v>
      </c>
      <c r="BB38" s="96">
        <v>6.08</v>
      </c>
      <c r="BC38" s="96">
        <v>5.74</v>
      </c>
      <c r="BD38" s="96">
        <v>6.56</v>
      </c>
      <c r="BE38" s="96">
        <v>4.4400000000000004</v>
      </c>
      <c r="BF38" s="96">
        <v>4.09</v>
      </c>
      <c r="BG38" s="96">
        <v>4.42</v>
      </c>
      <c r="BH38" s="96">
        <v>4.0599999999999996</v>
      </c>
      <c r="BI38" s="96">
        <v>4.25</v>
      </c>
      <c r="BJ38" s="96">
        <v>4.32</v>
      </c>
      <c r="BK38" s="96">
        <v>4.41</v>
      </c>
      <c r="BL38" s="96">
        <v>4.53</v>
      </c>
      <c r="BM38" s="96">
        <v>4.67</v>
      </c>
      <c r="BN38" s="96">
        <v>5</v>
      </c>
      <c r="BO38" s="96">
        <v>6.63</v>
      </c>
      <c r="BP38" s="96">
        <v>4.7699999999999996</v>
      </c>
      <c r="BQ38" s="96">
        <v>4.5599999999999996</v>
      </c>
      <c r="BR38" s="96">
        <v>6.37</v>
      </c>
      <c r="BS38" s="96">
        <v>6.59</v>
      </c>
      <c r="BT38" s="96">
        <v>4.8899999999999997</v>
      </c>
      <c r="BU38" s="96">
        <v>5.36</v>
      </c>
      <c r="BV38" s="96">
        <v>5.52</v>
      </c>
      <c r="BW38" s="96">
        <v>5.15</v>
      </c>
      <c r="BX38" s="96">
        <v>6.49</v>
      </c>
      <c r="BY38" s="96">
        <v>4.8899999999999997</v>
      </c>
      <c r="BZ38" s="96">
        <v>5.66</v>
      </c>
      <c r="CA38" s="96">
        <v>5.57</v>
      </c>
      <c r="CB38" s="96">
        <v>4.8</v>
      </c>
      <c r="CC38" s="96">
        <v>4.55</v>
      </c>
      <c r="CD38" s="96">
        <v>6.38</v>
      </c>
      <c r="CE38" s="96">
        <v>6.38</v>
      </c>
      <c r="CF38" s="96">
        <v>4.87</v>
      </c>
      <c r="CG38" s="96">
        <v>6.88</v>
      </c>
      <c r="CH38" s="96">
        <v>6.25</v>
      </c>
      <c r="CI38" s="96">
        <v>5.8</v>
      </c>
      <c r="CJ38" s="96">
        <v>6.01</v>
      </c>
      <c r="CK38" s="96">
        <v>5.23</v>
      </c>
      <c r="CL38" s="96">
        <v>5.84</v>
      </c>
      <c r="CM38" s="96">
        <v>6.46</v>
      </c>
      <c r="CN38" s="96">
        <v>7.19</v>
      </c>
      <c r="CO38" s="96">
        <v>6.48</v>
      </c>
      <c r="CP38" s="98">
        <f>SUM(Input_Raw[[#This Row],[P-01]:[P-56]])/1000</f>
        <v>336.84300000000002</v>
      </c>
      <c r="CQ38" s="71">
        <f>IFERROR(AVERAGEIF(Input_Raw[[#This Row],[WS_P-01]:[WS_P-56]],"&lt;&gt;",Input_Raw[[#This Row],[WS_P-01]:[WS_P-56]]),"")</f>
        <v>5.5465909090909093</v>
      </c>
      <c r="CR38" s="99">
        <f>MAX(Input_Raw[[#This Row],[WS_P-01]:[WS_P-56]])</f>
        <v>7.19</v>
      </c>
      <c r="CS38" s="99"/>
      <c r="CT38" s="70">
        <f>SUM(Input_Raw[[#This Row],[P-08]:[P-13]],Input_Raw[[#This Row],[P-25]:[P-28]])</f>
        <v>36772</v>
      </c>
      <c r="CU38" s="70"/>
      <c r="CV38" s="70">
        <f>SUM(Input_Raw[[#This Row],[P-04]],Input_Raw[[#This Row],[P-14]:[P-17]],Input_Raw[[#This Row],[P-19]:[P-20]],Input_Raw[[#This Row],[P-22]:[P-23]],Input_Raw[[#This Row],[P-34]],Input_Raw[[#This Row],[P-38]],Input_Raw[[#This Row],[P-43]])</f>
        <v>73101</v>
      </c>
      <c r="CW38" s="70"/>
      <c r="CX38" s="70">
        <f>SUM(Input_Raw[[#This Row],[P-05]:[P-06]],Input_Raw[[#This Row],[P-40]:[P-42]],Input_Raw[[#This Row],[P-45]],Input_Raw[[#This Row],[P-46]],Input_Raw[[#This Row],[P-47]:[P-48]])</f>
        <v>78764</v>
      </c>
      <c r="CY38" s="70"/>
      <c r="CZ38" s="70">
        <f>SUM(Input_Raw[[#This Row],[P-01]:[P-03]],Input_Raw[[#This Row],[P-07]],Input_Raw[[#This Row],[P-18]],Input_Raw[[#This Row],[P-31]:[P-32]],Input_Raw[[#This Row],[P-37]],Input_Raw[[#This Row],[P-50]:[P-56]])</f>
        <v>148206</v>
      </c>
      <c r="DA38" s="12"/>
      <c r="DB38" s="13">
        <f>Input_Raw[[#This Row],[33 kV_Wind_F1_Export reading]]/1000</f>
        <v>36.771999999999998</v>
      </c>
      <c r="DC38" s="13"/>
      <c r="DD38" s="13">
        <f>Input_Raw[[#This Row],[33 kV_Wind_F2_Export_reading]]/1000</f>
        <v>73.100999999999999</v>
      </c>
      <c r="DE38" s="13"/>
      <c r="DF38" s="13">
        <f>Input_Raw[[#This Row],[33 kV_Wind_F3_Export_Reading]]/1000</f>
        <v>78.763999999999996</v>
      </c>
      <c r="DG38" s="13"/>
      <c r="DH38" s="13">
        <f>Input_Raw[[#This Row],[33 kV_Wind_F4_Export Reading]]/1000</f>
        <v>148.20599999999999</v>
      </c>
      <c r="DI38" s="13"/>
      <c r="DJ38" s="13">
        <f>Input_Raw[[#This Row],[33 kV_F1_Total_Export (MWh)]]+Input_Raw[[#This Row],[33 kV_F2_Total_Export (MWh)2]]+Input_Raw[[#This Row],[33 kV_Wind_F3_Export (MWh)]]+Input_Raw[[#This Row],[33 kV_Wind_F4_Export (MWh)]]</f>
        <v>336.84299999999996</v>
      </c>
      <c r="DK38" s="13">
        <f>Input_Raw[[#This Row],[33 kV_Wind_F1_Import (MWh)]]+Input_Raw[[#This Row],[33 kV_Wind_F2_Import (MWh)]]+Input_Raw[[#This Row],[33 kV_Wind_F3_Import (MWh)2]]+Input_Raw[[#This Row],[33 kV_Wind_F4_Import (MWh)2]]</f>
        <v>0</v>
      </c>
      <c r="DL38" s="100">
        <f>IFERROR(Input_Raw[[#This Row],[33 kV_Wind_Total_Export (MWh)]]/Input_Raw[[#This Row],[WTG Total Gneration (MWh)]]-1,"")</f>
        <v>-2.2204460492503131E-16</v>
      </c>
      <c r="DM38" s="66"/>
      <c r="DN38" s="186">
        <v>96</v>
      </c>
      <c r="DO38" s="186">
        <v>2155.12</v>
      </c>
      <c r="DP38" s="102">
        <v>324.42</v>
      </c>
      <c r="DQ38" s="66"/>
      <c r="DR38" s="181">
        <v>70.400000000000006</v>
      </c>
    </row>
    <row r="39" spans="1:122" ht="15">
      <c r="A39" s="92">
        <f t="shared" si="74"/>
        <v>45779</v>
      </c>
      <c r="B39" s="190">
        <f>YEAR(Input_Raw[[#This Row],[Date]])+IF(MONTH(Input_Raw[[#This Row],[Date]])&gt;=4,1,0)</f>
        <v>2026</v>
      </c>
      <c r="C39" s="190">
        <f>YEAR(Input_Raw[[#This Row],[Date]])</f>
        <v>2025</v>
      </c>
      <c r="D39" s="11">
        <f t="shared" ref="D39" si="93">A39-DAY(A39)+1</f>
        <v>45778</v>
      </c>
      <c r="E39" s="190">
        <f>DAY(EOMONTH(Input_Raw[[#This Row],[Date]],0))</f>
        <v>31</v>
      </c>
      <c r="F39" s="93">
        <v>18020</v>
      </c>
      <c r="G39" s="93">
        <v>17608</v>
      </c>
      <c r="H39" s="93">
        <v>19048</v>
      </c>
      <c r="I39" s="93">
        <v>8728</v>
      </c>
      <c r="J39" s="93">
        <v>13132</v>
      </c>
      <c r="K39" s="93">
        <v>14480</v>
      </c>
      <c r="L39" s="93">
        <v>15656</v>
      </c>
      <c r="M39" s="93">
        <v>5320</v>
      </c>
      <c r="N39" s="93">
        <v>3614</v>
      </c>
      <c r="O39" s="93">
        <v>3892</v>
      </c>
      <c r="P39" s="93">
        <v>4035.9999999999995</v>
      </c>
      <c r="Q39" s="93">
        <v>4582</v>
      </c>
      <c r="R39" s="93">
        <v>4672</v>
      </c>
      <c r="S39" s="93">
        <v>5434</v>
      </c>
      <c r="T39" s="93">
        <v>5448</v>
      </c>
      <c r="U39" s="93">
        <v>7740</v>
      </c>
      <c r="V39" s="93">
        <v>8183.9999999999991</v>
      </c>
      <c r="W39" s="93">
        <v>15788</v>
      </c>
      <c r="X39" s="93">
        <v>6674</v>
      </c>
      <c r="Y39" s="93">
        <v>5142</v>
      </c>
      <c r="Z39" s="93">
        <v>10776</v>
      </c>
      <c r="AA39" s="93">
        <v>14108</v>
      </c>
      <c r="AB39" s="93">
        <v>7508</v>
      </c>
      <c r="AC39" s="93">
        <v>7524</v>
      </c>
      <c r="AD39" s="93">
        <v>8936</v>
      </c>
      <c r="AE39" s="93">
        <v>8368</v>
      </c>
      <c r="AF39" s="93">
        <v>18474</v>
      </c>
      <c r="AG39" s="93">
        <v>10368</v>
      </c>
      <c r="AH39" s="93">
        <v>9720</v>
      </c>
      <c r="AI39" s="93">
        <v>13502</v>
      </c>
      <c r="AJ39" s="93">
        <v>6864</v>
      </c>
      <c r="AK39" s="93">
        <v>7212</v>
      </c>
      <c r="AL39" s="93">
        <v>14560</v>
      </c>
      <c r="AM39" s="93">
        <v>16928</v>
      </c>
      <c r="AN39" s="93">
        <v>7470</v>
      </c>
      <c r="AO39" s="93">
        <v>18648</v>
      </c>
      <c r="AP39" s="93">
        <v>17304</v>
      </c>
      <c r="AQ39" s="93">
        <v>15660</v>
      </c>
      <c r="AR39" s="93">
        <v>15340</v>
      </c>
      <c r="AS39" s="93">
        <v>13326</v>
      </c>
      <c r="AT39" s="93">
        <v>14184</v>
      </c>
      <c r="AU39" s="93">
        <v>17244</v>
      </c>
      <c r="AV39" s="93">
        <v>17032</v>
      </c>
      <c r="AW39" s="93">
        <v>14548</v>
      </c>
      <c r="AX39" s="96">
        <v>7.21</v>
      </c>
      <c r="AY39" s="96">
        <v>7.43</v>
      </c>
      <c r="AZ39" s="96">
        <v>7.87</v>
      </c>
      <c r="BA39" s="96">
        <v>5.59</v>
      </c>
      <c r="BB39" s="96">
        <v>6.43</v>
      </c>
      <c r="BC39" s="96">
        <v>7.01</v>
      </c>
      <c r="BD39" s="96">
        <v>7.03</v>
      </c>
      <c r="BE39" s="96">
        <v>5.16</v>
      </c>
      <c r="BF39" s="96">
        <v>4.79</v>
      </c>
      <c r="BG39" s="96">
        <v>5.14</v>
      </c>
      <c r="BH39" s="96">
        <v>4.74</v>
      </c>
      <c r="BI39" s="96">
        <v>4.9000000000000004</v>
      </c>
      <c r="BJ39" s="96">
        <v>4.96</v>
      </c>
      <c r="BK39" s="96">
        <v>5.09</v>
      </c>
      <c r="BL39" s="96">
        <v>5.31</v>
      </c>
      <c r="BM39" s="96">
        <v>5.66</v>
      </c>
      <c r="BN39" s="96">
        <v>5.72</v>
      </c>
      <c r="BO39" s="96">
        <v>7.01</v>
      </c>
      <c r="BP39" s="96">
        <v>5.43</v>
      </c>
      <c r="BQ39" s="96">
        <v>4.8499999999999996</v>
      </c>
      <c r="BR39" s="96">
        <v>6.22</v>
      </c>
      <c r="BS39" s="96">
        <v>6.81</v>
      </c>
      <c r="BT39" s="96">
        <v>5.36</v>
      </c>
      <c r="BU39" s="96">
        <v>5.89</v>
      </c>
      <c r="BV39" s="96">
        <v>6.1</v>
      </c>
      <c r="BW39" s="96">
        <v>5.96</v>
      </c>
      <c r="BX39" s="96">
        <v>7.53</v>
      </c>
      <c r="BY39" s="96">
        <v>5.83</v>
      </c>
      <c r="BZ39" s="96">
        <v>5.94</v>
      </c>
      <c r="CA39" s="96">
        <v>6.62</v>
      </c>
      <c r="CB39" s="96">
        <v>5.26</v>
      </c>
      <c r="CC39" s="96">
        <v>5.75</v>
      </c>
      <c r="CD39" s="96">
        <v>7.44</v>
      </c>
      <c r="CE39" s="96">
        <v>7.45</v>
      </c>
      <c r="CF39" s="96">
        <v>5.39</v>
      </c>
      <c r="CG39" s="96">
        <v>8.36</v>
      </c>
      <c r="CH39" s="96">
        <v>7.69</v>
      </c>
      <c r="CI39" s="96">
        <v>6.89</v>
      </c>
      <c r="CJ39" s="96">
        <v>7.2</v>
      </c>
      <c r="CK39" s="96">
        <v>6.08</v>
      </c>
      <c r="CL39" s="96">
        <v>6.51</v>
      </c>
      <c r="CM39" s="96">
        <v>7.22</v>
      </c>
      <c r="CN39" s="96">
        <v>7.75</v>
      </c>
      <c r="CO39" s="96">
        <v>7.12</v>
      </c>
      <c r="CP39" s="98">
        <f>SUM(Input_Raw[[#This Row],[P-01]:[P-56]])/1000</f>
        <v>492.80200000000002</v>
      </c>
      <c r="CQ39" s="71">
        <f>IFERROR(AVERAGEIF(Input_Raw[[#This Row],[WS_P-01]:[WS_P-56]],"&lt;&gt;",Input_Raw[[#This Row],[WS_P-01]:[WS_P-56]]),"")</f>
        <v>6.2659090909090907</v>
      </c>
      <c r="CR39" s="99">
        <f>MAX(Input_Raw[[#This Row],[WS_P-01]:[WS_P-56]])</f>
        <v>8.36</v>
      </c>
      <c r="CS39" s="99"/>
      <c r="CT39" s="70">
        <f>SUM(Input_Raw[[#This Row],[P-08]:[P-13]],Input_Raw[[#This Row],[P-25]:[P-28]])</f>
        <v>58452</v>
      </c>
      <c r="CU39" s="70"/>
      <c r="CV39" s="70">
        <f>SUM(Input_Raw[[#This Row],[P-04]],Input_Raw[[#This Row],[P-14]:[P-17]],Input_Raw[[#This Row],[P-19]:[P-20]],Input_Raw[[#This Row],[P-22]:[P-23]],Input_Raw[[#This Row],[P-34]],Input_Raw[[#This Row],[P-38]],Input_Raw[[#This Row],[P-43]])</f>
        <v>96288</v>
      </c>
      <c r="CW39" s="70"/>
      <c r="CX39" s="70">
        <f>SUM(Input_Raw[[#This Row],[P-05]:[P-06]],Input_Raw[[#This Row],[P-40]:[P-42]],Input_Raw[[#This Row],[P-45]],Input_Raw[[#This Row],[P-46]],Input_Raw[[#This Row],[P-47]:[P-48]])</f>
        <v>133264</v>
      </c>
      <c r="CY39" s="70"/>
      <c r="CZ39" s="70">
        <f>SUM(Input_Raw[[#This Row],[P-01]:[P-03]],Input_Raw[[#This Row],[P-07]],Input_Raw[[#This Row],[P-18]],Input_Raw[[#This Row],[P-31]:[P-32]],Input_Raw[[#This Row],[P-37]],Input_Raw[[#This Row],[P-50]:[P-56]])</f>
        <v>204798</v>
      </c>
      <c r="DA39" s="12"/>
      <c r="DB39" s="13">
        <f>Input_Raw[[#This Row],[33 kV_Wind_F1_Export reading]]/1000</f>
        <v>58.451999999999998</v>
      </c>
      <c r="DC39" s="13"/>
      <c r="DD39" s="13">
        <f>Input_Raw[[#This Row],[33 kV_Wind_F2_Export_reading]]/1000</f>
        <v>96.287999999999997</v>
      </c>
      <c r="DE39" s="13"/>
      <c r="DF39" s="13">
        <f>Input_Raw[[#This Row],[33 kV_Wind_F3_Export_Reading]]/1000</f>
        <v>133.26400000000001</v>
      </c>
      <c r="DG39" s="13"/>
      <c r="DH39" s="13">
        <f>Input_Raw[[#This Row],[33 kV_Wind_F4_Export Reading]]/1000</f>
        <v>204.798</v>
      </c>
      <c r="DI39" s="13"/>
      <c r="DJ39" s="13">
        <f>Input_Raw[[#This Row],[33 kV_F1_Total_Export (MWh)]]+Input_Raw[[#This Row],[33 kV_F2_Total_Export (MWh)2]]+Input_Raw[[#This Row],[33 kV_Wind_F3_Export (MWh)]]+Input_Raw[[#This Row],[33 kV_Wind_F4_Export (MWh)]]</f>
        <v>492.80200000000002</v>
      </c>
      <c r="DK39" s="13">
        <f>Input_Raw[[#This Row],[33 kV_Wind_F1_Import (MWh)]]+Input_Raw[[#This Row],[33 kV_Wind_F2_Import (MWh)]]+Input_Raw[[#This Row],[33 kV_Wind_F3_Import (MWh)2]]+Input_Raw[[#This Row],[33 kV_Wind_F4_Import (MWh)2]]</f>
        <v>0</v>
      </c>
      <c r="DL39" s="100">
        <f>IFERROR(Input_Raw[[#This Row],[33 kV_Wind_Total_Export (MWh)]]/Input_Raw[[#This Row],[WTG Total Gneration (MWh)]]-1,"")</f>
        <v>0</v>
      </c>
      <c r="DM39" s="66"/>
      <c r="DN39" s="186">
        <v>96</v>
      </c>
      <c r="DO39" s="186">
        <v>24622.5</v>
      </c>
      <c r="DP39" s="102">
        <v>481.71</v>
      </c>
      <c r="DQ39" s="66"/>
      <c r="DR39" s="181">
        <v>70.400000000000006</v>
      </c>
    </row>
    <row r="40" spans="1:122" ht="15">
      <c r="A40" s="92">
        <f t="shared" si="74"/>
        <v>45780</v>
      </c>
      <c r="B40" s="190">
        <f>YEAR(Input_Raw[[#This Row],[Date]])+IF(MONTH(Input_Raw[[#This Row],[Date]])&gt;=4,1,0)</f>
        <v>2026</v>
      </c>
      <c r="C40" s="190">
        <f>YEAR(Input_Raw[[#This Row],[Date]])</f>
        <v>2025</v>
      </c>
      <c r="D40" s="11">
        <f t="shared" ref="D40" si="94">A40-DAY(A40)+1</f>
        <v>45778</v>
      </c>
      <c r="E40" s="190">
        <f>DAY(EOMONTH(Input_Raw[[#This Row],[Date]],0))</f>
        <v>31</v>
      </c>
      <c r="F40" s="93">
        <v>15716</v>
      </c>
      <c r="G40" s="93">
        <v>17084</v>
      </c>
      <c r="H40" s="93">
        <v>17356</v>
      </c>
      <c r="I40" s="93">
        <v>11444</v>
      </c>
      <c r="J40" s="93">
        <v>13600</v>
      </c>
      <c r="K40" s="93">
        <v>13264</v>
      </c>
      <c r="L40" s="93">
        <v>12008</v>
      </c>
      <c r="M40" s="93">
        <v>5496</v>
      </c>
      <c r="N40" s="93">
        <v>4982</v>
      </c>
      <c r="O40" s="93">
        <v>5174</v>
      </c>
      <c r="P40" s="93">
        <v>5164</v>
      </c>
      <c r="Q40" s="93">
        <v>5080</v>
      </c>
      <c r="R40" s="93">
        <v>5140</v>
      </c>
      <c r="S40" s="93">
        <v>5152</v>
      </c>
      <c r="T40" s="93">
        <v>4996</v>
      </c>
      <c r="U40" s="93">
        <v>5632</v>
      </c>
      <c r="V40" s="93">
        <v>6528</v>
      </c>
      <c r="W40" s="93">
        <v>16004.000000000002</v>
      </c>
      <c r="X40" s="93">
        <v>6904</v>
      </c>
      <c r="Y40" s="93">
        <v>6407</v>
      </c>
      <c r="Z40" s="93">
        <v>11140</v>
      </c>
      <c r="AA40" s="93">
        <v>13568</v>
      </c>
      <c r="AB40" s="93">
        <v>7740</v>
      </c>
      <c r="AC40" s="93">
        <v>7620</v>
      </c>
      <c r="AD40" s="93">
        <v>8616</v>
      </c>
      <c r="AE40" s="93">
        <v>7728</v>
      </c>
      <c r="AF40" s="93">
        <v>16908</v>
      </c>
      <c r="AG40" s="93">
        <v>11180</v>
      </c>
      <c r="AH40" s="93">
        <v>13656</v>
      </c>
      <c r="AI40" s="93">
        <v>13958</v>
      </c>
      <c r="AJ40" s="93">
        <v>7934</v>
      </c>
      <c r="AK40" s="93">
        <v>10306</v>
      </c>
      <c r="AL40" s="93">
        <v>14164</v>
      </c>
      <c r="AM40" s="93">
        <v>14648</v>
      </c>
      <c r="AN40" s="93">
        <v>7180</v>
      </c>
      <c r="AO40" s="93">
        <v>18688</v>
      </c>
      <c r="AP40" s="93">
        <v>17564</v>
      </c>
      <c r="AQ40" s="93">
        <v>14524</v>
      </c>
      <c r="AR40" s="93">
        <v>14560</v>
      </c>
      <c r="AS40" s="93">
        <v>8952</v>
      </c>
      <c r="AT40" s="93">
        <v>12608</v>
      </c>
      <c r="AU40" s="93">
        <v>13816</v>
      </c>
      <c r="AV40" s="93">
        <v>14776</v>
      </c>
      <c r="AW40" s="93">
        <v>12292</v>
      </c>
      <c r="AX40" s="96">
        <v>6.83</v>
      </c>
      <c r="AY40" s="96">
        <v>7.57</v>
      </c>
      <c r="AZ40" s="96">
        <v>7.8</v>
      </c>
      <c r="BA40" s="96">
        <v>7.62</v>
      </c>
      <c r="BB40" s="96">
        <v>6.63</v>
      </c>
      <c r="BC40" s="96">
        <v>6.84</v>
      </c>
      <c r="BD40" s="96">
        <v>6.38</v>
      </c>
      <c r="BE40" s="96">
        <v>5.0599999999999996</v>
      </c>
      <c r="BF40" s="96">
        <v>5.12</v>
      </c>
      <c r="BG40" s="96">
        <v>5.53</v>
      </c>
      <c r="BH40" s="96">
        <v>5.15</v>
      </c>
      <c r="BI40" s="96">
        <v>5.1100000000000003</v>
      </c>
      <c r="BJ40" s="96">
        <v>5.18</v>
      </c>
      <c r="BK40" s="96">
        <v>5.17</v>
      </c>
      <c r="BL40" s="96">
        <v>5.28</v>
      </c>
      <c r="BM40" s="96">
        <v>5.36</v>
      </c>
      <c r="BN40" s="96">
        <v>5.49</v>
      </c>
      <c r="BO40" s="96">
        <v>7.12</v>
      </c>
      <c r="BP40" s="96">
        <v>5.61</v>
      </c>
      <c r="BQ40" s="96">
        <v>5.28</v>
      </c>
      <c r="BR40" s="96">
        <v>7.39</v>
      </c>
      <c r="BS40" s="96">
        <v>7.96</v>
      </c>
      <c r="BT40" s="96">
        <v>5.39</v>
      </c>
      <c r="BU40" s="96">
        <v>5.84</v>
      </c>
      <c r="BV40" s="96">
        <v>6.09</v>
      </c>
      <c r="BW40" s="96">
        <v>5.89</v>
      </c>
      <c r="BX40" s="96">
        <v>7.66</v>
      </c>
      <c r="BY40" s="96">
        <v>6.12</v>
      </c>
      <c r="BZ40" s="96">
        <v>7.99</v>
      </c>
      <c r="CA40" s="96">
        <v>6.86</v>
      </c>
      <c r="CB40" s="96">
        <v>5.62</v>
      </c>
      <c r="CC40" s="96">
        <v>6.41</v>
      </c>
      <c r="CD40" s="96">
        <v>7.39</v>
      </c>
      <c r="CE40" s="96">
        <v>7.05</v>
      </c>
      <c r="CF40" s="96">
        <v>6.47</v>
      </c>
      <c r="CG40" s="96">
        <v>8.31</v>
      </c>
      <c r="CH40" s="96">
        <v>7.78</v>
      </c>
      <c r="CI40" s="96">
        <v>6.68</v>
      </c>
      <c r="CJ40" s="96">
        <v>7</v>
      </c>
      <c r="CK40" s="96">
        <v>5.13</v>
      </c>
      <c r="CL40" s="96">
        <v>6.33</v>
      </c>
      <c r="CM40" s="96">
        <v>6.66</v>
      </c>
      <c r="CN40" s="96">
        <v>7.03</v>
      </c>
      <c r="CO40" s="96">
        <v>6.62</v>
      </c>
      <c r="CP40" s="98">
        <f>SUM(Input_Raw[[#This Row],[P-01]:[P-56]])/1000</f>
        <v>477.25700000000001</v>
      </c>
      <c r="CQ40" s="71">
        <f>IFERROR(AVERAGEIF(Input_Raw[[#This Row],[WS_P-01]:[WS_P-56]],"&lt;&gt;",Input_Raw[[#This Row],[WS_P-01]:[WS_P-56]]),"")</f>
        <v>6.4045454545454552</v>
      </c>
      <c r="CR40" s="99">
        <f>MAX(Input_Raw[[#This Row],[WS_P-01]:[WS_P-56]])</f>
        <v>8.31</v>
      </c>
      <c r="CS40" s="99"/>
      <c r="CT40" s="70">
        <f>SUM(Input_Raw[[#This Row],[P-08]:[P-13]],Input_Raw[[#This Row],[P-25]:[P-28]])</f>
        <v>62740</v>
      </c>
      <c r="CU40" s="70"/>
      <c r="CV40" s="70">
        <f>SUM(Input_Raw[[#This Row],[P-04]],Input_Raw[[#This Row],[P-14]:[P-17]],Input_Raw[[#This Row],[P-19]:[P-20]],Input_Raw[[#This Row],[P-22]:[P-23]],Input_Raw[[#This Row],[P-34]],Input_Raw[[#This Row],[P-38]],Input_Raw[[#This Row],[P-43]])</f>
        <v>100541</v>
      </c>
      <c r="CW40" s="70"/>
      <c r="CX40" s="70">
        <f>SUM(Input_Raw[[#This Row],[P-05]:[P-06]],Input_Raw[[#This Row],[P-40]:[P-42]],Input_Raw[[#This Row],[P-45]],Input_Raw[[#This Row],[P-46]],Input_Raw[[#This Row],[P-47]:[P-48]])</f>
        <v>131318</v>
      </c>
      <c r="CY40" s="70"/>
      <c r="CZ40" s="70">
        <f>SUM(Input_Raw[[#This Row],[P-01]:[P-03]],Input_Raw[[#This Row],[P-07]],Input_Raw[[#This Row],[P-18]],Input_Raw[[#This Row],[P-31]:[P-32]],Input_Raw[[#This Row],[P-37]],Input_Raw[[#This Row],[P-50]:[P-56]])</f>
        <v>182658</v>
      </c>
      <c r="DA40" s="12"/>
      <c r="DB40" s="13">
        <f>Input_Raw[[#This Row],[33 kV_Wind_F1_Export reading]]/1000</f>
        <v>62.74</v>
      </c>
      <c r="DC40" s="13"/>
      <c r="DD40" s="13">
        <f>Input_Raw[[#This Row],[33 kV_Wind_F2_Export_reading]]/1000</f>
        <v>100.541</v>
      </c>
      <c r="DE40" s="13"/>
      <c r="DF40" s="13">
        <f>Input_Raw[[#This Row],[33 kV_Wind_F3_Export_Reading]]/1000</f>
        <v>131.31800000000001</v>
      </c>
      <c r="DG40" s="13"/>
      <c r="DH40" s="13">
        <f>Input_Raw[[#This Row],[33 kV_Wind_F4_Export Reading]]/1000</f>
        <v>182.65799999999999</v>
      </c>
      <c r="DI40" s="13"/>
      <c r="DJ40" s="13">
        <f>Input_Raw[[#This Row],[33 kV_F1_Total_Export (MWh)]]+Input_Raw[[#This Row],[33 kV_F2_Total_Export (MWh)2]]+Input_Raw[[#This Row],[33 kV_Wind_F3_Export (MWh)]]+Input_Raw[[#This Row],[33 kV_Wind_F4_Export (MWh)]]</f>
        <v>477.25700000000006</v>
      </c>
      <c r="DK40" s="13">
        <f>Input_Raw[[#This Row],[33 kV_Wind_F1_Import (MWh)]]+Input_Raw[[#This Row],[33 kV_Wind_F2_Import (MWh)]]+Input_Raw[[#This Row],[33 kV_Wind_F3_Import (MWh)2]]+Input_Raw[[#This Row],[33 kV_Wind_F4_Import (MWh)2]]</f>
        <v>0</v>
      </c>
      <c r="DL40" s="100">
        <f>IFERROR(Input_Raw[[#This Row],[33 kV_Wind_Total_Export (MWh)]]/Input_Raw[[#This Row],[WTG Total Gneration (MWh)]]-1,"")</f>
        <v>2.2204460492503131E-16</v>
      </c>
      <c r="DM40" s="66"/>
      <c r="DN40" s="186">
        <v>69</v>
      </c>
      <c r="DO40" s="186">
        <v>7746</v>
      </c>
      <c r="DP40" s="102">
        <v>477.26</v>
      </c>
      <c r="DQ40" s="66"/>
      <c r="DR40" s="181">
        <v>70.400000000000006</v>
      </c>
    </row>
    <row r="41" spans="1:122" ht="15">
      <c r="A41" s="92">
        <f t="shared" si="74"/>
        <v>45781</v>
      </c>
      <c r="B41" s="190">
        <f>YEAR(Input_Raw[[#This Row],[Date]])+IF(MONTH(Input_Raw[[#This Row],[Date]])&gt;=4,1,0)</f>
        <v>2026</v>
      </c>
      <c r="C41" s="190">
        <f>YEAR(Input_Raw[[#This Row],[Date]])</f>
        <v>2025</v>
      </c>
      <c r="D41" s="11">
        <f t="shared" ref="D41" si="95">A41-DAY(A41)+1</f>
        <v>45778</v>
      </c>
      <c r="E41" s="190">
        <f>DAY(EOMONTH(Input_Raw[[#This Row],[Date]],0))</f>
        <v>31</v>
      </c>
      <c r="F41" s="93">
        <v>14352</v>
      </c>
      <c r="G41" s="93">
        <v>13288</v>
      </c>
      <c r="H41" s="93">
        <v>11716</v>
      </c>
      <c r="I41" s="93">
        <v>14860</v>
      </c>
      <c r="J41" s="93">
        <v>17652</v>
      </c>
      <c r="K41" s="93">
        <v>16288</v>
      </c>
      <c r="L41" s="93">
        <v>12356</v>
      </c>
      <c r="M41" s="93">
        <v>5124</v>
      </c>
      <c r="N41" s="93">
        <v>4816</v>
      </c>
      <c r="O41" s="93">
        <v>5494</v>
      </c>
      <c r="P41" s="93">
        <v>5934</v>
      </c>
      <c r="Q41" s="93">
        <v>6692</v>
      </c>
      <c r="R41" s="93">
        <v>5780</v>
      </c>
      <c r="S41" s="93">
        <v>6400</v>
      </c>
      <c r="T41" s="93">
        <v>5688</v>
      </c>
      <c r="U41" s="93">
        <v>6860</v>
      </c>
      <c r="V41" s="93">
        <v>7276</v>
      </c>
      <c r="W41" s="93">
        <v>16256</v>
      </c>
      <c r="X41" s="93">
        <v>7222</v>
      </c>
      <c r="Y41" s="93">
        <v>6157</v>
      </c>
      <c r="Z41" s="93">
        <v>12688</v>
      </c>
      <c r="AA41" s="93">
        <v>15212</v>
      </c>
      <c r="AB41" s="93">
        <v>8520</v>
      </c>
      <c r="AC41" s="93">
        <v>8840</v>
      </c>
      <c r="AD41" s="93">
        <v>9612</v>
      </c>
      <c r="AE41" s="93">
        <v>8216</v>
      </c>
      <c r="AF41" s="93">
        <v>13100</v>
      </c>
      <c r="AG41" s="93">
        <v>10590</v>
      </c>
      <c r="AH41" s="93">
        <v>15708</v>
      </c>
      <c r="AI41" s="93">
        <v>14436</v>
      </c>
      <c r="AJ41" s="93">
        <v>8374</v>
      </c>
      <c r="AK41" s="93">
        <v>10680</v>
      </c>
      <c r="AL41" s="93">
        <v>17832</v>
      </c>
      <c r="AM41" s="93">
        <v>17348</v>
      </c>
      <c r="AN41" s="93">
        <v>8648</v>
      </c>
      <c r="AO41" s="93">
        <v>20544</v>
      </c>
      <c r="AP41" s="93">
        <v>19712</v>
      </c>
      <c r="AQ41" s="93">
        <v>17128</v>
      </c>
      <c r="AR41" s="93">
        <v>17040</v>
      </c>
      <c r="AS41" s="93">
        <v>4310</v>
      </c>
      <c r="AT41" s="93">
        <v>7964</v>
      </c>
      <c r="AU41" s="93">
        <v>10622</v>
      </c>
      <c r="AV41" s="93">
        <v>15308</v>
      </c>
      <c r="AW41" s="93">
        <v>14852</v>
      </c>
      <c r="AX41" s="96">
        <v>7.01</v>
      </c>
      <c r="AY41" s="96">
        <v>6.95</v>
      </c>
      <c r="AZ41" s="96">
        <v>6.79</v>
      </c>
      <c r="BA41" s="96">
        <v>7.52</v>
      </c>
      <c r="BB41" s="96">
        <v>8.02</v>
      </c>
      <c r="BC41" s="96">
        <v>7.98</v>
      </c>
      <c r="BD41" s="96">
        <v>6.93</v>
      </c>
      <c r="BE41" s="96">
        <v>5.4</v>
      </c>
      <c r="BF41" s="96">
        <v>5.47</v>
      </c>
      <c r="BG41" s="96">
        <v>5.9</v>
      </c>
      <c r="BH41" s="96">
        <v>5.65</v>
      </c>
      <c r="BI41" s="96">
        <v>5.74</v>
      </c>
      <c r="BJ41" s="96">
        <v>5.69</v>
      </c>
      <c r="BK41" s="96">
        <v>5.83</v>
      </c>
      <c r="BL41" s="96">
        <v>5.75</v>
      </c>
      <c r="BM41" s="96">
        <v>6.07</v>
      </c>
      <c r="BN41" s="96">
        <v>5.92</v>
      </c>
      <c r="BO41" s="96">
        <v>7.69</v>
      </c>
      <c r="BP41" s="96">
        <v>5.93</v>
      </c>
      <c r="BQ41" s="96">
        <v>5.45</v>
      </c>
      <c r="BR41" s="96">
        <v>7.08</v>
      </c>
      <c r="BS41" s="96">
        <v>7.49</v>
      </c>
      <c r="BT41" s="96">
        <v>6.08</v>
      </c>
      <c r="BU41" s="96">
        <v>6.52</v>
      </c>
      <c r="BV41" s="96">
        <v>6.85</v>
      </c>
      <c r="BW41" s="96">
        <v>6.51</v>
      </c>
      <c r="BX41" s="96">
        <v>6.95</v>
      </c>
      <c r="BY41" s="96">
        <v>6.53</v>
      </c>
      <c r="BZ41" s="96">
        <v>7.69</v>
      </c>
      <c r="CA41" s="96">
        <v>7.46</v>
      </c>
      <c r="CB41" s="96">
        <v>6.04</v>
      </c>
      <c r="CC41" s="96">
        <v>6.92</v>
      </c>
      <c r="CD41" s="96">
        <v>8.58</v>
      </c>
      <c r="CE41" s="96">
        <v>7.81</v>
      </c>
      <c r="CF41" s="96">
        <v>5.94</v>
      </c>
      <c r="CG41" s="96">
        <v>9.1300000000000008</v>
      </c>
      <c r="CH41" s="96">
        <v>8.64</v>
      </c>
      <c r="CI41" s="96">
        <v>7.62</v>
      </c>
      <c r="CJ41" s="96">
        <v>7.93</v>
      </c>
      <c r="CK41" s="96">
        <v>4.58</v>
      </c>
      <c r="CL41" s="96">
        <v>5.77</v>
      </c>
      <c r="CM41" s="96">
        <v>6.53</v>
      </c>
      <c r="CN41" s="96">
        <v>7.55</v>
      </c>
      <c r="CO41" s="96">
        <v>7.59</v>
      </c>
      <c r="CP41" s="98">
        <f>SUM(Input_Raw[[#This Row],[P-01]:[P-56]])/1000</f>
        <v>497.495</v>
      </c>
      <c r="CQ41" s="71">
        <f>IFERROR(AVERAGEIF(Input_Raw[[#This Row],[WS_P-01]:[WS_P-56]],"&lt;&gt;",Input_Raw[[#This Row],[WS_P-01]:[WS_P-56]]),"")</f>
        <v>6.760909090909089</v>
      </c>
      <c r="CR41" s="99">
        <f>MAX(Input_Raw[[#This Row],[WS_P-01]:[WS_P-56]])</f>
        <v>9.1300000000000008</v>
      </c>
      <c r="CS41" s="99"/>
      <c r="CT41" s="70">
        <f>SUM(Input_Raw[[#This Row],[P-08]:[P-13]],Input_Raw[[#This Row],[P-25]:[P-28]])</f>
        <v>69028</v>
      </c>
      <c r="CU41" s="70"/>
      <c r="CV41" s="70">
        <f>SUM(Input_Raw[[#This Row],[P-04]],Input_Raw[[#This Row],[P-14]:[P-17]],Input_Raw[[#This Row],[P-19]:[P-20]],Input_Raw[[#This Row],[P-22]:[P-23]],Input_Raw[[#This Row],[P-34]],Input_Raw[[#This Row],[P-38]],Input_Raw[[#This Row],[P-43]])</f>
        <v>115093</v>
      </c>
      <c r="CW41" s="70"/>
      <c r="CX41" s="70">
        <f>SUM(Input_Raw[[#This Row],[P-05]:[P-06]],Input_Raw[[#This Row],[P-40]:[P-42]],Input_Raw[[#This Row],[P-45]],Input_Raw[[#This Row],[P-46]],Input_Raw[[#This Row],[P-47]:[P-48]])</f>
        <v>154224</v>
      </c>
      <c r="CY41" s="70"/>
      <c r="CZ41" s="70">
        <f>SUM(Input_Raw[[#This Row],[P-01]:[P-03]],Input_Raw[[#This Row],[P-07]],Input_Raw[[#This Row],[P-18]],Input_Raw[[#This Row],[P-31]:[P-32]],Input_Raw[[#This Row],[P-37]],Input_Raw[[#This Row],[P-50]:[P-56]])</f>
        <v>159150</v>
      </c>
      <c r="DA41" s="12"/>
      <c r="DB41" s="13">
        <f>Input_Raw[[#This Row],[33 kV_Wind_F1_Export reading]]/1000</f>
        <v>69.028000000000006</v>
      </c>
      <c r="DC41" s="13"/>
      <c r="DD41" s="13">
        <f>Input_Raw[[#This Row],[33 kV_Wind_F2_Export_reading]]/1000</f>
        <v>115.093</v>
      </c>
      <c r="DE41" s="13"/>
      <c r="DF41" s="13">
        <f>Input_Raw[[#This Row],[33 kV_Wind_F3_Export_Reading]]/1000</f>
        <v>154.22399999999999</v>
      </c>
      <c r="DG41" s="13"/>
      <c r="DH41" s="13">
        <f>Input_Raw[[#This Row],[33 kV_Wind_F4_Export Reading]]/1000</f>
        <v>159.15</v>
      </c>
      <c r="DI41" s="13"/>
      <c r="DJ41" s="13">
        <f>Input_Raw[[#This Row],[33 kV_F1_Total_Export (MWh)]]+Input_Raw[[#This Row],[33 kV_F2_Total_Export (MWh)2]]+Input_Raw[[#This Row],[33 kV_Wind_F3_Export (MWh)]]+Input_Raw[[#This Row],[33 kV_Wind_F4_Export (MWh)]]</f>
        <v>497.495</v>
      </c>
      <c r="DK41" s="13">
        <f>Input_Raw[[#This Row],[33 kV_Wind_F1_Import (MWh)]]+Input_Raw[[#This Row],[33 kV_Wind_F2_Import (MWh)]]+Input_Raw[[#This Row],[33 kV_Wind_F3_Import (MWh)2]]+Input_Raw[[#This Row],[33 kV_Wind_F4_Import (MWh)2]]</f>
        <v>0</v>
      </c>
      <c r="DL41" s="100">
        <f>IFERROR(Input_Raw[[#This Row],[33 kV_Wind_Total_Export (MWh)]]/Input_Raw[[#This Row],[WTG Total Gneration (MWh)]]-1,"")</f>
        <v>0</v>
      </c>
      <c r="DM41" s="66"/>
      <c r="DN41" s="186">
        <v>96</v>
      </c>
      <c r="DO41" s="186">
        <v>3622.38</v>
      </c>
      <c r="DP41" s="102">
        <v>490.15</v>
      </c>
      <c r="DQ41" s="66"/>
      <c r="DR41" s="181">
        <v>70.400000000000006</v>
      </c>
    </row>
    <row r="42" spans="1:122" ht="15">
      <c r="A42" s="92">
        <f t="shared" si="74"/>
        <v>45782</v>
      </c>
      <c r="B42" s="190">
        <f>YEAR(Input_Raw[[#This Row],[Date]])+IF(MONTH(Input_Raw[[#This Row],[Date]])&gt;=4,1,0)</f>
        <v>2026</v>
      </c>
      <c r="C42" s="190">
        <f>YEAR(Input_Raw[[#This Row],[Date]])</f>
        <v>2025</v>
      </c>
      <c r="D42" s="11">
        <f t="shared" ref="D42" si="96">A42-DAY(A42)+1</f>
        <v>45778</v>
      </c>
      <c r="E42" s="190">
        <f>DAY(EOMONTH(Input_Raw[[#This Row],[Date]],0))</f>
        <v>31</v>
      </c>
      <c r="F42" s="93">
        <v>17148</v>
      </c>
      <c r="G42" s="93">
        <v>18204</v>
      </c>
      <c r="H42" s="93">
        <v>18376</v>
      </c>
      <c r="I42" s="93">
        <v>13192</v>
      </c>
      <c r="J42" s="93">
        <v>12208</v>
      </c>
      <c r="K42" s="93">
        <v>10636</v>
      </c>
      <c r="L42" s="93">
        <v>11940</v>
      </c>
      <c r="M42" s="93">
        <v>3746</v>
      </c>
      <c r="N42" s="93">
        <v>4100</v>
      </c>
      <c r="O42" s="93">
        <v>4964</v>
      </c>
      <c r="P42" s="93">
        <v>5506</v>
      </c>
      <c r="Q42" s="93">
        <v>6066</v>
      </c>
      <c r="R42" s="93">
        <v>5740</v>
      </c>
      <c r="S42" s="93">
        <v>5586</v>
      </c>
      <c r="T42" s="93">
        <v>4976</v>
      </c>
      <c r="U42" s="93">
        <v>5796</v>
      </c>
      <c r="V42" s="93">
        <v>7168</v>
      </c>
      <c r="W42" s="93">
        <v>16136</v>
      </c>
      <c r="X42" s="93">
        <v>6516</v>
      </c>
      <c r="Y42" s="93">
        <v>5584</v>
      </c>
      <c r="Z42" s="93">
        <v>12876</v>
      </c>
      <c r="AA42" s="93">
        <v>15252</v>
      </c>
      <c r="AB42" s="93">
        <v>7888</v>
      </c>
      <c r="AC42" s="93">
        <v>8260</v>
      </c>
      <c r="AD42" s="93">
        <v>9404</v>
      </c>
      <c r="AE42" s="93">
        <v>7964</v>
      </c>
      <c r="AF42" s="93">
        <v>17476</v>
      </c>
      <c r="AG42" s="93">
        <v>9450</v>
      </c>
      <c r="AH42" s="93">
        <v>14124</v>
      </c>
      <c r="AI42" s="93">
        <v>12326</v>
      </c>
      <c r="AJ42" s="93">
        <v>7880</v>
      </c>
      <c r="AK42" s="93">
        <v>7194</v>
      </c>
      <c r="AL42" s="93">
        <v>11960</v>
      </c>
      <c r="AM42" s="93">
        <v>13552</v>
      </c>
      <c r="AN42" s="93">
        <v>8452</v>
      </c>
      <c r="AO42" s="93">
        <v>15548</v>
      </c>
      <c r="AP42" s="93">
        <v>14264</v>
      </c>
      <c r="AQ42" s="93">
        <v>12328</v>
      </c>
      <c r="AR42" s="93">
        <v>12232</v>
      </c>
      <c r="AS42" s="93">
        <v>6472</v>
      </c>
      <c r="AT42" s="93">
        <v>10642</v>
      </c>
      <c r="AU42" s="93">
        <v>13534</v>
      </c>
      <c r="AV42" s="93">
        <v>15336</v>
      </c>
      <c r="AW42" s="93">
        <v>12316</v>
      </c>
      <c r="AX42" s="96">
        <v>7.25</v>
      </c>
      <c r="AY42" s="96">
        <v>7.68</v>
      </c>
      <c r="AZ42" s="96">
        <v>7.82</v>
      </c>
      <c r="BA42" s="96">
        <v>6.87</v>
      </c>
      <c r="BB42" s="96">
        <v>6.48</v>
      </c>
      <c r="BC42" s="96">
        <v>6.49</v>
      </c>
      <c r="BD42" s="96">
        <v>6.58</v>
      </c>
      <c r="BE42" s="96">
        <v>5.05</v>
      </c>
      <c r="BF42" s="96">
        <v>5.1100000000000003</v>
      </c>
      <c r="BG42" s="96">
        <v>5.51</v>
      </c>
      <c r="BH42" s="96">
        <v>5.27</v>
      </c>
      <c r="BI42" s="96">
        <v>5.34</v>
      </c>
      <c r="BJ42" s="96">
        <v>5.35</v>
      </c>
      <c r="BK42" s="96">
        <v>5.28</v>
      </c>
      <c r="BL42" s="96">
        <v>5.29</v>
      </c>
      <c r="BM42" s="96">
        <v>5.41</v>
      </c>
      <c r="BN42" s="96">
        <v>5.63</v>
      </c>
      <c r="BO42" s="96">
        <v>7.35</v>
      </c>
      <c r="BP42" s="96">
        <v>5.48</v>
      </c>
      <c r="BQ42" s="96">
        <v>5.1100000000000003</v>
      </c>
      <c r="BR42" s="96">
        <v>6.86</v>
      </c>
      <c r="BS42" s="96">
        <v>7.24</v>
      </c>
      <c r="BT42" s="96">
        <v>5.62</v>
      </c>
      <c r="BU42" s="96">
        <v>6.1</v>
      </c>
      <c r="BV42" s="96">
        <v>6.49</v>
      </c>
      <c r="BW42" s="96">
        <v>6.2</v>
      </c>
      <c r="BX42" s="96">
        <v>7.41</v>
      </c>
      <c r="BY42" s="96">
        <v>6.09</v>
      </c>
      <c r="BZ42" s="96">
        <v>7.01</v>
      </c>
      <c r="CA42" s="96">
        <v>6.77</v>
      </c>
      <c r="CB42" s="96">
        <v>5.58</v>
      </c>
      <c r="CC42" s="96">
        <v>5.74</v>
      </c>
      <c r="CD42" s="96">
        <v>6.98</v>
      </c>
      <c r="CE42" s="96">
        <v>6.78</v>
      </c>
      <c r="CF42" s="96">
        <v>5.7</v>
      </c>
      <c r="CG42" s="96">
        <v>7.96</v>
      </c>
      <c r="CH42" s="96">
        <v>7.4</v>
      </c>
      <c r="CI42" s="96">
        <v>6.45</v>
      </c>
      <c r="CJ42" s="96">
        <v>6.7</v>
      </c>
      <c r="CK42" s="96">
        <v>5</v>
      </c>
      <c r="CL42" s="96">
        <v>6.33</v>
      </c>
      <c r="CM42" s="96">
        <v>6.93</v>
      </c>
      <c r="CN42" s="96">
        <v>7.43</v>
      </c>
      <c r="CO42" s="96">
        <v>6.87</v>
      </c>
      <c r="CP42" s="201">
        <f>SUM(Input_Raw[[#This Row],[P-01]:[P-56]])/1000</f>
        <v>460.31799999999998</v>
      </c>
      <c r="CQ42" s="202">
        <f>IFERROR(AVERAGEIF(Input_Raw[[#This Row],[WS_P-01]:[WS_P-56]],"&lt;&gt;",Input_Raw[[#This Row],[WS_P-01]:[WS_P-56]]),"")</f>
        <v>6.3179545454545458</v>
      </c>
      <c r="CR42" s="203">
        <f>MAX(Input_Raw[[#This Row],[WS_P-01]:[WS_P-56]])</f>
        <v>7.96</v>
      </c>
      <c r="CS42" s="203"/>
      <c r="CT42" s="204">
        <f>SUM(Input_Raw[[#This Row],[P-08]:[P-13]],Input_Raw[[#This Row],[P-25]:[P-28]])</f>
        <v>63638</v>
      </c>
      <c r="CU42" s="204"/>
      <c r="CV42" s="204">
        <f>SUM(Input_Raw[[#This Row],[P-04]],Input_Raw[[#This Row],[P-14]:[P-17]],Input_Raw[[#This Row],[P-19]:[P-20]],Input_Raw[[#This Row],[P-22]:[P-23]],Input_Raw[[#This Row],[P-34]],Input_Raw[[#This Row],[P-38]],Input_Raw[[#This Row],[P-43]])</f>
        <v>107402</v>
      </c>
      <c r="CW42" s="204"/>
      <c r="CX42" s="204">
        <f>SUM(Input_Raw[[#This Row],[P-05]:[P-06]],Input_Raw[[#This Row],[P-40]:[P-42]],Input_Raw[[#This Row],[P-45]],Input_Raw[[#This Row],[P-46]],Input_Raw[[#This Row],[P-47]:[P-48]])</f>
        <v>109922</v>
      </c>
      <c r="CY42" s="204"/>
      <c r="CZ42" s="204">
        <f>SUM(Input_Raw[[#This Row],[P-01]:[P-03]],Input_Raw[[#This Row],[P-07]],Input_Raw[[#This Row],[P-18]],Input_Raw[[#This Row],[P-31]:[P-32]],Input_Raw[[#This Row],[P-37]],Input_Raw[[#This Row],[P-50]:[P-56]])</f>
        <v>179356</v>
      </c>
      <c r="DA42" s="205"/>
      <c r="DB42" s="206">
        <f>Input_Raw[[#This Row],[33 kV_Wind_F1_Export reading]]/1000</f>
        <v>63.637999999999998</v>
      </c>
      <c r="DC42" s="206"/>
      <c r="DD42" s="206">
        <f>Input_Raw[[#This Row],[33 kV_Wind_F2_Export_reading]]/1000</f>
        <v>107.402</v>
      </c>
      <c r="DE42" s="206"/>
      <c r="DF42" s="206">
        <f>Input_Raw[[#This Row],[33 kV_Wind_F3_Export_Reading]]/1000</f>
        <v>109.922</v>
      </c>
      <c r="DG42" s="206"/>
      <c r="DH42" s="206">
        <f>Input_Raw[[#This Row],[33 kV_Wind_F4_Export Reading]]/1000</f>
        <v>179.35599999999999</v>
      </c>
      <c r="DI42" s="206"/>
      <c r="DJ42" s="206">
        <f>Input_Raw[[#This Row],[33 kV_F1_Total_Export (MWh)]]+Input_Raw[[#This Row],[33 kV_F2_Total_Export (MWh)2]]+Input_Raw[[#This Row],[33 kV_Wind_F3_Export (MWh)]]+Input_Raw[[#This Row],[33 kV_Wind_F4_Export (MWh)]]</f>
        <v>460.31799999999998</v>
      </c>
      <c r="DK42" s="206">
        <f>Input_Raw[[#This Row],[33 kV_Wind_F1_Import (MWh)]]+Input_Raw[[#This Row],[33 kV_Wind_F2_Import (MWh)]]+Input_Raw[[#This Row],[33 kV_Wind_F3_Import (MWh)2]]+Input_Raw[[#This Row],[33 kV_Wind_F4_Import (MWh)2]]</f>
        <v>0</v>
      </c>
      <c r="DL42" s="207">
        <f>IFERROR(Input_Raw[[#This Row],[33 kV_Wind_Total_Export (MWh)]]/Input_Raw[[#This Row],[WTG Total Gneration (MWh)]]-1,"")</f>
        <v>0</v>
      </c>
      <c r="DM42" s="208"/>
      <c r="DN42" s="186">
        <v>96</v>
      </c>
      <c r="DO42" s="186">
        <v>16139.25</v>
      </c>
      <c r="DP42" s="102">
        <v>461.99</v>
      </c>
      <c r="DQ42" s="208"/>
      <c r="DR42" s="181">
        <v>70.400000000000006</v>
      </c>
    </row>
    <row r="43" spans="1:122" ht="15">
      <c r="A43" s="92">
        <f t="shared" si="74"/>
        <v>45783</v>
      </c>
      <c r="B43" s="190">
        <f>YEAR(Input_Raw[[#This Row],[Date]])+IF(MONTH(Input_Raw[[#This Row],[Date]])&gt;=4,1,0)</f>
        <v>2026</v>
      </c>
      <c r="C43" s="190">
        <f>YEAR(Input_Raw[[#This Row],[Date]])</f>
        <v>2025</v>
      </c>
      <c r="D43" s="11">
        <f t="shared" ref="D43" si="97">A43-DAY(A43)+1</f>
        <v>45778</v>
      </c>
      <c r="E43" s="190">
        <f>DAY(EOMONTH(Input_Raw[[#This Row],[Date]],0))</f>
        <v>31</v>
      </c>
      <c r="F43" s="93">
        <v>12724</v>
      </c>
      <c r="G43" s="93">
        <v>11808</v>
      </c>
      <c r="H43" s="93">
        <v>9732</v>
      </c>
      <c r="I43" s="93">
        <v>10200</v>
      </c>
      <c r="J43" s="93">
        <v>10908</v>
      </c>
      <c r="K43" s="93">
        <v>10264</v>
      </c>
      <c r="L43" s="93">
        <v>8096</v>
      </c>
      <c r="M43" s="93">
        <v>4692</v>
      </c>
      <c r="N43" s="93">
        <v>5048</v>
      </c>
      <c r="O43" s="93">
        <v>6168</v>
      </c>
      <c r="P43" s="93">
        <v>6272</v>
      </c>
      <c r="Q43" s="93">
        <v>6490</v>
      </c>
      <c r="R43" s="93">
        <v>6116</v>
      </c>
      <c r="S43" s="93">
        <v>6118</v>
      </c>
      <c r="T43" s="93">
        <v>5680</v>
      </c>
      <c r="U43" s="93">
        <v>6452</v>
      </c>
      <c r="V43" s="93">
        <v>7052</v>
      </c>
      <c r="W43" s="93">
        <v>11428</v>
      </c>
      <c r="X43" s="93">
        <v>6218</v>
      </c>
      <c r="Y43" s="93">
        <v>5318</v>
      </c>
      <c r="Z43" s="93">
        <v>9312</v>
      </c>
      <c r="AA43" s="93">
        <v>10224</v>
      </c>
      <c r="AB43" s="93">
        <v>6756</v>
      </c>
      <c r="AC43" s="93">
        <v>7192</v>
      </c>
      <c r="AD43" s="93">
        <v>7668</v>
      </c>
      <c r="AE43" s="93">
        <v>6868</v>
      </c>
      <c r="AF43" s="93">
        <v>10360</v>
      </c>
      <c r="AG43" s="93">
        <v>7212</v>
      </c>
      <c r="AH43" s="93">
        <v>10568</v>
      </c>
      <c r="AI43" s="93">
        <v>9600</v>
      </c>
      <c r="AJ43" s="93">
        <v>7276</v>
      </c>
      <c r="AK43" s="93">
        <v>7360</v>
      </c>
      <c r="AL43" s="93">
        <v>10860</v>
      </c>
      <c r="AM43" s="93">
        <v>11512</v>
      </c>
      <c r="AN43" s="93">
        <v>7456</v>
      </c>
      <c r="AO43" s="93">
        <v>13728</v>
      </c>
      <c r="AP43" s="93">
        <v>13516</v>
      </c>
      <c r="AQ43" s="93">
        <v>11944</v>
      </c>
      <c r="AR43" s="93">
        <v>11936</v>
      </c>
      <c r="AS43" s="93">
        <v>4010</v>
      </c>
      <c r="AT43" s="93">
        <v>7984</v>
      </c>
      <c r="AU43" s="93">
        <v>9128</v>
      </c>
      <c r="AV43" s="93">
        <v>12324</v>
      </c>
      <c r="AW43" s="93">
        <v>10140</v>
      </c>
      <c r="AX43" s="96">
        <v>6.43</v>
      </c>
      <c r="AY43" s="96">
        <v>6.44</v>
      </c>
      <c r="AZ43" s="96">
        <v>6.13</v>
      </c>
      <c r="BA43" s="96">
        <v>6.2</v>
      </c>
      <c r="BB43" s="96">
        <v>6.3</v>
      </c>
      <c r="BC43" s="96">
        <v>6.5</v>
      </c>
      <c r="BD43" s="96">
        <v>5.75</v>
      </c>
      <c r="BE43" s="96">
        <v>5.04</v>
      </c>
      <c r="BF43" s="96">
        <v>5.45</v>
      </c>
      <c r="BG43" s="96">
        <v>6.01</v>
      </c>
      <c r="BH43" s="96">
        <v>5.68</v>
      </c>
      <c r="BI43" s="96">
        <v>5.63</v>
      </c>
      <c r="BJ43" s="96">
        <v>5.64</v>
      </c>
      <c r="BK43" s="96">
        <v>5.62</v>
      </c>
      <c r="BL43" s="96">
        <v>5.65</v>
      </c>
      <c r="BM43" s="96">
        <v>5.74</v>
      </c>
      <c r="BN43" s="96">
        <v>5.69</v>
      </c>
      <c r="BO43" s="96">
        <v>6.41</v>
      </c>
      <c r="BP43" s="96">
        <v>5.48</v>
      </c>
      <c r="BQ43" s="96">
        <v>5.08</v>
      </c>
      <c r="BR43" s="96">
        <v>6.1</v>
      </c>
      <c r="BS43" s="96">
        <v>6.18</v>
      </c>
      <c r="BT43" s="96">
        <v>5.34</v>
      </c>
      <c r="BU43" s="96">
        <v>5.93</v>
      </c>
      <c r="BV43" s="96">
        <v>6</v>
      </c>
      <c r="BW43" s="96">
        <v>5.8</v>
      </c>
      <c r="BX43" s="96">
        <v>6.05</v>
      </c>
      <c r="BY43" s="96">
        <v>5.5</v>
      </c>
      <c r="BZ43" s="96">
        <v>6.29</v>
      </c>
      <c r="CA43" s="96">
        <v>6.12</v>
      </c>
      <c r="CB43" s="96">
        <v>5.49</v>
      </c>
      <c r="CC43" s="96">
        <v>6.06</v>
      </c>
      <c r="CD43" s="96">
        <v>6.78</v>
      </c>
      <c r="CE43" s="96">
        <v>6.41</v>
      </c>
      <c r="CF43" s="96">
        <v>5.43</v>
      </c>
      <c r="CG43" s="96">
        <v>7.49</v>
      </c>
      <c r="CH43" s="96">
        <v>7.21</v>
      </c>
      <c r="CI43" s="96">
        <v>6.32</v>
      </c>
      <c r="CJ43" s="96">
        <v>6.73</v>
      </c>
      <c r="CK43" s="96">
        <v>4.28</v>
      </c>
      <c r="CL43" s="96">
        <v>5.69</v>
      </c>
      <c r="CM43" s="96">
        <v>5.97</v>
      </c>
      <c r="CN43" s="96">
        <v>6.73</v>
      </c>
      <c r="CO43" s="96">
        <v>6.37</v>
      </c>
      <c r="CP43" s="201">
        <f>SUM(Input_Raw[[#This Row],[P-01]:[P-56]])/1000</f>
        <v>381.71800000000002</v>
      </c>
      <c r="CQ43" s="202">
        <f>IFERROR(AVERAGEIF(Input_Raw[[#This Row],[WS_P-01]:[WS_P-56]],"&lt;&gt;",Input_Raw[[#This Row],[WS_P-01]:[WS_P-56]]),"")</f>
        <v>5.9804545454545464</v>
      </c>
      <c r="CR43" s="203">
        <f>MAX(Input_Raw[[#This Row],[WS_P-01]:[WS_P-56]])</f>
        <v>7.49</v>
      </c>
      <c r="CS43" s="203"/>
      <c r="CT43" s="204">
        <f>SUM(Input_Raw[[#This Row],[P-08]:[P-13]],Input_Raw[[#This Row],[P-25]:[P-28]])</f>
        <v>63270</v>
      </c>
      <c r="CU43" s="204"/>
      <c r="CV43" s="204">
        <f>SUM(Input_Raw[[#This Row],[P-04]],Input_Raw[[#This Row],[P-14]:[P-17]],Input_Raw[[#This Row],[P-19]:[P-20]],Input_Raw[[#This Row],[P-22]:[P-23]],Input_Raw[[#This Row],[P-34]],Input_Raw[[#This Row],[P-38]],Input_Raw[[#This Row],[P-43]])</f>
        <v>91874</v>
      </c>
      <c r="CW43" s="204"/>
      <c r="CX43" s="204">
        <f>SUM(Input_Raw[[#This Row],[P-05]:[P-06]],Input_Raw[[#This Row],[P-40]:[P-42]],Input_Raw[[#This Row],[P-45]],Input_Raw[[#This Row],[P-46]],Input_Raw[[#This Row],[P-47]:[P-48]])</f>
        <v>102028</v>
      </c>
      <c r="CY43" s="204"/>
      <c r="CZ43" s="204">
        <f>SUM(Input_Raw[[#This Row],[P-01]:[P-03]],Input_Raw[[#This Row],[P-07]],Input_Raw[[#This Row],[P-18]],Input_Raw[[#This Row],[P-31]:[P-32]],Input_Raw[[#This Row],[P-37]],Input_Raw[[#This Row],[P-50]:[P-56]])</f>
        <v>124546</v>
      </c>
      <c r="DA43" s="205"/>
      <c r="DB43" s="206">
        <f>Input_Raw[[#This Row],[33 kV_Wind_F1_Export reading]]/1000</f>
        <v>63.27</v>
      </c>
      <c r="DC43" s="206"/>
      <c r="DD43" s="206">
        <f>Input_Raw[[#This Row],[33 kV_Wind_F2_Export_reading]]/1000</f>
        <v>91.873999999999995</v>
      </c>
      <c r="DE43" s="206"/>
      <c r="DF43" s="206">
        <f>Input_Raw[[#This Row],[33 kV_Wind_F3_Export_Reading]]/1000</f>
        <v>102.02800000000001</v>
      </c>
      <c r="DG43" s="206"/>
      <c r="DH43" s="206">
        <f>Input_Raw[[#This Row],[33 kV_Wind_F4_Export Reading]]/1000</f>
        <v>124.54600000000001</v>
      </c>
      <c r="DI43" s="206"/>
      <c r="DJ43" s="206">
        <f>Input_Raw[[#This Row],[33 kV_F1_Total_Export (MWh)]]+Input_Raw[[#This Row],[33 kV_F2_Total_Export (MWh)2]]+Input_Raw[[#This Row],[33 kV_Wind_F3_Export (MWh)]]+Input_Raw[[#This Row],[33 kV_Wind_F4_Export (MWh)]]</f>
        <v>381.71800000000002</v>
      </c>
      <c r="DK43" s="206">
        <f>Input_Raw[[#This Row],[33 kV_Wind_F1_Import (MWh)]]+Input_Raw[[#This Row],[33 kV_Wind_F2_Import (MWh)]]+Input_Raw[[#This Row],[33 kV_Wind_F3_Import (MWh)2]]+Input_Raw[[#This Row],[33 kV_Wind_F4_Import (MWh)2]]</f>
        <v>0</v>
      </c>
      <c r="DL43" s="207">
        <f>IFERROR(Input_Raw[[#This Row],[33 kV_Wind_Total_Export (MWh)]]/Input_Raw[[#This Row],[WTG Total Gneration (MWh)]]-1,"")</f>
        <v>0</v>
      </c>
      <c r="DM43" s="208"/>
      <c r="DN43" s="186">
        <v>96</v>
      </c>
      <c r="DO43" s="186">
        <v>9466.5</v>
      </c>
      <c r="DP43" s="102">
        <v>378.83</v>
      </c>
      <c r="DQ43" s="208"/>
      <c r="DR43" s="181">
        <v>70.400000000000006</v>
      </c>
    </row>
    <row r="44" spans="1:122" ht="15">
      <c r="A44" s="92">
        <f t="shared" si="74"/>
        <v>45784</v>
      </c>
      <c r="B44" s="190">
        <f>YEAR(Input_Raw[[#This Row],[Date]])+IF(MONTH(Input_Raw[[#This Row],[Date]])&gt;=4,1,0)</f>
        <v>2026</v>
      </c>
      <c r="C44" s="190">
        <f>YEAR(Input_Raw[[#This Row],[Date]])</f>
        <v>2025</v>
      </c>
      <c r="D44" s="11">
        <f t="shared" ref="D44" si="98">A44-DAY(A44)+1</f>
        <v>45778</v>
      </c>
      <c r="E44" s="190">
        <f>DAY(EOMONTH(Input_Raw[[#This Row],[Date]],0))</f>
        <v>31</v>
      </c>
      <c r="F44" s="211">
        <v>15556</v>
      </c>
      <c r="G44" s="211">
        <v>11464</v>
      </c>
      <c r="H44" s="211">
        <v>12536</v>
      </c>
      <c r="I44" s="211">
        <v>11760</v>
      </c>
      <c r="J44" s="211">
        <v>16608</v>
      </c>
      <c r="K44" s="211">
        <v>14096</v>
      </c>
      <c r="L44" s="211">
        <v>11340</v>
      </c>
      <c r="M44" s="211">
        <v>7702</v>
      </c>
      <c r="N44" s="211">
        <v>6558</v>
      </c>
      <c r="O44" s="211">
        <v>9432</v>
      </c>
      <c r="P44" s="211">
        <v>10676</v>
      </c>
      <c r="Q44" s="211">
        <v>11802</v>
      </c>
      <c r="R44" s="211">
        <v>10824</v>
      </c>
      <c r="S44" s="211">
        <v>9760</v>
      </c>
      <c r="T44" s="211">
        <v>8576</v>
      </c>
      <c r="U44" s="211">
        <v>10026</v>
      </c>
      <c r="V44" s="211">
        <v>9694</v>
      </c>
      <c r="W44" s="211">
        <v>12484</v>
      </c>
      <c r="X44" s="211">
        <v>9680</v>
      </c>
      <c r="Y44" s="211">
        <v>7998</v>
      </c>
      <c r="Z44" s="211">
        <v>10784</v>
      </c>
      <c r="AA44" s="211">
        <v>11380</v>
      </c>
      <c r="AB44" s="211">
        <v>9504</v>
      </c>
      <c r="AC44" s="211">
        <v>10364</v>
      </c>
      <c r="AD44" s="211">
        <v>11568</v>
      </c>
      <c r="AE44" s="211">
        <v>10112</v>
      </c>
      <c r="AF44" s="211">
        <v>11248</v>
      </c>
      <c r="AG44" s="211">
        <v>9784</v>
      </c>
      <c r="AH44" s="211">
        <v>11776</v>
      </c>
      <c r="AI44" s="211">
        <v>12156</v>
      </c>
      <c r="AJ44" s="211">
        <v>9952</v>
      </c>
      <c r="AK44" s="211">
        <v>10540</v>
      </c>
      <c r="AL44" s="211">
        <v>16516</v>
      </c>
      <c r="AM44" s="211">
        <v>16303.999999999998</v>
      </c>
      <c r="AN44" s="211">
        <v>8504</v>
      </c>
      <c r="AO44" s="211">
        <v>18732</v>
      </c>
      <c r="AP44" s="211">
        <v>19164</v>
      </c>
      <c r="AQ44" s="211">
        <v>16175.999999999998</v>
      </c>
      <c r="AR44" s="211">
        <v>16784</v>
      </c>
      <c r="AS44" s="211">
        <v>8618</v>
      </c>
      <c r="AT44" s="211">
        <v>12436</v>
      </c>
      <c r="AU44" s="211">
        <v>12840</v>
      </c>
      <c r="AV44" s="211">
        <v>16692</v>
      </c>
      <c r="AW44" s="211">
        <v>14744</v>
      </c>
      <c r="AX44" s="212">
        <v>7.26</v>
      </c>
      <c r="AY44" s="212">
        <v>6.46</v>
      </c>
      <c r="AZ44" s="212">
        <v>6.92</v>
      </c>
      <c r="BA44" s="212">
        <v>6.77</v>
      </c>
      <c r="BB44" s="212">
        <v>7.64</v>
      </c>
      <c r="BC44" s="212">
        <v>7.42</v>
      </c>
      <c r="BD44" s="212">
        <v>6.71</v>
      </c>
      <c r="BE44" s="212">
        <v>6.11</v>
      </c>
      <c r="BF44" s="212">
        <v>5.97</v>
      </c>
      <c r="BG44" s="212">
        <v>6.97</v>
      </c>
      <c r="BH44" s="212">
        <v>6.95</v>
      </c>
      <c r="BI44" s="212">
        <v>7</v>
      </c>
      <c r="BJ44" s="212">
        <v>6.91</v>
      </c>
      <c r="BK44" s="212">
        <v>6.62</v>
      </c>
      <c r="BL44" s="212">
        <v>6.52</v>
      </c>
      <c r="BM44" s="212">
        <v>6.75</v>
      </c>
      <c r="BN44" s="212">
        <v>6.41</v>
      </c>
      <c r="BO44" s="212">
        <v>6.88</v>
      </c>
      <c r="BP44" s="212">
        <v>6.5</v>
      </c>
      <c r="BQ44" s="212">
        <v>5.89</v>
      </c>
      <c r="BR44" s="212">
        <v>6.65</v>
      </c>
      <c r="BS44" s="212">
        <v>6.6</v>
      </c>
      <c r="BT44" s="212">
        <v>6.09</v>
      </c>
      <c r="BU44" s="212">
        <v>6.72</v>
      </c>
      <c r="BV44" s="212">
        <v>7.07</v>
      </c>
      <c r="BW44" s="212">
        <v>6.83</v>
      </c>
      <c r="BX44" s="212">
        <v>6.47</v>
      </c>
      <c r="BY44" s="212">
        <v>6.26</v>
      </c>
      <c r="BZ44" s="212">
        <v>6.77</v>
      </c>
      <c r="CA44" s="212">
        <v>6.89</v>
      </c>
      <c r="CB44" s="212">
        <v>6.33</v>
      </c>
      <c r="CC44" s="212">
        <v>6.92</v>
      </c>
      <c r="CD44" s="212">
        <v>8.19</v>
      </c>
      <c r="CE44" s="212">
        <v>7.63</v>
      </c>
      <c r="CF44" s="212">
        <v>5.85</v>
      </c>
      <c r="CG44" s="212">
        <v>8.7100000000000009</v>
      </c>
      <c r="CH44" s="212">
        <v>8.5</v>
      </c>
      <c r="CI44" s="212">
        <v>7.41</v>
      </c>
      <c r="CJ44" s="212">
        <v>7.88</v>
      </c>
      <c r="CK44" s="212">
        <v>5.74</v>
      </c>
      <c r="CL44" s="212">
        <v>6.9</v>
      </c>
      <c r="CM44" s="212">
        <v>6.92</v>
      </c>
      <c r="CN44" s="212">
        <v>7.92</v>
      </c>
      <c r="CO44" s="212">
        <v>7.5</v>
      </c>
      <c r="CP44" s="213">
        <f>SUM(Input_Raw[[#This Row],[P-01]:[P-56]])/1000</f>
        <v>525.25</v>
      </c>
      <c r="CQ44" s="214">
        <f>IFERROR(AVERAGEIF(Input_Raw[[#This Row],[WS_P-01]:[WS_P-56]],"&lt;&gt;",Input_Raw[[#This Row],[WS_P-01]:[WS_P-56]]),"")</f>
        <v>6.8956818181818171</v>
      </c>
      <c r="CR44" s="215">
        <f>MAX(Input_Raw[[#This Row],[WS_P-01]:[WS_P-56]])</f>
        <v>8.7100000000000009</v>
      </c>
      <c r="CS44" s="215"/>
      <c r="CT44" s="216">
        <f>SUM(Input_Raw[[#This Row],[P-08]:[P-13]],Input_Raw[[#This Row],[P-25]:[P-28]])</f>
        <v>98542</v>
      </c>
      <c r="CU44" s="216"/>
      <c r="CV44" s="216">
        <f>SUM(Input_Raw[[#This Row],[P-04]],Input_Raw[[#This Row],[P-14]:[P-17]],Input_Raw[[#This Row],[P-19]:[P-20]],Input_Raw[[#This Row],[P-22]:[P-23]],Input_Raw[[#This Row],[P-34]],Input_Raw[[#This Row],[P-38]],Input_Raw[[#This Row],[P-43]])</f>
        <v>119890</v>
      </c>
      <c r="CW44" s="216"/>
      <c r="CX44" s="216">
        <f>SUM(Input_Raw[[#This Row],[P-05]:[P-06]],Input_Raw[[#This Row],[P-40]:[P-42]],Input_Raw[[#This Row],[P-45]],Input_Raw[[#This Row],[P-46]],Input_Raw[[#This Row],[P-47]:[P-48]])</f>
        <v>144920</v>
      </c>
      <c r="CY44" s="216"/>
      <c r="CZ44" s="216">
        <f>SUM(Input_Raw[[#This Row],[P-01]:[P-03]],Input_Raw[[#This Row],[P-07]],Input_Raw[[#This Row],[P-18]],Input_Raw[[#This Row],[P-31]:[P-32]],Input_Raw[[#This Row],[P-37]],Input_Raw[[#This Row],[P-50]:[P-56]])</f>
        <v>161898</v>
      </c>
      <c r="DA44" s="217"/>
      <c r="DB44" s="218">
        <f>Input_Raw[[#This Row],[33 kV_Wind_F1_Export reading]]/1000</f>
        <v>98.542000000000002</v>
      </c>
      <c r="DC44" s="218"/>
      <c r="DD44" s="218">
        <f>Input_Raw[[#This Row],[33 kV_Wind_F2_Export_reading]]/1000</f>
        <v>119.89</v>
      </c>
      <c r="DE44" s="218"/>
      <c r="DF44" s="218">
        <f>Input_Raw[[#This Row],[33 kV_Wind_F3_Export_Reading]]/1000</f>
        <v>144.91999999999999</v>
      </c>
      <c r="DG44" s="218"/>
      <c r="DH44" s="218">
        <f>Input_Raw[[#This Row],[33 kV_Wind_F4_Export Reading]]/1000</f>
        <v>161.898</v>
      </c>
      <c r="DI44" s="218"/>
      <c r="DJ44" s="218">
        <f>Input_Raw[[#This Row],[33 kV_F1_Total_Export (MWh)]]+Input_Raw[[#This Row],[33 kV_F2_Total_Export (MWh)2]]+Input_Raw[[#This Row],[33 kV_Wind_F3_Export (MWh)]]+Input_Raw[[#This Row],[33 kV_Wind_F4_Export (MWh)]]</f>
        <v>525.25</v>
      </c>
      <c r="DK44" s="218">
        <f>Input_Raw[[#This Row],[33 kV_Wind_F1_Import (MWh)]]+Input_Raw[[#This Row],[33 kV_Wind_F2_Import (MWh)]]+Input_Raw[[#This Row],[33 kV_Wind_F3_Import (MWh)2]]+Input_Raw[[#This Row],[33 kV_Wind_F4_Import (MWh)2]]</f>
        <v>0</v>
      </c>
      <c r="DL44" s="219">
        <f>IFERROR(Input_Raw[[#This Row],[33 kV_Wind_Total_Export (MWh)]]/Input_Raw[[#This Row],[WTG Total Gneration (MWh)]]-1,"")</f>
        <v>0</v>
      </c>
      <c r="DM44" s="220"/>
      <c r="DN44" s="186">
        <v>96</v>
      </c>
      <c r="DO44" s="186">
        <v>19096.63</v>
      </c>
      <c r="DP44" s="102">
        <v>517.71</v>
      </c>
      <c r="DQ44" s="208"/>
      <c r="DR44" s="181">
        <v>70.400000000000006</v>
      </c>
    </row>
    <row r="45" spans="1:122" ht="15">
      <c r="A45" s="92">
        <f t="shared" si="74"/>
        <v>45785</v>
      </c>
      <c r="B45" s="190">
        <f>YEAR(Input_Raw[[#This Row],[Date]])+IF(MONTH(Input_Raw[[#This Row],[Date]])&gt;=4,1,0)</f>
        <v>2026</v>
      </c>
      <c r="C45" s="190">
        <f>YEAR(Input_Raw[[#This Row],[Date]])</f>
        <v>2025</v>
      </c>
      <c r="D45" s="11">
        <f t="shared" ref="D45" si="99">A45-DAY(A45)+1</f>
        <v>45778</v>
      </c>
      <c r="E45" s="190">
        <f>DAY(EOMONTH(Input_Raw[[#This Row],[Date]],0))</f>
        <v>31</v>
      </c>
      <c r="F45" s="211">
        <v>20072</v>
      </c>
      <c r="G45" s="211">
        <v>16952</v>
      </c>
      <c r="H45" s="211">
        <v>13692</v>
      </c>
      <c r="I45" s="211">
        <v>16204</v>
      </c>
      <c r="J45" s="211">
        <v>18348</v>
      </c>
      <c r="K45" s="211">
        <v>19744</v>
      </c>
      <c r="L45" s="211">
        <v>18256</v>
      </c>
      <c r="M45" s="211">
        <v>11024</v>
      </c>
      <c r="N45" s="211">
        <v>6920</v>
      </c>
      <c r="O45" s="211">
        <v>7492</v>
      </c>
      <c r="P45" s="211">
        <v>8164</v>
      </c>
      <c r="Q45" s="211">
        <v>12246</v>
      </c>
      <c r="R45" s="211">
        <v>12604</v>
      </c>
      <c r="S45" s="211">
        <v>12044</v>
      </c>
      <c r="T45" s="211">
        <v>9286</v>
      </c>
      <c r="U45" s="211">
        <v>11726</v>
      </c>
      <c r="V45" s="211">
        <v>11166</v>
      </c>
      <c r="W45" s="211">
        <v>14280</v>
      </c>
      <c r="X45" s="211">
        <v>10852</v>
      </c>
      <c r="Y45" s="211">
        <v>9423</v>
      </c>
      <c r="Z45" s="211">
        <v>15124</v>
      </c>
      <c r="AA45" s="211">
        <v>13020</v>
      </c>
      <c r="AB45" s="211">
        <v>11684</v>
      </c>
      <c r="AC45" s="211">
        <v>7128</v>
      </c>
      <c r="AD45" s="211">
        <v>12112</v>
      </c>
      <c r="AE45" s="211">
        <v>10112</v>
      </c>
      <c r="AF45" s="211">
        <v>11248</v>
      </c>
      <c r="AG45" s="211">
        <v>11560</v>
      </c>
      <c r="AH45" s="211">
        <v>15624</v>
      </c>
      <c r="AI45" s="211">
        <v>13880</v>
      </c>
      <c r="AJ45" s="211">
        <v>10212</v>
      </c>
      <c r="AK45" s="211">
        <v>13932</v>
      </c>
      <c r="AL45" s="211">
        <v>18252</v>
      </c>
      <c r="AM45" s="211">
        <v>15400</v>
      </c>
      <c r="AN45" s="211">
        <v>10154</v>
      </c>
      <c r="AO45" s="211">
        <v>23244</v>
      </c>
      <c r="AP45" s="211">
        <v>21828</v>
      </c>
      <c r="AQ45" s="211">
        <v>14108</v>
      </c>
      <c r="AR45" s="211">
        <v>19680</v>
      </c>
      <c r="AS45" s="211">
        <v>12836</v>
      </c>
      <c r="AT45" s="211">
        <v>14862</v>
      </c>
      <c r="AU45" s="211">
        <v>16376.000000000002</v>
      </c>
      <c r="AV45" s="211">
        <v>22900</v>
      </c>
      <c r="AW45" s="211">
        <v>21184</v>
      </c>
      <c r="AX45" s="96">
        <v>8.08</v>
      </c>
      <c r="AY45" s="96">
        <v>7.52</v>
      </c>
      <c r="AZ45" s="96">
        <v>7.01</v>
      </c>
      <c r="BA45" s="96">
        <v>7.75</v>
      </c>
      <c r="BB45" s="96">
        <v>7.82</v>
      </c>
      <c r="BC45" s="96">
        <v>8.4499999999999993</v>
      </c>
      <c r="BD45" s="96">
        <v>8.06</v>
      </c>
      <c r="BE45" s="96">
        <v>6.77</v>
      </c>
      <c r="BF45" s="96">
        <v>5.83</v>
      </c>
      <c r="BG45" s="96">
        <v>6.26</v>
      </c>
      <c r="BH45" s="96">
        <v>6.05</v>
      </c>
      <c r="BI45" s="96">
        <v>7</v>
      </c>
      <c r="BJ45" s="96">
        <v>7.07</v>
      </c>
      <c r="BK45" s="96">
        <v>6.9</v>
      </c>
      <c r="BL45" s="96">
        <v>6.66</v>
      </c>
      <c r="BM45" s="96">
        <v>6.9</v>
      </c>
      <c r="BN45" s="96">
        <v>6.46</v>
      </c>
      <c r="BO45" s="96">
        <v>7.14</v>
      </c>
      <c r="BP45" s="96">
        <v>6.76</v>
      </c>
      <c r="BQ45" s="96">
        <v>6.07</v>
      </c>
      <c r="BR45" s="96">
        <v>7.55</v>
      </c>
      <c r="BS45" s="96">
        <v>6.87</v>
      </c>
      <c r="BT45" s="96">
        <v>6.31</v>
      </c>
      <c r="BU45" s="96">
        <v>6.33</v>
      </c>
      <c r="BV45" s="96">
        <v>6.97</v>
      </c>
      <c r="BW45" s="96">
        <v>6.46</v>
      </c>
      <c r="BX45" s="96">
        <v>6.24</v>
      </c>
      <c r="BY45" s="96">
        <v>6.7</v>
      </c>
      <c r="BZ45" s="96">
        <v>7.74</v>
      </c>
      <c r="CA45" s="96">
        <v>7.36</v>
      </c>
      <c r="CB45" s="96">
        <v>6.12</v>
      </c>
      <c r="CC45" s="96">
        <v>7.52</v>
      </c>
      <c r="CD45" s="96">
        <v>8.44</v>
      </c>
      <c r="CE45" s="96">
        <v>7.22</v>
      </c>
      <c r="CF45" s="96">
        <v>6.19</v>
      </c>
      <c r="CG45" s="96">
        <v>9.5500000000000007</v>
      </c>
      <c r="CH45" s="96">
        <v>8.93</v>
      </c>
      <c r="CI45" s="96">
        <v>6.79</v>
      </c>
      <c r="CJ45" s="96">
        <v>8.34</v>
      </c>
      <c r="CK45" s="96">
        <v>6.91</v>
      </c>
      <c r="CL45" s="96">
        <v>7.45</v>
      </c>
      <c r="CM45" s="96">
        <v>7.66</v>
      </c>
      <c r="CN45" s="96">
        <v>9.09</v>
      </c>
      <c r="CO45" s="96">
        <v>8.67</v>
      </c>
      <c r="CP45" s="98">
        <f>SUM(Input_Raw[[#This Row],[P-01]:[P-56]])/1000</f>
        <v>616.95500000000004</v>
      </c>
      <c r="CQ45" s="71">
        <f>IFERROR(AVERAGEIF(Input_Raw[[#This Row],[WS_P-01]:[WS_P-56]],"&lt;&gt;",Input_Raw[[#This Row],[WS_P-01]:[WS_P-56]]),"")</f>
        <v>7.2265909090909108</v>
      </c>
      <c r="CR45" s="99">
        <f>MAX(Input_Raw[[#This Row],[WS_P-01]:[WS_P-56]])</f>
        <v>9.5500000000000007</v>
      </c>
      <c r="CS45" s="99"/>
      <c r="CT45" s="70">
        <f>SUM(Input_Raw[[#This Row],[P-08]:[P-13]],Input_Raw[[#This Row],[P-25]:[P-28]])</f>
        <v>99486</v>
      </c>
      <c r="CU45" s="70"/>
      <c r="CV45" s="70">
        <f>SUM(Input_Raw[[#This Row],[P-04]],Input_Raw[[#This Row],[P-14]:[P-17]],Input_Raw[[#This Row],[P-19]:[P-20]],Input_Raw[[#This Row],[P-22]:[P-23]],Input_Raw[[#This Row],[P-34]],Input_Raw[[#This Row],[P-38]],Input_Raw[[#This Row],[P-43]])</f>
        <v>144835</v>
      </c>
      <c r="CW45" s="70"/>
      <c r="CX45" s="70">
        <f>SUM(Input_Raw[[#This Row],[P-05]:[P-06]],Input_Raw[[#This Row],[P-40]:[P-42]],Input_Raw[[#This Row],[P-45]],Input_Raw[[#This Row],[P-46]],Input_Raw[[#This Row],[P-47]:[P-48]])</f>
        <v>164536</v>
      </c>
      <c r="CY45" s="70"/>
      <c r="CZ45" s="70">
        <f>SUM(Input_Raw[[#This Row],[P-01]:[P-03]],Input_Raw[[#This Row],[P-07]],Input_Raw[[#This Row],[P-18]],Input_Raw[[#This Row],[P-31]:[P-32]],Input_Raw[[#This Row],[P-37]],Input_Raw[[#This Row],[P-50]:[P-56]])</f>
        <v>208098</v>
      </c>
      <c r="DA45" s="12"/>
      <c r="DB45" s="13">
        <f>Input_Raw[[#This Row],[33 kV_Wind_F1_Export reading]]/1000</f>
        <v>99.486000000000004</v>
      </c>
      <c r="DC45" s="13"/>
      <c r="DD45" s="13">
        <f>Input_Raw[[#This Row],[33 kV_Wind_F2_Export_reading]]/1000</f>
        <v>144.83500000000001</v>
      </c>
      <c r="DE45" s="13"/>
      <c r="DF45" s="13">
        <f>Input_Raw[[#This Row],[33 kV_Wind_F3_Export_Reading]]/1000</f>
        <v>164.536</v>
      </c>
      <c r="DG45" s="13"/>
      <c r="DH45" s="13">
        <f>Input_Raw[[#This Row],[33 kV_Wind_F4_Export Reading]]/1000</f>
        <v>208.09800000000001</v>
      </c>
      <c r="DI45" s="13"/>
      <c r="DJ45" s="13">
        <f>Input_Raw[[#This Row],[33 kV_F1_Total_Export (MWh)]]+Input_Raw[[#This Row],[33 kV_F2_Total_Export (MWh)2]]+Input_Raw[[#This Row],[33 kV_Wind_F3_Export (MWh)]]+Input_Raw[[#This Row],[33 kV_Wind_F4_Export (MWh)]]</f>
        <v>616.95500000000004</v>
      </c>
      <c r="DK45" s="13">
        <f>Input_Raw[[#This Row],[33 kV_Wind_F1_Import (MWh)]]+Input_Raw[[#This Row],[33 kV_Wind_F2_Import (MWh)]]+Input_Raw[[#This Row],[33 kV_Wind_F3_Import (MWh)2]]+Input_Raw[[#This Row],[33 kV_Wind_F4_Import (MWh)2]]</f>
        <v>0</v>
      </c>
      <c r="DL45" s="100">
        <f>IFERROR(Input_Raw[[#This Row],[33 kV_Wind_Total_Export (MWh)]]/Input_Raw[[#This Row],[WTG Total Gneration (MWh)]]-1,"")</f>
        <v>0</v>
      </c>
      <c r="DM45" s="66"/>
      <c r="DN45" s="186">
        <v>96</v>
      </c>
      <c r="DO45" s="186">
        <v>39098.5</v>
      </c>
      <c r="DP45" s="102">
        <v>589.61</v>
      </c>
      <c r="DQ45" s="66"/>
      <c r="DR45" s="181">
        <v>70.400000000000006</v>
      </c>
    </row>
    <row r="46" spans="1:122" ht="15">
      <c r="A46" s="92">
        <f t="shared" si="74"/>
        <v>45786</v>
      </c>
      <c r="B46" s="190">
        <f>YEAR(Input_Raw[[#This Row],[Date]])+IF(MONTH(Input_Raw[[#This Row],[Date]])&gt;=4,1,0)</f>
        <v>2026</v>
      </c>
      <c r="C46" s="190">
        <f>YEAR(Input_Raw[[#This Row],[Date]])</f>
        <v>2025</v>
      </c>
      <c r="D46" s="11">
        <f t="shared" ref="D46" si="100">A46-DAY(A46)+1</f>
        <v>45778</v>
      </c>
      <c r="E46" s="190">
        <f>DAY(EOMONTH(Input_Raw[[#This Row],[Date]],0))</f>
        <v>31</v>
      </c>
      <c r="F46" s="211">
        <v>8252</v>
      </c>
      <c r="G46" s="211">
        <v>9048</v>
      </c>
      <c r="H46" s="211">
        <v>6076</v>
      </c>
      <c r="I46" s="211">
        <v>7410</v>
      </c>
      <c r="J46" s="211">
        <v>4716</v>
      </c>
      <c r="K46" s="211">
        <v>6952</v>
      </c>
      <c r="L46" s="211">
        <v>7816</v>
      </c>
      <c r="M46" s="211">
        <v>4492</v>
      </c>
      <c r="N46" s="211">
        <v>2574</v>
      </c>
      <c r="O46" s="211">
        <v>1788</v>
      </c>
      <c r="P46" s="211">
        <v>1888</v>
      </c>
      <c r="Q46" s="211">
        <v>3718</v>
      </c>
      <c r="R46" s="211">
        <v>3184</v>
      </c>
      <c r="S46" s="211">
        <v>2534</v>
      </c>
      <c r="T46" s="211">
        <v>2700</v>
      </c>
      <c r="U46" s="211">
        <v>3532</v>
      </c>
      <c r="V46" s="211">
        <v>3372</v>
      </c>
      <c r="W46" s="211">
        <v>6588</v>
      </c>
      <c r="X46" s="211">
        <v>5014</v>
      </c>
      <c r="Y46" s="211">
        <v>3393</v>
      </c>
      <c r="Z46" s="211">
        <v>7048</v>
      </c>
      <c r="AA46" s="211">
        <v>6200</v>
      </c>
      <c r="AB46" s="211">
        <v>1912</v>
      </c>
      <c r="AC46" s="211">
        <v>1372</v>
      </c>
      <c r="AD46" s="211">
        <v>2588</v>
      </c>
      <c r="AE46" s="211">
        <v>3776</v>
      </c>
      <c r="AF46" s="211">
        <v>4452</v>
      </c>
      <c r="AG46" s="211">
        <v>3106</v>
      </c>
      <c r="AH46" s="211">
        <v>7176</v>
      </c>
      <c r="AI46" s="211">
        <v>3766</v>
      </c>
      <c r="AJ46" s="211">
        <v>3396</v>
      </c>
      <c r="AK46" s="211">
        <v>4548</v>
      </c>
      <c r="AL46" s="211">
        <v>5480</v>
      </c>
      <c r="AM46" s="211">
        <v>3768</v>
      </c>
      <c r="AN46" s="211">
        <v>4938</v>
      </c>
      <c r="AO46" s="211">
        <v>7624</v>
      </c>
      <c r="AP46" s="211">
        <v>6828</v>
      </c>
      <c r="AQ46" s="211">
        <v>3472</v>
      </c>
      <c r="AR46" s="211">
        <v>6048</v>
      </c>
      <c r="AS46" s="211">
        <v>3112</v>
      </c>
      <c r="AT46" s="211">
        <v>3604</v>
      </c>
      <c r="AU46" s="211">
        <v>4584</v>
      </c>
      <c r="AV46" s="211">
        <v>8444</v>
      </c>
      <c r="AW46" s="211">
        <v>7596</v>
      </c>
      <c r="AX46" s="96">
        <v>5.73</v>
      </c>
      <c r="AY46" s="96">
        <v>5.97</v>
      </c>
      <c r="AZ46" s="96">
        <v>5.23</v>
      </c>
      <c r="BA46" s="96">
        <v>5.83</v>
      </c>
      <c r="BB46" s="96">
        <v>4.8</v>
      </c>
      <c r="BC46" s="96">
        <v>5.8</v>
      </c>
      <c r="BD46" s="96">
        <v>5.92</v>
      </c>
      <c r="BE46" s="96">
        <v>4.9800000000000004</v>
      </c>
      <c r="BF46" s="96">
        <v>4.3600000000000003</v>
      </c>
      <c r="BG46" s="96">
        <v>4.25</v>
      </c>
      <c r="BH46" s="96">
        <v>3.94</v>
      </c>
      <c r="BI46" s="96">
        <v>4.6900000000000004</v>
      </c>
      <c r="BJ46" s="96">
        <v>4.57</v>
      </c>
      <c r="BK46" s="96">
        <v>4.49</v>
      </c>
      <c r="BL46" s="96">
        <v>4.54</v>
      </c>
      <c r="BM46" s="96">
        <v>4.83</v>
      </c>
      <c r="BN46" s="96">
        <v>4.47</v>
      </c>
      <c r="BO46" s="96">
        <v>5.38</v>
      </c>
      <c r="BP46" s="96">
        <v>5.16</v>
      </c>
      <c r="BQ46" s="96">
        <v>4.42</v>
      </c>
      <c r="BR46" s="96">
        <v>5.88</v>
      </c>
      <c r="BS46" s="96">
        <v>5.36</v>
      </c>
      <c r="BT46" s="96">
        <v>4.3099999999999996</v>
      </c>
      <c r="BU46" s="96">
        <v>4.59</v>
      </c>
      <c r="BV46" s="96">
        <v>4.83</v>
      </c>
      <c r="BW46" s="96">
        <v>4.7300000000000004</v>
      </c>
      <c r="BX46" s="96">
        <v>4.32</v>
      </c>
      <c r="BY46" s="96">
        <v>4.28</v>
      </c>
      <c r="BZ46" s="96">
        <v>5.89</v>
      </c>
      <c r="CA46" s="96">
        <v>4.6900000000000004</v>
      </c>
      <c r="CB46" s="96">
        <v>4.1399999999999997</v>
      </c>
      <c r="CC46" s="96">
        <v>5.24</v>
      </c>
      <c r="CD46" s="96">
        <v>5.4</v>
      </c>
      <c r="CE46" s="96">
        <v>4.6100000000000003</v>
      </c>
      <c r="CF46" s="96">
        <v>4.87</v>
      </c>
      <c r="CG46" s="96">
        <v>6.73</v>
      </c>
      <c r="CH46" s="96">
        <v>6.38</v>
      </c>
      <c r="CI46" s="96">
        <v>4.47</v>
      </c>
      <c r="CJ46" s="96">
        <v>5.84</v>
      </c>
      <c r="CK46" s="96">
        <v>4.2</v>
      </c>
      <c r="CL46" s="96">
        <v>4.49</v>
      </c>
      <c r="CM46" s="96">
        <v>4.97</v>
      </c>
      <c r="CN46" s="96">
        <v>6.13</v>
      </c>
      <c r="CO46" s="96">
        <v>5.9</v>
      </c>
      <c r="CP46" s="221">
        <f>SUM(Input_Raw[[#This Row],[P-01]:[P-56]])/1000</f>
        <v>209.88499999999999</v>
      </c>
      <c r="CQ46" s="222">
        <f>IFERROR(AVERAGEIF(Input_Raw[[#This Row],[WS_P-01]:[WS_P-56]],"&lt;&gt;",Input_Raw[[#This Row],[WS_P-01]:[WS_P-56]]),"")</f>
        <v>5.0365909090909078</v>
      </c>
      <c r="CR46" s="223">
        <f>MAX(Input_Raw[[#This Row],[WS_P-01]:[WS_P-56]])</f>
        <v>6.73</v>
      </c>
      <c r="CS46" s="223"/>
      <c r="CT46" s="224">
        <f>SUM(Input_Raw[[#This Row],[P-08]:[P-13]],Input_Raw[[#This Row],[P-25]:[P-28]])</f>
        <v>27292</v>
      </c>
      <c r="CU46" s="224"/>
      <c r="CV46" s="224">
        <f>SUM(Input_Raw[[#This Row],[P-04]],Input_Raw[[#This Row],[P-14]:[P-17]],Input_Raw[[#This Row],[P-19]:[P-20]],Input_Raw[[#This Row],[P-22]:[P-23]],Input_Raw[[#This Row],[P-34]],Input_Raw[[#This Row],[P-38]],Input_Raw[[#This Row],[P-43]])</f>
        <v>56713</v>
      </c>
      <c r="CW46" s="224"/>
      <c r="CX46" s="224">
        <f>SUM(Input_Raw[[#This Row],[P-05]:[P-06]],Input_Raw[[#This Row],[P-40]:[P-42]],Input_Raw[[#This Row],[P-45]],Input_Raw[[#This Row],[P-46]],Input_Raw[[#This Row],[P-47]:[P-48]])</f>
        <v>49436</v>
      </c>
      <c r="CY46" s="224"/>
      <c r="CZ46" s="224">
        <f>SUM(Input_Raw[[#This Row],[P-01]:[P-03]],Input_Raw[[#This Row],[P-07]],Input_Raw[[#This Row],[P-18]],Input_Raw[[#This Row],[P-31]:[P-32]],Input_Raw[[#This Row],[P-37]],Input_Raw[[#This Row],[P-50]:[P-56]])</f>
        <v>76444</v>
      </c>
      <c r="DA46" s="225"/>
      <c r="DB46" s="226">
        <f>Input_Raw[[#This Row],[33 kV_Wind_F1_Export reading]]/1000</f>
        <v>27.292000000000002</v>
      </c>
      <c r="DC46" s="226"/>
      <c r="DD46" s="226">
        <f>Input_Raw[[#This Row],[33 kV_Wind_F2_Export_reading]]/1000</f>
        <v>56.713000000000001</v>
      </c>
      <c r="DE46" s="226"/>
      <c r="DF46" s="226">
        <f>Input_Raw[[#This Row],[33 kV_Wind_F3_Export_Reading]]/1000</f>
        <v>49.436</v>
      </c>
      <c r="DG46" s="226"/>
      <c r="DH46" s="226">
        <f>Input_Raw[[#This Row],[33 kV_Wind_F4_Export Reading]]/1000</f>
        <v>76.444000000000003</v>
      </c>
      <c r="DI46" s="226"/>
      <c r="DJ46" s="226">
        <f>Input_Raw[[#This Row],[33 kV_F1_Total_Export (MWh)]]+Input_Raw[[#This Row],[33 kV_F2_Total_Export (MWh)2]]+Input_Raw[[#This Row],[33 kV_Wind_F3_Export (MWh)]]+Input_Raw[[#This Row],[33 kV_Wind_F4_Export (MWh)]]</f>
        <v>209.88499999999999</v>
      </c>
      <c r="DK46" s="226">
        <f>Input_Raw[[#This Row],[33 kV_Wind_F1_Import (MWh)]]+Input_Raw[[#This Row],[33 kV_Wind_F2_Import (MWh)]]+Input_Raw[[#This Row],[33 kV_Wind_F3_Import (MWh)2]]+Input_Raw[[#This Row],[33 kV_Wind_F4_Import (MWh)2]]</f>
        <v>0</v>
      </c>
      <c r="DL46" s="227">
        <f>IFERROR(Input_Raw[[#This Row],[33 kV_Wind_Total_Export (MWh)]]/Input_Raw[[#This Row],[WTG Total Gneration (MWh)]]-1,"")</f>
        <v>0</v>
      </c>
      <c r="DM46" s="228"/>
      <c r="DN46" s="186">
        <v>96</v>
      </c>
      <c r="DO46" s="186">
        <v>7684.87</v>
      </c>
      <c r="DP46" s="102">
        <v>197.15</v>
      </c>
      <c r="DQ46" s="228"/>
      <c r="DR46" s="181">
        <v>70.400000000000006</v>
      </c>
    </row>
    <row r="47" spans="1:122" ht="15">
      <c r="A47" s="92">
        <f t="shared" si="74"/>
        <v>45787</v>
      </c>
      <c r="B47" s="190">
        <f>YEAR(Input_Raw[[#This Row],[Date]])+IF(MONTH(Input_Raw[[#This Row],[Date]])&gt;=4,1,0)</f>
        <v>2026</v>
      </c>
      <c r="C47" s="190">
        <f>YEAR(Input_Raw[[#This Row],[Date]])</f>
        <v>2025</v>
      </c>
      <c r="D47" s="11">
        <f t="shared" ref="D47" si="101">A47-DAY(A47)+1</f>
        <v>45778</v>
      </c>
      <c r="E47" s="190">
        <f>DAY(EOMONTH(Input_Raw[[#This Row],[Date]],0))</f>
        <v>31</v>
      </c>
      <c r="F47" s="211">
        <v>5612</v>
      </c>
      <c r="G47" s="211">
        <v>7000</v>
      </c>
      <c r="H47" s="211">
        <v>5152</v>
      </c>
      <c r="I47" s="211">
        <v>5546</v>
      </c>
      <c r="J47" s="211">
        <v>3928</v>
      </c>
      <c r="K47" s="211">
        <v>4968</v>
      </c>
      <c r="L47" s="211">
        <v>5450</v>
      </c>
      <c r="M47" s="211">
        <v>3156</v>
      </c>
      <c r="N47" s="211">
        <v>2116</v>
      </c>
      <c r="O47" s="211">
        <v>1588</v>
      </c>
      <c r="P47" s="211">
        <v>1944</v>
      </c>
      <c r="Q47" s="211">
        <v>2486</v>
      </c>
      <c r="R47" s="211">
        <v>2352</v>
      </c>
      <c r="S47" s="211">
        <v>512</v>
      </c>
      <c r="T47" s="211">
        <v>2462</v>
      </c>
      <c r="U47" s="211">
        <v>2840</v>
      </c>
      <c r="V47" s="211">
        <v>3168</v>
      </c>
      <c r="W47" s="211">
        <v>5376</v>
      </c>
      <c r="X47" s="211">
        <v>3910</v>
      </c>
      <c r="Y47" s="211">
        <v>3110</v>
      </c>
      <c r="Z47" s="211">
        <v>5148</v>
      </c>
      <c r="AA47" s="211">
        <v>1232</v>
      </c>
      <c r="AB47" s="211">
        <v>2832</v>
      </c>
      <c r="AC47" s="211">
        <v>3112</v>
      </c>
      <c r="AD47" s="211">
        <v>1792</v>
      </c>
      <c r="AE47" s="211">
        <v>2432</v>
      </c>
      <c r="AF47" s="211">
        <v>4132</v>
      </c>
      <c r="AG47" s="211">
        <v>1742</v>
      </c>
      <c r="AH47" s="211">
        <v>5540</v>
      </c>
      <c r="AI47" s="211">
        <v>1876</v>
      </c>
      <c r="AJ47" s="211">
        <v>3020</v>
      </c>
      <c r="AK47" s="211">
        <v>3134</v>
      </c>
      <c r="AL47" s="211">
        <v>3524</v>
      </c>
      <c r="AM47" s="211">
        <v>4048</v>
      </c>
      <c r="AN47" s="211">
        <v>3402</v>
      </c>
      <c r="AO47" s="211">
        <v>5968</v>
      </c>
      <c r="AP47" s="211">
        <v>5200</v>
      </c>
      <c r="AQ47" s="211">
        <v>3048</v>
      </c>
      <c r="AR47" s="211">
        <v>4728</v>
      </c>
      <c r="AS47" s="211">
        <v>1762</v>
      </c>
      <c r="AT47" s="211">
        <v>2132</v>
      </c>
      <c r="AU47" s="211">
        <v>2440</v>
      </c>
      <c r="AV47" s="211">
        <v>5904</v>
      </c>
      <c r="AW47" s="211">
        <v>5324</v>
      </c>
      <c r="AX47" s="96">
        <v>5.38</v>
      </c>
      <c r="AY47" s="96">
        <v>6.13</v>
      </c>
      <c r="AZ47" s="96">
        <v>5.09</v>
      </c>
      <c r="BA47" s="96">
        <v>5.12</v>
      </c>
      <c r="BB47" s="96">
        <v>4.05</v>
      </c>
      <c r="BC47" s="96">
        <v>4.87</v>
      </c>
      <c r="BD47" s="96">
        <v>5.71</v>
      </c>
      <c r="BE47" s="96">
        <v>4.3099999999999996</v>
      </c>
      <c r="BF47" s="96">
        <v>3.94</v>
      </c>
      <c r="BG47" s="96">
        <v>3.9</v>
      </c>
      <c r="BH47" s="96">
        <v>3.66</v>
      </c>
      <c r="BI47" s="96">
        <v>4.1100000000000003</v>
      </c>
      <c r="BJ47" s="96">
        <v>3.89</v>
      </c>
      <c r="BK47" s="96">
        <v>3.71</v>
      </c>
      <c r="BL47" s="96">
        <v>4.05</v>
      </c>
      <c r="BM47" s="96">
        <v>4.2</v>
      </c>
      <c r="BN47" s="96">
        <v>4.21</v>
      </c>
      <c r="BO47" s="96">
        <v>5.5</v>
      </c>
      <c r="BP47" s="96">
        <v>4.47</v>
      </c>
      <c r="BQ47" s="96">
        <v>4.03</v>
      </c>
      <c r="BR47" s="96">
        <v>5.15</v>
      </c>
      <c r="BS47" s="96">
        <v>4.46</v>
      </c>
      <c r="BT47" s="96">
        <v>3.98</v>
      </c>
      <c r="BU47" s="96">
        <v>4.47</v>
      </c>
      <c r="BV47" s="96">
        <v>3.91</v>
      </c>
      <c r="BW47" s="96">
        <v>3.93</v>
      </c>
      <c r="BX47" s="96">
        <v>4.3600000000000003</v>
      </c>
      <c r="BY47" s="96">
        <v>3.54</v>
      </c>
      <c r="BZ47" s="96">
        <v>5.22</v>
      </c>
      <c r="CA47" s="96">
        <v>3.86</v>
      </c>
      <c r="CB47" s="96">
        <v>3.7</v>
      </c>
      <c r="CC47" s="96">
        <v>4.28</v>
      </c>
      <c r="CD47" s="96">
        <v>4.4800000000000004</v>
      </c>
      <c r="CE47" s="96">
        <v>4.0999999999999996</v>
      </c>
      <c r="CF47" s="96">
        <v>4.0599999999999996</v>
      </c>
      <c r="CG47" s="96">
        <v>5.43</v>
      </c>
      <c r="CH47" s="96">
        <v>5.18</v>
      </c>
      <c r="CI47" s="96">
        <v>3.84</v>
      </c>
      <c r="CJ47" s="96">
        <v>4.7300000000000004</v>
      </c>
      <c r="CK47" s="96">
        <v>3.39</v>
      </c>
      <c r="CL47" s="96">
        <v>3.66</v>
      </c>
      <c r="CM47" s="96">
        <v>4.0199999999999996</v>
      </c>
      <c r="CN47" s="96">
        <v>5.25</v>
      </c>
      <c r="CO47" s="96">
        <v>5.87</v>
      </c>
      <c r="CP47" s="98">
        <f>SUM(Input_Raw[[#This Row],[P-01]:[P-56]])/1000</f>
        <v>156.148</v>
      </c>
      <c r="CQ47" s="71">
        <f>IFERROR(AVERAGEIF(Input_Raw[[#This Row],[WS_P-01]:[WS_P-56]],"&lt;&gt;",Input_Raw[[#This Row],[WS_P-01]:[WS_P-56]]),"")</f>
        <v>4.4363636363636365</v>
      </c>
      <c r="CR47" s="99">
        <f>MAX(Input_Raw[[#This Row],[WS_P-01]:[WS_P-56]])</f>
        <v>6.13</v>
      </c>
      <c r="CS47" s="99"/>
      <c r="CT47" s="70">
        <f>SUM(Input_Raw[[#This Row],[P-08]:[P-13]],Input_Raw[[#This Row],[P-25]:[P-28]])</f>
        <v>23810</v>
      </c>
      <c r="CU47" s="70"/>
      <c r="CV47" s="70">
        <f>SUM(Input_Raw[[#This Row],[P-04]],Input_Raw[[#This Row],[P-14]:[P-17]],Input_Raw[[#This Row],[P-19]:[P-20]],Input_Raw[[#This Row],[P-22]:[P-23]],Input_Raw[[#This Row],[P-34]],Input_Raw[[#This Row],[P-38]],Input_Raw[[#This Row],[P-43]])</f>
        <v>39890</v>
      </c>
      <c r="CW47" s="70"/>
      <c r="CX47" s="70">
        <f>SUM(Input_Raw[[#This Row],[P-05]:[P-06]],Input_Raw[[#This Row],[P-40]:[P-42]],Input_Raw[[#This Row],[P-45]],Input_Raw[[#This Row],[P-46]],Input_Raw[[#This Row],[P-47]:[P-48]])</f>
        <v>38546</v>
      </c>
      <c r="CY47" s="70"/>
      <c r="CZ47" s="70">
        <f>SUM(Input_Raw[[#This Row],[P-01]:[P-03]],Input_Raw[[#This Row],[P-07]],Input_Raw[[#This Row],[P-18]],Input_Raw[[#This Row],[P-31]:[P-32]],Input_Raw[[#This Row],[P-37]],Input_Raw[[#This Row],[P-50]:[P-56]])</f>
        <v>53902</v>
      </c>
      <c r="DA47" s="12"/>
      <c r="DB47" s="13">
        <f>Input_Raw[[#This Row],[33 kV_Wind_F1_Export reading]]/1000</f>
        <v>23.81</v>
      </c>
      <c r="DC47" s="13"/>
      <c r="DD47" s="13">
        <f>Input_Raw[[#This Row],[33 kV_Wind_F2_Export_reading]]/1000</f>
        <v>39.89</v>
      </c>
      <c r="DE47" s="13"/>
      <c r="DF47" s="13">
        <f>Input_Raw[[#This Row],[33 kV_Wind_F3_Export_Reading]]/1000</f>
        <v>38.545999999999999</v>
      </c>
      <c r="DG47" s="13"/>
      <c r="DH47" s="13">
        <f>Input_Raw[[#This Row],[33 kV_Wind_F4_Export Reading]]/1000</f>
        <v>53.902000000000001</v>
      </c>
      <c r="DI47" s="13"/>
      <c r="DJ47" s="13">
        <f>Input_Raw[[#This Row],[33 kV_F1_Total_Export (MWh)]]+Input_Raw[[#This Row],[33 kV_F2_Total_Export (MWh)2]]+Input_Raw[[#This Row],[33 kV_Wind_F3_Export (MWh)]]+Input_Raw[[#This Row],[33 kV_Wind_F4_Export (MWh)]]</f>
        <v>156.14800000000002</v>
      </c>
      <c r="DK47" s="13">
        <f>Input_Raw[[#This Row],[33 kV_Wind_F1_Import (MWh)]]+Input_Raw[[#This Row],[33 kV_Wind_F2_Import (MWh)]]+Input_Raw[[#This Row],[33 kV_Wind_F3_Import (MWh)2]]+Input_Raw[[#This Row],[33 kV_Wind_F4_Import (MWh)2]]</f>
        <v>0</v>
      </c>
      <c r="DL47" s="100">
        <f>IFERROR(Input_Raw[[#This Row],[33 kV_Wind_Total_Export (MWh)]]/Input_Raw[[#This Row],[WTG Total Gneration (MWh)]]-1,"")</f>
        <v>2.2204460492503131E-16</v>
      </c>
      <c r="DM47" s="66"/>
      <c r="DN47" s="186">
        <v>73</v>
      </c>
      <c r="DO47" s="186">
        <v>1948.87</v>
      </c>
      <c r="DP47" s="102">
        <v>148.4</v>
      </c>
      <c r="DQ47" s="66"/>
      <c r="DR47" s="181">
        <v>70.400000000000006</v>
      </c>
    </row>
    <row r="48" spans="1:122" ht="15">
      <c r="A48" s="92">
        <f t="shared" si="74"/>
        <v>45788</v>
      </c>
      <c r="B48" s="190">
        <f>YEAR(Input_Raw[[#This Row],[Date]])+IF(MONTH(Input_Raw[[#This Row],[Date]])&gt;=4,1,0)</f>
        <v>2026</v>
      </c>
      <c r="C48" s="190">
        <f>YEAR(Input_Raw[[#This Row],[Date]])</f>
        <v>2025</v>
      </c>
      <c r="D48" s="11">
        <f t="shared" ref="D48" si="102">A48-DAY(A48)+1</f>
        <v>45778</v>
      </c>
      <c r="E48" s="190">
        <f>DAY(EOMONTH(Input_Raw[[#This Row],[Date]],0))</f>
        <v>31</v>
      </c>
      <c r="F48" s="211">
        <v>4208</v>
      </c>
      <c r="G48" s="211">
        <v>4344</v>
      </c>
      <c r="H48" s="211">
        <v>2472</v>
      </c>
      <c r="I48" s="211">
        <v>3128</v>
      </c>
      <c r="J48" s="211">
        <v>2596</v>
      </c>
      <c r="K48" s="211">
        <v>3528</v>
      </c>
      <c r="L48" s="211">
        <v>3910</v>
      </c>
      <c r="M48" s="211">
        <v>1794</v>
      </c>
      <c r="N48" s="211">
        <v>1010</v>
      </c>
      <c r="O48" s="211">
        <v>1012</v>
      </c>
      <c r="P48" s="211">
        <v>1200</v>
      </c>
      <c r="Q48" s="211">
        <v>2001.9999999999998</v>
      </c>
      <c r="R48" s="211">
        <v>1834</v>
      </c>
      <c r="S48" s="211">
        <v>1918</v>
      </c>
      <c r="T48" s="211">
        <v>1688</v>
      </c>
      <c r="U48" s="211">
        <v>1948</v>
      </c>
      <c r="V48" s="211">
        <v>1936</v>
      </c>
      <c r="W48" s="211">
        <v>2804</v>
      </c>
      <c r="X48" s="211">
        <v>2444</v>
      </c>
      <c r="Y48" s="211">
        <v>1849</v>
      </c>
      <c r="Z48" s="211">
        <v>2900</v>
      </c>
      <c r="AA48" s="211">
        <v>1724</v>
      </c>
      <c r="AB48" s="211">
        <v>1860</v>
      </c>
      <c r="AC48" s="211">
        <v>1836</v>
      </c>
      <c r="AD48" s="211">
        <v>2020</v>
      </c>
      <c r="AE48" s="211">
        <v>1716</v>
      </c>
      <c r="AF48" s="211">
        <v>2058</v>
      </c>
      <c r="AG48" s="211">
        <v>1940</v>
      </c>
      <c r="AH48" s="211">
        <v>3188</v>
      </c>
      <c r="AI48" s="211">
        <v>2542</v>
      </c>
      <c r="AJ48" s="211">
        <v>1960</v>
      </c>
      <c r="AK48" s="211">
        <v>2352</v>
      </c>
      <c r="AL48" s="211">
        <v>3020</v>
      </c>
      <c r="AM48" s="211">
        <v>2640</v>
      </c>
      <c r="AN48" s="211">
        <v>1796</v>
      </c>
      <c r="AO48" s="211">
        <v>4616</v>
      </c>
      <c r="AP48" s="211">
        <v>4148</v>
      </c>
      <c r="AQ48" s="211">
        <v>2524</v>
      </c>
      <c r="AR48" s="211">
        <v>3596</v>
      </c>
      <c r="AS48" s="211">
        <v>218</v>
      </c>
      <c r="AT48" s="211">
        <v>2428</v>
      </c>
      <c r="AU48" s="211">
        <v>756</v>
      </c>
      <c r="AV48" s="211">
        <v>4552</v>
      </c>
      <c r="AW48" s="211">
        <v>4080</v>
      </c>
      <c r="AX48" s="96">
        <v>4.25</v>
      </c>
      <c r="AY48" s="96">
        <v>4.5599999999999996</v>
      </c>
      <c r="AZ48" s="96">
        <v>3.81</v>
      </c>
      <c r="BA48" s="96">
        <v>4.1399999999999997</v>
      </c>
      <c r="BB48" s="96">
        <v>3.73</v>
      </c>
      <c r="BC48" s="96">
        <v>4.5599999999999996</v>
      </c>
      <c r="BD48" s="96">
        <v>4.51</v>
      </c>
      <c r="BE48" s="96">
        <v>3.64</v>
      </c>
      <c r="BF48" s="96">
        <v>3.39</v>
      </c>
      <c r="BG48" s="96">
        <v>3.6</v>
      </c>
      <c r="BH48" s="96">
        <v>3.4</v>
      </c>
      <c r="BI48" s="96">
        <v>3.86</v>
      </c>
      <c r="BJ48" s="96">
        <v>3.61</v>
      </c>
      <c r="BK48" s="96">
        <v>3.66</v>
      </c>
      <c r="BL48" s="96">
        <v>3.67</v>
      </c>
      <c r="BM48" s="96">
        <v>3.75</v>
      </c>
      <c r="BN48" s="96">
        <v>3.79</v>
      </c>
      <c r="BO48" s="96">
        <v>4.01</v>
      </c>
      <c r="BP48" s="96">
        <v>3.85</v>
      </c>
      <c r="BQ48" s="96">
        <v>3.5</v>
      </c>
      <c r="BR48" s="96">
        <v>4.29</v>
      </c>
      <c r="BS48" s="96">
        <v>3.78</v>
      </c>
      <c r="BT48" s="96">
        <v>3.43</v>
      </c>
      <c r="BU48" s="96">
        <v>3.97</v>
      </c>
      <c r="BV48" s="96">
        <v>3.73</v>
      </c>
      <c r="BW48" s="96">
        <v>3.44</v>
      </c>
      <c r="BX48" s="96">
        <v>3.18</v>
      </c>
      <c r="BY48" s="96">
        <v>3.57</v>
      </c>
      <c r="BZ48" s="96">
        <v>4.34</v>
      </c>
      <c r="CA48" s="96">
        <v>3.98</v>
      </c>
      <c r="CB48" s="96">
        <v>3.34</v>
      </c>
      <c r="CC48" s="96">
        <v>4.03</v>
      </c>
      <c r="CD48" s="96">
        <v>4.37</v>
      </c>
      <c r="CE48" s="96">
        <v>3.67</v>
      </c>
      <c r="CF48" s="96">
        <v>3.43</v>
      </c>
      <c r="CG48" s="96">
        <v>4.99</v>
      </c>
      <c r="CH48" s="96">
        <v>4.83</v>
      </c>
      <c r="CI48" s="96">
        <v>3.62</v>
      </c>
      <c r="CJ48" s="96">
        <v>4.42</v>
      </c>
      <c r="CK48" s="96">
        <v>3.18</v>
      </c>
      <c r="CL48" s="96">
        <v>3.73</v>
      </c>
      <c r="CM48" s="96">
        <v>3.82</v>
      </c>
      <c r="CN48" s="96">
        <v>4.74</v>
      </c>
      <c r="CO48" s="96">
        <v>4.74</v>
      </c>
      <c r="CP48" s="221">
        <f>SUM(Input_Raw[[#This Row],[P-01]:[P-56]])/1000</f>
        <v>108.095</v>
      </c>
      <c r="CQ48" s="222">
        <f>IFERROR(AVERAGEIF(Input_Raw[[#This Row],[WS_P-01]:[WS_P-56]],"&lt;&gt;",Input_Raw[[#This Row],[WS_P-01]:[WS_P-56]]),"")</f>
        <v>3.9070454545454556</v>
      </c>
      <c r="CR48" s="223">
        <f>MAX(Input_Raw[[#This Row],[WS_P-01]:[WS_P-56]])</f>
        <v>4.99</v>
      </c>
      <c r="CS48" s="223"/>
      <c r="CT48" s="224">
        <f>SUM(Input_Raw[[#This Row],[P-08]:[P-13]],Input_Raw[[#This Row],[P-25]:[P-28]])</f>
        <v>16284</v>
      </c>
      <c r="CU48" s="224"/>
      <c r="CV48" s="224">
        <f>SUM(Input_Raw[[#This Row],[P-04]],Input_Raw[[#This Row],[P-14]:[P-17]],Input_Raw[[#This Row],[P-19]:[P-20]],Input_Raw[[#This Row],[P-22]:[P-23]],Input_Raw[[#This Row],[P-34]],Input_Raw[[#This Row],[P-38]],Input_Raw[[#This Row],[P-43]])</f>
        <v>26479</v>
      </c>
      <c r="CW48" s="224"/>
      <c r="CX48" s="224">
        <f>SUM(Input_Raw[[#This Row],[P-05]:[P-06]],Input_Raw[[#This Row],[P-40]:[P-42]],Input_Raw[[#This Row],[P-45]],Input_Raw[[#This Row],[P-46]],Input_Raw[[#This Row],[P-47]:[P-48]])</f>
        <v>29020</v>
      </c>
      <c r="CY48" s="224"/>
      <c r="CZ48" s="224">
        <f>SUM(Input_Raw[[#This Row],[P-01]:[P-03]],Input_Raw[[#This Row],[P-07]],Input_Raw[[#This Row],[P-18]],Input_Raw[[#This Row],[P-31]:[P-32]],Input_Raw[[#This Row],[P-37]],Input_Raw[[#This Row],[P-50]:[P-56]])</f>
        <v>36312</v>
      </c>
      <c r="DA48" s="225"/>
      <c r="DB48" s="226">
        <f>Input_Raw[[#This Row],[33 kV_Wind_F1_Export reading]]/1000</f>
        <v>16.283999999999999</v>
      </c>
      <c r="DC48" s="226"/>
      <c r="DD48" s="226">
        <f>Input_Raw[[#This Row],[33 kV_Wind_F2_Export_reading]]/1000</f>
        <v>26.478999999999999</v>
      </c>
      <c r="DE48" s="226"/>
      <c r="DF48" s="226">
        <f>Input_Raw[[#This Row],[33 kV_Wind_F3_Export_Reading]]/1000</f>
        <v>29.02</v>
      </c>
      <c r="DG48" s="226"/>
      <c r="DH48" s="226">
        <f>Input_Raw[[#This Row],[33 kV_Wind_F4_Export Reading]]/1000</f>
        <v>36.311999999999998</v>
      </c>
      <c r="DI48" s="226"/>
      <c r="DJ48" s="226">
        <f>Input_Raw[[#This Row],[33 kV_F1_Total_Export (MWh)]]+Input_Raw[[#This Row],[33 kV_F2_Total_Export (MWh)2]]+Input_Raw[[#This Row],[33 kV_Wind_F3_Export (MWh)]]+Input_Raw[[#This Row],[33 kV_Wind_F4_Export (MWh)]]</f>
        <v>108.095</v>
      </c>
      <c r="DK48" s="226">
        <f>Input_Raw[[#This Row],[33 kV_Wind_F1_Import (MWh)]]+Input_Raw[[#This Row],[33 kV_Wind_F2_Import (MWh)]]+Input_Raw[[#This Row],[33 kV_Wind_F3_Import (MWh)2]]+Input_Raw[[#This Row],[33 kV_Wind_F4_Import (MWh)2]]</f>
        <v>0</v>
      </c>
      <c r="DL48" s="227">
        <f>IFERROR(Input_Raw[[#This Row],[33 kV_Wind_Total_Export (MWh)]]/Input_Raw[[#This Row],[WTG Total Gneration (MWh)]]-1,"")</f>
        <v>0</v>
      </c>
      <c r="DM48" s="228"/>
      <c r="DN48" s="186">
        <v>92</v>
      </c>
      <c r="DO48" s="186">
        <v>455.87</v>
      </c>
      <c r="DP48" s="102">
        <v>102.44</v>
      </c>
      <c r="DQ48" s="228"/>
      <c r="DR48" s="181">
        <v>70.400000000000006</v>
      </c>
    </row>
    <row r="49" spans="1:122" ht="15">
      <c r="A49" s="92">
        <f t="shared" si="74"/>
        <v>45789</v>
      </c>
      <c r="B49" s="190">
        <f>YEAR(Input_Raw[[#This Row],[Date]])+IF(MONTH(Input_Raw[[#This Row],[Date]])&gt;=4,1,0)</f>
        <v>2026</v>
      </c>
      <c r="C49" s="190">
        <f>YEAR(Input_Raw[[#This Row],[Date]])</f>
        <v>2025</v>
      </c>
      <c r="D49" s="11">
        <f t="shared" ref="D49" si="103">A49-DAY(A49)+1</f>
        <v>45778</v>
      </c>
      <c r="E49" s="190">
        <f>DAY(EOMONTH(Input_Raw[[#This Row],[Date]],0))</f>
        <v>31</v>
      </c>
      <c r="F49" s="211">
        <v>4132</v>
      </c>
      <c r="G49" s="211">
        <v>1424</v>
      </c>
      <c r="H49" s="211">
        <v>3340</v>
      </c>
      <c r="I49" s="211">
        <v>2600</v>
      </c>
      <c r="J49" s="211">
        <v>2352</v>
      </c>
      <c r="K49" s="211">
        <v>2704</v>
      </c>
      <c r="L49" s="211">
        <v>3216</v>
      </c>
      <c r="M49" s="211">
        <v>1290</v>
      </c>
      <c r="N49" s="211">
        <v>838</v>
      </c>
      <c r="O49" s="211">
        <v>1152</v>
      </c>
      <c r="P49" s="211">
        <v>1148</v>
      </c>
      <c r="Q49" s="211">
        <v>1378</v>
      </c>
      <c r="R49" s="211">
        <v>1378</v>
      </c>
      <c r="S49" s="211">
        <v>1564</v>
      </c>
      <c r="T49" s="211">
        <v>1500</v>
      </c>
      <c r="U49" s="211">
        <v>1840</v>
      </c>
      <c r="V49" s="211">
        <v>2200</v>
      </c>
      <c r="W49" s="211">
        <v>3144</v>
      </c>
      <c r="X49" s="211">
        <v>2080</v>
      </c>
      <c r="Y49" s="211">
        <v>2027.0000000000002</v>
      </c>
      <c r="Z49" s="211">
        <v>2524</v>
      </c>
      <c r="AA49" s="211">
        <v>2276</v>
      </c>
      <c r="AB49" s="211">
        <v>1452</v>
      </c>
      <c r="AC49" s="211">
        <v>1636</v>
      </c>
      <c r="AD49" s="211">
        <v>1836</v>
      </c>
      <c r="AE49" s="211">
        <v>1756</v>
      </c>
      <c r="AF49" s="211">
        <v>2846</v>
      </c>
      <c r="AG49" s="211">
        <v>776</v>
      </c>
      <c r="AH49" s="211">
        <v>2616</v>
      </c>
      <c r="AI49" s="211">
        <v>1516</v>
      </c>
      <c r="AJ49" s="211">
        <v>2392</v>
      </c>
      <c r="AK49" s="211">
        <v>1706</v>
      </c>
      <c r="AL49" s="211">
        <v>496</v>
      </c>
      <c r="AM49" s="211">
        <v>2188</v>
      </c>
      <c r="AN49" s="211">
        <v>1738</v>
      </c>
      <c r="AO49" s="211">
        <v>3236</v>
      </c>
      <c r="AP49" s="211">
        <v>2996</v>
      </c>
      <c r="AQ49" s="211">
        <v>1940</v>
      </c>
      <c r="AR49" s="211">
        <v>3192</v>
      </c>
      <c r="AS49" s="211">
        <v>984</v>
      </c>
      <c r="AT49" s="211">
        <v>1688</v>
      </c>
      <c r="AU49" s="211">
        <v>724</v>
      </c>
      <c r="AV49" s="211">
        <v>3940</v>
      </c>
      <c r="AW49" s="211">
        <v>4027.9999999999995</v>
      </c>
      <c r="AX49" s="96">
        <v>3.86</v>
      </c>
      <c r="AY49" s="96">
        <v>3.93</v>
      </c>
      <c r="AZ49" s="96">
        <v>3.77</v>
      </c>
      <c r="BA49" s="96">
        <v>3.68</v>
      </c>
      <c r="BB49" s="96">
        <v>3.4</v>
      </c>
      <c r="BC49" s="96">
        <v>3.8</v>
      </c>
      <c r="BD49" s="96">
        <v>3.88</v>
      </c>
      <c r="BE49" s="96">
        <v>2.94</v>
      </c>
      <c r="BF49" s="96">
        <v>2.79</v>
      </c>
      <c r="BG49" s="96">
        <v>3.15</v>
      </c>
      <c r="BH49" s="96">
        <v>3.03</v>
      </c>
      <c r="BI49" s="96">
        <v>3.29</v>
      </c>
      <c r="BJ49" s="96">
        <v>3.05</v>
      </c>
      <c r="BK49" s="96">
        <v>3.18</v>
      </c>
      <c r="BL49" s="96">
        <v>3.2</v>
      </c>
      <c r="BM49" s="96">
        <v>3.32</v>
      </c>
      <c r="BN49" s="96">
        <v>3.66</v>
      </c>
      <c r="BO49" s="96">
        <v>3.76</v>
      </c>
      <c r="BP49" s="96">
        <v>3.32</v>
      </c>
      <c r="BQ49" s="96">
        <v>3.22</v>
      </c>
      <c r="BR49" s="96">
        <v>3.79</v>
      </c>
      <c r="BS49" s="96">
        <v>3.56</v>
      </c>
      <c r="BT49" s="96">
        <v>2.88</v>
      </c>
      <c r="BU49" s="96">
        <v>3.72</v>
      </c>
      <c r="BV49" s="96">
        <v>3.37</v>
      </c>
      <c r="BW49" s="96">
        <v>3.32</v>
      </c>
      <c r="BX49" s="96">
        <v>3.19</v>
      </c>
      <c r="BY49" s="96">
        <v>3.02</v>
      </c>
      <c r="BZ49" s="96">
        <v>3.83</v>
      </c>
      <c r="CA49" s="96">
        <v>3.48</v>
      </c>
      <c r="CB49" s="96">
        <v>3.15</v>
      </c>
      <c r="CC49" s="96">
        <v>3.36</v>
      </c>
      <c r="CD49" s="96">
        <v>3.66</v>
      </c>
      <c r="CE49" s="96">
        <v>3.6</v>
      </c>
      <c r="CF49" s="96">
        <v>3.12</v>
      </c>
      <c r="CG49" s="96">
        <v>4.28</v>
      </c>
      <c r="CH49" s="96">
        <v>4.25</v>
      </c>
      <c r="CI49" s="96">
        <v>3.46</v>
      </c>
      <c r="CJ49" s="96">
        <v>4.0999999999999996</v>
      </c>
      <c r="CK49" s="96">
        <v>3.08</v>
      </c>
      <c r="CL49" s="96">
        <v>3.55</v>
      </c>
      <c r="CM49" s="96">
        <v>3.47</v>
      </c>
      <c r="CN49" s="96">
        <v>4.8</v>
      </c>
      <c r="CO49" s="96">
        <v>4.3600000000000003</v>
      </c>
      <c r="CP49" s="221">
        <f>SUM(Input_Raw[[#This Row],[P-01]:[P-56]])/1000</f>
        <v>91.789000000000001</v>
      </c>
      <c r="CQ49" s="222">
        <f>IFERROR(AVERAGEIF(Input_Raw[[#This Row],[WS_P-01]:[WS_P-56]],"&lt;&gt;",Input_Raw[[#This Row],[WS_P-01]:[WS_P-56]]),"")</f>
        <v>3.514318181818183</v>
      </c>
      <c r="CR49" s="223">
        <f>MAX(Input_Raw[[#This Row],[WS_P-01]:[WS_P-56]])</f>
        <v>4.8</v>
      </c>
      <c r="CS49" s="223"/>
      <c r="CT49" s="224">
        <f>SUM(Input_Raw[[#This Row],[P-08]:[P-13]],Input_Raw[[#This Row],[P-25]:[P-28]])</f>
        <v>13864</v>
      </c>
      <c r="CU49" s="224"/>
      <c r="CV49" s="224">
        <f>SUM(Input_Raw[[#This Row],[P-04]],Input_Raw[[#This Row],[P-14]:[P-17]],Input_Raw[[#This Row],[P-19]:[P-20]],Input_Raw[[#This Row],[P-22]:[P-23]],Input_Raw[[#This Row],[P-34]],Input_Raw[[#This Row],[P-38]],Input_Raw[[#This Row],[P-43]])</f>
        <v>25357</v>
      </c>
      <c r="CW49" s="224"/>
      <c r="CX49" s="224">
        <f>SUM(Input_Raw[[#This Row],[P-05]:[P-06]],Input_Raw[[#This Row],[P-40]:[P-42]],Input_Raw[[#This Row],[P-45]],Input_Raw[[#This Row],[P-46]],Input_Raw[[#This Row],[P-47]:[P-48]])</f>
        <v>20810</v>
      </c>
      <c r="CY49" s="224"/>
      <c r="CZ49" s="224">
        <f>SUM(Input_Raw[[#This Row],[P-01]:[P-03]],Input_Raw[[#This Row],[P-07]],Input_Raw[[#This Row],[P-18]],Input_Raw[[#This Row],[P-31]:[P-32]],Input_Raw[[#This Row],[P-37]],Input_Raw[[#This Row],[P-50]:[P-56]])</f>
        <v>31758</v>
      </c>
      <c r="DA49" s="225"/>
      <c r="DB49" s="226">
        <f>Input_Raw[[#This Row],[33 kV_Wind_F1_Export reading]]/1000</f>
        <v>13.864000000000001</v>
      </c>
      <c r="DC49" s="226"/>
      <c r="DD49" s="226">
        <f>Input_Raw[[#This Row],[33 kV_Wind_F2_Export_reading]]/1000</f>
        <v>25.356999999999999</v>
      </c>
      <c r="DE49" s="226"/>
      <c r="DF49" s="226">
        <f>Input_Raw[[#This Row],[33 kV_Wind_F3_Export_Reading]]/1000</f>
        <v>20.81</v>
      </c>
      <c r="DG49" s="226"/>
      <c r="DH49" s="226">
        <f>Input_Raw[[#This Row],[33 kV_Wind_F4_Export Reading]]/1000</f>
        <v>31.757999999999999</v>
      </c>
      <c r="DI49" s="226"/>
      <c r="DJ49" s="226">
        <f>Input_Raw[[#This Row],[33 kV_F1_Total_Export (MWh)]]+Input_Raw[[#This Row],[33 kV_F2_Total_Export (MWh)2]]+Input_Raw[[#This Row],[33 kV_Wind_F3_Export (MWh)]]+Input_Raw[[#This Row],[33 kV_Wind_F4_Export (MWh)]]</f>
        <v>91.789000000000001</v>
      </c>
      <c r="DK49" s="226">
        <f>Input_Raw[[#This Row],[33 kV_Wind_F1_Import (MWh)]]+Input_Raw[[#This Row],[33 kV_Wind_F2_Import (MWh)]]+Input_Raw[[#This Row],[33 kV_Wind_F3_Import (MWh)2]]+Input_Raw[[#This Row],[33 kV_Wind_F4_Import (MWh)2]]</f>
        <v>0</v>
      </c>
      <c r="DL49" s="227">
        <f>IFERROR(Input_Raw[[#This Row],[33 kV_Wind_Total_Export (MWh)]]/Input_Raw[[#This Row],[WTG Total Gneration (MWh)]]-1,"")</f>
        <v>0</v>
      </c>
      <c r="DM49" s="228"/>
      <c r="DN49" s="186">
        <v>96</v>
      </c>
      <c r="DO49" s="186">
        <v>7255.25</v>
      </c>
      <c r="DP49" s="102">
        <v>97.92</v>
      </c>
      <c r="DQ49" s="228"/>
      <c r="DR49" s="181">
        <v>70.400000000000006</v>
      </c>
    </row>
    <row r="50" spans="1:122" ht="15">
      <c r="A50" s="92">
        <f t="shared" si="74"/>
        <v>45790</v>
      </c>
      <c r="B50" s="190">
        <f>YEAR(Input_Raw[[#This Row],[Date]])+IF(MONTH(Input_Raw[[#This Row],[Date]])&gt;=4,1,0)</f>
        <v>2026</v>
      </c>
      <c r="C50" s="190">
        <f>YEAR(Input_Raw[[#This Row],[Date]])</f>
        <v>2025</v>
      </c>
      <c r="D50" s="11">
        <f t="shared" ref="D50" si="104">A50-DAY(A50)+1</f>
        <v>45778</v>
      </c>
      <c r="E50" s="190">
        <f>DAY(EOMONTH(Input_Raw[[#This Row],[Date]],0))</f>
        <v>31</v>
      </c>
      <c r="F50" s="211">
        <v>1696</v>
      </c>
      <c r="G50" s="211">
        <v>1248</v>
      </c>
      <c r="H50" s="211">
        <v>1436</v>
      </c>
      <c r="I50" s="211">
        <v>3048</v>
      </c>
      <c r="J50" s="211">
        <v>1980</v>
      </c>
      <c r="K50" s="211">
        <v>1336</v>
      </c>
      <c r="L50" s="211">
        <v>1092</v>
      </c>
      <c r="M50" s="211">
        <v>1828</v>
      </c>
      <c r="N50" s="211">
        <v>1360</v>
      </c>
      <c r="O50" s="211">
        <v>2200</v>
      </c>
      <c r="P50" s="211">
        <v>2632</v>
      </c>
      <c r="Q50" s="211">
        <v>2924</v>
      </c>
      <c r="R50" s="211">
        <v>2690</v>
      </c>
      <c r="S50" s="211">
        <v>2362</v>
      </c>
      <c r="T50" s="211">
        <v>2092</v>
      </c>
      <c r="U50" s="211">
        <v>2460</v>
      </c>
      <c r="V50" s="211">
        <v>2708</v>
      </c>
      <c r="W50" s="211">
        <v>1504</v>
      </c>
      <c r="X50" s="211">
        <v>2418</v>
      </c>
      <c r="Y50" s="211">
        <v>2173</v>
      </c>
      <c r="Z50" s="211">
        <v>2976</v>
      </c>
      <c r="AA50" s="211">
        <v>2896</v>
      </c>
      <c r="AB50" s="211">
        <v>2448</v>
      </c>
      <c r="AC50" s="211">
        <v>2668</v>
      </c>
      <c r="AD50" s="211">
        <v>2724</v>
      </c>
      <c r="AE50" s="211">
        <v>2400</v>
      </c>
      <c r="AF50" s="211">
        <v>1260</v>
      </c>
      <c r="AG50" s="211">
        <v>880</v>
      </c>
      <c r="AH50" s="211">
        <v>2880</v>
      </c>
      <c r="AI50" s="211">
        <v>1062</v>
      </c>
      <c r="AJ50" s="211">
        <v>2592</v>
      </c>
      <c r="AK50" s="211">
        <v>824</v>
      </c>
      <c r="AL50" s="211">
        <v>0</v>
      </c>
      <c r="AM50" s="211">
        <v>1752</v>
      </c>
      <c r="AN50" s="211">
        <v>554</v>
      </c>
      <c r="AO50" s="211">
        <v>1908</v>
      </c>
      <c r="AP50" s="211">
        <v>1648</v>
      </c>
      <c r="AQ50" s="211">
        <v>1812</v>
      </c>
      <c r="AR50" s="211">
        <v>1864</v>
      </c>
      <c r="AS50" s="211">
        <v>1086</v>
      </c>
      <c r="AT50" s="211">
        <v>1324</v>
      </c>
      <c r="AU50" s="211">
        <v>1120</v>
      </c>
      <c r="AV50" s="211">
        <v>1728</v>
      </c>
      <c r="AW50" s="211">
        <v>1512</v>
      </c>
      <c r="AX50" s="96">
        <v>2.88</v>
      </c>
      <c r="AY50" s="96">
        <v>3.35</v>
      </c>
      <c r="AZ50" s="96">
        <v>3.1</v>
      </c>
      <c r="BA50" s="96">
        <v>3.67</v>
      </c>
      <c r="BB50" s="96">
        <v>3.64</v>
      </c>
      <c r="BC50" s="96">
        <v>3.47</v>
      </c>
      <c r="BD50" s="96">
        <v>3.05</v>
      </c>
      <c r="BE50" s="96">
        <v>3.14</v>
      </c>
      <c r="BF50" s="96">
        <v>3.1</v>
      </c>
      <c r="BG50" s="96">
        <v>3.65</v>
      </c>
      <c r="BH50" s="96">
        <v>3.55</v>
      </c>
      <c r="BI50" s="96">
        <v>3.81</v>
      </c>
      <c r="BJ50" s="96">
        <v>3.64</v>
      </c>
      <c r="BK50" s="96">
        <v>3.52</v>
      </c>
      <c r="BL50" s="96">
        <v>3.61</v>
      </c>
      <c r="BM50" s="96">
        <v>3.65</v>
      </c>
      <c r="BN50" s="96">
        <v>3.85</v>
      </c>
      <c r="BO50" s="96">
        <v>3.23</v>
      </c>
      <c r="BP50" s="96">
        <v>3.62</v>
      </c>
      <c r="BQ50" s="96">
        <v>3.57</v>
      </c>
      <c r="BR50" s="96">
        <v>3.85</v>
      </c>
      <c r="BS50" s="96">
        <v>3.67</v>
      </c>
      <c r="BT50" s="96">
        <v>3.24</v>
      </c>
      <c r="BU50" s="96">
        <v>4.01</v>
      </c>
      <c r="BV50" s="96">
        <v>3.66</v>
      </c>
      <c r="BW50" s="96">
        <v>3.48</v>
      </c>
      <c r="BX50" s="96">
        <v>2.75</v>
      </c>
      <c r="BY50" s="96">
        <v>2.75</v>
      </c>
      <c r="BZ50" s="96">
        <v>3.8</v>
      </c>
      <c r="CA50" s="96">
        <v>3.03</v>
      </c>
      <c r="CB50" s="96">
        <v>3.52</v>
      </c>
      <c r="CC50" s="96">
        <v>2.89</v>
      </c>
      <c r="CD50" s="96">
        <v>3.71</v>
      </c>
      <c r="CE50" s="96">
        <v>3.31</v>
      </c>
      <c r="CF50" s="96">
        <v>3.18</v>
      </c>
      <c r="CG50" s="96">
        <v>3.38</v>
      </c>
      <c r="CH50" s="96">
        <v>3.61</v>
      </c>
      <c r="CI50" s="96">
        <v>3.21</v>
      </c>
      <c r="CJ50" s="96">
        <v>3.6</v>
      </c>
      <c r="CK50" s="96">
        <v>2.88</v>
      </c>
      <c r="CL50" s="96">
        <v>3.05</v>
      </c>
      <c r="CM50" s="96">
        <v>3.21</v>
      </c>
      <c r="CN50" s="96">
        <v>3.19</v>
      </c>
      <c r="CO50" s="96">
        <v>3.43</v>
      </c>
      <c r="CP50" s="221">
        <f>SUM(Input_Raw[[#This Row],[P-01]:[P-56]])/1000</f>
        <v>83.105000000000004</v>
      </c>
      <c r="CQ50" s="222">
        <f>IFERROR(AVERAGEIF(Input_Raw[[#This Row],[WS_P-01]:[WS_P-56]],"&lt;&gt;",Input_Raw[[#This Row],[WS_P-01]:[WS_P-56]]),"")</f>
        <v>3.3979545454545454</v>
      </c>
      <c r="CR50" s="223">
        <f>MAX(Input_Raw[[#This Row],[WS_P-01]:[WS_P-56]])</f>
        <v>4.01</v>
      </c>
      <c r="CS50" s="223"/>
      <c r="CT50" s="224">
        <f>SUM(Input_Raw[[#This Row],[P-08]:[P-13]],Input_Raw[[#This Row],[P-25]:[P-28]])</f>
        <v>23874</v>
      </c>
      <c r="CU50" s="224"/>
      <c r="CV50" s="224">
        <f>SUM(Input_Raw[[#This Row],[P-04]],Input_Raw[[#This Row],[P-14]:[P-17]],Input_Raw[[#This Row],[P-19]:[P-20]],Input_Raw[[#This Row],[P-22]:[P-23]],Input_Raw[[#This Row],[P-34]],Input_Raw[[#This Row],[P-38]],Input_Raw[[#This Row],[P-43]])</f>
        <v>29159</v>
      </c>
      <c r="CW50" s="224"/>
      <c r="CX50" s="224">
        <f>SUM(Input_Raw[[#This Row],[P-05]:[P-06]],Input_Raw[[#This Row],[P-40]:[P-42]],Input_Raw[[#This Row],[P-45]],Input_Raw[[#This Row],[P-46]],Input_Raw[[#This Row],[P-47]:[P-48]])</f>
        <v>13124</v>
      </c>
      <c r="CY50" s="224"/>
      <c r="CZ50" s="224">
        <f>SUM(Input_Raw[[#This Row],[P-01]:[P-03]],Input_Raw[[#This Row],[P-07]],Input_Raw[[#This Row],[P-18]],Input_Raw[[#This Row],[P-31]:[P-32]],Input_Raw[[#This Row],[P-37]],Input_Raw[[#This Row],[P-50]:[P-56]])</f>
        <v>16948</v>
      </c>
      <c r="DA50" s="225"/>
      <c r="DB50" s="226">
        <f>Input_Raw[[#This Row],[33 kV_Wind_F1_Export reading]]/1000</f>
        <v>23.873999999999999</v>
      </c>
      <c r="DC50" s="226"/>
      <c r="DD50" s="226">
        <f>Input_Raw[[#This Row],[33 kV_Wind_F2_Export_reading]]/1000</f>
        <v>29.158999999999999</v>
      </c>
      <c r="DE50" s="226"/>
      <c r="DF50" s="226">
        <f>Input_Raw[[#This Row],[33 kV_Wind_F3_Export_Reading]]/1000</f>
        <v>13.124000000000001</v>
      </c>
      <c r="DG50" s="226"/>
      <c r="DH50" s="226">
        <f>Input_Raw[[#This Row],[33 kV_Wind_F4_Export Reading]]/1000</f>
        <v>16.948</v>
      </c>
      <c r="DI50" s="226"/>
      <c r="DJ50" s="226">
        <f>Input_Raw[[#This Row],[33 kV_F1_Total_Export (MWh)]]+Input_Raw[[#This Row],[33 kV_F2_Total_Export (MWh)2]]+Input_Raw[[#This Row],[33 kV_Wind_F3_Export (MWh)]]+Input_Raw[[#This Row],[33 kV_Wind_F4_Export (MWh)]]</f>
        <v>83.10499999999999</v>
      </c>
      <c r="DK50" s="226">
        <f>Input_Raw[[#This Row],[33 kV_Wind_F1_Import (MWh)]]+Input_Raw[[#This Row],[33 kV_Wind_F2_Import (MWh)]]+Input_Raw[[#This Row],[33 kV_Wind_F3_Import (MWh)2]]+Input_Raw[[#This Row],[33 kV_Wind_F4_Import (MWh)2]]</f>
        <v>0</v>
      </c>
      <c r="DL50" s="227">
        <f>IFERROR(Input_Raw[[#This Row],[33 kV_Wind_Total_Export (MWh)]]/Input_Raw[[#This Row],[WTG Total Gneration (MWh)]]-1,"")</f>
        <v>-2.2204460492503131E-16</v>
      </c>
      <c r="DM50" s="228"/>
      <c r="DN50" s="186">
        <v>69</v>
      </c>
      <c r="DO50" s="186">
        <v>0</v>
      </c>
      <c r="DP50" s="102">
        <v>82.79</v>
      </c>
      <c r="DQ50" s="228"/>
      <c r="DR50" s="181">
        <v>70.400000000000006</v>
      </c>
    </row>
    <row r="51" spans="1:122" ht="15">
      <c r="A51" s="92">
        <f t="shared" si="74"/>
        <v>45791</v>
      </c>
      <c r="B51" s="190">
        <f>YEAR(Input_Raw[[#This Row],[Date]])+IF(MONTH(Input_Raw[[#This Row],[Date]])&gt;=4,1,0)</f>
        <v>2026</v>
      </c>
      <c r="C51" s="190">
        <f>YEAR(Input_Raw[[#This Row],[Date]])</f>
        <v>2025</v>
      </c>
      <c r="D51" s="11">
        <f t="shared" ref="D51" si="105">A51-DAY(A51)+1</f>
        <v>45778</v>
      </c>
      <c r="E51" s="190">
        <f>DAY(EOMONTH(Input_Raw[[#This Row],[Date]],0))</f>
        <v>31</v>
      </c>
      <c r="F51" s="211">
        <v>3744</v>
      </c>
      <c r="G51" s="211">
        <v>3488</v>
      </c>
      <c r="H51" s="211">
        <v>3020</v>
      </c>
      <c r="I51" s="211">
        <v>516</v>
      </c>
      <c r="J51" s="211">
        <v>568</v>
      </c>
      <c r="K51" s="211">
        <v>1648</v>
      </c>
      <c r="L51" s="211">
        <v>2312</v>
      </c>
      <c r="M51" s="211">
        <v>1476</v>
      </c>
      <c r="N51" s="211">
        <v>1120</v>
      </c>
      <c r="O51" s="211">
        <v>1276</v>
      </c>
      <c r="P51" s="211">
        <v>1234</v>
      </c>
      <c r="Q51" s="211">
        <v>1440</v>
      </c>
      <c r="R51" s="211">
        <v>1528</v>
      </c>
      <c r="S51" s="211">
        <v>1532</v>
      </c>
      <c r="T51" s="211">
        <v>1456</v>
      </c>
      <c r="U51" s="211">
        <v>1696</v>
      </c>
      <c r="V51" s="211">
        <v>1836</v>
      </c>
      <c r="W51" s="211">
        <v>3576</v>
      </c>
      <c r="X51" s="211">
        <v>2028</v>
      </c>
      <c r="Y51" s="211">
        <v>1838</v>
      </c>
      <c r="Z51" s="211">
        <v>3020</v>
      </c>
      <c r="AA51" s="211">
        <v>3168</v>
      </c>
      <c r="AB51" s="211">
        <v>2188</v>
      </c>
      <c r="AC51" s="211">
        <v>2112</v>
      </c>
      <c r="AD51" s="211">
        <v>2484</v>
      </c>
      <c r="AE51" s="211">
        <v>2260</v>
      </c>
      <c r="AF51" s="211">
        <v>3036</v>
      </c>
      <c r="AG51" s="211">
        <v>1606</v>
      </c>
      <c r="AH51" s="211">
        <v>3032</v>
      </c>
      <c r="AI51" s="211">
        <v>2858</v>
      </c>
      <c r="AJ51" s="211">
        <v>1672</v>
      </c>
      <c r="AK51" s="211">
        <v>924</v>
      </c>
      <c r="AL51" s="211">
        <v>1140</v>
      </c>
      <c r="AM51" s="211">
        <v>3368</v>
      </c>
      <c r="AN51" s="211">
        <v>1106</v>
      </c>
      <c r="AO51" s="211">
        <v>3668</v>
      </c>
      <c r="AP51" s="211">
        <v>2912</v>
      </c>
      <c r="AQ51" s="211">
        <v>2804</v>
      </c>
      <c r="AR51" s="211">
        <v>3104</v>
      </c>
      <c r="AS51" s="211">
        <v>1214</v>
      </c>
      <c r="AT51" s="211">
        <v>2032</v>
      </c>
      <c r="AU51" s="211">
        <v>2948</v>
      </c>
      <c r="AV51" s="211">
        <v>4096</v>
      </c>
      <c r="AW51" s="211">
        <v>3764</v>
      </c>
      <c r="AX51" s="96">
        <v>4.0599999999999996</v>
      </c>
      <c r="AY51" s="96">
        <v>4.12</v>
      </c>
      <c r="AZ51" s="96">
        <v>3.95</v>
      </c>
      <c r="BA51" s="96">
        <v>3.34</v>
      </c>
      <c r="BB51" s="96">
        <v>3.29</v>
      </c>
      <c r="BC51" s="96">
        <v>3.83</v>
      </c>
      <c r="BD51" s="96">
        <v>3.8</v>
      </c>
      <c r="BE51" s="96">
        <v>3.3</v>
      </c>
      <c r="BF51" s="96">
        <v>3.29</v>
      </c>
      <c r="BG51" s="96">
        <v>3.64</v>
      </c>
      <c r="BH51" s="96">
        <v>3.38</v>
      </c>
      <c r="BI51" s="96">
        <v>3.59</v>
      </c>
      <c r="BJ51" s="96">
        <v>3.52</v>
      </c>
      <c r="BK51" s="96">
        <v>3.51</v>
      </c>
      <c r="BL51" s="96">
        <v>3.51</v>
      </c>
      <c r="BM51" s="96">
        <v>3.58</v>
      </c>
      <c r="BN51" s="96">
        <v>3.66</v>
      </c>
      <c r="BO51" s="96">
        <v>3.97</v>
      </c>
      <c r="BP51" s="96">
        <v>3.51</v>
      </c>
      <c r="BQ51" s="96">
        <v>3.32</v>
      </c>
      <c r="BR51" s="96">
        <v>3.93</v>
      </c>
      <c r="BS51" s="96">
        <v>3.87</v>
      </c>
      <c r="BT51" s="96">
        <v>3.46</v>
      </c>
      <c r="BU51" s="96">
        <v>4.04</v>
      </c>
      <c r="BV51" s="96">
        <v>3.92</v>
      </c>
      <c r="BW51" s="96">
        <v>3.88</v>
      </c>
      <c r="BX51" s="96">
        <v>3.59</v>
      </c>
      <c r="BY51" s="96">
        <v>3.04</v>
      </c>
      <c r="BZ51" s="96">
        <v>3.73</v>
      </c>
      <c r="CA51" s="96">
        <v>3.8</v>
      </c>
      <c r="CB51" s="96">
        <v>3.19</v>
      </c>
      <c r="CC51" s="96">
        <v>3.3</v>
      </c>
      <c r="CD51" s="96">
        <v>3.88</v>
      </c>
      <c r="CE51" s="96">
        <v>4.0199999999999996</v>
      </c>
      <c r="CF51" s="96">
        <v>3.35</v>
      </c>
      <c r="CG51" s="96">
        <v>4.6900000000000004</v>
      </c>
      <c r="CH51" s="96">
        <v>4.3600000000000003</v>
      </c>
      <c r="CI51" s="96">
        <v>3.77</v>
      </c>
      <c r="CJ51" s="96">
        <v>4.26</v>
      </c>
      <c r="CK51" s="96">
        <v>2.74</v>
      </c>
      <c r="CL51" s="96">
        <v>3.32</v>
      </c>
      <c r="CM51" s="96">
        <v>3.96</v>
      </c>
      <c r="CN51" s="96">
        <v>4.45</v>
      </c>
      <c r="CO51" s="96">
        <v>4.4400000000000004</v>
      </c>
      <c r="CP51" s="221">
        <f>SUM(Input_Raw[[#This Row],[P-01]:[P-56]])/1000</f>
        <v>97.847999999999999</v>
      </c>
      <c r="CQ51" s="222">
        <f>IFERROR(AVERAGEIF(Input_Raw[[#This Row],[WS_P-01]:[WS_P-56]],"&lt;&gt;",Input_Raw[[#This Row],[WS_P-01]:[WS_P-56]]),"")</f>
        <v>3.7081818181818189</v>
      </c>
      <c r="CR51" s="223">
        <f>MAX(Input_Raw[[#This Row],[WS_P-01]:[WS_P-56]])</f>
        <v>4.6900000000000004</v>
      </c>
      <c r="CS51" s="223"/>
      <c r="CT51" s="224">
        <f>SUM(Input_Raw[[#This Row],[P-08]:[P-13]],Input_Raw[[#This Row],[P-25]:[P-28]])</f>
        <v>17118</v>
      </c>
      <c r="CU51" s="224"/>
      <c r="CV51" s="224">
        <f>SUM(Input_Raw[[#This Row],[P-04]],Input_Raw[[#This Row],[P-14]:[P-17]],Input_Raw[[#This Row],[P-19]:[P-20]],Input_Raw[[#This Row],[P-22]:[P-23]],Input_Raw[[#This Row],[P-34]],Input_Raw[[#This Row],[P-38]],Input_Raw[[#This Row],[P-43]])</f>
        <v>22900</v>
      </c>
      <c r="CW51" s="224"/>
      <c r="CX51" s="224">
        <f>SUM(Input_Raw[[#This Row],[P-05]:[P-06]],Input_Raw[[#This Row],[P-40]:[P-42]],Input_Raw[[#This Row],[P-45]],Input_Raw[[#This Row],[P-46]],Input_Raw[[#This Row],[P-47]:[P-48]])</f>
        <v>20136</v>
      </c>
      <c r="CY51" s="224"/>
      <c r="CZ51" s="224">
        <f>SUM(Input_Raw[[#This Row],[P-01]:[P-03]],Input_Raw[[#This Row],[P-07]],Input_Raw[[#This Row],[P-18]],Input_Raw[[#This Row],[P-31]:[P-32]],Input_Raw[[#This Row],[P-37]],Input_Raw[[#This Row],[P-50]:[P-56]])</f>
        <v>37694</v>
      </c>
      <c r="DA51" s="225"/>
      <c r="DB51" s="226">
        <f>Input_Raw[[#This Row],[33 kV_Wind_F1_Export reading]]/1000</f>
        <v>17.117999999999999</v>
      </c>
      <c r="DC51" s="226"/>
      <c r="DD51" s="226">
        <f>Input_Raw[[#This Row],[33 kV_Wind_F2_Export_reading]]/1000</f>
        <v>22.9</v>
      </c>
      <c r="DE51" s="226"/>
      <c r="DF51" s="226">
        <f>Input_Raw[[#This Row],[33 kV_Wind_F3_Export_Reading]]/1000</f>
        <v>20.135999999999999</v>
      </c>
      <c r="DG51" s="226"/>
      <c r="DH51" s="226">
        <f>Input_Raw[[#This Row],[33 kV_Wind_F4_Export Reading]]/1000</f>
        <v>37.694000000000003</v>
      </c>
      <c r="DI51" s="226"/>
      <c r="DJ51" s="226">
        <f>Input_Raw[[#This Row],[33 kV_F1_Total_Export (MWh)]]+Input_Raw[[#This Row],[33 kV_F2_Total_Export (MWh)2]]+Input_Raw[[#This Row],[33 kV_Wind_F3_Export (MWh)]]+Input_Raw[[#This Row],[33 kV_Wind_F4_Export (MWh)]]</f>
        <v>97.847999999999999</v>
      </c>
      <c r="DK51" s="226">
        <f>Input_Raw[[#This Row],[33 kV_Wind_F1_Import (MWh)]]+Input_Raw[[#This Row],[33 kV_Wind_F2_Import (MWh)]]+Input_Raw[[#This Row],[33 kV_Wind_F3_Import (MWh)2]]+Input_Raw[[#This Row],[33 kV_Wind_F4_Import (MWh)2]]</f>
        <v>0</v>
      </c>
      <c r="DL51" s="227">
        <f>IFERROR(Input_Raw[[#This Row],[33 kV_Wind_Total_Export (MWh)]]/Input_Raw[[#This Row],[WTG Total Gneration (MWh)]]-1,"")</f>
        <v>0</v>
      </c>
      <c r="DM51" s="228"/>
      <c r="DN51" s="186">
        <v>96</v>
      </c>
      <c r="DO51" s="186">
        <v>0</v>
      </c>
      <c r="DP51" s="102">
        <v>104.47</v>
      </c>
      <c r="DQ51" s="228"/>
      <c r="DR51" s="181">
        <v>70.400000000000006</v>
      </c>
    </row>
    <row r="52" spans="1:122" ht="15">
      <c r="A52" s="92">
        <f t="shared" si="74"/>
        <v>45792</v>
      </c>
      <c r="B52" s="190">
        <f>YEAR(Input_Raw[[#This Row],[Date]])+IF(MONTH(Input_Raw[[#This Row],[Date]])&gt;=4,1,0)</f>
        <v>2026</v>
      </c>
      <c r="C52" s="190">
        <f>YEAR(Input_Raw[[#This Row],[Date]])</f>
        <v>2025</v>
      </c>
      <c r="D52" s="11">
        <f t="shared" ref="D52" si="106">A52-DAY(A52)+1</f>
        <v>45778</v>
      </c>
      <c r="E52" s="190">
        <f>DAY(EOMONTH(Input_Raw[[#This Row],[Date]],0))</f>
        <v>31</v>
      </c>
      <c r="F52" s="211">
        <v>3496</v>
      </c>
      <c r="G52" s="211">
        <v>3012</v>
      </c>
      <c r="H52" s="211">
        <v>2848</v>
      </c>
      <c r="I52" s="211">
        <v>1124</v>
      </c>
      <c r="J52" s="211">
        <v>1732</v>
      </c>
      <c r="K52" s="211">
        <v>2348</v>
      </c>
      <c r="L52" s="211">
        <v>2580</v>
      </c>
      <c r="M52" s="211">
        <v>1212</v>
      </c>
      <c r="N52" s="211">
        <v>680</v>
      </c>
      <c r="O52" s="211">
        <v>754</v>
      </c>
      <c r="P52" s="211">
        <v>910</v>
      </c>
      <c r="Q52" s="211">
        <v>1074</v>
      </c>
      <c r="R52" s="211">
        <v>1058</v>
      </c>
      <c r="S52" s="211">
        <v>1086</v>
      </c>
      <c r="T52" s="211">
        <v>932</v>
      </c>
      <c r="U52" s="211">
        <v>1198</v>
      </c>
      <c r="V52" s="211">
        <v>1516</v>
      </c>
      <c r="W52" s="211">
        <v>3500</v>
      </c>
      <c r="X52" s="211">
        <v>1588</v>
      </c>
      <c r="Y52" s="211">
        <v>1499</v>
      </c>
      <c r="Z52" s="211">
        <v>3488</v>
      </c>
      <c r="AA52" s="211">
        <v>3676</v>
      </c>
      <c r="AB52" s="211">
        <v>2028</v>
      </c>
      <c r="AC52" s="211">
        <v>2132</v>
      </c>
      <c r="AD52" s="211">
        <v>2320</v>
      </c>
      <c r="AE52" s="211">
        <v>1868</v>
      </c>
      <c r="AF52" s="211">
        <v>2526</v>
      </c>
      <c r="AG52" s="211">
        <v>1338</v>
      </c>
      <c r="AH52" s="211">
        <v>3696</v>
      </c>
      <c r="AI52" s="211">
        <v>2508</v>
      </c>
      <c r="AJ52" s="211">
        <v>1812</v>
      </c>
      <c r="AK52" s="211">
        <v>1216</v>
      </c>
      <c r="AL52" s="211">
        <v>2496</v>
      </c>
      <c r="AM52" s="211">
        <v>3928</v>
      </c>
      <c r="AN52" s="211">
        <v>2352</v>
      </c>
      <c r="AO52" s="211">
        <v>3500</v>
      </c>
      <c r="AP52" s="211">
        <v>3112</v>
      </c>
      <c r="AQ52" s="211">
        <v>3064</v>
      </c>
      <c r="AR52" s="211">
        <v>3572</v>
      </c>
      <c r="AS52" s="211">
        <v>1104</v>
      </c>
      <c r="AT52" s="211">
        <v>1826</v>
      </c>
      <c r="AU52" s="211">
        <v>2620</v>
      </c>
      <c r="AV52" s="211">
        <v>3908</v>
      </c>
      <c r="AW52" s="211">
        <v>3816</v>
      </c>
      <c r="AX52" s="96">
        <v>4.51</v>
      </c>
      <c r="AY52" s="96">
        <v>4.67</v>
      </c>
      <c r="AZ52" s="96">
        <v>4.45</v>
      </c>
      <c r="BA52" s="96">
        <v>3.83</v>
      </c>
      <c r="BB52" s="96">
        <v>4.1900000000000004</v>
      </c>
      <c r="BC52" s="96">
        <v>4.5999999999999996</v>
      </c>
      <c r="BD52" s="96">
        <v>4.37</v>
      </c>
      <c r="BE52" s="96">
        <v>3.24</v>
      </c>
      <c r="BF52" s="96">
        <v>2.95</v>
      </c>
      <c r="BG52" s="96">
        <v>3.22</v>
      </c>
      <c r="BH52" s="96">
        <v>3.04</v>
      </c>
      <c r="BI52" s="96">
        <v>3.23</v>
      </c>
      <c r="BJ52" s="96">
        <v>2.99</v>
      </c>
      <c r="BK52" s="96">
        <v>3.04</v>
      </c>
      <c r="BL52" s="96">
        <v>3.12</v>
      </c>
      <c r="BM52" s="96">
        <v>3.16</v>
      </c>
      <c r="BN52" s="96">
        <v>3.51</v>
      </c>
      <c r="BO52" s="96">
        <v>5.0999999999999996</v>
      </c>
      <c r="BP52" s="96">
        <v>3.35</v>
      </c>
      <c r="BQ52" s="96">
        <v>3.24</v>
      </c>
      <c r="BR52" s="96">
        <v>4.3899999999999997</v>
      </c>
      <c r="BS52" s="96">
        <v>4.33</v>
      </c>
      <c r="BT52" s="96">
        <v>3.5</v>
      </c>
      <c r="BU52" s="96">
        <v>4.08</v>
      </c>
      <c r="BV52" s="96">
        <v>3.94</v>
      </c>
      <c r="BW52" s="96">
        <v>3.72</v>
      </c>
      <c r="BX52" s="96">
        <v>4.1100000000000003</v>
      </c>
      <c r="BY52" s="96">
        <v>3.64</v>
      </c>
      <c r="BZ52" s="96">
        <v>4.3600000000000003</v>
      </c>
      <c r="CA52" s="96">
        <v>4.58</v>
      </c>
      <c r="CB52" s="96">
        <v>3.19</v>
      </c>
      <c r="CC52" s="96">
        <v>3.6</v>
      </c>
      <c r="CD52" s="96">
        <v>4.8600000000000003</v>
      </c>
      <c r="CE52" s="96">
        <v>4.93</v>
      </c>
      <c r="CF52" s="96">
        <v>3.65</v>
      </c>
      <c r="CG52" s="96">
        <v>5.3</v>
      </c>
      <c r="CH52" s="96">
        <v>5.19</v>
      </c>
      <c r="CI52" s="96">
        <v>4.43</v>
      </c>
      <c r="CJ52" s="96">
        <v>5.07</v>
      </c>
      <c r="CK52" s="96">
        <v>3.18</v>
      </c>
      <c r="CL52" s="96">
        <v>3.99</v>
      </c>
      <c r="CM52" s="96">
        <v>4.43</v>
      </c>
      <c r="CN52" s="96">
        <v>5.26</v>
      </c>
      <c r="CO52" s="96">
        <v>5.43</v>
      </c>
      <c r="CP52" s="221">
        <f>SUM(Input_Raw[[#This Row],[P-01]:[P-56]])/1000</f>
        <v>98.052999999999997</v>
      </c>
      <c r="CQ52" s="222">
        <f>IFERROR(AVERAGEIF(Input_Raw[[#This Row],[WS_P-01]:[WS_P-56]],"&lt;&gt;",Input_Raw[[#This Row],[WS_P-01]:[WS_P-56]]),"")</f>
        <v>4.0220454545454549</v>
      </c>
      <c r="CR52" s="223">
        <f>MAX(Input_Raw[[#This Row],[WS_P-01]:[WS_P-56]])</f>
        <v>5.43</v>
      </c>
      <c r="CS52" s="223"/>
      <c r="CT52" s="224">
        <f>SUM(Input_Raw[[#This Row],[P-08]:[P-13]],Input_Raw[[#This Row],[P-25]:[P-28]])</f>
        <v>14036</v>
      </c>
      <c r="CU52" s="224"/>
      <c r="CV52" s="224">
        <f>SUM(Input_Raw[[#This Row],[P-04]],Input_Raw[[#This Row],[P-14]:[P-17]],Input_Raw[[#This Row],[P-19]:[P-20]],Input_Raw[[#This Row],[P-22]:[P-23]],Input_Raw[[#This Row],[P-34]],Input_Raw[[#This Row],[P-38]],Input_Raw[[#This Row],[P-43]])</f>
        <v>23967</v>
      </c>
      <c r="CW52" s="224"/>
      <c r="CX52" s="224">
        <f>SUM(Input_Raw[[#This Row],[P-05]:[P-06]],Input_Raw[[#This Row],[P-40]:[P-42]],Input_Raw[[#This Row],[P-45]],Input_Raw[[#This Row],[P-46]],Input_Raw[[#This Row],[P-47]:[P-48]])</f>
        <v>24968</v>
      </c>
      <c r="CY52" s="224"/>
      <c r="CZ52" s="224">
        <f>SUM(Input_Raw[[#This Row],[P-01]:[P-03]],Input_Raw[[#This Row],[P-07]],Input_Raw[[#This Row],[P-18]],Input_Raw[[#This Row],[P-31]:[P-32]],Input_Raw[[#This Row],[P-37]],Input_Raw[[#This Row],[P-50]:[P-56]])</f>
        <v>35082</v>
      </c>
      <c r="DA52" s="225"/>
      <c r="DB52" s="226">
        <f>Input_Raw[[#This Row],[33 kV_Wind_F1_Export reading]]/1000</f>
        <v>14.036</v>
      </c>
      <c r="DC52" s="226"/>
      <c r="DD52" s="226">
        <f>Input_Raw[[#This Row],[33 kV_Wind_F2_Export_reading]]/1000</f>
        <v>23.966999999999999</v>
      </c>
      <c r="DE52" s="226"/>
      <c r="DF52" s="226">
        <f>Input_Raw[[#This Row],[33 kV_Wind_F3_Export_Reading]]/1000</f>
        <v>24.968</v>
      </c>
      <c r="DG52" s="226"/>
      <c r="DH52" s="226">
        <f>Input_Raw[[#This Row],[33 kV_Wind_F4_Export Reading]]/1000</f>
        <v>35.082000000000001</v>
      </c>
      <c r="DI52" s="226"/>
      <c r="DJ52" s="226">
        <f>Input_Raw[[#This Row],[33 kV_F1_Total_Export (MWh)]]+Input_Raw[[#This Row],[33 kV_F2_Total_Export (MWh)2]]+Input_Raw[[#This Row],[33 kV_Wind_F3_Export (MWh)]]+Input_Raw[[#This Row],[33 kV_Wind_F4_Export (MWh)]]</f>
        <v>98.052999999999997</v>
      </c>
      <c r="DK52" s="226">
        <f>Input_Raw[[#This Row],[33 kV_Wind_F1_Import (MWh)]]+Input_Raw[[#This Row],[33 kV_Wind_F2_Import (MWh)]]+Input_Raw[[#This Row],[33 kV_Wind_F3_Import (MWh)2]]+Input_Raw[[#This Row],[33 kV_Wind_F4_Import (MWh)2]]</f>
        <v>0</v>
      </c>
      <c r="DL52" s="227">
        <f>IFERROR(Input_Raw[[#This Row],[33 kV_Wind_Total_Export (MWh)]]/Input_Raw[[#This Row],[WTG Total Gneration (MWh)]]-1,"")</f>
        <v>0</v>
      </c>
      <c r="DM52" s="228"/>
      <c r="DN52" s="186">
        <v>71</v>
      </c>
      <c r="DO52" s="186">
        <v>2</v>
      </c>
      <c r="DP52" s="102">
        <v>98.72</v>
      </c>
      <c r="DQ52" s="228"/>
      <c r="DR52" s="181">
        <v>70.400000000000006</v>
      </c>
    </row>
    <row r="53" spans="1:122" ht="15">
      <c r="A53" s="92">
        <f t="shared" si="74"/>
        <v>45793</v>
      </c>
      <c r="B53" s="190">
        <f>YEAR(Input_Raw[[#This Row],[Date]])+IF(MONTH(Input_Raw[[#This Row],[Date]])&gt;=4,1,0)</f>
        <v>2026</v>
      </c>
      <c r="C53" s="190">
        <f>YEAR(Input_Raw[[#This Row],[Date]])</f>
        <v>2025</v>
      </c>
      <c r="D53" s="11">
        <f t="shared" ref="D53" si="107">A53-DAY(A53)+1</f>
        <v>45778</v>
      </c>
      <c r="E53" s="190">
        <f>DAY(EOMONTH(Input_Raw[[#This Row],[Date]],0))</f>
        <v>31</v>
      </c>
      <c r="F53" s="211">
        <v>2396</v>
      </c>
      <c r="G53" s="211">
        <v>1696</v>
      </c>
      <c r="H53" s="211">
        <v>1528</v>
      </c>
      <c r="I53" s="211">
        <v>2138</v>
      </c>
      <c r="J53" s="211">
        <v>2536</v>
      </c>
      <c r="K53" s="211">
        <v>1856</v>
      </c>
      <c r="L53" s="211">
        <v>1612</v>
      </c>
      <c r="M53" s="211">
        <v>1172</v>
      </c>
      <c r="N53" s="211">
        <v>716</v>
      </c>
      <c r="O53" s="211">
        <v>974</v>
      </c>
      <c r="P53" s="211">
        <v>1332</v>
      </c>
      <c r="Q53" s="211">
        <v>1582</v>
      </c>
      <c r="R53" s="211">
        <v>1656</v>
      </c>
      <c r="S53" s="211">
        <v>1336</v>
      </c>
      <c r="T53" s="211">
        <v>1392</v>
      </c>
      <c r="U53" s="211">
        <v>1594</v>
      </c>
      <c r="V53" s="211">
        <v>1840</v>
      </c>
      <c r="W53" s="211">
        <v>1844</v>
      </c>
      <c r="X53" s="211">
        <v>1634</v>
      </c>
      <c r="Y53" s="211">
        <v>1279</v>
      </c>
      <c r="Z53" s="211">
        <v>2000</v>
      </c>
      <c r="AA53" s="211">
        <v>1872</v>
      </c>
      <c r="AB53" s="211">
        <v>1312</v>
      </c>
      <c r="AC53" s="211">
        <v>1412</v>
      </c>
      <c r="AD53" s="211">
        <v>1580</v>
      </c>
      <c r="AE53" s="211">
        <v>1472</v>
      </c>
      <c r="AF53" s="211">
        <v>1090</v>
      </c>
      <c r="AG53" s="211">
        <v>888</v>
      </c>
      <c r="AH53" s="211">
        <v>2020</v>
      </c>
      <c r="AI53" s="211">
        <v>1348</v>
      </c>
      <c r="AJ53" s="211">
        <v>1728</v>
      </c>
      <c r="AK53" s="211">
        <v>1116</v>
      </c>
      <c r="AL53" s="211">
        <v>2228</v>
      </c>
      <c r="AM53" s="211">
        <v>2540</v>
      </c>
      <c r="AN53" s="211">
        <v>1224</v>
      </c>
      <c r="AO53" s="211">
        <v>2404</v>
      </c>
      <c r="AP53" s="211">
        <v>2436</v>
      </c>
      <c r="AQ53" s="211">
        <v>2160</v>
      </c>
      <c r="AR53" s="211">
        <v>2588</v>
      </c>
      <c r="AS53" s="211">
        <v>1184</v>
      </c>
      <c r="AT53" s="211">
        <v>1522</v>
      </c>
      <c r="AU53" s="211">
        <v>1548</v>
      </c>
      <c r="AV53" s="211">
        <v>2596</v>
      </c>
      <c r="AW53" s="211">
        <v>2116</v>
      </c>
      <c r="AX53" s="96">
        <v>3.58</v>
      </c>
      <c r="AY53" s="96">
        <v>3.64</v>
      </c>
      <c r="AZ53" s="96">
        <v>3.35</v>
      </c>
      <c r="BA53" s="96">
        <v>3.76</v>
      </c>
      <c r="BB53" s="96">
        <v>3.94</v>
      </c>
      <c r="BC53" s="96">
        <v>3.81</v>
      </c>
      <c r="BD53" s="96">
        <v>3.53</v>
      </c>
      <c r="BE53" s="96">
        <v>3.11</v>
      </c>
      <c r="BF53" s="96">
        <v>2.93</v>
      </c>
      <c r="BG53" s="96">
        <v>3.3</v>
      </c>
      <c r="BH53" s="96">
        <v>3.44</v>
      </c>
      <c r="BI53" s="96">
        <v>3.6</v>
      </c>
      <c r="BJ53" s="96">
        <v>3.5</v>
      </c>
      <c r="BK53" s="96">
        <v>3.49</v>
      </c>
      <c r="BL53" s="96">
        <v>3.61</v>
      </c>
      <c r="BM53" s="96">
        <v>3.74</v>
      </c>
      <c r="BN53" s="96">
        <v>3.86</v>
      </c>
      <c r="BO53" s="96">
        <v>3.55</v>
      </c>
      <c r="BP53" s="96">
        <v>3.56</v>
      </c>
      <c r="BQ53" s="96">
        <v>3.43</v>
      </c>
      <c r="BR53" s="96">
        <v>3.84</v>
      </c>
      <c r="BS53" s="96">
        <v>3.68</v>
      </c>
      <c r="BT53" s="96">
        <v>3.1</v>
      </c>
      <c r="BU53" s="96">
        <v>3.86</v>
      </c>
      <c r="BV53" s="96">
        <v>3.56</v>
      </c>
      <c r="BW53" s="96">
        <v>3.5</v>
      </c>
      <c r="BX53" s="96">
        <v>2.77</v>
      </c>
      <c r="BY53" s="96">
        <v>2.85</v>
      </c>
      <c r="BZ53" s="96">
        <v>3.91</v>
      </c>
      <c r="CA53" s="96">
        <v>3.23</v>
      </c>
      <c r="CB53" s="96">
        <v>3.4</v>
      </c>
      <c r="CC53" s="96">
        <v>3.2</v>
      </c>
      <c r="CD53" s="96">
        <v>4.28</v>
      </c>
      <c r="CE53" s="96">
        <v>3.8</v>
      </c>
      <c r="CF53" s="96">
        <v>3.15</v>
      </c>
      <c r="CG53" s="96">
        <v>3.92</v>
      </c>
      <c r="CH53" s="96">
        <v>4.08</v>
      </c>
      <c r="CI53" s="96">
        <v>3.56</v>
      </c>
      <c r="CJ53" s="96">
        <v>4.04</v>
      </c>
      <c r="CK53" s="96">
        <v>3.1</v>
      </c>
      <c r="CL53" s="96">
        <v>3.31</v>
      </c>
      <c r="CM53" s="96">
        <v>3.54</v>
      </c>
      <c r="CN53" s="96">
        <v>3.85</v>
      </c>
      <c r="CO53" s="96">
        <v>3.87</v>
      </c>
      <c r="CP53" s="221">
        <f>SUM(Input_Raw[[#This Row],[P-01]:[P-56]])/1000</f>
        <v>74.497</v>
      </c>
      <c r="CQ53" s="222">
        <f>IFERROR(AVERAGEIF(Input_Raw[[#This Row],[WS_P-01]:[WS_P-56]],"&lt;&gt;",Input_Raw[[#This Row],[WS_P-01]:[WS_P-56]]),"")</f>
        <v>3.5484090909090908</v>
      </c>
      <c r="CR53" s="223">
        <f>MAX(Input_Raw[[#This Row],[WS_P-01]:[WS_P-56]])</f>
        <v>4.28</v>
      </c>
      <c r="CS53" s="223"/>
      <c r="CT53" s="224">
        <f>SUM(Input_Raw[[#This Row],[P-08]:[P-13]],Input_Raw[[#This Row],[P-25]:[P-28]])</f>
        <v>13208</v>
      </c>
      <c r="CU53" s="224"/>
      <c r="CV53" s="224">
        <f>SUM(Input_Raw[[#This Row],[P-04]],Input_Raw[[#This Row],[P-14]:[P-17]],Input_Raw[[#This Row],[P-19]:[P-20]],Input_Raw[[#This Row],[P-22]:[P-23]],Input_Raw[[#This Row],[P-34]],Input_Raw[[#This Row],[P-38]],Input_Raw[[#This Row],[P-43]])</f>
        <v>20057</v>
      </c>
      <c r="CW53" s="224"/>
      <c r="CX53" s="224">
        <f>SUM(Input_Raw[[#This Row],[P-05]:[P-06]],Input_Raw[[#This Row],[P-40]:[P-42]],Input_Raw[[#This Row],[P-45]],Input_Raw[[#This Row],[P-46]],Input_Raw[[#This Row],[P-47]:[P-48]])</f>
        <v>19864</v>
      </c>
      <c r="CY53" s="224"/>
      <c r="CZ53" s="224">
        <f>SUM(Input_Raw[[#This Row],[P-01]:[P-03]],Input_Raw[[#This Row],[P-07]],Input_Raw[[#This Row],[P-18]],Input_Raw[[#This Row],[P-31]:[P-32]],Input_Raw[[#This Row],[P-37]],Input_Raw[[#This Row],[P-50]:[P-56]])</f>
        <v>21368</v>
      </c>
      <c r="DA53" s="225"/>
      <c r="DB53" s="226">
        <f>Input_Raw[[#This Row],[33 kV_Wind_F1_Export reading]]/1000</f>
        <v>13.208</v>
      </c>
      <c r="DC53" s="226"/>
      <c r="DD53" s="226">
        <f>Input_Raw[[#This Row],[33 kV_Wind_F2_Export_reading]]/1000</f>
        <v>20.056999999999999</v>
      </c>
      <c r="DE53" s="226"/>
      <c r="DF53" s="226">
        <f>Input_Raw[[#This Row],[33 kV_Wind_F3_Export_Reading]]/1000</f>
        <v>19.864000000000001</v>
      </c>
      <c r="DG53" s="226"/>
      <c r="DH53" s="226">
        <f>Input_Raw[[#This Row],[33 kV_Wind_F4_Export Reading]]/1000</f>
        <v>21.367999999999999</v>
      </c>
      <c r="DI53" s="226"/>
      <c r="DJ53" s="226">
        <f>Input_Raw[[#This Row],[33 kV_F1_Total_Export (MWh)]]+Input_Raw[[#This Row],[33 kV_F2_Total_Export (MWh)2]]+Input_Raw[[#This Row],[33 kV_Wind_F3_Export (MWh)]]+Input_Raw[[#This Row],[33 kV_Wind_F4_Export (MWh)]]</f>
        <v>74.497</v>
      </c>
      <c r="DK53" s="226">
        <f>Input_Raw[[#This Row],[33 kV_Wind_F1_Import (MWh)]]+Input_Raw[[#This Row],[33 kV_Wind_F2_Import (MWh)]]+Input_Raw[[#This Row],[33 kV_Wind_F3_Import (MWh)2]]+Input_Raw[[#This Row],[33 kV_Wind_F4_Import (MWh)2]]</f>
        <v>0</v>
      </c>
      <c r="DL53" s="227">
        <f>IFERROR(Input_Raw[[#This Row],[33 kV_Wind_Total_Export (MWh)]]/Input_Raw[[#This Row],[WTG Total Gneration (MWh)]]-1,"")</f>
        <v>0</v>
      </c>
      <c r="DM53" s="228"/>
      <c r="DN53" s="186">
        <v>44</v>
      </c>
      <c r="DO53" s="186">
        <v>0</v>
      </c>
      <c r="DP53" s="102">
        <v>74.53</v>
      </c>
      <c r="DQ53" s="228"/>
      <c r="DR53" s="181">
        <v>70.400000000000006</v>
      </c>
    </row>
    <row r="54" spans="1:122" ht="15">
      <c r="A54" s="92">
        <f t="shared" si="74"/>
        <v>45794</v>
      </c>
      <c r="B54" s="190">
        <f>YEAR(Input_Raw[[#This Row],[Date]])+IF(MONTH(Input_Raw[[#This Row],[Date]])&gt;=4,1,0)</f>
        <v>2026</v>
      </c>
      <c r="C54" s="190">
        <f>YEAR(Input_Raw[[#This Row],[Date]])</f>
        <v>2025</v>
      </c>
      <c r="D54" s="11">
        <f t="shared" ref="D54" si="108">A54-DAY(A54)+1</f>
        <v>45778</v>
      </c>
      <c r="E54" s="190">
        <f>DAY(EOMONTH(Input_Raw[[#This Row],[Date]],0))</f>
        <v>31</v>
      </c>
      <c r="F54" s="211">
        <v>6200</v>
      </c>
      <c r="G54" s="211">
        <v>4356</v>
      </c>
      <c r="H54" s="211">
        <v>3944</v>
      </c>
      <c r="I54" s="211">
        <v>4634</v>
      </c>
      <c r="J54" s="211">
        <v>5800</v>
      </c>
      <c r="K54" s="211">
        <v>4880</v>
      </c>
      <c r="L54" s="211">
        <v>4512</v>
      </c>
      <c r="M54" s="211">
        <v>2636</v>
      </c>
      <c r="N54" s="211">
        <v>1916</v>
      </c>
      <c r="O54" s="211">
        <v>2364</v>
      </c>
      <c r="P54" s="211">
        <v>2470</v>
      </c>
      <c r="Q54" s="211">
        <v>2664</v>
      </c>
      <c r="R54" s="211">
        <v>2298</v>
      </c>
      <c r="S54" s="211">
        <v>2564</v>
      </c>
      <c r="T54" s="211">
        <v>1618</v>
      </c>
      <c r="U54" s="211">
        <v>2870</v>
      </c>
      <c r="V54" s="211">
        <v>3096</v>
      </c>
      <c r="W54" s="211">
        <v>5188</v>
      </c>
      <c r="X54" s="211">
        <v>3296</v>
      </c>
      <c r="Y54" s="211">
        <v>2663</v>
      </c>
      <c r="Z54" s="211">
        <v>4400</v>
      </c>
      <c r="AA54" s="211">
        <v>4152</v>
      </c>
      <c r="AB54" s="211">
        <v>3576</v>
      </c>
      <c r="AC54" s="211">
        <v>3580</v>
      </c>
      <c r="AD54" s="211">
        <v>3856</v>
      </c>
      <c r="AE54" s="211">
        <v>3200</v>
      </c>
      <c r="AF54" s="211">
        <v>4002</v>
      </c>
      <c r="AG54" s="211">
        <v>2168</v>
      </c>
      <c r="AH54" s="211">
        <v>4416</v>
      </c>
      <c r="AI54" s="211">
        <v>3526</v>
      </c>
      <c r="AJ54" s="211">
        <v>3656</v>
      </c>
      <c r="AK54" s="211">
        <v>3488</v>
      </c>
      <c r="AL54" s="211">
        <v>5680</v>
      </c>
      <c r="AM54" s="211">
        <v>6552</v>
      </c>
      <c r="AN54" s="211">
        <v>2790</v>
      </c>
      <c r="AO54" s="211">
        <v>6528</v>
      </c>
      <c r="AP54" s="211">
        <v>6436</v>
      </c>
      <c r="AQ54" s="211">
        <v>5672</v>
      </c>
      <c r="AR54" s="211">
        <v>6332</v>
      </c>
      <c r="AS54" s="211">
        <v>2316</v>
      </c>
      <c r="AT54" s="211">
        <v>3208</v>
      </c>
      <c r="AU54" s="211">
        <v>3712</v>
      </c>
      <c r="AV54" s="211">
        <v>6596</v>
      </c>
      <c r="AW54" s="211">
        <v>5796</v>
      </c>
      <c r="AX54" s="96">
        <v>5.2</v>
      </c>
      <c r="AY54" s="96">
        <v>4.71</v>
      </c>
      <c r="AZ54" s="96">
        <v>4.57</v>
      </c>
      <c r="BA54" s="96">
        <v>5.15</v>
      </c>
      <c r="BB54" s="96">
        <v>5.31</v>
      </c>
      <c r="BC54" s="96">
        <v>5.35</v>
      </c>
      <c r="BD54" s="96">
        <v>5</v>
      </c>
      <c r="BE54" s="96">
        <v>4.38</v>
      </c>
      <c r="BF54" s="96">
        <v>4.28</v>
      </c>
      <c r="BG54" s="96">
        <v>4.7300000000000004</v>
      </c>
      <c r="BH54" s="96">
        <v>4.3099999999999996</v>
      </c>
      <c r="BI54" s="96">
        <v>4.4000000000000004</v>
      </c>
      <c r="BJ54" s="96">
        <v>4.28</v>
      </c>
      <c r="BK54" s="96">
        <v>4.46</v>
      </c>
      <c r="BL54" s="96">
        <v>4.37</v>
      </c>
      <c r="BM54" s="96">
        <v>4.6500000000000004</v>
      </c>
      <c r="BN54" s="96">
        <v>4.5999999999999996</v>
      </c>
      <c r="BO54" s="96">
        <v>5.17</v>
      </c>
      <c r="BP54" s="96">
        <v>4.5599999999999996</v>
      </c>
      <c r="BQ54" s="96">
        <v>4.2</v>
      </c>
      <c r="BR54" s="96">
        <v>5.21</v>
      </c>
      <c r="BS54" s="96">
        <v>4.9000000000000004</v>
      </c>
      <c r="BT54" s="96">
        <v>4.53</v>
      </c>
      <c r="BU54" s="96">
        <v>4.93</v>
      </c>
      <c r="BV54" s="96">
        <v>4.97</v>
      </c>
      <c r="BW54" s="96">
        <v>4.75</v>
      </c>
      <c r="BX54" s="96">
        <v>4.38</v>
      </c>
      <c r="BY54" s="96">
        <v>4</v>
      </c>
      <c r="BZ54" s="96">
        <v>5.22</v>
      </c>
      <c r="CA54" s="96">
        <v>4.7300000000000004</v>
      </c>
      <c r="CB54" s="96">
        <v>4.51</v>
      </c>
      <c r="CC54" s="96">
        <v>4.83</v>
      </c>
      <c r="CD54" s="96">
        <v>5.69</v>
      </c>
      <c r="CE54" s="96">
        <v>5.44</v>
      </c>
      <c r="CF54" s="96">
        <v>4.1100000000000003</v>
      </c>
      <c r="CG54" s="96">
        <v>6.14</v>
      </c>
      <c r="CH54" s="96">
        <v>5.92</v>
      </c>
      <c r="CI54" s="96">
        <v>5.16</v>
      </c>
      <c r="CJ54" s="96">
        <v>5.67</v>
      </c>
      <c r="CK54" s="96">
        <v>3.82</v>
      </c>
      <c r="CL54" s="96">
        <v>4.33</v>
      </c>
      <c r="CM54" s="96">
        <v>4.74</v>
      </c>
      <c r="CN54" s="96">
        <v>5.77</v>
      </c>
      <c r="CO54" s="96">
        <v>5.61</v>
      </c>
      <c r="CP54" s="221">
        <f>SUM(Input_Raw[[#This Row],[P-01]:[P-56]])/1000</f>
        <v>175.607</v>
      </c>
      <c r="CQ54" s="222">
        <f>IFERROR(AVERAGEIF(Input_Raw[[#This Row],[WS_P-01]:[WS_P-56]],"&lt;&gt;",Input_Raw[[#This Row],[WS_P-01]:[WS_P-56]]),"")</f>
        <v>4.8418181818181827</v>
      </c>
      <c r="CR54" s="223">
        <f>MAX(Input_Raw[[#This Row],[WS_P-01]:[WS_P-56]])</f>
        <v>6.14</v>
      </c>
      <c r="CS54" s="223"/>
      <c r="CT54" s="224">
        <f>SUM(Input_Raw[[#This Row],[P-08]:[P-13]],Input_Raw[[#This Row],[P-25]:[P-28]])</f>
        <v>28560</v>
      </c>
      <c r="CU54" s="224"/>
      <c r="CV54" s="224">
        <f>SUM(Input_Raw[[#This Row],[P-04]],Input_Raw[[#This Row],[P-14]:[P-17]],Input_Raw[[#This Row],[P-19]:[P-20]],Input_Raw[[#This Row],[P-22]:[P-23]],Input_Raw[[#This Row],[P-34]],Input_Raw[[#This Row],[P-38]],Input_Raw[[#This Row],[P-43]])</f>
        <v>40155</v>
      </c>
      <c r="CW54" s="224"/>
      <c r="CX54" s="224">
        <f>SUM(Input_Raw[[#This Row],[P-05]:[P-06]],Input_Raw[[#This Row],[P-40]:[P-42]],Input_Raw[[#This Row],[P-45]],Input_Raw[[#This Row],[P-46]],Input_Raw[[#This Row],[P-47]:[P-48]])</f>
        <v>51368</v>
      </c>
      <c r="CY54" s="224"/>
      <c r="CZ54" s="224">
        <f>SUM(Input_Raw[[#This Row],[P-01]:[P-03]],Input_Raw[[#This Row],[P-07]],Input_Raw[[#This Row],[P-18]],Input_Raw[[#This Row],[P-31]:[P-32]],Input_Raw[[#This Row],[P-37]],Input_Raw[[#This Row],[P-50]:[P-56]])</f>
        <v>55524</v>
      </c>
      <c r="DA54" s="225"/>
      <c r="DB54" s="226">
        <f>Input_Raw[[#This Row],[33 kV_Wind_F1_Export reading]]/1000</f>
        <v>28.56</v>
      </c>
      <c r="DC54" s="226"/>
      <c r="DD54" s="226">
        <f>Input_Raw[[#This Row],[33 kV_Wind_F2_Export_reading]]/1000</f>
        <v>40.155000000000001</v>
      </c>
      <c r="DE54" s="226"/>
      <c r="DF54" s="226">
        <f>Input_Raw[[#This Row],[33 kV_Wind_F3_Export_Reading]]/1000</f>
        <v>51.368000000000002</v>
      </c>
      <c r="DG54" s="226"/>
      <c r="DH54" s="226">
        <f>Input_Raw[[#This Row],[33 kV_Wind_F4_Export Reading]]/1000</f>
        <v>55.524000000000001</v>
      </c>
      <c r="DI54" s="226"/>
      <c r="DJ54" s="226">
        <f>Input_Raw[[#This Row],[33 kV_F1_Total_Export (MWh)]]+Input_Raw[[#This Row],[33 kV_F2_Total_Export (MWh)2]]+Input_Raw[[#This Row],[33 kV_Wind_F3_Export (MWh)]]+Input_Raw[[#This Row],[33 kV_Wind_F4_Export (MWh)]]</f>
        <v>175.607</v>
      </c>
      <c r="DK54" s="226">
        <f>Input_Raw[[#This Row],[33 kV_Wind_F1_Import (MWh)]]+Input_Raw[[#This Row],[33 kV_Wind_F2_Import (MWh)]]+Input_Raw[[#This Row],[33 kV_Wind_F3_Import (MWh)2]]+Input_Raw[[#This Row],[33 kV_Wind_F4_Import (MWh)2]]</f>
        <v>0</v>
      </c>
      <c r="DL54" s="227">
        <f>IFERROR(Input_Raw[[#This Row],[33 kV_Wind_Total_Export (MWh)]]/Input_Raw[[#This Row],[WTG Total Gneration (MWh)]]-1,"")</f>
        <v>0</v>
      </c>
      <c r="DM54" s="228"/>
      <c r="DN54" s="186">
        <v>95</v>
      </c>
      <c r="DO54" s="186">
        <v>0</v>
      </c>
      <c r="DP54" s="102">
        <v>167.61</v>
      </c>
      <c r="DQ54" s="228"/>
      <c r="DR54" s="181">
        <v>70.400000000000006</v>
      </c>
    </row>
    <row r="55" spans="1:122" ht="15">
      <c r="A55" s="92">
        <f t="shared" si="74"/>
        <v>45795</v>
      </c>
      <c r="B55" s="190">
        <f>YEAR(Input_Raw[[#This Row],[Date]])+IF(MONTH(Input_Raw[[#This Row],[Date]])&gt;=4,1,0)</f>
        <v>2026</v>
      </c>
      <c r="C55" s="190">
        <f>YEAR(Input_Raw[[#This Row],[Date]])</f>
        <v>2025</v>
      </c>
      <c r="D55" s="11">
        <f t="shared" ref="D55" si="109">A55-DAY(A55)+1</f>
        <v>45778</v>
      </c>
      <c r="E55" s="190">
        <f>DAY(EOMONTH(Input_Raw[[#This Row],[Date]],0))</f>
        <v>31</v>
      </c>
      <c r="F55" s="211">
        <v>4628</v>
      </c>
      <c r="G55" s="211">
        <v>4100</v>
      </c>
      <c r="H55" s="211">
        <v>3848</v>
      </c>
      <c r="I55" s="211">
        <v>3528</v>
      </c>
      <c r="J55" s="211">
        <v>4424</v>
      </c>
      <c r="K55" s="211">
        <v>4043.9999999999995</v>
      </c>
      <c r="L55" s="211">
        <v>4378</v>
      </c>
      <c r="M55" s="211">
        <v>1664</v>
      </c>
      <c r="N55" s="211">
        <v>1364</v>
      </c>
      <c r="O55" s="211">
        <v>1426</v>
      </c>
      <c r="P55" s="211">
        <v>1436</v>
      </c>
      <c r="Q55" s="211">
        <v>1504</v>
      </c>
      <c r="R55" s="211">
        <v>1530</v>
      </c>
      <c r="S55" s="211">
        <v>1630</v>
      </c>
      <c r="T55" s="211">
        <v>1608</v>
      </c>
      <c r="U55" s="211">
        <v>1746</v>
      </c>
      <c r="V55" s="211">
        <v>1932</v>
      </c>
      <c r="W55" s="211">
        <v>4764</v>
      </c>
      <c r="X55" s="211">
        <v>1880</v>
      </c>
      <c r="Y55" s="211">
        <v>1739</v>
      </c>
      <c r="Z55" s="211">
        <v>3204</v>
      </c>
      <c r="AA55" s="211">
        <v>3128</v>
      </c>
      <c r="AB55" s="211">
        <v>2504</v>
      </c>
      <c r="AC55" s="211">
        <v>2432</v>
      </c>
      <c r="AD55" s="211">
        <v>2616</v>
      </c>
      <c r="AE55" s="211">
        <v>2212</v>
      </c>
      <c r="AF55" s="211">
        <v>4434</v>
      </c>
      <c r="AG55" s="211">
        <v>3360</v>
      </c>
      <c r="AH55" s="211">
        <v>2084</v>
      </c>
      <c r="AI55" s="211">
        <v>3230</v>
      </c>
      <c r="AJ55" s="211">
        <v>2146</v>
      </c>
      <c r="AK55" s="211">
        <v>2868</v>
      </c>
      <c r="AL55" s="211">
        <v>3360</v>
      </c>
      <c r="AM55" s="211">
        <v>4252</v>
      </c>
      <c r="AN55" s="211">
        <v>3612</v>
      </c>
      <c r="AO55" s="211">
        <v>4836</v>
      </c>
      <c r="AP55" s="211">
        <v>4672</v>
      </c>
      <c r="AQ55" s="211">
        <v>4584</v>
      </c>
      <c r="AR55" s="211">
        <v>5108</v>
      </c>
      <c r="AS55" s="211">
        <v>2580</v>
      </c>
      <c r="AT55" s="211">
        <v>3268</v>
      </c>
      <c r="AU55" s="211">
        <v>2936</v>
      </c>
      <c r="AV55" s="211">
        <v>5068</v>
      </c>
      <c r="AW55" s="211">
        <v>5080</v>
      </c>
      <c r="AX55" s="95">
        <v>6.93</v>
      </c>
      <c r="AY55" s="95">
        <v>6.84</v>
      </c>
      <c r="AZ55" s="95">
        <v>5.77</v>
      </c>
      <c r="BA55" s="95">
        <v>5.95</v>
      </c>
      <c r="BB55" s="95">
        <v>6.95</v>
      </c>
      <c r="BC55" s="95">
        <v>6.85</v>
      </c>
      <c r="BD55" s="95">
        <v>6.97</v>
      </c>
      <c r="BE55" s="95">
        <v>3.96</v>
      </c>
      <c r="BF55" s="95">
        <v>3.95</v>
      </c>
      <c r="BG55" s="95">
        <v>3.9</v>
      </c>
      <c r="BH55" s="95">
        <v>3.96</v>
      </c>
      <c r="BI55" s="95">
        <v>3.93</v>
      </c>
      <c r="BJ55" s="95">
        <v>3.8</v>
      </c>
      <c r="BK55" s="95">
        <v>3.82</v>
      </c>
      <c r="BL55" s="95">
        <v>3.98</v>
      </c>
      <c r="BM55" s="95">
        <v>3.73</v>
      </c>
      <c r="BN55" s="95">
        <v>3.95</v>
      </c>
      <c r="BO55" s="95">
        <v>6.98</v>
      </c>
      <c r="BP55" s="95">
        <v>3.69</v>
      </c>
      <c r="BQ55" s="95">
        <v>3.86</v>
      </c>
      <c r="BR55" s="95">
        <v>5.73</v>
      </c>
      <c r="BS55" s="95">
        <v>5.9</v>
      </c>
      <c r="BT55" s="95">
        <v>4.95</v>
      </c>
      <c r="BU55" s="95">
        <v>5.98</v>
      </c>
      <c r="BV55" s="95">
        <v>5.93</v>
      </c>
      <c r="BW55" s="95">
        <v>5.95</v>
      </c>
      <c r="BX55" s="95">
        <v>6.78</v>
      </c>
      <c r="BY55" s="95">
        <v>5.82</v>
      </c>
      <c r="BZ55" s="95">
        <v>5.44</v>
      </c>
      <c r="CA55" s="95">
        <v>6.71</v>
      </c>
      <c r="CB55" s="95">
        <v>5.98</v>
      </c>
      <c r="CC55" s="95">
        <v>5.61</v>
      </c>
      <c r="CD55" s="95">
        <v>5.52</v>
      </c>
      <c r="CE55" s="95">
        <v>6.9</v>
      </c>
      <c r="CF55" s="95">
        <v>5.62</v>
      </c>
      <c r="CG55" s="95">
        <v>6.3</v>
      </c>
      <c r="CH55" s="95">
        <v>6.67</v>
      </c>
      <c r="CI55" s="95">
        <v>6.61</v>
      </c>
      <c r="CJ55" s="95">
        <v>6.67</v>
      </c>
      <c r="CK55" s="95">
        <v>4.53</v>
      </c>
      <c r="CL55" s="95">
        <v>5.98</v>
      </c>
      <c r="CM55" s="95">
        <v>4.2300000000000004</v>
      </c>
      <c r="CN55" s="95">
        <v>6.53</v>
      </c>
      <c r="CO55" s="95">
        <v>6.7</v>
      </c>
      <c r="CP55" s="221">
        <f>SUM(Input_Raw[[#This Row],[P-01]:[P-56]])/1000</f>
        <v>136.74700000000001</v>
      </c>
      <c r="CQ55" s="222">
        <f>IFERROR(AVERAGEIF(Input_Raw[[#This Row],[WS_P-01]:[WS_P-56]],"&lt;&gt;",Input_Raw[[#This Row],[WS_P-01]:[WS_P-56]]),"")</f>
        <v>5.518409090909091</v>
      </c>
      <c r="CR55" s="223">
        <f>MAX(Input_Raw[[#This Row],[WS_P-01]:[WS_P-56]])</f>
        <v>6.98</v>
      </c>
      <c r="CS55" s="223"/>
      <c r="CT55" s="224">
        <f>SUM(Input_Raw[[#This Row],[P-08]:[P-13]],Input_Raw[[#This Row],[P-25]:[P-28]])</f>
        <v>18688</v>
      </c>
      <c r="CU55" s="224"/>
      <c r="CV55" s="224">
        <f>SUM(Input_Raw[[#This Row],[P-04]],Input_Raw[[#This Row],[P-14]:[P-17]],Input_Raw[[#This Row],[P-19]:[P-20]],Input_Raw[[#This Row],[P-22]:[P-23]],Input_Raw[[#This Row],[P-34]],Input_Raw[[#This Row],[P-38]],Input_Raw[[#This Row],[P-43]])</f>
        <v>28237</v>
      </c>
      <c r="CW55" s="224"/>
      <c r="CX55" s="224">
        <f>SUM(Input_Raw[[#This Row],[P-05]:[P-06]],Input_Raw[[#This Row],[P-40]:[P-42]],Input_Raw[[#This Row],[P-45]],Input_Raw[[#This Row],[P-46]],Input_Raw[[#This Row],[P-47]:[P-48]])</f>
        <v>38148</v>
      </c>
      <c r="CY55" s="224"/>
      <c r="CZ55" s="224">
        <f>SUM(Input_Raw[[#This Row],[P-01]:[P-03]],Input_Raw[[#This Row],[P-07]],Input_Raw[[#This Row],[P-18]],Input_Raw[[#This Row],[P-31]:[P-32]],Input_Raw[[#This Row],[P-37]],Input_Raw[[#This Row],[P-50]:[P-56]])</f>
        <v>51674</v>
      </c>
      <c r="DA55" s="225"/>
      <c r="DB55" s="226">
        <f>Input_Raw[[#This Row],[33 kV_Wind_F1_Export reading]]/1000</f>
        <v>18.687999999999999</v>
      </c>
      <c r="DC55" s="226"/>
      <c r="DD55" s="226">
        <f>Input_Raw[[#This Row],[33 kV_Wind_F2_Export_reading]]/1000</f>
        <v>28.236999999999998</v>
      </c>
      <c r="DE55" s="226"/>
      <c r="DF55" s="226">
        <f>Input_Raw[[#This Row],[33 kV_Wind_F3_Export_Reading]]/1000</f>
        <v>38.148000000000003</v>
      </c>
      <c r="DG55" s="226"/>
      <c r="DH55" s="226">
        <f>Input_Raw[[#This Row],[33 kV_Wind_F4_Export Reading]]/1000</f>
        <v>51.673999999999999</v>
      </c>
      <c r="DI55" s="226"/>
      <c r="DJ55" s="226">
        <f>Input_Raw[[#This Row],[33 kV_F1_Total_Export (MWh)]]+Input_Raw[[#This Row],[33 kV_F2_Total_Export (MWh)2]]+Input_Raw[[#This Row],[33 kV_Wind_F3_Export (MWh)]]+Input_Raw[[#This Row],[33 kV_Wind_F4_Export (MWh)]]</f>
        <v>136.74700000000001</v>
      </c>
      <c r="DK55" s="226">
        <f>Input_Raw[[#This Row],[33 kV_Wind_F1_Import (MWh)]]+Input_Raw[[#This Row],[33 kV_Wind_F2_Import (MWh)]]+Input_Raw[[#This Row],[33 kV_Wind_F3_Import (MWh)2]]+Input_Raw[[#This Row],[33 kV_Wind_F4_Import (MWh)2]]</f>
        <v>0</v>
      </c>
      <c r="DL55" s="227">
        <f>IFERROR(Input_Raw[[#This Row],[33 kV_Wind_Total_Export (MWh)]]/Input_Raw[[#This Row],[WTG Total Gneration (MWh)]]-1,"")</f>
        <v>0</v>
      </c>
      <c r="DM55" s="228"/>
      <c r="DN55" s="186">
        <v>86</v>
      </c>
      <c r="DO55" s="186">
        <v>0</v>
      </c>
      <c r="DP55" s="102">
        <v>82.84</v>
      </c>
      <c r="DQ55" s="228"/>
      <c r="DR55" s="181">
        <v>70.400000000000006</v>
      </c>
    </row>
    <row r="56" spans="1:122" ht="15">
      <c r="A56" s="92">
        <f t="shared" si="74"/>
        <v>45796</v>
      </c>
      <c r="B56" s="190">
        <f>YEAR(Input_Raw[[#This Row],[Date]])+IF(MONTH(Input_Raw[[#This Row],[Date]])&gt;=4,1,0)</f>
        <v>2026</v>
      </c>
      <c r="C56" s="190">
        <f>YEAR(Input_Raw[[#This Row],[Date]])</f>
        <v>2025</v>
      </c>
      <c r="D56" s="11">
        <f t="shared" ref="D56" si="110">A56-DAY(A56)+1</f>
        <v>45778</v>
      </c>
      <c r="E56" s="190">
        <f>DAY(EOMONTH(Input_Raw[[#This Row],[Date]],0))</f>
        <v>31</v>
      </c>
      <c r="F56" s="199">
        <v>3895</v>
      </c>
      <c r="G56" s="199">
        <v>3718</v>
      </c>
      <c r="H56" s="199">
        <v>3584</v>
      </c>
      <c r="I56" s="199">
        <v>3310</v>
      </c>
      <c r="J56" s="199">
        <v>3341</v>
      </c>
      <c r="K56" s="199">
        <v>3703</v>
      </c>
      <c r="L56" s="199">
        <v>2536</v>
      </c>
      <c r="M56" s="199">
        <v>2236</v>
      </c>
      <c r="N56" s="199">
        <v>2936</v>
      </c>
      <c r="O56" s="199">
        <v>2282</v>
      </c>
      <c r="P56" s="199">
        <v>2193</v>
      </c>
      <c r="Q56" s="199">
        <v>2824</v>
      </c>
      <c r="R56" s="199">
        <v>2246</v>
      </c>
      <c r="S56" s="199">
        <v>2112</v>
      </c>
      <c r="T56" s="199">
        <v>2219</v>
      </c>
      <c r="U56" s="199">
        <v>2025</v>
      </c>
      <c r="V56" s="199">
        <v>2115</v>
      </c>
      <c r="W56" s="199">
        <v>2258</v>
      </c>
      <c r="X56" s="199">
        <v>2295</v>
      </c>
      <c r="Y56" s="199">
        <v>2355</v>
      </c>
      <c r="Z56" s="199">
        <v>2118</v>
      </c>
      <c r="AA56" s="199">
        <v>2123</v>
      </c>
      <c r="AB56" s="199">
        <v>2245</v>
      </c>
      <c r="AC56" s="199">
        <v>2456</v>
      </c>
      <c r="AD56" s="199">
        <v>2856</v>
      </c>
      <c r="AE56" s="199">
        <v>2456</v>
      </c>
      <c r="AF56" s="199">
        <v>2984</v>
      </c>
      <c r="AG56" s="199">
        <v>2569</v>
      </c>
      <c r="AH56" s="199">
        <v>3516</v>
      </c>
      <c r="AI56" s="199">
        <v>3025</v>
      </c>
      <c r="AJ56" s="199">
        <v>2734</v>
      </c>
      <c r="AK56" s="199">
        <v>2854</v>
      </c>
      <c r="AL56" s="199">
        <v>2236</v>
      </c>
      <c r="AM56" s="199">
        <v>3136</v>
      </c>
      <c r="AN56" s="199">
        <v>2854</v>
      </c>
      <c r="AO56" s="199">
        <v>3456</v>
      </c>
      <c r="AP56" s="199">
        <v>2984</v>
      </c>
      <c r="AQ56" s="199">
        <v>3135</v>
      </c>
      <c r="AR56" s="199">
        <v>3892</v>
      </c>
      <c r="AS56" s="199">
        <v>3168</v>
      </c>
      <c r="AT56" s="199">
        <v>3146</v>
      </c>
      <c r="AU56" s="199">
        <v>2980</v>
      </c>
      <c r="AV56" s="199">
        <v>3350</v>
      </c>
      <c r="AW56" s="199">
        <v>3416</v>
      </c>
      <c r="AX56" s="95">
        <v>5.56</v>
      </c>
      <c r="AY56" s="95">
        <v>5.74</v>
      </c>
      <c r="AZ56" s="95">
        <v>5.26</v>
      </c>
      <c r="BA56" s="95">
        <v>5.2</v>
      </c>
      <c r="BB56" s="95">
        <v>4.84</v>
      </c>
      <c r="BC56" s="95">
        <v>4.83</v>
      </c>
      <c r="BD56" s="95">
        <v>4.72</v>
      </c>
      <c r="BE56" s="95">
        <v>4.83</v>
      </c>
      <c r="BF56" s="95">
        <v>4.9000000000000004</v>
      </c>
      <c r="BG56" s="95">
        <v>4.8600000000000003</v>
      </c>
      <c r="BH56" s="95">
        <v>4.76</v>
      </c>
      <c r="BI56" s="95">
        <v>5.44</v>
      </c>
      <c r="BJ56" s="95">
        <v>4.8600000000000003</v>
      </c>
      <c r="BK56" s="95">
        <v>4.96</v>
      </c>
      <c r="BL56" s="95">
        <v>4.7300000000000004</v>
      </c>
      <c r="BM56" s="95">
        <v>4.66</v>
      </c>
      <c r="BN56" s="95">
        <v>4.8499999999999996</v>
      </c>
      <c r="BO56" s="95">
        <v>4.9800000000000004</v>
      </c>
      <c r="BP56" s="95">
        <v>4.91</v>
      </c>
      <c r="BQ56" s="95">
        <v>4.66</v>
      </c>
      <c r="BR56" s="95">
        <v>4.76</v>
      </c>
      <c r="BS56" s="95">
        <v>4.9000000000000004</v>
      </c>
      <c r="BT56" s="95">
        <v>4.84</v>
      </c>
      <c r="BU56" s="95">
        <v>5.31</v>
      </c>
      <c r="BV56" s="95">
        <v>5.75</v>
      </c>
      <c r="BW56" s="95">
        <v>5.62</v>
      </c>
      <c r="BX56" s="95">
        <v>4.55</v>
      </c>
      <c r="BY56" s="95">
        <v>4.18</v>
      </c>
      <c r="BZ56" s="95">
        <v>5.1100000000000003</v>
      </c>
      <c r="CA56" s="95">
        <v>4.6900000000000004</v>
      </c>
      <c r="CB56" s="95">
        <v>4.0599999999999996</v>
      </c>
      <c r="CC56" s="95">
        <v>4.7300000000000004</v>
      </c>
      <c r="CD56" s="95">
        <v>4.9000000000000004</v>
      </c>
      <c r="CE56" s="95">
        <v>4.95</v>
      </c>
      <c r="CF56" s="95">
        <v>4.1399999999999997</v>
      </c>
      <c r="CG56" s="95">
        <v>5.27</v>
      </c>
      <c r="CH56" s="95">
        <v>4.92</v>
      </c>
      <c r="CI56" s="95">
        <v>4.8499999999999996</v>
      </c>
      <c r="CJ56" s="95">
        <v>5.27</v>
      </c>
      <c r="CK56" s="95">
        <v>5.2</v>
      </c>
      <c r="CL56" s="95">
        <v>4.3499999999999996</v>
      </c>
      <c r="CM56" s="95">
        <v>4.33</v>
      </c>
      <c r="CN56" s="95">
        <v>5.27</v>
      </c>
      <c r="CO56" s="95">
        <v>5.89</v>
      </c>
      <c r="CP56" s="221">
        <f>SUM(Input_Raw[[#This Row],[P-01]:[P-56]])/1000</f>
        <v>123.872</v>
      </c>
      <c r="CQ56" s="222">
        <f>IFERROR(AVERAGEIF(Input_Raw[[#This Row],[WS_P-01]:[WS_P-56]],"&lt;&gt;",Input_Raw[[#This Row],[WS_P-01]:[WS_P-56]]),"")</f>
        <v>4.940681818181818</v>
      </c>
      <c r="CR56" s="223">
        <f>MAX(Input_Raw[[#This Row],[WS_P-01]:[WS_P-56]])</f>
        <v>5.89</v>
      </c>
      <c r="CS56" s="223"/>
      <c r="CT56" s="224">
        <f>SUM(Input_Raw[[#This Row],[P-08]:[P-13]],Input_Raw[[#This Row],[P-25]:[P-28]])</f>
        <v>24730</v>
      </c>
      <c r="CU56" s="224"/>
      <c r="CV56" s="224">
        <f>SUM(Input_Raw[[#This Row],[P-04]],Input_Raw[[#This Row],[P-14]:[P-17]],Input_Raw[[#This Row],[P-19]:[P-20]],Input_Raw[[#This Row],[P-22]:[P-23]],Input_Raw[[#This Row],[P-34]],Input_Raw[[#This Row],[P-38]],Input_Raw[[#This Row],[P-43]])</f>
        <v>29776</v>
      </c>
      <c r="CW56" s="224"/>
      <c r="CX56" s="224">
        <f>SUM(Input_Raw[[#This Row],[P-05]:[P-06]],Input_Raw[[#This Row],[P-40]:[P-42]],Input_Raw[[#This Row],[P-45]],Input_Raw[[#This Row],[P-46]],Input_Raw[[#This Row],[P-47]:[P-48]])</f>
        <v>28737</v>
      </c>
      <c r="CY56" s="224"/>
      <c r="CZ56" s="224">
        <f>SUM(Input_Raw[[#This Row],[P-01]:[P-03]],Input_Raw[[#This Row],[P-07]],Input_Raw[[#This Row],[P-18]],Input_Raw[[#This Row],[P-31]:[P-32]],Input_Raw[[#This Row],[P-37]],Input_Raw[[#This Row],[P-50]:[P-56]])</f>
        <v>40629</v>
      </c>
      <c r="DA56" s="225"/>
      <c r="DB56" s="226">
        <f>Input_Raw[[#This Row],[33 kV_Wind_F1_Export reading]]/1000</f>
        <v>24.73</v>
      </c>
      <c r="DC56" s="226"/>
      <c r="DD56" s="226">
        <f>Input_Raw[[#This Row],[33 kV_Wind_F2_Export_reading]]/1000</f>
        <v>29.776</v>
      </c>
      <c r="DE56" s="226"/>
      <c r="DF56" s="226">
        <f>Input_Raw[[#This Row],[33 kV_Wind_F3_Export_Reading]]/1000</f>
        <v>28.736999999999998</v>
      </c>
      <c r="DG56" s="226"/>
      <c r="DH56" s="226">
        <f>Input_Raw[[#This Row],[33 kV_Wind_F4_Export Reading]]/1000</f>
        <v>40.628999999999998</v>
      </c>
      <c r="DI56" s="226"/>
      <c r="DJ56" s="226">
        <f>Input_Raw[[#This Row],[33 kV_F1_Total_Export (MWh)]]+Input_Raw[[#This Row],[33 kV_F2_Total_Export (MWh)2]]+Input_Raw[[#This Row],[33 kV_Wind_F3_Export (MWh)]]+Input_Raw[[#This Row],[33 kV_Wind_F4_Export (MWh)]]</f>
        <v>123.87199999999999</v>
      </c>
      <c r="DK56" s="226">
        <f>Input_Raw[[#This Row],[33 kV_Wind_F1_Import (MWh)]]+Input_Raw[[#This Row],[33 kV_Wind_F2_Import (MWh)]]+Input_Raw[[#This Row],[33 kV_Wind_F3_Import (MWh)2]]+Input_Raw[[#This Row],[33 kV_Wind_F4_Import (MWh)2]]</f>
        <v>0</v>
      </c>
      <c r="DL56" s="227">
        <f>IFERROR(Input_Raw[[#This Row],[33 kV_Wind_Total_Export (MWh)]]/Input_Raw[[#This Row],[WTG Total Gneration (MWh)]]-1,"")</f>
        <v>-1.1102230246251565E-16</v>
      </c>
      <c r="DM56" s="228"/>
      <c r="DN56" s="186">
        <v>96</v>
      </c>
      <c r="DO56" s="186">
        <v>0</v>
      </c>
      <c r="DP56" s="102">
        <v>13.38</v>
      </c>
      <c r="DQ56" s="228"/>
      <c r="DR56" s="181">
        <v>70.400000000000006</v>
      </c>
    </row>
    <row r="57" spans="1:122" ht="15">
      <c r="A57" s="92">
        <f t="shared" si="74"/>
        <v>45797</v>
      </c>
      <c r="B57" s="190">
        <f>YEAR(Input_Raw[[#This Row],[Date]])+IF(MONTH(Input_Raw[[#This Row],[Date]])&gt;=4,1,0)</f>
        <v>2026</v>
      </c>
      <c r="C57" s="190">
        <f>YEAR(Input_Raw[[#This Row],[Date]])</f>
        <v>2025</v>
      </c>
      <c r="D57" s="11">
        <f t="shared" ref="D57" si="111">A57-DAY(A57)+1</f>
        <v>45778</v>
      </c>
      <c r="E57" s="190">
        <f>DAY(EOMONTH(Input_Raw[[#This Row],[Date]],0))</f>
        <v>31</v>
      </c>
      <c r="F57" s="199">
        <v>3028</v>
      </c>
      <c r="G57" s="199">
        <v>2600</v>
      </c>
      <c r="H57" s="199">
        <v>2828</v>
      </c>
      <c r="I57" s="199">
        <v>1354</v>
      </c>
      <c r="J57" s="199">
        <v>3848</v>
      </c>
      <c r="K57" s="199">
        <v>3504</v>
      </c>
      <c r="L57" s="199">
        <v>2444</v>
      </c>
      <c r="M57" s="199">
        <v>2270</v>
      </c>
      <c r="N57" s="199">
        <v>1920</v>
      </c>
      <c r="O57" s="199">
        <v>2288</v>
      </c>
      <c r="P57" s="199">
        <v>2286</v>
      </c>
      <c r="Q57" s="199">
        <v>2420</v>
      </c>
      <c r="R57" s="199">
        <v>2502</v>
      </c>
      <c r="S57" s="199">
        <v>2560</v>
      </c>
      <c r="T57" s="199">
        <v>2596</v>
      </c>
      <c r="U57" s="199">
        <v>2996</v>
      </c>
      <c r="V57" s="199">
        <v>2586</v>
      </c>
      <c r="W57" s="199">
        <v>2420</v>
      </c>
      <c r="X57" s="199">
        <v>3068</v>
      </c>
      <c r="Y57" s="199">
        <v>2951</v>
      </c>
      <c r="Z57" s="199">
        <v>1680</v>
      </c>
      <c r="AA57" s="199">
        <v>1324</v>
      </c>
      <c r="AB57" s="199">
        <v>2648</v>
      </c>
      <c r="AC57" s="199">
        <v>2896</v>
      </c>
      <c r="AD57" s="199">
        <v>2904</v>
      </c>
      <c r="AE57" s="199">
        <v>2920</v>
      </c>
      <c r="AF57" s="199">
        <v>2628</v>
      </c>
      <c r="AG57" s="199">
        <v>1052</v>
      </c>
      <c r="AH57" s="199">
        <v>944</v>
      </c>
      <c r="AI57" s="199">
        <v>1938</v>
      </c>
      <c r="AJ57" s="199">
        <v>300</v>
      </c>
      <c r="AK57" s="199">
        <v>3148</v>
      </c>
      <c r="AL57" s="199">
        <v>3892</v>
      </c>
      <c r="AM57" s="199">
        <v>3820</v>
      </c>
      <c r="AN57" s="199">
        <v>2086</v>
      </c>
      <c r="AO57" s="199">
        <v>4392</v>
      </c>
      <c r="AP57" s="199">
        <v>3968</v>
      </c>
      <c r="AQ57" s="199">
        <v>3260</v>
      </c>
      <c r="AR57" s="199">
        <v>3852</v>
      </c>
      <c r="AS57" s="199">
        <v>1852</v>
      </c>
      <c r="AT57" s="199">
        <v>1610</v>
      </c>
      <c r="AU57" s="199">
        <v>2356</v>
      </c>
      <c r="AV57" s="199">
        <v>3384</v>
      </c>
      <c r="AW57" s="199">
        <v>2648</v>
      </c>
      <c r="AX57" s="95">
        <v>4.45</v>
      </c>
      <c r="AY57" s="95">
        <v>4.38</v>
      </c>
      <c r="AZ57" s="95">
        <v>4.04</v>
      </c>
      <c r="BA57" s="95">
        <v>4.29</v>
      </c>
      <c r="BB57" s="95">
        <v>4.51</v>
      </c>
      <c r="BC57" s="95">
        <v>4.3</v>
      </c>
      <c r="BD57" s="95">
        <v>4.55</v>
      </c>
      <c r="BE57" s="95">
        <v>4.1500000000000004</v>
      </c>
      <c r="BF57" s="95">
        <v>4.1500000000000004</v>
      </c>
      <c r="BG57" s="95">
        <v>4.84</v>
      </c>
      <c r="BH57" s="95">
        <v>4.57</v>
      </c>
      <c r="BI57" s="95">
        <v>4.8099999999999996</v>
      </c>
      <c r="BJ57" s="95">
        <v>4.5</v>
      </c>
      <c r="BK57" s="95">
        <v>4.8</v>
      </c>
      <c r="BL57" s="95">
        <v>4.71</v>
      </c>
      <c r="BM57" s="95">
        <v>4.67</v>
      </c>
      <c r="BN57" s="95">
        <v>4.5999999999999996</v>
      </c>
      <c r="BO57" s="95">
        <v>4.07</v>
      </c>
      <c r="BP57" s="95">
        <v>4.9400000000000004</v>
      </c>
      <c r="BQ57" s="95">
        <v>4.8499999999999996</v>
      </c>
      <c r="BR57" s="95">
        <v>4.51</v>
      </c>
      <c r="BS57" s="95">
        <v>4.34</v>
      </c>
      <c r="BT57" s="95">
        <v>4.46</v>
      </c>
      <c r="BU57" s="95">
        <v>5.0599999999999996</v>
      </c>
      <c r="BV57" s="95">
        <v>5.0999999999999996</v>
      </c>
      <c r="BW57" s="95">
        <v>5.35</v>
      </c>
      <c r="BX57" s="95">
        <v>3.81</v>
      </c>
      <c r="BY57" s="95">
        <v>3.32</v>
      </c>
      <c r="BZ57" s="95">
        <v>3.68</v>
      </c>
      <c r="CA57" s="95">
        <v>3.99</v>
      </c>
      <c r="CB57" s="95">
        <v>4.12</v>
      </c>
      <c r="CC57" s="95">
        <v>4.13</v>
      </c>
      <c r="CD57" s="95">
        <v>4.82</v>
      </c>
      <c r="CE57" s="95">
        <v>4.3</v>
      </c>
      <c r="CF57" s="95">
        <v>4.57</v>
      </c>
      <c r="CG57" s="95">
        <v>5.38</v>
      </c>
      <c r="CH57" s="95">
        <v>4.91</v>
      </c>
      <c r="CI57" s="95">
        <v>4.26</v>
      </c>
      <c r="CJ57" s="95">
        <v>4.57</v>
      </c>
      <c r="CK57" s="95">
        <v>3.62</v>
      </c>
      <c r="CL57" s="95">
        <v>3.65</v>
      </c>
      <c r="CM57" s="95">
        <v>4.32</v>
      </c>
      <c r="CN57" s="95">
        <v>4.83</v>
      </c>
      <c r="CO57" s="95">
        <v>4.5599999999999996</v>
      </c>
      <c r="CP57" s="221">
        <f>SUM(Input_Raw[[#This Row],[P-01]:[P-56]])/1000</f>
        <v>113.971</v>
      </c>
      <c r="CQ57" s="222">
        <f>IFERROR(AVERAGEIF(Input_Raw[[#This Row],[WS_P-01]:[WS_P-56]],"&lt;&gt;",Input_Raw[[#This Row],[WS_P-01]:[WS_P-56]]),"")</f>
        <v>4.4509090909090903</v>
      </c>
      <c r="CR57" s="223">
        <f>MAX(Input_Raw[[#This Row],[WS_P-01]:[WS_P-56]])</f>
        <v>5.38</v>
      </c>
      <c r="CS57" s="223"/>
      <c r="CT57" s="224">
        <f>SUM(Input_Raw[[#This Row],[P-08]:[P-13]],Input_Raw[[#This Row],[P-25]:[P-28]])</f>
        <v>25054</v>
      </c>
      <c r="CU57" s="224"/>
      <c r="CV57" s="224">
        <f>SUM(Input_Raw[[#This Row],[P-04]],Input_Raw[[#This Row],[P-14]:[P-17]],Input_Raw[[#This Row],[P-19]:[P-20]],Input_Raw[[#This Row],[P-22]:[P-23]],Input_Raw[[#This Row],[P-34]],Input_Raw[[#This Row],[P-38]],Input_Raw[[#This Row],[P-43]])</f>
        <v>24445</v>
      </c>
      <c r="CW57" s="224"/>
      <c r="CX57" s="224">
        <f>SUM(Input_Raw[[#This Row],[P-05]:[P-06]],Input_Raw[[#This Row],[P-40]:[P-42]],Input_Raw[[#This Row],[P-45]],Input_Raw[[#This Row],[P-46]],Input_Raw[[#This Row],[P-47]:[P-48]])</f>
        <v>33684</v>
      </c>
      <c r="CY57" s="224"/>
      <c r="CZ57" s="224">
        <f>SUM(Input_Raw[[#This Row],[P-01]:[P-03]],Input_Raw[[#This Row],[P-07]],Input_Raw[[#This Row],[P-18]],Input_Raw[[#This Row],[P-31]:[P-32]],Input_Raw[[#This Row],[P-37]],Input_Raw[[#This Row],[P-50]:[P-56]])</f>
        <v>30788</v>
      </c>
      <c r="DA57" s="225"/>
      <c r="DB57" s="226">
        <f>Input_Raw[[#This Row],[33 kV_Wind_F1_Export reading]]/1000</f>
        <v>25.053999999999998</v>
      </c>
      <c r="DC57" s="226"/>
      <c r="DD57" s="226">
        <f>Input_Raw[[#This Row],[33 kV_Wind_F2_Export_reading]]/1000</f>
        <v>24.445</v>
      </c>
      <c r="DE57" s="226"/>
      <c r="DF57" s="226">
        <f>Input_Raw[[#This Row],[33 kV_Wind_F3_Export_Reading]]/1000</f>
        <v>33.683999999999997</v>
      </c>
      <c r="DG57" s="226"/>
      <c r="DH57" s="226">
        <f>Input_Raw[[#This Row],[33 kV_Wind_F4_Export Reading]]/1000</f>
        <v>30.788</v>
      </c>
      <c r="DI57" s="226"/>
      <c r="DJ57" s="226">
        <f>Input_Raw[[#This Row],[33 kV_F1_Total_Export (MWh)]]+Input_Raw[[#This Row],[33 kV_F2_Total_Export (MWh)2]]+Input_Raw[[#This Row],[33 kV_Wind_F3_Export (MWh)]]+Input_Raw[[#This Row],[33 kV_Wind_F4_Export (MWh)]]</f>
        <v>113.97099999999999</v>
      </c>
      <c r="DK57" s="226">
        <f>Input_Raw[[#This Row],[33 kV_Wind_F1_Import (MWh)]]+Input_Raw[[#This Row],[33 kV_Wind_F2_Import (MWh)]]+Input_Raw[[#This Row],[33 kV_Wind_F3_Import (MWh)2]]+Input_Raw[[#This Row],[33 kV_Wind_F4_Import (MWh)2]]</f>
        <v>0</v>
      </c>
      <c r="DL57" s="227">
        <f>IFERROR(Input_Raw[[#This Row],[33 kV_Wind_Total_Export (MWh)]]/Input_Raw[[#This Row],[WTG Total Gneration (MWh)]]-1,"")</f>
        <v>-1.1102230246251565E-16</v>
      </c>
      <c r="DM57" s="228"/>
      <c r="DN57" s="186">
        <v>69</v>
      </c>
      <c r="DO57" s="186">
        <v>0</v>
      </c>
      <c r="DP57" s="102">
        <v>114.6</v>
      </c>
      <c r="DQ57" s="228"/>
      <c r="DR57" s="181">
        <v>70.400000000000006</v>
      </c>
    </row>
    <row r="58" spans="1:122" ht="15">
      <c r="A58" s="92">
        <f t="shared" si="74"/>
        <v>45798</v>
      </c>
      <c r="B58" s="190">
        <f>YEAR(Input_Raw[[#This Row],[Date]])+IF(MONTH(Input_Raw[[#This Row],[Date]])&gt;=4,1,0)</f>
        <v>2026</v>
      </c>
      <c r="C58" s="190">
        <f>YEAR(Input_Raw[[#This Row],[Date]])</f>
        <v>2025</v>
      </c>
      <c r="D58" s="11">
        <f t="shared" ref="D58" si="112">A58-DAY(A58)+1</f>
        <v>45778</v>
      </c>
      <c r="E58" s="190">
        <f>DAY(EOMONTH(Input_Raw[[#This Row],[Date]],0))</f>
        <v>31</v>
      </c>
      <c r="F58" s="199">
        <v>4043.9999999999995</v>
      </c>
      <c r="G58" s="199">
        <v>4228</v>
      </c>
      <c r="H58" s="199">
        <v>4080</v>
      </c>
      <c r="I58" s="199">
        <v>3650</v>
      </c>
      <c r="J58" s="199">
        <v>4176</v>
      </c>
      <c r="K58" s="199">
        <v>4856</v>
      </c>
      <c r="L58" s="199">
        <v>3752</v>
      </c>
      <c r="M58" s="199">
        <v>3302</v>
      </c>
      <c r="N58" s="199">
        <v>1968</v>
      </c>
      <c r="O58" s="199">
        <v>1974</v>
      </c>
      <c r="P58" s="199">
        <v>2005.9999999999998</v>
      </c>
      <c r="Q58" s="199">
        <v>2636</v>
      </c>
      <c r="R58" s="199">
        <v>2950</v>
      </c>
      <c r="S58" s="199">
        <v>3196</v>
      </c>
      <c r="T58" s="199">
        <v>2604</v>
      </c>
      <c r="U58" s="199">
        <v>2596</v>
      </c>
      <c r="V58" s="199">
        <v>3136</v>
      </c>
      <c r="W58" s="199">
        <v>3060</v>
      </c>
      <c r="X58" s="199">
        <v>4696</v>
      </c>
      <c r="Y58" s="199">
        <v>3501</v>
      </c>
      <c r="Z58" s="199">
        <v>3480</v>
      </c>
      <c r="AA58" s="199">
        <v>3360</v>
      </c>
      <c r="AB58" s="199">
        <v>4308</v>
      </c>
      <c r="AC58" s="199">
        <v>3540</v>
      </c>
      <c r="AD58" s="199">
        <v>3304</v>
      </c>
      <c r="AE58" s="199">
        <v>3260</v>
      </c>
      <c r="AF58" s="199">
        <v>3362</v>
      </c>
      <c r="AG58" s="199">
        <v>2004</v>
      </c>
      <c r="AH58" s="199">
        <v>3320</v>
      </c>
      <c r="AI58" s="199">
        <v>3466</v>
      </c>
      <c r="AJ58" s="199">
        <v>3278</v>
      </c>
      <c r="AK58" s="199">
        <v>2888</v>
      </c>
      <c r="AL58" s="199">
        <v>4460</v>
      </c>
      <c r="AM58" s="199">
        <v>3184</v>
      </c>
      <c r="AN58" s="199">
        <v>3394</v>
      </c>
      <c r="AO58" s="199">
        <v>7604</v>
      </c>
      <c r="AP58" s="199">
        <v>6000</v>
      </c>
      <c r="AQ58" s="199">
        <v>3668</v>
      </c>
      <c r="AR58" s="199">
        <v>3336</v>
      </c>
      <c r="AS58" s="199">
        <v>2592</v>
      </c>
      <c r="AT58" s="199">
        <v>3394</v>
      </c>
      <c r="AU58" s="199">
        <v>3912</v>
      </c>
      <c r="AV58" s="199">
        <v>5432</v>
      </c>
      <c r="AW58" s="199">
        <v>4024</v>
      </c>
      <c r="AX58" s="95">
        <v>4.3499999999999996</v>
      </c>
      <c r="AY58" s="95">
        <v>4.72</v>
      </c>
      <c r="AZ58" s="95">
        <v>4.62</v>
      </c>
      <c r="BA58" s="95">
        <v>4.5199999999999996</v>
      </c>
      <c r="BB58" s="95">
        <v>4.6900000000000004</v>
      </c>
      <c r="BC58" s="95">
        <v>5.13</v>
      </c>
      <c r="BD58" s="95">
        <v>4.6399999999999997</v>
      </c>
      <c r="BE58" s="95">
        <v>4.49</v>
      </c>
      <c r="BF58" s="95">
        <v>4.49</v>
      </c>
      <c r="BG58" s="95">
        <v>4.03</v>
      </c>
      <c r="BH58" s="95">
        <v>4.3</v>
      </c>
      <c r="BI58" s="95">
        <v>3.88</v>
      </c>
      <c r="BJ58" s="95">
        <v>4.0599999999999996</v>
      </c>
      <c r="BK58" s="95">
        <v>3.86</v>
      </c>
      <c r="BL58" s="95">
        <v>4.47</v>
      </c>
      <c r="BM58" s="95">
        <v>4.38</v>
      </c>
      <c r="BN58" s="95">
        <v>4.29</v>
      </c>
      <c r="BO58" s="95">
        <v>4.3899999999999997</v>
      </c>
      <c r="BP58" s="95">
        <v>4.32</v>
      </c>
      <c r="BQ58" s="95">
        <v>4.84</v>
      </c>
      <c r="BR58" s="95">
        <v>4.5</v>
      </c>
      <c r="BS58" s="95">
        <v>4.57</v>
      </c>
      <c r="BT58" s="95">
        <v>4.42</v>
      </c>
      <c r="BU58" s="95">
        <v>4.5199999999999996</v>
      </c>
      <c r="BV58" s="95">
        <v>4.6900000000000004</v>
      </c>
      <c r="BW58" s="95">
        <v>4.4800000000000004</v>
      </c>
      <c r="BX58" s="95">
        <v>4.51</v>
      </c>
      <c r="BY58" s="95">
        <v>4</v>
      </c>
      <c r="BZ58" s="95">
        <v>3.64</v>
      </c>
      <c r="CA58" s="95">
        <v>4.43</v>
      </c>
      <c r="CB58" s="95">
        <v>4.3600000000000003</v>
      </c>
      <c r="CC58" s="95">
        <v>4.18</v>
      </c>
      <c r="CD58" s="95">
        <v>4.3099999999999996</v>
      </c>
      <c r="CE58" s="95">
        <v>5.15</v>
      </c>
      <c r="CF58" s="95">
        <v>4.29</v>
      </c>
      <c r="CG58" s="95">
        <v>4.21</v>
      </c>
      <c r="CH58" s="95">
        <v>6.25</v>
      </c>
      <c r="CI58" s="95">
        <v>5.54</v>
      </c>
      <c r="CJ58" s="95">
        <v>4.46</v>
      </c>
      <c r="CK58" s="95">
        <v>4.63</v>
      </c>
      <c r="CL58" s="95">
        <v>3.88</v>
      </c>
      <c r="CM58" s="95">
        <v>4.25</v>
      </c>
      <c r="CN58" s="95">
        <v>4.62</v>
      </c>
      <c r="CO58" s="95">
        <v>5.16</v>
      </c>
      <c r="CP58" s="221">
        <f>SUM(Input_Raw[[#This Row],[P-01]:[P-56]])/1000</f>
        <v>156.98099999999999</v>
      </c>
      <c r="CQ58" s="222">
        <f>IFERROR(AVERAGEIF(Input_Raw[[#This Row],[WS_P-01]:[WS_P-56]],"&lt;&gt;",Input_Raw[[#This Row],[WS_P-01]:[WS_P-56]]),"")</f>
        <v>4.4890909090909101</v>
      </c>
      <c r="CR58" s="223">
        <f>MAX(Input_Raw[[#This Row],[WS_P-01]:[WS_P-56]])</f>
        <v>6.25</v>
      </c>
      <c r="CS58" s="223"/>
      <c r="CT58" s="224">
        <f>SUM(Input_Raw[[#This Row],[P-08]:[P-13]],Input_Raw[[#This Row],[P-25]:[P-28]])</f>
        <v>29248</v>
      </c>
      <c r="CU58" s="224"/>
      <c r="CV58" s="224">
        <f>SUM(Input_Raw[[#This Row],[P-04]],Input_Raw[[#This Row],[P-14]:[P-17]],Input_Raw[[#This Row],[P-19]:[P-20]],Input_Raw[[#This Row],[P-22]:[P-23]],Input_Raw[[#This Row],[P-34]],Input_Raw[[#This Row],[P-38]],Input_Raw[[#This Row],[P-43]])</f>
        <v>40211</v>
      </c>
      <c r="CW58" s="224"/>
      <c r="CX58" s="224">
        <f>SUM(Input_Raw[[#This Row],[P-05]:[P-06]],Input_Raw[[#This Row],[P-40]:[P-42]],Input_Raw[[#This Row],[P-45]],Input_Raw[[#This Row],[P-46]],Input_Raw[[#This Row],[P-47]:[P-48]])</f>
        <v>40172</v>
      </c>
      <c r="CY58" s="224"/>
      <c r="CZ58" s="224">
        <f>SUM(Input_Raw[[#This Row],[P-01]:[P-03]],Input_Raw[[#This Row],[P-07]],Input_Raw[[#This Row],[P-18]],Input_Raw[[#This Row],[P-31]:[P-32]],Input_Raw[[#This Row],[P-37]],Input_Raw[[#This Row],[P-50]:[P-56]])</f>
        <v>47350</v>
      </c>
      <c r="DA58" s="225"/>
      <c r="DB58" s="226">
        <f>Input_Raw[[#This Row],[33 kV_Wind_F1_Export reading]]/1000</f>
        <v>29.248000000000001</v>
      </c>
      <c r="DC58" s="226"/>
      <c r="DD58" s="226">
        <f>Input_Raw[[#This Row],[33 kV_Wind_F2_Export_reading]]/1000</f>
        <v>40.210999999999999</v>
      </c>
      <c r="DE58" s="226"/>
      <c r="DF58" s="226">
        <f>Input_Raw[[#This Row],[33 kV_Wind_F3_Export_Reading]]/1000</f>
        <v>40.171999999999997</v>
      </c>
      <c r="DG58" s="226"/>
      <c r="DH58" s="226">
        <f>Input_Raw[[#This Row],[33 kV_Wind_F4_Export Reading]]/1000</f>
        <v>47.35</v>
      </c>
      <c r="DI58" s="226"/>
      <c r="DJ58" s="226">
        <f>Input_Raw[[#This Row],[33 kV_F1_Total_Export (MWh)]]+Input_Raw[[#This Row],[33 kV_F2_Total_Export (MWh)2]]+Input_Raw[[#This Row],[33 kV_Wind_F3_Export (MWh)]]+Input_Raw[[#This Row],[33 kV_Wind_F4_Export (MWh)]]</f>
        <v>156.98099999999999</v>
      </c>
      <c r="DK58" s="226">
        <f>Input_Raw[[#This Row],[33 kV_Wind_F1_Import (MWh)]]+Input_Raw[[#This Row],[33 kV_Wind_F2_Import (MWh)]]+Input_Raw[[#This Row],[33 kV_Wind_F3_Import (MWh)2]]+Input_Raw[[#This Row],[33 kV_Wind_F4_Import (MWh)2]]</f>
        <v>0</v>
      </c>
      <c r="DL58" s="227">
        <f>IFERROR(Input_Raw[[#This Row],[33 kV_Wind_Total_Export (MWh)]]/Input_Raw[[#This Row],[WTG Total Gneration (MWh)]]-1,"")</f>
        <v>0</v>
      </c>
      <c r="DM58" s="228"/>
      <c r="DN58" s="186">
        <v>96</v>
      </c>
      <c r="DO58" s="186">
        <v>0</v>
      </c>
      <c r="DP58" s="102">
        <v>143.72999999999999</v>
      </c>
      <c r="DQ58" s="228"/>
      <c r="DR58" s="181">
        <v>70.400000000000006</v>
      </c>
    </row>
    <row r="59" spans="1:122" ht="15">
      <c r="A59" s="92">
        <f t="shared" si="74"/>
        <v>45799</v>
      </c>
      <c r="B59" s="190">
        <f>YEAR(Input_Raw[[#This Row],[Date]])+IF(MONTH(Input_Raw[[#This Row],[Date]])&gt;=4,1,0)</f>
        <v>2026</v>
      </c>
      <c r="C59" s="190">
        <f>YEAR(Input_Raw[[#This Row],[Date]])</f>
        <v>2025</v>
      </c>
      <c r="D59" s="11">
        <f t="shared" ref="D59:D60" si="113">A59-DAY(A59)+1</f>
        <v>45778</v>
      </c>
      <c r="E59" s="190">
        <f>DAY(EOMONTH(Input_Raw[[#This Row],[Date]],0))</f>
        <v>31</v>
      </c>
      <c r="F59" s="199">
        <v>6036</v>
      </c>
      <c r="G59" s="199">
        <v>5160</v>
      </c>
      <c r="H59" s="199">
        <v>4416</v>
      </c>
      <c r="I59" s="199">
        <v>3308</v>
      </c>
      <c r="J59" s="199">
        <v>1224</v>
      </c>
      <c r="K59" s="199">
        <v>3620</v>
      </c>
      <c r="L59" s="199">
        <v>4346</v>
      </c>
      <c r="M59" s="199">
        <v>5252</v>
      </c>
      <c r="N59" s="199">
        <v>4544</v>
      </c>
      <c r="O59" s="199">
        <v>3826</v>
      </c>
      <c r="P59" s="199">
        <v>4124</v>
      </c>
      <c r="Q59" s="199">
        <v>3664</v>
      </c>
      <c r="R59" s="199">
        <v>3658</v>
      </c>
      <c r="S59" s="199">
        <v>3398</v>
      </c>
      <c r="T59" s="199">
        <v>2648</v>
      </c>
      <c r="U59" s="199">
        <v>2892</v>
      </c>
      <c r="V59" s="199">
        <v>2992</v>
      </c>
      <c r="W59" s="199">
        <v>4024</v>
      </c>
      <c r="X59" s="199">
        <v>3546</v>
      </c>
      <c r="Y59" s="199">
        <v>2418</v>
      </c>
      <c r="Z59" s="199">
        <v>3804</v>
      </c>
      <c r="AA59" s="199">
        <v>3100</v>
      </c>
      <c r="AB59" s="199">
        <v>4864</v>
      </c>
      <c r="AC59" s="199">
        <v>4088</v>
      </c>
      <c r="AD59" s="199">
        <v>4736</v>
      </c>
      <c r="AE59" s="199">
        <v>5192</v>
      </c>
      <c r="AF59" s="199">
        <v>3130</v>
      </c>
      <c r="AG59" s="199">
        <v>1464</v>
      </c>
      <c r="AH59" s="199">
        <v>3088</v>
      </c>
      <c r="AI59" s="199">
        <v>2278</v>
      </c>
      <c r="AJ59" s="199">
        <v>1890</v>
      </c>
      <c r="AK59" s="199">
        <v>3380</v>
      </c>
      <c r="AL59" s="199">
        <v>1900</v>
      </c>
      <c r="AM59" s="199">
        <v>4372</v>
      </c>
      <c r="AN59" s="199">
        <v>3124</v>
      </c>
      <c r="AO59" s="199">
        <v>8232</v>
      </c>
      <c r="AP59" s="199">
        <v>4428</v>
      </c>
      <c r="AQ59" s="199">
        <v>4836</v>
      </c>
      <c r="AR59" s="199">
        <v>4556</v>
      </c>
      <c r="AS59" s="199">
        <v>1924</v>
      </c>
      <c r="AT59" s="199">
        <v>2400</v>
      </c>
      <c r="AU59" s="199">
        <v>2370</v>
      </c>
      <c r="AV59" s="199">
        <v>6704</v>
      </c>
      <c r="AW59" s="199">
        <v>3492</v>
      </c>
      <c r="AX59" s="95">
        <v>5.15</v>
      </c>
      <c r="AY59" s="95">
        <v>4.97</v>
      </c>
      <c r="AZ59" s="95">
        <v>4.8099999999999996</v>
      </c>
      <c r="BA59" s="95">
        <v>4.5199999999999996</v>
      </c>
      <c r="BB59" s="95">
        <v>3.29</v>
      </c>
      <c r="BC59" s="95">
        <v>4.59</v>
      </c>
      <c r="BD59" s="95">
        <v>4.6100000000000003</v>
      </c>
      <c r="BE59" s="95">
        <v>5.29</v>
      </c>
      <c r="BF59" s="95">
        <v>5.29</v>
      </c>
      <c r="BG59" s="95">
        <v>5.0199999999999996</v>
      </c>
      <c r="BH59" s="95">
        <v>5.03</v>
      </c>
      <c r="BI59" s="95">
        <v>4.7300000000000004</v>
      </c>
      <c r="BJ59" s="95">
        <v>4.63</v>
      </c>
      <c r="BK59" s="95">
        <v>4.6399999999999997</v>
      </c>
      <c r="BL59" s="95">
        <v>4.55</v>
      </c>
      <c r="BM59" s="95">
        <v>4.42</v>
      </c>
      <c r="BN59" s="95">
        <v>4.46</v>
      </c>
      <c r="BO59" s="95">
        <v>4.32</v>
      </c>
      <c r="BP59" s="95">
        <v>4.5599999999999996</v>
      </c>
      <c r="BQ59" s="95">
        <v>4.42</v>
      </c>
      <c r="BR59" s="95">
        <v>3.99</v>
      </c>
      <c r="BS59" s="95">
        <v>4.8099999999999996</v>
      </c>
      <c r="BT59" s="95">
        <v>4.43</v>
      </c>
      <c r="BU59" s="95">
        <v>4.7300000000000004</v>
      </c>
      <c r="BV59" s="95">
        <v>4.78</v>
      </c>
      <c r="BW59" s="95">
        <v>5.15</v>
      </c>
      <c r="BX59" s="95">
        <v>5.32</v>
      </c>
      <c r="BY59" s="95">
        <v>4.04</v>
      </c>
      <c r="BZ59" s="95">
        <v>3.52</v>
      </c>
      <c r="CA59" s="95">
        <v>4.46</v>
      </c>
      <c r="CB59" s="95">
        <v>4</v>
      </c>
      <c r="CC59" s="95">
        <v>3.44</v>
      </c>
      <c r="CD59" s="95">
        <v>4.41</v>
      </c>
      <c r="CE59" s="95">
        <v>4.0199999999999996</v>
      </c>
      <c r="CF59" s="95">
        <v>4.6399999999999997</v>
      </c>
      <c r="CG59" s="95">
        <v>4.3</v>
      </c>
      <c r="CH59" s="95">
        <v>6.51</v>
      </c>
      <c r="CI59" s="95">
        <v>5</v>
      </c>
      <c r="CJ59" s="95">
        <v>4.87</v>
      </c>
      <c r="CK59" s="95">
        <v>4.95</v>
      </c>
      <c r="CL59" s="95">
        <v>3.58</v>
      </c>
      <c r="CM59" s="95">
        <v>3.92</v>
      </c>
      <c r="CN59" s="95">
        <v>4.07</v>
      </c>
      <c r="CO59" s="95">
        <v>5.6</v>
      </c>
      <c r="CP59" s="98">
        <f>SUM(Input_Raw[[#This Row],[P-01]:[P-56]])/1000</f>
        <v>164.44800000000001</v>
      </c>
      <c r="CQ59" s="71">
        <f>IFERROR(AVERAGEIF(Input_Raw[[#This Row],[WS_P-01]:[WS_P-56]],"&lt;&gt;",Input_Raw[[#This Row],[WS_P-01]:[WS_P-56]]),"")</f>
        <v>4.5872727272727269</v>
      </c>
      <c r="CR59" s="99">
        <f>MAX(Input_Raw[[#This Row],[WS_P-01]:[WS_P-56]])</f>
        <v>6.51</v>
      </c>
      <c r="CS59" s="99"/>
      <c r="CT59" s="70">
        <f>SUM(Input_Raw[[#This Row],[P-08]:[P-13]],Input_Raw[[#This Row],[P-25]:[P-28]])</f>
        <v>43948</v>
      </c>
      <c r="CU59" s="70"/>
      <c r="CV59" s="70">
        <f>SUM(Input_Raw[[#This Row],[P-04]],Input_Raw[[#This Row],[P-14]:[P-17]],Input_Raw[[#This Row],[P-19]:[P-20]],Input_Raw[[#This Row],[P-22]:[P-23]],Input_Raw[[#This Row],[P-34]],Input_Raw[[#This Row],[P-38]],Input_Raw[[#This Row],[P-43]])</f>
        <v>36208</v>
      </c>
      <c r="CW59" s="70"/>
      <c r="CX59" s="70">
        <f>SUM(Input_Raw[[#This Row],[P-05]:[P-06]],Input_Raw[[#This Row],[P-40]:[P-42]],Input_Raw[[#This Row],[P-45]],Input_Raw[[#This Row],[P-46]],Input_Raw[[#This Row],[P-47]:[P-48]])</f>
        <v>36548</v>
      </c>
      <c r="CY59" s="70"/>
      <c r="CZ59" s="70">
        <f>SUM(Input_Raw[[#This Row],[P-01]:[P-03]],Input_Raw[[#This Row],[P-07]],Input_Raw[[#This Row],[P-18]],Input_Raw[[#This Row],[P-31]:[P-32]],Input_Raw[[#This Row],[P-37]],Input_Raw[[#This Row],[P-50]:[P-56]])</f>
        <v>47744</v>
      </c>
      <c r="DA59" s="12"/>
      <c r="DB59" s="13">
        <f>Input_Raw[[#This Row],[33 kV_Wind_F1_Export reading]]/1000</f>
        <v>43.948</v>
      </c>
      <c r="DC59" s="13"/>
      <c r="DD59" s="13">
        <f>Input_Raw[[#This Row],[33 kV_Wind_F2_Export_reading]]/1000</f>
        <v>36.207999999999998</v>
      </c>
      <c r="DE59" s="13"/>
      <c r="DF59" s="13">
        <f>Input_Raw[[#This Row],[33 kV_Wind_F3_Export_Reading]]/1000</f>
        <v>36.548000000000002</v>
      </c>
      <c r="DG59" s="13"/>
      <c r="DH59" s="13">
        <f>Input_Raw[[#This Row],[33 kV_Wind_F4_Export Reading]]/1000</f>
        <v>47.744</v>
      </c>
      <c r="DI59" s="13"/>
      <c r="DJ59" s="13">
        <f>Input_Raw[[#This Row],[33 kV_F1_Total_Export (MWh)]]+Input_Raw[[#This Row],[33 kV_F2_Total_Export (MWh)2]]+Input_Raw[[#This Row],[33 kV_Wind_F3_Export (MWh)]]+Input_Raw[[#This Row],[33 kV_Wind_F4_Export (MWh)]]</f>
        <v>164.44800000000001</v>
      </c>
      <c r="DK59" s="13">
        <f>Input_Raw[[#This Row],[33 kV_Wind_F1_Import (MWh)]]+Input_Raw[[#This Row],[33 kV_Wind_F2_Import (MWh)]]+Input_Raw[[#This Row],[33 kV_Wind_F3_Import (MWh)2]]+Input_Raw[[#This Row],[33 kV_Wind_F4_Import (MWh)2]]</f>
        <v>0</v>
      </c>
      <c r="DL59" s="100">
        <f>IFERROR(Input_Raw[[#This Row],[33 kV_Wind_Total_Export (MWh)]]/Input_Raw[[#This Row],[WTG Total Gneration (MWh)]]-1,"")</f>
        <v>0</v>
      </c>
      <c r="DM59" s="66"/>
      <c r="DN59" s="186">
        <v>71</v>
      </c>
      <c r="DO59" s="186">
        <v>0</v>
      </c>
      <c r="DP59" s="102">
        <v>146.37</v>
      </c>
      <c r="DQ59" s="66"/>
      <c r="DR59" s="181">
        <v>70.400000000000006</v>
      </c>
    </row>
    <row r="60" spans="1:122" ht="15">
      <c r="A60" s="92">
        <f t="shared" si="74"/>
        <v>45800</v>
      </c>
      <c r="B60" s="190">
        <f>YEAR(Input_Raw[[#This Row],[Date]])+IF(MONTH(Input_Raw[[#This Row],[Date]])&gt;=4,1,0)</f>
        <v>2026</v>
      </c>
      <c r="C60" s="190">
        <f>YEAR(Input_Raw[[#This Row],[Date]])</f>
        <v>2025</v>
      </c>
      <c r="D60" s="11">
        <f t="shared" si="113"/>
        <v>45778</v>
      </c>
      <c r="E60" s="190">
        <f>DAY(EOMONTH(Input_Raw[[#This Row],[Date]],0))</f>
        <v>31</v>
      </c>
      <c r="F60" s="199">
        <v>2208</v>
      </c>
      <c r="G60" s="199">
        <v>1744</v>
      </c>
      <c r="H60" s="199">
        <v>1540</v>
      </c>
      <c r="I60" s="199">
        <v>2852</v>
      </c>
      <c r="J60" s="199">
        <v>2856</v>
      </c>
      <c r="K60" s="199">
        <v>3280</v>
      </c>
      <c r="L60" s="199">
        <v>1554</v>
      </c>
      <c r="M60" s="199">
        <v>3876</v>
      </c>
      <c r="N60" s="199">
        <v>2940</v>
      </c>
      <c r="O60" s="199">
        <v>3632</v>
      </c>
      <c r="P60" s="199">
        <v>4027.9999999999995</v>
      </c>
      <c r="Q60" s="199">
        <v>3908</v>
      </c>
      <c r="R60" s="199">
        <v>4026</v>
      </c>
      <c r="S60" s="199">
        <v>4702</v>
      </c>
      <c r="T60" s="199">
        <v>3964</v>
      </c>
      <c r="U60" s="199">
        <v>3550</v>
      </c>
      <c r="V60" s="199">
        <v>2840</v>
      </c>
      <c r="W60" s="199">
        <v>1328</v>
      </c>
      <c r="X60" s="199">
        <v>3950</v>
      </c>
      <c r="Y60" s="199">
        <v>3067</v>
      </c>
      <c r="Z60" s="199">
        <v>3596</v>
      </c>
      <c r="AA60" s="199">
        <v>3796</v>
      </c>
      <c r="AB60" s="199">
        <v>5104</v>
      </c>
      <c r="AC60" s="199">
        <v>5524</v>
      </c>
      <c r="AD60" s="199">
        <v>5112</v>
      </c>
      <c r="AE60" s="199">
        <v>5628</v>
      </c>
      <c r="AF60" s="199">
        <v>1152</v>
      </c>
      <c r="AG60" s="199">
        <v>1792</v>
      </c>
      <c r="AH60" s="199">
        <v>2612</v>
      </c>
      <c r="AI60" s="199">
        <v>3340</v>
      </c>
      <c r="AJ60" s="199">
        <v>3252</v>
      </c>
      <c r="AK60" s="199">
        <v>2658</v>
      </c>
      <c r="AL60" s="199">
        <v>3012</v>
      </c>
      <c r="AM60" s="199">
        <v>3236</v>
      </c>
      <c r="AN60" s="199">
        <v>4452</v>
      </c>
      <c r="AO60" s="199">
        <v>6012</v>
      </c>
      <c r="AP60" s="199">
        <v>4232</v>
      </c>
      <c r="AQ60" s="199">
        <v>3300</v>
      </c>
      <c r="AR60" s="199">
        <v>3548</v>
      </c>
      <c r="AS60" s="199">
        <v>2894</v>
      </c>
      <c r="AT60" s="199">
        <v>2322</v>
      </c>
      <c r="AU60" s="199">
        <v>3682</v>
      </c>
      <c r="AV60" s="199">
        <v>2712</v>
      </c>
      <c r="AW60" s="199">
        <v>1828</v>
      </c>
      <c r="AX60" s="95">
        <v>4.26</v>
      </c>
      <c r="AY60" s="95">
        <v>4.08</v>
      </c>
      <c r="AZ60" s="95">
        <v>4.01</v>
      </c>
      <c r="BA60" s="95">
        <v>4.22</v>
      </c>
      <c r="BB60" s="95">
        <v>4.1399999999999997</v>
      </c>
      <c r="BC60" s="95">
        <v>4.63</v>
      </c>
      <c r="BD60" s="95">
        <v>4.08</v>
      </c>
      <c r="BE60" s="95">
        <v>4.37</v>
      </c>
      <c r="BF60" s="95">
        <v>4.37</v>
      </c>
      <c r="BG60" s="95">
        <v>4.16</v>
      </c>
      <c r="BH60" s="95">
        <v>4.66</v>
      </c>
      <c r="BI60" s="95">
        <v>4.59</v>
      </c>
      <c r="BJ60" s="95">
        <v>4.71</v>
      </c>
      <c r="BK60" s="95">
        <v>4.79</v>
      </c>
      <c r="BL60" s="95">
        <v>5.01</v>
      </c>
      <c r="BM60" s="95">
        <v>4.75</v>
      </c>
      <c r="BN60" s="95">
        <v>4.68</v>
      </c>
      <c r="BO60" s="95">
        <v>4.16</v>
      </c>
      <c r="BP60" s="95">
        <v>3.8</v>
      </c>
      <c r="BQ60" s="95">
        <v>4.46</v>
      </c>
      <c r="BR60" s="95">
        <v>4.3</v>
      </c>
      <c r="BS60" s="95">
        <v>4.3899999999999997</v>
      </c>
      <c r="BT60" s="95">
        <v>4.38</v>
      </c>
      <c r="BU60" s="95">
        <v>4.45</v>
      </c>
      <c r="BV60" s="95">
        <v>4.9800000000000004</v>
      </c>
      <c r="BW60" s="95">
        <v>5.08</v>
      </c>
      <c r="BX60" s="95">
        <v>5.48</v>
      </c>
      <c r="BY60" s="95">
        <v>3.4</v>
      </c>
      <c r="BZ60" s="95">
        <v>3.52</v>
      </c>
      <c r="CA60" s="95">
        <v>4.1100000000000003</v>
      </c>
      <c r="CB60" s="95">
        <v>4.51</v>
      </c>
      <c r="CC60" s="95">
        <v>4.1500000000000004</v>
      </c>
      <c r="CD60" s="95">
        <v>4.18</v>
      </c>
      <c r="CE60" s="95">
        <v>4.55</v>
      </c>
      <c r="CF60" s="95">
        <v>4.3899999999999997</v>
      </c>
      <c r="CG60" s="95">
        <v>4.7</v>
      </c>
      <c r="CH60" s="95">
        <v>6.17</v>
      </c>
      <c r="CI60" s="95">
        <v>4.9400000000000004</v>
      </c>
      <c r="CJ60" s="95">
        <v>4.4000000000000004</v>
      </c>
      <c r="CK60" s="95">
        <v>4.5999999999999996</v>
      </c>
      <c r="CL60" s="95">
        <v>4.17</v>
      </c>
      <c r="CM60" s="95">
        <v>3.83</v>
      </c>
      <c r="CN60" s="95">
        <v>4.82</v>
      </c>
      <c r="CO60" s="95">
        <v>4.45</v>
      </c>
      <c r="CP60" s="229">
        <f>SUM(Input_Raw[[#This Row],[P-01]:[P-56]])/1000</f>
        <v>146.64099999999999</v>
      </c>
      <c r="CQ60" s="230">
        <f>IFERROR(AVERAGEIF(Input_Raw[[#This Row],[WS_P-01]:[WS_P-56]],"&lt;&gt;",Input_Raw[[#This Row],[WS_P-01]:[WS_P-56]]),"")</f>
        <v>4.4518181818181803</v>
      </c>
      <c r="CR60" s="231">
        <f>MAX(Input_Raw[[#This Row],[WS_P-01]:[WS_P-56]])</f>
        <v>6.17</v>
      </c>
      <c r="CS60" s="231"/>
      <c r="CT60" s="232">
        <f>SUM(Input_Raw[[#This Row],[P-08]:[P-13]],Input_Raw[[#This Row],[P-25]:[P-28]])</f>
        <v>43778</v>
      </c>
      <c r="CU60" s="232"/>
      <c r="CV60" s="232">
        <f>SUM(Input_Raw[[#This Row],[P-04]],Input_Raw[[#This Row],[P-14]:[P-17]],Input_Raw[[#This Row],[P-19]:[P-20]],Input_Raw[[#This Row],[P-22]:[P-23]],Input_Raw[[#This Row],[P-34]],Input_Raw[[#This Row],[P-38]],Input_Raw[[#This Row],[P-43]])</f>
        <v>42633</v>
      </c>
      <c r="CW60" s="232"/>
      <c r="CX60" s="232">
        <f>SUM(Input_Raw[[#This Row],[P-05]:[P-06]],Input_Raw[[#This Row],[P-40]:[P-42]],Input_Raw[[#This Row],[P-45]],Input_Raw[[#This Row],[P-46]],Input_Raw[[#This Row],[P-47]:[P-48]])</f>
        <v>32134</v>
      </c>
      <c r="CY60" s="232"/>
      <c r="CZ60" s="232">
        <f>SUM(Input_Raw[[#This Row],[P-01]:[P-03]],Input_Raw[[#This Row],[P-07]],Input_Raw[[#This Row],[P-18]],Input_Raw[[#This Row],[P-31]:[P-32]],Input_Raw[[#This Row],[P-37]],Input_Raw[[#This Row],[P-50]:[P-56]])</f>
        <v>28096</v>
      </c>
      <c r="DA60" s="233"/>
      <c r="DB60" s="234">
        <f>Input_Raw[[#This Row],[33 kV_Wind_F1_Export reading]]/1000</f>
        <v>43.777999999999999</v>
      </c>
      <c r="DC60" s="234"/>
      <c r="DD60" s="234">
        <f>Input_Raw[[#This Row],[33 kV_Wind_F2_Export_reading]]/1000</f>
        <v>42.633000000000003</v>
      </c>
      <c r="DE60" s="234"/>
      <c r="DF60" s="234">
        <f>Input_Raw[[#This Row],[33 kV_Wind_F3_Export_Reading]]/1000</f>
        <v>32.134</v>
      </c>
      <c r="DG60" s="234"/>
      <c r="DH60" s="234">
        <f>Input_Raw[[#This Row],[33 kV_Wind_F4_Export Reading]]/1000</f>
        <v>28.096</v>
      </c>
      <c r="DI60" s="234"/>
      <c r="DJ60" s="234">
        <f>Input_Raw[[#This Row],[33 kV_F1_Total_Export (MWh)]]+Input_Raw[[#This Row],[33 kV_F2_Total_Export (MWh)2]]+Input_Raw[[#This Row],[33 kV_Wind_F3_Export (MWh)]]+Input_Raw[[#This Row],[33 kV_Wind_F4_Export (MWh)]]</f>
        <v>146.64099999999999</v>
      </c>
      <c r="DK60" s="234">
        <f>Input_Raw[[#This Row],[33 kV_Wind_F1_Import (MWh)]]+Input_Raw[[#This Row],[33 kV_Wind_F2_Import (MWh)]]+Input_Raw[[#This Row],[33 kV_Wind_F3_Import (MWh)2]]+Input_Raw[[#This Row],[33 kV_Wind_F4_Import (MWh)2]]</f>
        <v>0</v>
      </c>
      <c r="DL60" s="235">
        <f>IFERROR(Input_Raw[[#This Row],[33 kV_Wind_Total_Export (MWh)]]/Input_Raw[[#This Row],[WTG Total Gneration (MWh)]]-1,"")</f>
        <v>0</v>
      </c>
      <c r="DM60" s="236"/>
      <c r="DN60" s="186">
        <v>44</v>
      </c>
      <c r="DO60" s="186">
        <v>0</v>
      </c>
      <c r="DP60" s="102">
        <v>140.63</v>
      </c>
      <c r="DQ60" s="236"/>
      <c r="DR60" s="181">
        <v>70.400000000000006</v>
      </c>
    </row>
    <row r="61" spans="1:122" ht="15">
      <c r="A61" s="92">
        <f t="shared" si="74"/>
        <v>45801</v>
      </c>
      <c r="B61" s="190">
        <f>YEAR(Input_Raw[[#This Row],[Date]])+IF(MONTH(Input_Raw[[#This Row],[Date]])&gt;=4,1,0)</f>
        <v>2026</v>
      </c>
      <c r="C61" s="190">
        <f>YEAR(Input_Raw[[#This Row],[Date]])</f>
        <v>2025</v>
      </c>
      <c r="D61" s="11">
        <f t="shared" ref="D61" si="114">A61-DAY(A61)+1</f>
        <v>45778</v>
      </c>
      <c r="E61" s="190">
        <f>DAY(EOMONTH(Input_Raw[[#This Row],[Date]],0))</f>
        <v>31</v>
      </c>
      <c r="F61" s="199">
        <v>2332</v>
      </c>
      <c r="G61" s="199">
        <v>1888</v>
      </c>
      <c r="H61" s="199">
        <v>1648</v>
      </c>
      <c r="I61" s="199">
        <v>1210</v>
      </c>
      <c r="J61" s="199">
        <v>948</v>
      </c>
      <c r="K61" s="199">
        <v>852</v>
      </c>
      <c r="L61" s="199">
        <v>1692</v>
      </c>
      <c r="M61" s="199">
        <v>1176</v>
      </c>
      <c r="N61" s="199">
        <v>440</v>
      </c>
      <c r="O61" s="199">
        <v>366</v>
      </c>
      <c r="P61" s="199">
        <v>648</v>
      </c>
      <c r="Q61" s="199">
        <v>688</v>
      </c>
      <c r="R61" s="199">
        <v>338</v>
      </c>
      <c r="S61" s="199">
        <v>446</v>
      </c>
      <c r="T61" s="199">
        <v>388</v>
      </c>
      <c r="U61" s="199">
        <v>574</v>
      </c>
      <c r="V61" s="199">
        <v>504</v>
      </c>
      <c r="W61" s="199">
        <v>1408</v>
      </c>
      <c r="X61" s="199">
        <v>544</v>
      </c>
      <c r="Y61" s="199">
        <v>609</v>
      </c>
      <c r="Z61" s="199">
        <v>2008</v>
      </c>
      <c r="AA61" s="199">
        <v>1996</v>
      </c>
      <c r="AB61" s="199">
        <v>1120</v>
      </c>
      <c r="AC61" s="199">
        <v>940</v>
      </c>
      <c r="AD61" s="199">
        <v>1176</v>
      </c>
      <c r="AE61" s="199">
        <v>1268</v>
      </c>
      <c r="AF61" s="199">
        <v>1212</v>
      </c>
      <c r="AG61" s="199">
        <v>476</v>
      </c>
      <c r="AH61" s="199">
        <v>1352</v>
      </c>
      <c r="AI61" s="199">
        <v>1636</v>
      </c>
      <c r="AJ61" s="199">
        <v>588</v>
      </c>
      <c r="AK61" s="199">
        <v>642</v>
      </c>
      <c r="AL61" s="199">
        <v>820</v>
      </c>
      <c r="AM61" s="199">
        <v>1060</v>
      </c>
      <c r="AN61" s="199">
        <v>1336</v>
      </c>
      <c r="AO61" s="199">
        <v>2188</v>
      </c>
      <c r="AP61" s="199">
        <v>1588</v>
      </c>
      <c r="AQ61" s="199">
        <v>828</v>
      </c>
      <c r="AR61" s="199">
        <v>1228</v>
      </c>
      <c r="AS61" s="199">
        <v>1112</v>
      </c>
      <c r="AT61" s="199">
        <v>828</v>
      </c>
      <c r="AU61" s="199">
        <v>1886</v>
      </c>
      <c r="AV61" s="199">
        <v>1780</v>
      </c>
      <c r="AW61" s="199">
        <v>1544</v>
      </c>
      <c r="AX61" s="95">
        <v>3.36</v>
      </c>
      <c r="AY61" s="95">
        <v>3.47</v>
      </c>
      <c r="AZ61" s="95">
        <v>3.19</v>
      </c>
      <c r="BA61" s="95">
        <v>2.76</v>
      </c>
      <c r="BB61" s="95">
        <v>2.61</v>
      </c>
      <c r="BC61" s="95">
        <v>2.96</v>
      </c>
      <c r="BD61" s="95">
        <v>3.33</v>
      </c>
      <c r="BE61" s="95">
        <v>2.97</v>
      </c>
      <c r="BF61" s="95">
        <v>2.97</v>
      </c>
      <c r="BG61" s="95">
        <v>2.56</v>
      </c>
      <c r="BH61" s="95">
        <v>2.76</v>
      </c>
      <c r="BI61" s="95">
        <v>2.87</v>
      </c>
      <c r="BJ61" s="95">
        <v>3.07</v>
      </c>
      <c r="BK61" s="95">
        <v>1.1200000000000001</v>
      </c>
      <c r="BL61" s="95">
        <v>2.79</v>
      </c>
      <c r="BM61" s="95">
        <v>2.75</v>
      </c>
      <c r="BN61" s="95">
        <v>2.81</v>
      </c>
      <c r="BO61" s="95">
        <v>2.9</v>
      </c>
      <c r="BP61" s="95">
        <v>3.03</v>
      </c>
      <c r="BQ61" s="95">
        <v>2.4</v>
      </c>
      <c r="BR61" s="95">
        <v>2.64</v>
      </c>
      <c r="BS61" s="95">
        <v>3.26</v>
      </c>
      <c r="BT61" s="95">
        <v>3.2</v>
      </c>
      <c r="BU61" s="95">
        <v>2.67</v>
      </c>
      <c r="BV61" s="95">
        <v>3.29</v>
      </c>
      <c r="BW61" s="95">
        <v>3.07</v>
      </c>
      <c r="BX61" s="95">
        <v>3.27</v>
      </c>
      <c r="BY61" s="95">
        <v>2.65</v>
      </c>
      <c r="BZ61" s="95">
        <v>2.23</v>
      </c>
      <c r="CA61" s="95">
        <v>2.87</v>
      </c>
      <c r="CB61" s="95">
        <v>3.02</v>
      </c>
      <c r="CC61" s="95">
        <v>2.2999999999999998</v>
      </c>
      <c r="CD61" s="95">
        <v>2.67</v>
      </c>
      <c r="CE61" s="95">
        <v>3.15</v>
      </c>
      <c r="CF61" s="95">
        <v>2.74</v>
      </c>
      <c r="CG61" s="95">
        <v>2.87</v>
      </c>
      <c r="CH61" s="95">
        <v>3.79</v>
      </c>
      <c r="CI61" s="95">
        <v>3.39</v>
      </c>
      <c r="CJ61" s="95">
        <v>2.61</v>
      </c>
      <c r="CK61" s="95">
        <v>3.1</v>
      </c>
      <c r="CL61" s="95">
        <v>2.6</v>
      </c>
      <c r="CM61" s="95">
        <v>2.38</v>
      </c>
      <c r="CN61" s="95">
        <v>3.2</v>
      </c>
      <c r="CO61" s="95">
        <v>3.29</v>
      </c>
      <c r="CP61" s="243">
        <f>SUM(Input_Raw[[#This Row],[P-01]:[P-56]])/1000</f>
        <v>49.311</v>
      </c>
      <c r="CQ61" s="244">
        <f>IFERROR(AVERAGEIF(Input_Raw[[#This Row],[WS_P-01]:[WS_P-56]],"&lt;&gt;",Input_Raw[[#This Row],[WS_P-01]:[WS_P-56]]),"")</f>
        <v>2.8849999999999998</v>
      </c>
      <c r="CR61" s="245">
        <f>MAX(Input_Raw[[#This Row],[WS_P-01]:[WS_P-56]])</f>
        <v>3.79</v>
      </c>
      <c r="CS61" s="245"/>
      <c r="CT61" s="246">
        <f>SUM(Input_Raw[[#This Row],[P-08]:[P-13]],Input_Raw[[#This Row],[P-25]:[P-28]])</f>
        <v>8160</v>
      </c>
      <c r="CU61" s="246"/>
      <c r="CV61" s="246">
        <f>SUM(Input_Raw[[#This Row],[P-04]],Input_Raw[[#This Row],[P-14]:[P-17]],Input_Raw[[#This Row],[P-19]:[P-20]],Input_Raw[[#This Row],[P-22]:[P-23]],Input_Raw[[#This Row],[P-34]],Input_Raw[[#This Row],[P-38]],Input_Raw[[#This Row],[P-43]])</f>
        <v>11555</v>
      </c>
      <c r="CW61" s="246"/>
      <c r="CX61" s="246">
        <f>SUM(Input_Raw[[#This Row],[P-05]:[P-06]],Input_Raw[[#This Row],[P-40]:[P-42]],Input_Raw[[#This Row],[P-45]],Input_Raw[[#This Row],[P-46]],Input_Raw[[#This Row],[P-47]:[P-48]])</f>
        <v>10154</v>
      </c>
      <c r="CY61" s="246"/>
      <c r="CZ61" s="246">
        <f>SUM(Input_Raw[[#This Row],[P-01]:[P-03]],Input_Raw[[#This Row],[P-07]],Input_Raw[[#This Row],[P-18]],Input_Raw[[#This Row],[P-31]:[P-32]],Input_Raw[[#This Row],[P-37]],Input_Raw[[#This Row],[P-50]:[P-56]])</f>
        <v>19442</v>
      </c>
      <c r="DA61" s="247"/>
      <c r="DB61" s="248">
        <f>Input_Raw[[#This Row],[33 kV_Wind_F1_Export reading]]/1000</f>
        <v>8.16</v>
      </c>
      <c r="DC61" s="248"/>
      <c r="DD61" s="248">
        <f>Input_Raw[[#This Row],[33 kV_Wind_F2_Export_reading]]/1000</f>
        <v>11.555</v>
      </c>
      <c r="DE61" s="248"/>
      <c r="DF61" s="248">
        <f>Input_Raw[[#This Row],[33 kV_Wind_F3_Export_Reading]]/1000</f>
        <v>10.154</v>
      </c>
      <c r="DG61" s="248"/>
      <c r="DH61" s="248">
        <f>Input_Raw[[#This Row],[33 kV_Wind_F4_Export Reading]]/1000</f>
        <v>19.442</v>
      </c>
      <c r="DI61" s="248"/>
      <c r="DJ61" s="248">
        <f>Input_Raw[[#This Row],[33 kV_F1_Total_Export (MWh)]]+Input_Raw[[#This Row],[33 kV_F2_Total_Export (MWh)2]]+Input_Raw[[#This Row],[33 kV_Wind_F3_Export (MWh)]]+Input_Raw[[#This Row],[33 kV_Wind_F4_Export (MWh)]]</f>
        <v>49.311</v>
      </c>
      <c r="DK61" s="248">
        <f>Input_Raw[[#This Row],[33 kV_Wind_F1_Import (MWh)]]+Input_Raw[[#This Row],[33 kV_Wind_F2_Import (MWh)]]+Input_Raw[[#This Row],[33 kV_Wind_F3_Import (MWh)2]]+Input_Raw[[#This Row],[33 kV_Wind_F4_Import (MWh)2]]</f>
        <v>0</v>
      </c>
      <c r="DL61" s="249">
        <f>IFERROR(Input_Raw[[#This Row],[33 kV_Wind_Total_Export (MWh)]]/Input_Raw[[#This Row],[WTG Total Gneration (MWh)]]-1,"")</f>
        <v>0</v>
      </c>
      <c r="DM61" s="250"/>
      <c r="DN61" s="186">
        <v>95</v>
      </c>
      <c r="DO61" s="186">
        <v>0</v>
      </c>
      <c r="DP61" s="102">
        <v>45.49</v>
      </c>
      <c r="DQ61" s="250"/>
      <c r="DR61" s="181">
        <v>70.400000000000006</v>
      </c>
    </row>
    <row r="62" spans="1:122" ht="15">
      <c r="A62" s="92">
        <f t="shared" si="74"/>
        <v>45802</v>
      </c>
      <c r="B62" s="190">
        <f>YEAR(Input_Raw[[#This Row],[Date]])+IF(MONTH(Input_Raw[[#This Row],[Date]])&gt;=4,1,0)</f>
        <v>2026</v>
      </c>
      <c r="C62" s="190">
        <f>YEAR(Input_Raw[[#This Row],[Date]])</f>
        <v>2025</v>
      </c>
      <c r="D62" s="11">
        <f t="shared" ref="D62" si="115">A62-DAY(A62)+1</f>
        <v>45778</v>
      </c>
      <c r="E62" s="190">
        <f>DAY(EOMONTH(Input_Raw[[#This Row],[Date]],0))</f>
        <v>31</v>
      </c>
      <c r="F62" s="199">
        <v>14740</v>
      </c>
      <c r="G62" s="199">
        <v>17408</v>
      </c>
      <c r="H62" s="199">
        <v>19836</v>
      </c>
      <c r="I62" s="199">
        <v>9294</v>
      </c>
      <c r="J62" s="199">
        <v>17940</v>
      </c>
      <c r="K62" s="199">
        <v>16424</v>
      </c>
      <c r="L62" s="199">
        <v>11696</v>
      </c>
      <c r="M62" s="199">
        <v>6624</v>
      </c>
      <c r="N62" s="199">
        <v>7212</v>
      </c>
      <c r="O62" s="199">
        <v>7986</v>
      </c>
      <c r="P62" s="199">
        <v>7742</v>
      </c>
      <c r="Q62" s="199">
        <v>7620</v>
      </c>
      <c r="R62" s="199">
        <v>2584</v>
      </c>
      <c r="S62" s="199">
        <v>7032</v>
      </c>
      <c r="T62" s="199">
        <v>6596</v>
      </c>
      <c r="U62" s="199">
        <v>7432</v>
      </c>
      <c r="V62" s="199">
        <v>8484</v>
      </c>
      <c r="W62" s="199">
        <v>16384</v>
      </c>
      <c r="X62" s="199">
        <v>7716</v>
      </c>
      <c r="Y62" s="199">
        <v>7434</v>
      </c>
      <c r="Z62" s="199">
        <v>8976</v>
      </c>
      <c r="AA62" s="199">
        <v>9748</v>
      </c>
      <c r="AB62" s="199">
        <v>9088</v>
      </c>
      <c r="AC62" s="199">
        <v>8888</v>
      </c>
      <c r="AD62" s="199">
        <v>9160</v>
      </c>
      <c r="AE62" s="199">
        <v>8984</v>
      </c>
      <c r="AF62" s="199">
        <v>22106</v>
      </c>
      <c r="AG62" s="199">
        <v>6448</v>
      </c>
      <c r="AH62" s="199">
        <v>8784</v>
      </c>
      <c r="AI62" s="199">
        <v>8652</v>
      </c>
      <c r="AJ62" s="199">
        <v>10076</v>
      </c>
      <c r="AK62" s="199">
        <v>12004</v>
      </c>
      <c r="AL62" s="199">
        <v>17844</v>
      </c>
      <c r="AM62" s="199">
        <v>17640</v>
      </c>
      <c r="AN62" s="199">
        <v>7280</v>
      </c>
      <c r="AO62" s="199">
        <v>18272</v>
      </c>
      <c r="AP62" s="199">
        <v>18772</v>
      </c>
      <c r="AQ62" s="199">
        <v>16632</v>
      </c>
      <c r="AR62" s="199">
        <v>17720</v>
      </c>
      <c r="AS62" s="199">
        <v>5888</v>
      </c>
      <c r="AT62" s="199">
        <v>9124</v>
      </c>
      <c r="AU62" s="199">
        <v>9830</v>
      </c>
      <c r="AV62" s="199">
        <v>13356</v>
      </c>
      <c r="AW62" s="199">
        <v>13212</v>
      </c>
      <c r="AX62" s="95">
        <v>6.82</v>
      </c>
      <c r="AY62" s="95">
        <v>7.49</v>
      </c>
      <c r="AZ62" s="95">
        <v>7.99</v>
      </c>
      <c r="BA62" s="95">
        <v>6.18</v>
      </c>
      <c r="BB62" s="95">
        <v>7.43</v>
      </c>
      <c r="BC62" s="95">
        <v>7.47</v>
      </c>
      <c r="BD62" s="95">
        <v>6.53</v>
      </c>
      <c r="BE62" s="95">
        <v>5.47</v>
      </c>
      <c r="BF62" s="95">
        <v>5.47</v>
      </c>
      <c r="BG62" s="95">
        <v>5.41</v>
      </c>
      <c r="BH62" s="95">
        <v>6.13</v>
      </c>
      <c r="BI62" s="95">
        <v>5.78</v>
      </c>
      <c r="BJ62" s="95">
        <v>5.7</v>
      </c>
      <c r="BK62" s="95">
        <v>1.55</v>
      </c>
      <c r="BL62" s="95">
        <v>5.64</v>
      </c>
      <c r="BM62" s="95">
        <v>5.76</v>
      </c>
      <c r="BN62" s="95">
        <v>5.91</v>
      </c>
      <c r="BO62" s="95">
        <v>5.83</v>
      </c>
      <c r="BP62" s="95">
        <v>7.44</v>
      </c>
      <c r="BQ62" s="95">
        <v>5.68</v>
      </c>
      <c r="BR62" s="95">
        <v>5.53</v>
      </c>
      <c r="BS62" s="95">
        <v>5.91</v>
      </c>
      <c r="BT62" s="95">
        <v>6.07</v>
      </c>
      <c r="BU62" s="95">
        <v>5.68</v>
      </c>
      <c r="BV62" s="95">
        <v>5.99</v>
      </c>
      <c r="BW62" s="95">
        <v>6.23</v>
      </c>
      <c r="BX62" s="95">
        <v>6.19</v>
      </c>
      <c r="BY62" s="95">
        <v>8.34</v>
      </c>
      <c r="BZ62" s="95">
        <v>5.31</v>
      </c>
      <c r="CA62" s="95">
        <v>5.99</v>
      </c>
      <c r="CB62" s="95">
        <v>5.92</v>
      </c>
      <c r="CC62" s="95">
        <v>6.11</v>
      </c>
      <c r="CD62" s="95">
        <v>6.79</v>
      </c>
      <c r="CE62" s="95">
        <v>8.15</v>
      </c>
      <c r="CF62" s="95">
        <v>7.39</v>
      </c>
      <c r="CG62" s="95">
        <v>5.28</v>
      </c>
      <c r="CH62" s="95">
        <v>8.5500000000000007</v>
      </c>
      <c r="CI62" s="95">
        <v>7.86</v>
      </c>
      <c r="CJ62" s="95">
        <v>7.27</v>
      </c>
      <c r="CK62" s="95">
        <v>7.57</v>
      </c>
      <c r="CL62" s="95">
        <v>5.07</v>
      </c>
      <c r="CM62" s="95">
        <v>5.99</v>
      </c>
      <c r="CN62" s="95">
        <v>6.09</v>
      </c>
      <c r="CO62" s="95">
        <v>7.13</v>
      </c>
      <c r="CP62" s="251">
        <f>SUM(Input_Raw[[#This Row],[P-01]:[P-56]])/1000</f>
        <v>496.66800000000001</v>
      </c>
      <c r="CQ62" s="252">
        <f>IFERROR(AVERAGEIF(Input_Raw[[#This Row],[WS_P-01]:[WS_P-56]],"&lt;&gt;",Input_Raw[[#This Row],[WS_P-01]:[WS_P-56]]),"")</f>
        <v>6.3202272727272719</v>
      </c>
      <c r="CR62" s="253">
        <f>MAX(Input_Raw[[#This Row],[WS_P-01]:[WS_P-56]])</f>
        <v>8.5500000000000007</v>
      </c>
      <c r="CS62" s="253"/>
      <c r="CT62" s="254">
        <f>SUM(Input_Raw[[#This Row],[P-08]:[P-13]],Input_Raw[[#This Row],[P-25]:[P-28]])</f>
        <v>75888</v>
      </c>
      <c r="CU62" s="254"/>
      <c r="CV62" s="254">
        <f>SUM(Input_Raw[[#This Row],[P-04]],Input_Raw[[#This Row],[P-14]:[P-17]],Input_Raw[[#This Row],[P-19]:[P-20]],Input_Raw[[#This Row],[P-22]:[P-23]],Input_Raw[[#This Row],[P-34]],Input_Raw[[#This Row],[P-38]],Input_Raw[[#This Row],[P-43]])</f>
        <v>98852</v>
      </c>
      <c r="CW62" s="254"/>
      <c r="CX62" s="254">
        <f>SUM(Input_Raw[[#This Row],[P-05]:[P-06]],Input_Raw[[#This Row],[P-40]:[P-42]],Input_Raw[[#This Row],[P-45]],Input_Raw[[#This Row],[P-46]],Input_Raw[[#This Row],[P-47]:[P-48]])</f>
        <v>153248</v>
      </c>
      <c r="CY62" s="254"/>
      <c r="CZ62" s="254">
        <f>SUM(Input_Raw[[#This Row],[P-01]:[P-03]],Input_Raw[[#This Row],[P-07]],Input_Raw[[#This Row],[P-18]],Input_Raw[[#This Row],[P-31]:[P-32]],Input_Raw[[#This Row],[P-37]],Input_Raw[[#This Row],[P-50]:[P-56]])</f>
        <v>168680</v>
      </c>
      <c r="DA62" s="255"/>
      <c r="DB62" s="256">
        <f>Input_Raw[[#This Row],[33 kV_Wind_F1_Export reading]]/1000</f>
        <v>75.888000000000005</v>
      </c>
      <c r="DC62" s="256"/>
      <c r="DD62" s="256">
        <f>Input_Raw[[#This Row],[33 kV_Wind_F2_Export_reading]]/1000</f>
        <v>98.852000000000004</v>
      </c>
      <c r="DE62" s="256"/>
      <c r="DF62" s="256">
        <f>Input_Raw[[#This Row],[33 kV_Wind_F3_Export_Reading]]/1000</f>
        <v>153.24799999999999</v>
      </c>
      <c r="DG62" s="256"/>
      <c r="DH62" s="256">
        <f>Input_Raw[[#This Row],[33 kV_Wind_F4_Export Reading]]/1000</f>
        <v>168.68</v>
      </c>
      <c r="DI62" s="256"/>
      <c r="DJ62" s="256">
        <f>Input_Raw[[#This Row],[33 kV_F1_Total_Export (MWh)]]+Input_Raw[[#This Row],[33 kV_F2_Total_Export (MWh)2]]+Input_Raw[[#This Row],[33 kV_Wind_F3_Export (MWh)]]+Input_Raw[[#This Row],[33 kV_Wind_F4_Export (MWh)]]</f>
        <v>496.66800000000001</v>
      </c>
      <c r="DK62" s="256">
        <f>Input_Raw[[#This Row],[33 kV_Wind_F1_Import (MWh)]]+Input_Raw[[#This Row],[33 kV_Wind_F2_Import (MWh)]]+Input_Raw[[#This Row],[33 kV_Wind_F3_Import (MWh)2]]+Input_Raw[[#This Row],[33 kV_Wind_F4_Import (MWh)2]]</f>
        <v>0</v>
      </c>
      <c r="DL62" s="257">
        <f>IFERROR(Input_Raw[[#This Row],[33 kV_Wind_Total_Export (MWh)]]/Input_Raw[[#This Row],[WTG Total Gneration (MWh)]]-1,"")</f>
        <v>0</v>
      </c>
      <c r="DM62" s="258"/>
      <c r="DN62" s="186">
        <v>86</v>
      </c>
      <c r="DO62" s="186">
        <v>0</v>
      </c>
      <c r="DP62" s="102">
        <v>464.94</v>
      </c>
      <c r="DQ62" s="258"/>
      <c r="DR62" s="181">
        <v>70.400000000000006</v>
      </c>
    </row>
    <row r="63" spans="1:122" ht="15">
      <c r="A63" s="92">
        <f t="shared" si="74"/>
        <v>45803</v>
      </c>
      <c r="B63" s="190">
        <f>YEAR(Input_Raw[[#This Row],[Date]])+IF(MONTH(Input_Raw[[#This Row],[Date]])&gt;=4,1,0)</f>
        <v>2026</v>
      </c>
      <c r="C63" s="190">
        <f>YEAR(Input_Raw[[#This Row],[Date]])</f>
        <v>2025</v>
      </c>
      <c r="D63" s="11">
        <f t="shared" ref="D63" si="116">A63-DAY(A63)+1</f>
        <v>45778</v>
      </c>
      <c r="E63" s="190">
        <f>DAY(EOMONTH(Input_Raw[[#This Row],[Date]],0))</f>
        <v>31</v>
      </c>
      <c r="F63" s="199">
        <v>13828</v>
      </c>
      <c r="G63" s="199">
        <v>19344</v>
      </c>
      <c r="H63" s="199">
        <v>19252</v>
      </c>
      <c r="I63" s="199">
        <v>12348</v>
      </c>
      <c r="J63" s="199">
        <v>19104</v>
      </c>
      <c r="K63" s="199">
        <v>18768</v>
      </c>
      <c r="L63" s="199">
        <v>12984</v>
      </c>
      <c r="M63" s="199">
        <v>9124</v>
      </c>
      <c r="N63" s="199">
        <v>8068</v>
      </c>
      <c r="O63" s="199">
        <v>9656</v>
      </c>
      <c r="P63" s="199">
        <v>10874</v>
      </c>
      <c r="Q63" s="199">
        <v>11520</v>
      </c>
      <c r="R63" s="199">
        <v>10948</v>
      </c>
      <c r="S63" s="199">
        <v>10310</v>
      </c>
      <c r="T63" s="199">
        <v>8936</v>
      </c>
      <c r="U63" s="199">
        <v>9758</v>
      </c>
      <c r="V63" s="199">
        <v>10472</v>
      </c>
      <c r="W63" s="199">
        <v>15864</v>
      </c>
      <c r="X63" s="199">
        <v>10316</v>
      </c>
      <c r="Y63" s="199">
        <v>9153</v>
      </c>
      <c r="Z63" s="199">
        <v>12100</v>
      </c>
      <c r="AA63" s="199">
        <v>11320</v>
      </c>
      <c r="AB63" s="199">
        <v>11160</v>
      </c>
      <c r="AC63" s="199">
        <v>12288</v>
      </c>
      <c r="AD63" s="199">
        <v>12508</v>
      </c>
      <c r="AE63" s="199">
        <v>11848</v>
      </c>
      <c r="AF63" s="199">
        <v>17338</v>
      </c>
      <c r="AG63" s="199">
        <v>7484</v>
      </c>
      <c r="AH63" s="199">
        <v>12808</v>
      </c>
      <c r="AI63" s="199">
        <v>10426</v>
      </c>
      <c r="AJ63" s="199">
        <v>11310</v>
      </c>
      <c r="AK63" s="199">
        <v>12680</v>
      </c>
      <c r="AL63" s="199">
        <v>18980</v>
      </c>
      <c r="AM63" s="199">
        <v>20196</v>
      </c>
      <c r="AN63" s="199">
        <v>9350</v>
      </c>
      <c r="AO63" s="199">
        <v>22004</v>
      </c>
      <c r="AP63" s="199">
        <v>21956</v>
      </c>
      <c r="AQ63" s="199">
        <v>18428</v>
      </c>
      <c r="AR63" s="199">
        <v>21096</v>
      </c>
      <c r="AS63" s="199">
        <v>7600</v>
      </c>
      <c r="AT63" s="199">
        <v>12084</v>
      </c>
      <c r="AU63" s="199">
        <v>10804</v>
      </c>
      <c r="AV63" s="199">
        <v>16628</v>
      </c>
      <c r="AW63" s="199">
        <v>13756</v>
      </c>
      <c r="AX63" s="95">
        <v>7.71</v>
      </c>
      <c r="AY63" s="95">
        <v>8.23</v>
      </c>
      <c r="AZ63" s="95">
        <v>8.51</v>
      </c>
      <c r="BA63" s="95">
        <v>7.19</v>
      </c>
      <c r="BB63" s="95">
        <v>7.85</v>
      </c>
      <c r="BC63" s="95">
        <v>8.17</v>
      </c>
      <c r="BD63" s="95">
        <v>7.28</v>
      </c>
      <c r="BE63" s="95">
        <v>6.32</v>
      </c>
      <c r="BF63" s="95">
        <v>6.32</v>
      </c>
      <c r="BG63" s="95">
        <v>6.22</v>
      </c>
      <c r="BH63" s="95">
        <v>6.83</v>
      </c>
      <c r="BI63" s="95">
        <v>6.74</v>
      </c>
      <c r="BJ63" s="95">
        <v>6.71</v>
      </c>
      <c r="BK63" s="95">
        <v>6.67</v>
      </c>
      <c r="BL63" s="95">
        <v>6.53</v>
      </c>
      <c r="BM63" s="95">
        <v>6.53</v>
      </c>
      <c r="BN63" s="95">
        <v>6.57</v>
      </c>
      <c r="BO63" s="95">
        <v>6.53</v>
      </c>
      <c r="BP63" s="95">
        <v>7.76</v>
      </c>
      <c r="BQ63" s="95">
        <v>6.43</v>
      </c>
      <c r="BR63" s="95">
        <v>6.08</v>
      </c>
      <c r="BS63" s="95">
        <v>6.76</v>
      </c>
      <c r="BT63" s="95">
        <v>6.57</v>
      </c>
      <c r="BU63" s="95">
        <v>6.36</v>
      </c>
      <c r="BV63" s="95">
        <v>6.87</v>
      </c>
      <c r="BW63" s="95">
        <v>7.27</v>
      </c>
      <c r="BX63" s="95">
        <v>7.02</v>
      </c>
      <c r="BY63" s="95">
        <v>8.35</v>
      </c>
      <c r="BZ63" s="95">
        <v>5.91</v>
      </c>
      <c r="CA63" s="95">
        <v>7.02</v>
      </c>
      <c r="CB63" s="95">
        <v>6.65</v>
      </c>
      <c r="CC63" s="95">
        <v>6.56</v>
      </c>
      <c r="CD63" s="95">
        <v>7.22</v>
      </c>
      <c r="CE63" s="95">
        <v>8.5500000000000007</v>
      </c>
      <c r="CF63" s="95">
        <v>8.1300000000000008</v>
      </c>
      <c r="CG63" s="95">
        <v>5.95</v>
      </c>
      <c r="CH63" s="95">
        <v>9.75</v>
      </c>
      <c r="CI63" s="95">
        <v>8.7100000000000009</v>
      </c>
      <c r="CJ63" s="95">
        <v>7.82</v>
      </c>
      <c r="CK63" s="95">
        <v>8.4600000000000009</v>
      </c>
      <c r="CL63" s="95">
        <v>5.76</v>
      </c>
      <c r="CM63" s="95">
        <v>7</v>
      </c>
      <c r="CN63" s="95">
        <v>7.01</v>
      </c>
      <c r="CO63" s="95">
        <v>8.24</v>
      </c>
      <c r="CP63" s="251">
        <f>SUM(Input_Raw[[#This Row],[P-01]:[P-56]])/1000</f>
        <v>586.779</v>
      </c>
      <c r="CQ63" s="252">
        <f>IFERROR(AVERAGEIF(Input_Raw[[#This Row],[WS_P-01]:[WS_P-56]],"&lt;&gt;",Input_Raw[[#This Row],[WS_P-01]:[WS_P-56]]),"")</f>
        <v>7.1618181818181803</v>
      </c>
      <c r="CR63" s="253">
        <f>MAX(Input_Raw[[#This Row],[WS_P-01]:[WS_P-56]])</f>
        <v>9.75</v>
      </c>
      <c r="CS63" s="253"/>
      <c r="CT63" s="254">
        <f>SUM(Input_Raw[[#This Row],[P-08]:[P-13]],Input_Raw[[#This Row],[P-25]:[P-28]])</f>
        <v>107994</v>
      </c>
      <c r="CU63" s="254"/>
      <c r="CV63" s="254">
        <f>SUM(Input_Raw[[#This Row],[P-04]],Input_Raw[[#This Row],[P-14]:[P-17]],Input_Raw[[#This Row],[P-19]:[P-20]],Input_Raw[[#This Row],[P-22]:[P-23]],Input_Raw[[#This Row],[P-34]],Input_Raw[[#This Row],[P-38]],Input_Raw[[#This Row],[P-43]])</f>
        <v>128181</v>
      </c>
      <c r="CW63" s="254"/>
      <c r="CX63" s="254">
        <f>SUM(Input_Raw[[#This Row],[P-05]:[P-06]],Input_Raw[[#This Row],[P-40]:[P-42]],Input_Raw[[#This Row],[P-45]],Input_Raw[[#This Row],[P-46]],Input_Raw[[#This Row],[P-47]:[P-48]])</f>
        <v>173212</v>
      </c>
      <c r="CY63" s="254"/>
      <c r="CZ63" s="254">
        <f>SUM(Input_Raw[[#This Row],[P-01]:[P-03]],Input_Raw[[#This Row],[P-07]],Input_Raw[[#This Row],[P-18]],Input_Raw[[#This Row],[P-31]:[P-32]],Input_Raw[[#This Row],[P-37]],Input_Raw[[#This Row],[P-50]:[P-56]])</f>
        <v>177392</v>
      </c>
      <c r="DA63" s="255"/>
      <c r="DB63" s="256">
        <f>Input_Raw[[#This Row],[33 kV_Wind_F1_Export reading]]/1000</f>
        <v>107.994</v>
      </c>
      <c r="DC63" s="256"/>
      <c r="DD63" s="256">
        <f>Input_Raw[[#This Row],[33 kV_Wind_F2_Export_reading]]/1000</f>
        <v>128.18100000000001</v>
      </c>
      <c r="DE63" s="256"/>
      <c r="DF63" s="256">
        <f>Input_Raw[[#This Row],[33 kV_Wind_F3_Export_Reading]]/1000</f>
        <v>173.21199999999999</v>
      </c>
      <c r="DG63" s="256"/>
      <c r="DH63" s="256">
        <f>Input_Raw[[#This Row],[33 kV_Wind_F4_Export Reading]]/1000</f>
        <v>177.392</v>
      </c>
      <c r="DI63" s="256"/>
      <c r="DJ63" s="256">
        <f>Input_Raw[[#This Row],[33 kV_F1_Total_Export (MWh)]]+Input_Raw[[#This Row],[33 kV_F2_Total_Export (MWh)2]]+Input_Raw[[#This Row],[33 kV_Wind_F3_Export (MWh)]]+Input_Raw[[#This Row],[33 kV_Wind_F4_Export (MWh)]]</f>
        <v>586.779</v>
      </c>
      <c r="DK63" s="256">
        <f>Input_Raw[[#This Row],[33 kV_Wind_F1_Import (MWh)]]+Input_Raw[[#This Row],[33 kV_Wind_F2_Import (MWh)]]+Input_Raw[[#This Row],[33 kV_Wind_F3_Import (MWh)2]]+Input_Raw[[#This Row],[33 kV_Wind_F4_Import (MWh)2]]</f>
        <v>0</v>
      </c>
      <c r="DL63" s="257">
        <f>IFERROR(Input_Raw[[#This Row],[33 kV_Wind_Total_Export (MWh)]]/Input_Raw[[#This Row],[WTG Total Gneration (MWh)]]-1,"")</f>
        <v>0</v>
      </c>
      <c r="DM63" s="258"/>
      <c r="DN63" s="186">
        <v>56</v>
      </c>
      <c r="DO63" s="186">
        <v>0</v>
      </c>
      <c r="DP63" s="102">
        <v>576.94000000000005</v>
      </c>
      <c r="DQ63" s="258"/>
      <c r="DR63" s="181">
        <v>70.400000000000006</v>
      </c>
    </row>
    <row r="64" spans="1:122" ht="15">
      <c r="A64" s="92">
        <f t="shared" si="74"/>
        <v>45804</v>
      </c>
      <c r="B64" s="190">
        <f>YEAR(Input_Raw[[#This Row],[Date]])+IF(MONTH(Input_Raw[[#This Row],[Date]])&gt;=4,1,0)</f>
        <v>2026</v>
      </c>
      <c r="C64" s="190">
        <f>YEAR(Input_Raw[[#This Row],[Date]])</f>
        <v>2025</v>
      </c>
      <c r="D64" s="11">
        <f t="shared" ref="D64" si="117">A64-DAY(A64)+1</f>
        <v>45778</v>
      </c>
      <c r="E64" s="190">
        <f>DAY(EOMONTH(Input_Raw[[#This Row],[Date]],0))</f>
        <v>31</v>
      </c>
      <c r="F64" s="199">
        <v>16900</v>
      </c>
      <c r="G64" s="199">
        <v>17912</v>
      </c>
      <c r="H64" s="199">
        <v>18488</v>
      </c>
      <c r="I64" s="199">
        <v>11020</v>
      </c>
      <c r="J64" s="199">
        <v>14748</v>
      </c>
      <c r="K64" s="199">
        <v>13396</v>
      </c>
      <c r="L64" s="199">
        <v>11540</v>
      </c>
      <c r="M64" s="199">
        <v>7496</v>
      </c>
      <c r="N64" s="199">
        <v>6914</v>
      </c>
      <c r="O64" s="199">
        <v>8000</v>
      </c>
      <c r="P64" s="199">
        <v>8776</v>
      </c>
      <c r="Q64" s="199">
        <v>8456</v>
      </c>
      <c r="R64" s="199">
        <v>8212</v>
      </c>
      <c r="S64" s="199">
        <v>7512</v>
      </c>
      <c r="T64" s="199">
        <v>6778</v>
      </c>
      <c r="U64" s="199">
        <v>7306</v>
      </c>
      <c r="V64" s="199">
        <v>8000</v>
      </c>
      <c r="W64" s="199">
        <v>15916</v>
      </c>
      <c r="X64" s="199">
        <v>7900</v>
      </c>
      <c r="Y64" s="199">
        <v>6997</v>
      </c>
      <c r="Z64" s="199">
        <v>10364</v>
      </c>
      <c r="AA64" s="199">
        <v>10524</v>
      </c>
      <c r="AB64" s="199">
        <v>8744</v>
      </c>
      <c r="AC64" s="199">
        <v>9312</v>
      </c>
      <c r="AD64" s="199">
        <v>9760</v>
      </c>
      <c r="AE64" s="199">
        <v>9016</v>
      </c>
      <c r="AF64" s="199">
        <v>18168</v>
      </c>
      <c r="AG64" s="199">
        <v>8328</v>
      </c>
      <c r="AH64" s="199">
        <v>11540</v>
      </c>
      <c r="AI64" s="199">
        <v>10496</v>
      </c>
      <c r="AJ64" s="199">
        <v>9080</v>
      </c>
      <c r="AK64" s="199">
        <v>9594</v>
      </c>
      <c r="AL64" s="199">
        <v>14792</v>
      </c>
      <c r="AM64" s="199">
        <v>16412</v>
      </c>
      <c r="AN64" s="199">
        <v>8822</v>
      </c>
      <c r="AO64" s="199">
        <v>16672</v>
      </c>
      <c r="AP64" s="199">
        <v>16672</v>
      </c>
      <c r="AQ64" s="199">
        <v>15304</v>
      </c>
      <c r="AR64" s="199">
        <v>15900</v>
      </c>
      <c r="AS64" s="199">
        <v>8274</v>
      </c>
      <c r="AT64" s="199">
        <v>12684</v>
      </c>
      <c r="AU64" s="199">
        <v>12772</v>
      </c>
      <c r="AV64" s="199">
        <v>15240</v>
      </c>
      <c r="AW64" s="199">
        <v>13872</v>
      </c>
      <c r="AX64" s="95">
        <v>7.15</v>
      </c>
      <c r="AY64" s="95">
        <v>7.57</v>
      </c>
      <c r="AZ64" s="95">
        <v>7.83</v>
      </c>
      <c r="BA64" s="95">
        <v>6.5</v>
      </c>
      <c r="BB64" s="95">
        <v>6.94</v>
      </c>
      <c r="BC64" s="95">
        <v>6.95</v>
      </c>
      <c r="BD64" s="95">
        <v>6.38</v>
      </c>
      <c r="BE64" s="95">
        <v>5.64</v>
      </c>
      <c r="BF64" s="95">
        <v>5.64</v>
      </c>
      <c r="BG64" s="95">
        <v>5.59</v>
      </c>
      <c r="BH64" s="95">
        <v>6.13</v>
      </c>
      <c r="BI64" s="95">
        <v>5.97</v>
      </c>
      <c r="BJ64" s="95">
        <v>5.85</v>
      </c>
      <c r="BK64" s="95">
        <v>5.86</v>
      </c>
      <c r="BL64" s="95">
        <v>5.71</v>
      </c>
      <c r="BM64" s="95">
        <v>5.76</v>
      </c>
      <c r="BN64" s="95">
        <v>5.85</v>
      </c>
      <c r="BO64" s="95">
        <v>5.69</v>
      </c>
      <c r="BP64" s="95">
        <v>7.23</v>
      </c>
      <c r="BQ64" s="95">
        <v>5.69</v>
      </c>
      <c r="BR64" s="95">
        <v>5.42</v>
      </c>
      <c r="BS64" s="95">
        <v>6.2</v>
      </c>
      <c r="BT64" s="95">
        <v>6.24</v>
      </c>
      <c r="BU64" s="95">
        <v>5.55</v>
      </c>
      <c r="BV64" s="95">
        <v>6.08</v>
      </c>
      <c r="BW64" s="95">
        <v>6.26</v>
      </c>
      <c r="BX64" s="95">
        <v>6.14</v>
      </c>
      <c r="BY64" s="95">
        <v>7.58</v>
      </c>
      <c r="BZ64" s="95">
        <v>5.5</v>
      </c>
      <c r="CA64" s="95">
        <v>6.52</v>
      </c>
      <c r="CB64" s="95">
        <v>6.1</v>
      </c>
      <c r="CC64" s="95">
        <v>5.84</v>
      </c>
      <c r="CD64" s="95">
        <v>6.18</v>
      </c>
      <c r="CE64" s="95">
        <v>7.58</v>
      </c>
      <c r="CF64" s="95">
        <v>7.23</v>
      </c>
      <c r="CG64" s="95">
        <v>5.57</v>
      </c>
      <c r="CH64" s="95">
        <v>8.17</v>
      </c>
      <c r="CI64" s="95">
        <v>7.63</v>
      </c>
      <c r="CJ64" s="95">
        <v>6.95</v>
      </c>
      <c r="CK64" s="95">
        <v>7.36</v>
      </c>
      <c r="CL64" s="95">
        <v>5.28</v>
      </c>
      <c r="CM64" s="95">
        <v>6.47</v>
      </c>
      <c r="CN64" s="95">
        <v>6.51</v>
      </c>
      <c r="CO64" s="95">
        <v>7.24</v>
      </c>
      <c r="CP64" s="98">
        <f>SUM(Input_Raw[[#This Row],[P-01]:[P-56]])/1000</f>
        <v>504.60899999999998</v>
      </c>
      <c r="CQ64" s="71">
        <f>IFERROR(AVERAGEIF(Input_Raw[[#This Row],[WS_P-01]:[WS_P-56]],"&lt;&gt;",Input_Raw[[#This Row],[WS_P-01]:[WS_P-56]]),"")</f>
        <v>6.39840909090909</v>
      </c>
      <c r="CR64" s="99">
        <f>MAX(Input_Raw[[#This Row],[WS_P-01]:[WS_P-56]])</f>
        <v>8.17</v>
      </c>
      <c r="CS64" s="99"/>
      <c r="CT64" s="70">
        <f>SUM(Input_Raw[[#This Row],[P-08]:[P-13]],Input_Raw[[#This Row],[P-25]:[P-28]])</f>
        <v>84686</v>
      </c>
      <c r="CU64" s="70"/>
      <c r="CV64" s="70">
        <f>SUM(Input_Raw[[#This Row],[P-04]],Input_Raw[[#This Row],[P-14]:[P-17]],Input_Raw[[#This Row],[P-19]:[P-20]],Input_Raw[[#This Row],[P-22]:[P-23]],Input_Raw[[#This Row],[P-34]],Input_Raw[[#This Row],[P-38]],Input_Raw[[#This Row],[P-43]])</f>
        <v>105843</v>
      </c>
      <c r="CW64" s="70"/>
      <c r="CX64" s="70">
        <f>SUM(Input_Raw[[#This Row],[P-05]:[P-06]],Input_Raw[[#This Row],[P-40]:[P-42]],Input_Raw[[#This Row],[P-45]],Input_Raw[[#This Row],[P-46]],Input_Raw[[#This Row],[P-47]:[P-48]])</f>
        <v>133490</v>
      </c>
      <c r="CY64" s="70"/>
      <c r="CZ64" s="70">
        <f>SUM(Input_Raw[[#This Row],[P-01]:[P-03]],Input_Raw[[#This Row],[P-07]],Input_Raw[[#This Row],[P-18]],Input_Raw[[#This Row],[P-31]:[P-32]],Input_Raw[[#This Row],[P-37]],Input_Raw[[#This Row],[P-50]:[P-56]])</f>
        <v>180590</v>
      </c>
      <c r="DA64" s="12"/>
      <c r="DB64" s="13">
        <f>Input_Raw[[#This Row],[33 kV_Wind_F1_Export reading]]/1000</f>
        <v>84.686000000000007</v>
      </c>
      <c r="DC64" s="13"/>
      <c r="DD64" s="13">
        <f>Input_Raw[[#This Row],[33 kV_Wind_F2_Export_reading]]/1000</f>
        <v>105.843</v>
      </c>
      <c r="DE64" s="13"/>
      <c r="DF64" s="13">
        <f>Input_Raw[[#This Row],[33 kV_Wind_F3_Export_Reading]]/1000</f>
        <v>133.49</v>
      </c>
      <c r="DG64" s="13"/>
      <c r="DH64" s="13">
        <f>Input_Raw[[#This Row],[33 kV_Wind_F4_Export Reading]]/1000</f>
        <v>180.59</v>
      </c>
      <c r="DI64" s="13"/>
      <c r="DJ64" s="13">
        <f>Input_Raw[[#This Row],[33 kV_F1_Total_Export (MWh)]]+Input_Raw[[#This Row],[33 kV_F2_Total_Export (MWh)2]]+Input_Raw[[#This Row],[33 kV_Wind_F3_Export (MWh)]]+Input_Raw[[#This Row],[33 kV_Wind_F4_Export (MWh)]]</f>
        <v>504.60900000000004</v>
      </c>
      <c r="DK64" s="13">
        <f>Input_Raw[[#This Row],[33 kV_Wind_F1_Import (MWh)]]+Input_Raw[[#This Row],[33 kV_Wind_F2_Import (MWh)]]+Input_Raw[[#This Row],[33 kV_Wind_F3_Import (MWh)2]]+Input_Raw[[#This Row],[33 kV_Wind_F4_Import (MWh)2]]</f>
        <v>0</v>
      </c>
      <c r="DL64" s="100">
        <f>IFERROR(Input_Raw[[#This Row],[33 kV_Wind_Total_Export (MWh)]]/Input_Raw[[#This Row],[WTG Total Gneration (MWh)]]-1,"")</f>
        <v>2.2204460492503131E-16</v>
      </c>
      <c r="DM64" s="66"/>
      <c r="DN64" s="186">
        <v>88</v>
      </c>
      <c r="DO64" s="186">
        <v>0</v>
      </c>
      <c r="DP64" s="102">
        <v>485.57</v>
      </c>
      <c r="DQ64" s="66"/>
      <c r="DR64" s="181">
        <v>70.400000000000006</v>
      </c>
    </row>
    <row r="65" spans="1:122" ht="15">
      <c r="A65" s="92">
        <f t="shared" si="74"/>
        <v>45805</v>
      </c>
      <c r="B65" s="190">
        <f>YEAR(Input_Raw[[#This Row],[Date]])+IF(MONTH(Input_Raw[[#This Row],[Date]])&gt;=4,1,0)</f>
        <v>2026</v>
      </c>
      <c r="C65" s="190">
        <f>YEAR(Input_Raw[[#This Row],[Date]])</f>
        <v>2025</v>
      </c>
      <c r="D65" s="11">
        <f t="shared" ref="D65" si="118">A65-DAY(A65)+1</f>
        <v>45778</v>
      </c>
      <c r="E65" s="190">
        <f>DAY(EOMONTH(Input_Raw[[#This Row],[Date]],0))</f>
        <v>31</v>
      </c>
      <c r="F65" s="199">
        <v>19200</v>
      </c>
      <c r="G65" s="199">
        <v>19484</v>
      </c>
      <c r="H65" s="199">
        <v>19456</v>
      </c>
      <c r="I65" s="199">
        <v>14060</v>
      </c>
      <c r="J65" s="199">
        <v>15200</v>
      </c>
      <c r="K65" s="199">
        <v>13220</v>
      </c>
      <c r="L65" s="199">
        <v>13824</v>
      </c>
      <c r="M65" s="199">
        <v>8484</v>
      </c>
      <c r="N65" s="199">
        <v>7742</v>
      </c>
      <c r="O65" s="199">
        <v>9694</v>
      </c>
      <c r="P65" s="199">
        <v>11008</v>
      </c>
      <c r="Q65" s="199">
        <v>11588</v>
      </c>
      <c r="R65" s="199">
        <v>10704</v>
      </c>
      <c r="S65" s="199">
        <v>10564</v>
      </c>
      <c r="T65" s="199">
        <v>9540</v>
      </c>
      <c r="U65" s="199">
        <v>10616</v>
      </c>
      <c r="V65" s="199">
        <v>11026</v>
      </c>
      <c r="W65" s="199">
        <v>17236</v>
      </c>
      <c r="X65" s="199">
        <v>10306</v>
      </c>
      <c r="Y65" s="199">
        <v>8477</v>
      </c>
      <c r="Z65" s="199">
        <v>13516</v>
      </c>
      <c r="AA65" s="199">
        <v>14076</v>
      </c>
      <c r="AB65" s="199">
        <v>11832</v>
      </c>
      <c r="AC65" s="199">
        <v>12528</v>
      </c>
      <c r="AD65" s="199">
        <v>13080</v>
      </c>
      <c r="AE65" s="199">
        <v>12064</v>
      </c>
      <c r="AF65" s="199">
        <v>19470</v>
      </c>
      <c r="AG65" s="199">
        <v>10060</v>
      </c>
      <c r="AH65" s="199">
        <v>13880</v>
      </c>
      <c r="AI65" s="199">
        <v>13188</v>
      </c>
      <c r="AJ65" s="199">
        <v>11066</v>
      </c>
      <c r="AK65" s="199">
        <v>8894</v>
      </c>
      <c r="AL65" s="199">
        <v>15392</v>
      </c>
      <c r="AM65" s="199">
        <v>15060</v>
      </c>
      <c r="AN65" s="199">
        <v>9840</v>
      </c>
      <c r="AO65" s="199">
        <v>15844</v>
      </c>
      <c r="AP65" s="199">
        <v>16320</v>
      </c>
      <c r="AQ65" s="199">
        <v>14492</v>
      </c>
      <c r="AR65" s="199">
        <v>13560</v>
      </c>
      <c r="AS65" s="199">
        <v>9362</v>
      </c>
      <c r="AT65" s="199">
        <v>14840</v>
      </c>
      <c r="AU65" s="199">
        <v>15144</v>
      </c>
      <c r="AV65" s="199">
        <v>18092</v>
      </c>
      <c r="AW65" s="199">
        <v>15704</v>
      </c>
      <c r="AX65" s="95">
        <v>7.75</v>
      </c>
      <c r="AY65" s="95">
        <v>8.01</v>
      </c>
      <c r="AZ65" s="95">
        <v>8.2100000000000009</v>
      </c>
      <c r="BA65" s="95">
        <v>7.19</v>
      </c>
      <c r="BB65" s="95">
        <v>7.96</v>
      </c>
      <c r="BC65" s="95">
        <v>7.85</v>
      </c>
      <c r="BD65" s="95">
        <v>7.09</v>
      </c>
      <c r="BE65" s="95">
        <v>6.14</v>
      </c>
      <c r="BF65" s="95">
        <v>6.14</v>
      </c>
      <c r="BG65" s="95">
        <v>6.19</v>
      </c>
      <c r="BH65" s="95">
        <v>6.87</v>
      </c>
      <c r="BI65" s="95">
        <v>6.86</v>
      </c>
      <c r="BJ65" s="95">
        <v>6.82</v>
      </c>
      <c r="BK65" s="95">
        <v>6.71</v>
      </c>
      <c r="BL65" s="95">
        <v>6.67</v>
      </c>
      <c r="BM65" s="95">
        <v>6.69</v>
      </c>
      <c r="BN65" s="95">
        <v>6.83</v>
      </c>
      <c r="BO65" s="95">
        <v>6.55</v>
      </c>
      <c r="BP65" s="95">
        <v>7.7</v>
      </c>
      <c r="BQ65" s="95">
        <v>6.46</v>
      </c>
      <c r="BR65" s="95">
        <v>5.92</v>
      </c>
      <c r="BS65" s="95">
        <v>7</v>
      </c>
      <c r="BT65" s="95">
        <v>7.09</v>
      </c>
      <c r="BU65" s="95">
        <v>6.52</v>
      </c>
      <c r="BV65" s="95">
        <v>7.01</v>
      </c>
      <c r="BW65" s="95">
        <v>7.33</v>
      </c>
      <c r="BX65" s="95">
        <v>7.07</v>
      </c>
      <c r="BY65" s="95">
        <v>8.0299999999999994</v>
      </c>
      <c r="BZ65" s="95">
        <v>6.23</v>
      </c>
      <c r="CA65" s="95">
        <v>7.09</v>
      </c>
      <c r="CB65" s="95">
        <v>6.96</v>
      </c>
      <c r="CC65" s="95">
        <v>6.48</v>
      </c>
      <c r="CD65" s="95">
        <v>6.96</v>
      </c>
      <c r="CE65" s="95">
        <v>8.6999999999999993</v>
      </c>
      <c r="CF65" s="95">
        <v>7.85</v>
      </c>
      <c r="CG65" s="95">
        <v>6.01</v>
      </c>
      <c r="CH65" s="95">
        <v>8.91</v>
      </c>
      <c r="CI65" s="95">
        <v>8.49</v>
      </c>
      <c r="CJ65" s="95">
        <v>7.7</v>
      </c>
      <c r="CK65" s="95">
        <v>8.01</v>
      </c>
      <c r="CL65" s="95">
        <v>5.79</v>
      </c>
      <c r="CM65" s="95">
        <v>7.22</v>
      </c>
      <c r="CN65" s="95">
        <v>7.23</v>
      </c>
      <c r="CO65" s="95">
        <v>8.1199999999999992</v>
      </c>
      <c r="CP65" s="259">
        <f>SUM(Input_Raw[[#This Row],[P-01]:[P-56]])/1000</f>
        <v>578.73299999999995</v>
      </c>
      <c r="CQ65" s="260">
        <f>IFERROR(AVERAGEIF(Input_Raw[[#This Row],[WS_P-01]:[WS_P-56]],"&lt;&gt;",Input_Raw[[#This Row],[WS_P-01]:[WS_P-56]]),"")</f>
        <v>7.1456818181818189</v>
      </c>
      <c r="CR65" s="261">
        <f>MAX(Input_Raw[[#This Row],[WS_P-01]:[WS_P-56]])</f>
        <v>8.91</v>
      </c>
      <c r="CS65" s="261"/>
      <c r="CT65" s="262">
        <f>SUM(Input_Raw[[#This Row],[P-08]:[P-13]],Input_Raw[[#This Row],[P-25]:[P-28]])</f>
        <v>108724</v>
      </c>
      <c r="CU65" s="262"/>
      <c r="CV65" s="262">
        <f>SUM(Input_Raw[[#This Row],[P-04]],Input_Raw[[#This Row],[P-14]:[P-17]],Input_Raw[[#This Row],[P-19]:[P-20]],Input_Raw[[#This Row],[P-22]:[P-23]],Input_Raw[[#This Row],[P-34]],Input_Raw[[#This Row],[P-38]],Input_Raw[[#This Row],[P-43]])</f>
        <v>136967</v>
      </c>
      <c r="CW65" s="262"/>
      <c r="CX65" s="262">
        <f>SUM(Input_Raw[[#This Row],[P-05]:[P-06]],Input_Raw[[#This Row],[P-40]:[P-42]],Input_Raw[[#This Row],[P-45]],Input_Raw[[#This Row],[P-46]],Input_Raw[[#This Row],[P-47]:[P-48]])</f>
        <v>127982</v>
      </c>
      <c r="CY65" s="262"/>
      <c r="CZ65" s="262">
        <f>SUM(Input_Raw[[#This Row],[P-01]:[P-03]],Input_Raw[[#This Row],[P-07]],Input_Raw[[#This Row],[P-18]],Input_Raw[[#This Row],[P-31]:[P-32]],Input_Raw[[#This Row],[P-37]],Input_Raw[[#This Row],[P-50]:[P-56]])</f>
        <v>205060</v>
      </c>
      <c r="DA65" s="263"/>
      <c r="DB65" s="264">
        <f>Input_Raw[[#This Row],[33 kV_Wind_F1_Export reading]]/1000</f>
        <v>108.724</v>
      </c>
      <c r="DC65" s="264"/>
      <c r="DD65" s="264">
        <f>Input_Raw[[#This Row],[33 kV_Wind_F2_Export_reading]]/1000</f>
        <v>136.96700000000001</v>
      </c>
      <c r="DE65" s="264"/>
      <c r="DF65" s="264">
        <f>Input_Raw[[#This Row],[33 kV_Wind_F3_Export_Reading]]/1000</f>
        <v>127.982</v>
      </c>
      <c r="DG65" s="264"/>
      <c r="DH65" s="264">
        <f>Input_Raw[[#This Row],[33 kV_Wind_F4_Export Reading]]/1000</f>
        <v>205.06</v>
      </c>
      <c r="DI65" s="264"/>
      <c r="DJ65" s="264">
        <f>Input_Raw[[#This Row],[33 kV_F1_Total_Export (MWh)]]+Input_Raw[[#This Row],[33 kV_F2_Total_Export (MWh)2]]+Input_Raw[[#This Row],[33 kV_Wind_F3_Export (MWh)]]+Input_Raw[[#This Row],[33 kV_Wind_F4_Export (MWh)]]</f>
        <v>578.73299999999995</v>
      </c>
      <c r="DK65" s="264">
        <f>Input_Raw[[#This Row],[33 kV_Wind_F1_Import (MWh)]]+Input_Raw[[#This Row],[33 kV_Wind_F2_Import (MWh)]]+Input_Raw[[#This Row],[33 kV_Wind_F3_Import (MWh)2]]+Input_Raw[[#This Row],[33 kV_Wind_F4_Import (MWh)2]]</f>
        <v>0</v>
      </c>
      <c r="DL65" s="265">
        <f>IFERROR(Input_Raw[[#This Row],[33 kV_Wind_Total_Export (MWh)]]/Input_Raw[[#This Row],[WTG Total Gneration (MWh)]]-1,"")</f>
        <v>0</v>
      </c>
      <c r="DM65" s="266"/>
      <c r="DN65" s="186">
        <v>88</v>
      </c>
      <c r="DO65" s="186">
        <v>0</v>
      </c>
      <c r="DP65" s="102">
        <v>558.98</v>
      </c>
      <c r="DQ65" s="266"/>
      <c r="DR65" s="181">
        <v>70.400000000000006</v>
      </c>
    </row>
    <row r="66" spans="1:122" ht="15">
      <c r="A66" s="92">
        <f t="shared" si="74"/>
        <v>45806</v>
      </c>
      <c r="B66" s="190">
        <f>YEAR(Input_Raw[[#This Row],[Date]])+IF(MONTH(Input_Raw[[#This Row],[Date]])&gt;=4,1,0)</f>
        <v>2026</v>
      </c>
      <c r="C66" s="190">
        <f>YEAR(Input_Raw[[#This Row],[Date]])</f>
        <v>2025</v>
      </c>
      <c r="D66" s="11">
        <f t="shared" ref="D66" si="119">A66-DAY(A66)+1</f>
        <v>45778</v>
      </c>
      <c r="E66" s="190">
        <f>DAY(EOMONTH(Input_Raw[[#This Row],[Date]],0))</f>
        <v>31</v>
      </c>
      <c r="F66" s="199">
        <v>21808</v>
      </c>
      <c r="G66" s="199">
        <v>19588</v>
      </c>
      <c r="H66" s="199">
        <v>20624</v>
      </c>
      <c r="I66" s="199">
        <v>18064</v>
      </c>
      <c r="J66" s="199">
        <v>22256</v>
      </c>
      <c r="K66" s="199">
        <v>19816</v>
      </c>
      <c r="L66" s="199">
        <v>17842</v>
      </c>
      <c r="M66" s="199">
        <v>10276</v>
      </c>
      <c r="N66" s="199">
        <v>9120</v>
      </c>
      <c r="O66" s="199">
        <v>11372</v>
      </c>
      <c r="P66" s="199">
        <v>13450</v>
      </c>
      <c r="Q66" s="199">
        <v>14380</v>
      </c>
      <c r="R66" s="199">
        <v>13056</v>
      </c>
      <c r="S66" s="199">
        <v>12428</v>
      </c>
      <c r="T66" s="199">
        <v>11298</v>
      </c>
      <c r="U66" s="199">
        <v>12500</v>
      </c>
      <c r="V66" s="199">
        <v>12952</v>
      </c>
      <c r="W66" s="199">
        <v>20192</v>
      </c>
      <c r="X66" s="199">
        <v>11030</v>
      </c>
      <c r="Y66" s="199">
        <v>9101</v>
      </c>
      <c r="Z66" s="199">
        <v>15780</v>
      </c>
      <c r="AA66" s="199">
        <v>15296</v>
      </c>
      <c r="AB66" s="199">
        <v>13752</v>
      </c>
      <c r="AC66" s="199">
        <v>14488</v>
      </c>
      <c r="AD66" s="199">
        <v>12076</v>
      </c>
      <c r="AE66" s="199">
        <v>12468</v>
      </c>
      <c r="AF66" s="199">
        <v>21122</v>
      </c>
      <c r="AG66" s="199">
        <v>13012</v>
      </c>
      <c r="AH66" s="199">
        <v>18220</v>
      </c>
      <c r="AI66" s="199">
        <v>16318.000000000002</v>
      </c>
      <c r="AJ66" s="199">
        <v>13168</v>
      </c>
      <c r="AK66" s="199">
        <v>12604</v>
      </c>
      <c r="AL66" s="199">
        <v>21976</v>
      </c>
      <c r="AM66" s="199">
        <v>20844</v>
      </c>
      <c r="AN66" s="199">
        <v>10024</v>
      </c>
      <c r="AO66" s="199">
        <v>22780</v>
      </c>
      <c r="AP66" s="199">
        <v>22720</v>
      </c>
      <c r="AQ66" s="199">
        <v>20724</v>
      </c>
      <c r="AR66" s="199">
        <v>22144</v>
      </c>
      <c r="AS66" s="199">
        <v>12936</v>
      </c>
      <c r="AT66" s="199">
        <v>17664</v>
      </c>
      <c r="AU66" s="199">
        <v>18176</v>
      </c>
      <c r="AV66" s="199">
        <v>21792</v>
      </c>
      <c r="AW66" s="199">
        <v>20296</v>
      </c>
      <c r="AX66" s="95">
        <v>8.23</v>
      </c>
      <c r="AY66" s="95">
        <v>7.99</v>
      </c>
      <c r="AZ66" s="95">
        <v>8.35</v>
      </c>
      <c r="BA66" s="95">
        <v>8.06</v>
      </c>
      <c r="BB66" s="95">
        <v>8.5399999999999991</v>
      </c>
      <c r="BC66" s="95">
        <v>8.4600000000000009</v>
      </c>
      <c r="BD66" s="95">
        <v>7.85</v>
      </c>
      <c r="BE66" s="95">
        <v>6.5</v>
      </c>
      <c r="BF66" s="95">
        <v>6.5</v>
      </c>
      <c r="BG66" s="95">
        <v>6.49</v>
      </c>
      <c r="BH66" s="95">
        <v>7.29</v>
      </c>
      <c r="BI66" s="95">
        <v>7.51</v>
      </c>
      <c r="BJ66" s="95">
        <v>7.48</v>
      </c>
      <c r="BK66" s="95">
        <v>7.32</v>
      </c>
      <c r="BL66" s="95">
        <v>7.14</v>
      </c>
      <c r="BM66" s="95">
        <v>7.11</v>
      </c>
      <c r="BN66" s="95">
        <v>7.24</v>
      </c>
      <c r="BO66" s="95">
        <v>7</v>
      </c>
      <c r="BP66" s="95">
        <v>8.24</v>
      </c>
      <c r="BQ66" s="95">
        <v>6.67</v>
      </c>
      <c r="BR66" s="95">
        <v>6.07</v>
      </c>
      <c r="BS66" s="95">
        <v>7.46</v>
      </c>
      <c r="BT66" s="95">
        <v>7.27</v>
      </c>
      <c r="BU66" s="95">
        <v>6.87</v>
      </c>
      <c r="BV66" s="95">
        <v>7.44</v>
      </c>
      <c r="BW66" s="95">
        <v>7.46</v>
      </c>
      <c r="BX66" s="95">
        <v>7.12</v>
      </c>
      <c r="BY66" s="95">
        <v>8.27</v>
      </c>
      <c r="BZ66" s="95">
        <v>6.93</v>
      </c>
      <c r="CA66" s="95">
        <v>7.95</v>
      </c>
      <c r="CB66" s="95">
        <v>7.62</v>
      </c>
      <c r="CC66" s="95">
        <v>6.99</v>
      </c>
      <c r="CD66" s="95">
        <v>7.35</v>
      </c>
      <c r="CE66" s="95">
        <v>9.27</v>
      </c>
      <c r="CF66" s="95">
        <v>8.18</v>
      </c>
      <c r="CG66" s="95">
        <v>6.03</v>
      </c>
      <c r="CH66" s="95">
        <v>9.6199999999999992</v>
      </c>
      <c r="CI66" s="95">
        <v>8.9600000000000009</v>
      </c>
      <c r="CJ66" s="95">
        <v>8.19</v>
      </c>
      <c r="CK66" s="95">
        <v>8.74</v>
      </c>
      <c r="CL66" s="95">
        <v>6.76</v>
      </c>
      <c r="CM66" s="95">
        <v>7.84</v>
      </c>
      <c r="CN66" s="95">
        <v>7.84</v>
      </c>
      <c r="CO66" s="95">
        <v>8.83</v>
      </c>
      <c r="CP66" s="98">
        <f>SUM(Input_Raw[[#This Row],[P-01]:[P-56]])/1000</f>
        <v>711.53300000000002</v>
      </c>
      <c r="CQ66" s="71">
        <f>IFERROR(AVERAGEIF(Input_Raw[[#This Row],[WS_P-01]:[WS_P-56]],"&lt;&gt;",Input_Raw[[#This Row],[WS_P-01]:[WS_P-56]]),"")</f>
        <v>7.6143181818181809</v>
      </c>
      <c r="CR66" s="99">
        <f>MAX(Input_Raw[[#This Row],[WS_P-01]:[WS_P-56]])</f>
        <v>9.6199999999999992</v>
      </c>
      <c r="CS66" s="99"/>
      <c r="CT66" s="70">
        <f>SUM(Input_Raw[[#This Row],[P-08]:[P-13]],Input_Raw[[#This Row],[P-25]:[P-28]])</f>
        <v>124438</v>
      </c>
      <c r="CU66" s="70"/>
      <c r="CV66" s="70">
        <f>SUM(Input_Raw[[#This Row],[P-04]],Input_Raw[[#This Row],[P-14]:[P-17]],Input_Raw[[#This Row],[P-19]:[P-20]],Input_Raw[[#This Row],[P-22]:[P-23]],Input_Raw[[#This Row],[P-34]],Input_Raw[[#This Row],[P-38]],Input_Raw[[#This Row],[P-43]])</f>
        <v>159861</v>
      </c>
      <c r="CW66" s="70"/>
      <c r="CX66" s="70">
        <f>SUM(Input_Raw[[#This Row],[P-05]:[P-06]],Input_Raw[[#This Row],[P-40]:[P-42]],Input_Raw[[#This Row],[P-45]],Input_Raw[[#This Row],[P-46]],Input_Raw[[#This Row],[P-47]:[P-48]])</f>
        <v>185864</v>
      </c>
      <c r="CY66" s="70"/>
      <c r="CZ66" s="70">
        <f>SUM(Input_Raw[[#This Row],[P-01]:[P-03]],Input_Raw[[#This Row],[P-07]],Input_Raw[[#This Row],[P-18]],Input_Raw[[#This Row],[P-31]:[P-32]],Input_Raw[[#This Row],[P-37]],Input_Raw[[#This Row],[P-50]:[P-56]])</f>
        <v>241370</v>
      </c>
      <c r="DA66" s="12"/>
      <c r="DB66" s="13">
        <f>Input_Raw[[#This Row],[33 kV_Wind_F1_Export reading]]/1000</f>
        <v>124.438</v>
      </c>
      <c r="DC66" s="13"/>
      <c r="DD66" s="13">
        <f>Input_Raw[[#This Row],[33 kV_Wind_F2_Export_reading]]/1000</f>
        <v>159.86099999999999</v>
      </c>
      <c r="DE66" s="13"/>
      <c r="DF66" s="13">
        <f>Input_Raw[[#This Row],[33 kV_Wind_F3_Export_Reading]]/1000</f>
        <v>185.864</v>
      </c>
      <c r="DG66" s="13"/>
      <c r="DH66" s="13">
        <f>Input_Raw[[#This Row],[33 kV_Wind_F4_Export Reading]]/1000</f>
        <v>241.37</v>
      </c>
      <c r="DI66" s="13"/>
      <c r="DJ66" s="13">
        <f>Input_Raw[[#This Row],[33 kV_F1_Total_Export (MWh)]]+Input_Raw[[#This Row],[33 kV_F2_Total_Export (MWh)2]]+Input_Raw[[#This Row],[33 kV_Wind_F3_Export (MWh)]]+Input_Raw[[#This Row],[33 kV_Wind_F4_Export (MWh)]]</f>
        <v>711.53300000000002</v>
      </c>
      <c r="DK66" s="13">
        <f>Input_Raw[[#This Row],[33 kV_Wind_F1_Import (MWh)]]+Input_Raw[[#This Row],[33 kV_Wind_F2_Import (MWh)]]+Input_Raw[[#This Row],[33 kV_Wind_F3_Import (MWh)2]]+Input_Raw[[#This Row],[33 kV_Wind_F4_Import (MWh)2]]</f>
        <v>0</v>
      </c>
      <c r="DL66" s="100">
        <f>IFERROR(Input_Raw[[#This Row],[33 kV_Wind_Total_Export (MWh)]]/Input_Raw[[#This Row],[WTG Total Gneration (MWh)]]-1,"")</f>
        <v>0</v>
      </c>
      <c r="DM66" s="66"/>
      <c r="DN66" s="186">
        <v>92</v>
      </c>
      <c r="DO66" s="186">
        <v>4874.5</v>
      </c>
      <c r="DP66" s="102">
        <v>691.97</v>
      </c>
      <c r="DQ66" s="66"/>
      <c r="DR66" s="181">
        <v>70.400000000000006</v>
      </c>
    </row>
    <row r="67" spans="1:122" ht="15">
      <c r="A67" s="92">
        <f t="shared" si="74"/>
        <v>45807</v>
      </c>
      <c r="B67" s="190">
        <f>YEAR(Input_Raw[[#This Row],[Date]])+IF(MONTH(Input_Raw[[#This Row],[Date]])&gt;=4,1,0)</f>
        <v>2026</v>
      </c>
      <c r="C67" s="190">
        <f>YEAR(Input_Raw[[#This Row],[Date]])</f>
        <v>2025</v>
      </c>
      <c r="D67" s="11">
        <f t="shared" ref="D67" si="120">A67-DAY(A67)+1</f>
        <v>45778</v>
      </c>
      <c r="E67" s="190">
        <f>DAY(EOMONTH(Input_Raw[[#This Row],[Date]],0))</f>
        <v>31</v>
      </c>
      <c r="F67" s="199">
        <v>35656</v>
      </c>
      <c r="G67" s="199">
        <v>33632</v>
      </c>
      <c r="H67" s="199">
        <v>34808</v>
      </c>
      <c r="I67" s="199">
        <v>30400</v>
      </c>
      <c r="J67" s="199">
        <v>34572</v>
      </c>
      <c r="K67" s="199">
        <v>30552</v>
      </c>
      <c r="L67" s="199">
        <v>32058</v>
      </c>
      <c r="M67" s="199">
        <v>22420</v>
      </c>
      <c r="N67" s="199">
        <v>17820</v>
      </c>
      <c r="O67" s="199">
        <v>23602</v>
      </c>
      <c r="P67" s="199">
        <v>28722</v>
      </c>
      <c r="Q67" s="199">
        <v>30596</v>
      </c>
      <c r="R67" s="199">
        <v>23396</v>
      </c>
      <c r="S67" s="199">
        <v>26542</v>
      </c>
      <c r="T67" s="199">
        <v>24544</v>
      </c>
      <c r="U67" s="199">
        <v>27144</v>
      </c>
      <c r="V67" s="199">
        <v>28978</v>
      </c>
      <c r="W67" s="199">
        <v>33564</v>
      </c>
      <c r="X67" s="199">
        <v>24588</v>
      </c>
      <c r="Y67" s="199">
        <v>22509</v>
      </c>
      <c r="Z67" s="199">
        <v>28684</v>
      </c>
      <c r="AA67" s="199">
        <v>25508</v>
      </c>
      <c r="AB67" s="199">
        <v>23260</v>
      </c>
      <c r="AC67" s="199">
        <v>26384</v>
      </c>
      <c r="AD67" s="199">
        <v>28480</v>
      </c>
      <c r="AE67" s="199">
        <v>25668</v>
      </c>
      <c r="AF67" s="199">
        <v>32940</v>
      </c>
      <c r="AG67" s="199">
        <v>25160</v>
      </c>
      <c r="AH67" s="199">
        <v>31148</v>
      </c>
      <c r="AI67" s="199">
        <v>27908</v>
      </c>
      <c r="AJ67" s="199">
        <v>27600</v>
      </c>
      <c r="AK67" s="199">
        <v>23250</v>
      </c>
      <c r="AL67" s="199">
        <v>33328</v>
      </c>
      <c r="AM67" s="199">
        <v>34156</v>
      </c>
      <c r="AN67" s="199">
        <v>22716</v>
      </c>
      <c r="AO67" s="199">
        <v>33712</v>
      </c>
      <c r="AP67" s="199">
        <v>33464</v>
      </c>
      <c r="AQ67" s="199">
        <v>33800</v>
      </c>
      <c r="AR67" s="199">
        <v>34824</v>
      </c>
      <c r="AS67" s="199">
        <v>32008.000000000004</v>
      </c>
      <c r="AT67" s="199">
        <v>33084</v>
      </c>
      <c r="AU67" s="199">
        <v>31156</v>
      </c>
      <c r="AV67" s="199">
        <v>35296</v>
      </c>
      <c r="AW67" s="199">
        <v>34148</v>
      </c>
      <c r="AX67" s="95">
        <v>11.32</v>
      </c>
      <c r="AY67" s="95">
        <v>11.49</v>
      </c>
      <c r="AZ67" s="95">
        <v>11.73</v>
      </c>
      <c r="BA67" s="95">
        <v>10.36</v>
      </c>
      <c r="BB67" s="95">
        <v>11.1</v>
      </c>
      <c r="BC67" s="95">
        <v>10.45</v>
      </c>
      <c r="BD67" s="95">
        <v>10.52</v>
      </c>
      <c r="BE67" s="95">
        <v>8.91</v>
      </c>
      <c r="BF67" s="95">
        <v>8.91</v>
      </c>
      <c r="BG67" s="95">
        <v>8.16</v>
      </c>
      <c r="BH67" s="95">
        <v>9.48</v>
      </c>
      <c r="BI67" s="95">
        <v>10.74</v>
      </c>
      <c r="BJ67" s="95">
        <v>10.78</v>
      </c>
      <c r="BK67" s="95">
        <v>9.91</v>
      </c>
      <c r="BL67" s="95">
        <v>9.58</v>
      </c>
      <c r="BM67" s="95">
        <v>9.66</v>
      </c>
      <c r="BN67" s="95">
        <v>9.8000000000000007</v>
      </c>
      <c r="BO67" s="95">
        <v>10.14</v>
      </c>
      <c r="BP67" s="95">
        <v>11.08</v>
      </c>
      <c r="BQ67" s="95">
        <v>9.2100000000000009</v>
      </c>
      <c r="BR67" s="95">
        <v>8.4700000000000006</v>
      </c>
      <c r="BS67" s="95">
        <v>9.69</v>
      </c>
      <c r="BT67" s="95">
        <v>9.19</v>
      </c>
      <c r="BU67" s="95">
        <v>8.35</v>
      </c>
      <c r="BV67" s="95">
        <v>9.74</v>
      </c>
      <c r="BW67" s="95">
        <v>10.119999999999999</v>
      </c>
      <c r="BX67" s="95">
        <v>9.4600000000000009</v>
      </c>
      <c r="BY67" s="95">
        <v>10.92</v>
      </c>
      <c r="BZ67" s="95">
        <v>9.14</v>
      </c>
      <c r="CA67" s="95">
        <v>10.36</v>
      </c>
      <c r="CB67" s="95">
        <v>9.64</v>
      </c>
      <c r="CC67" s="95">
        <v>9.61</v>
      </c>
      <c r="CD67" s="95">
        <v>9.25</v>
      </c>
      <c r="CE67" s="95">
        <v>12.39</v>
      </c>
      <c r="CF67" s="95">
        <v>11.27</v>
      </c>
      <c r="CG67" s="95">
        <v>8.5500000000000007</v>
      </c>
      <c r="CH67" s="95">
        <v>12.36</v>
      </c>
      <c r="CI67" s="95">
        <v>11.79</v>
      </c>
      <c r="CJ67" s="95">
        <v>11.06</v>
      </c>
      <c r="CK67" s="95">
        <v>11.63</v>
      </c>
      <c r="CL67" s="95">
        <v>10.76</v>
      </c>
      <c r="CM67" s="95">
        <v>11.06</v>
      </c>
      <c r="CN67" s="95">
        <v>10.28</v>
      </c>
      <c r="CO67" s="95">
        <v>11.96</v>
      </c>
      <c r="CP67" s="259">
        <f>SUM(Input_Raw[[#This Row],[P-01]:[P-56]])/1000</f>
        <v>1283.7850000000001</v>
      </c>
      <c r="CQ67" s="260">
        <f>IFERROR(AVERAGEIF(Input_Raw[[#This Row],[WS_P-01]:[WS_P-56]],"&lt;&gt;",Input_Raw[[#This Row],[WS_P-01]:[WS_P-56]]),"")</f>
        <v>10.235909090909091</v>
      </c>
      <c r="CR67" s="261">
        <f>MAX(Input_Raw[[#This Row],[WS_P-01]:[WS_P-56]])</f>
        <v>12.39</v>
      </c>
      <c r="CS67" s="261"/>
      <c r="CT67" s="262">
        <f>SUM(Input_Raw[[#This Row],[P-08]:[P-13]],Input_Raw[[#This Row],[P-25]:[P-28]])</f>
        <v>250348</v>
      </c>
      <c r="CU67" s="262"/>
      <c r="CV67" s="262">
        <f>SUM(Input_Raw[[#This Row],[P-04]],Input_Raw[[#This Row],[P-14]:[P-17]],Input_Raw[[#This Row],[P-19]:[P-20]],Input_Raw[[#This Row],[P-22]:[P-23]],Input_Raw[[#This Row],[P-34]],Input_Raw[[#This Row],[P-38]],Input_Raw[[#This Row],[P-43]])</f>
        <v>320361</v>
      </c>
      <c r="CW67" s="262"/>
      <c r="CX67" s="262">
        <f>SUM(Input_Raw[[#This Row],[P-05]:[P-06]],Input_Raw[[#This Row],[P-40]:[P-42]],Input_Raw[[#This Row],[P-45]],Input_Raw[[#This Row],[P-46]],Input_Raw[[#This Row],[P-47]:[P-48]])</f>
        <v>291658</v>
      </c>
      <c r="CY67" s="262"/>
      <c r="CZ67" s="262">
        <f>SUM(Input_Raw[[#This Row],[P-01]:[P-03]],Input_Raw[[#This Row],[P-07]],Input_Raw[[#This Row],[P-18]],Input_Raw[[#This Row],[P-31]:[P-32]],Input_Raw[[#This Row],[P-37]],Input_Raw[[#This Row],[P-50]:[P-56]])</f>
        <v>421418</v>
      </c>
      <c r="DA67" s="263"/>
      <c r="DB67" s="264">
        <f>Input_Raw[[#This Row],[33 kV_Wind_F1_Export reading]]/1000</f>
        <v>250.34800000000001</v>
      </c>
      <c r="DC67" s="264"/>
      <c r="DD67" s="264">
        <f>Input_Raw[[#This Row],[33 kV_Wind_F2_Export_reading]]/1000</f>
        <v>320.36099999999999</v>
      </c>
      <c r="DE67" s="264"/>
      <c r="DF67" s="264">
        <f>Input_Raw[[#This Row],[33 kV_Wind_F3_Export_Reading]]/1000</f>
        <v>291.65800000000002</v>
      </c>
      <c r="DG67" s="264"/>
      <c r="DH67" s="264">
        <f>Input_Raw[[#This Row],[33 kV_Wind_F4_Export Reading]]/1000</f>
        <v>421.41800000000001</v>
      </c>
      <c r="DI67" s="264"/>
      <c r="DJ67" s="264">
        <f>Input_Raw[[#This Row],[33 kV_F1_Total_Export (MWh)]]+Input_Raw[[#This Row],[33 kV_F2_Total_Export (MWh)2]]+Input_Raw[[#This Row],[33 kV_Wind_F3_Export (MWh)]]+Input_Raw[[#This Row],[33 kV_Wind_F4_Export (MWh)]]</f>
        <v>1283.7850000000001</v>
      </c>
      <c r="DK67" s="264">
        <f>Input_Raw[[#This Row],[33 kV_Wind_F1_Import (MWh)]]+Input_Raw[[#This Row],[33 kV_Wind_F2_Import (MWh)]]+Input_Raw[[#This Row],[33 kV_Wind_F3_Import (MWh)2]]+Input_Raw[[#This Row],[33 kV_Wind_F4_Import (MWh)2]]</f>
        <v>0</v>
      </c>
      <c r="DL67" s="265">
        <f>IFERROR(Input_Raw[[#This Row],[33 kV_Wind_Total_Export (MWh)]]/Input_Raw[[#This Row],[WTG Total Gneration (MWh)]]-1,"")</f>
        <v>0</v>
      </c>
      <c r="DM67" s="266"/>
      <c r="DN67" s="186">
        <v>91</v>
      </c>
      <c r="DO67" s="186">
        <v>0</v>
      </c>
      <c r="DP67" s="102">
        <v>1292.9100000000001</v>
      </c>
      <c r="DQ67" s="266"/>
      <c r="DR67" s="181">
        <v>70.400000000000006</v>
      </c>
    </row>
    <row r="68" spans="1:122" ht="15">
      <c r="A68" s="92">
        <f t="shared" si="74"/>
        <v>45808</v>
      </c>
      <c r="B68" s="190">
        <f>YEAR(Input_Raw[[#This Row],[Date]])+IF(MONTH(Input_Raw[[#This Row],[Date]])&gt;=4,1,0)</f>
        <v>2026</v>
      </c>
      <c r="C68" s="190">
        <f>YEAR(Input_Raw[[#This Row],[Date]])</f>
        <v>2025</v>
      </c>
      <c r="D68" s="11">
        <f t="shared" ref="D68" si="121">A68-DAY(A68)+1</f>
        <v>45778</v>
      </c>
      <c r="E68" s="190">
        <f>DAY(EOMONTH(Input_Raw[[#This Row],[Date]],0))</f>
        <v>31</v>
      </c>
      <c r="F68" s="199">
        <v>27252</v>
      </c>
      <c r="G68" s="199">
        <v>23100</v>
      </c>
      <c r="H68" s="199">
        <v>18748</v>
      </c>
      <c r="I68" s="199">
        <v>24224</v>
      </c>
      <c r="J68" s="199">
        <v>27128</v>
      </c>
      <c r="K68" s="199">
        <v>24928</v>
      </c>
      <c r="L68" s="199">
        <v>24682</v>
      </c>
      <c r="M68" s="199">
        <v>15502</v>
      </c>
      <c r="N68" s="199">
        <v>11552</v>
      </c>
      <c r="O68" s="199">
        <v>15596</v>
      </c>
      <c r="P68" s="199">
        <v>20700</v>
      </c>
      <c r="Q68" s="199">
        <v>23420</v>
      </c>
      <c r="R68" s="199">
        <v>24876</v>
      </c>
      <c r="S68" s="199">
        <v>20098</v>
      </c>
      <c r="T68" s="199">
        <v>18744</v>
      </c>
      <c r="U68" s="199">
        <v>20982</v>
      </c>
      <c r="V68" s="199">
        <v>23722</v>
      </c>
      <c r="W68" s="199">
        <v>20412</v>
      </c>
      <c r="X68" s="199">
        <v>20252</v>
      </c>
      <c r="Y68" s="199">
        <v>19493</v>
      </c>
      <c r="Z68" s="199">
        <v>23100</v>
      </c>
      <c r="AA68" s="199">
        <v>18644</v>
      </c>
      <c r="AB68" s="199">
        <v>16244</v>
      </c>
      <c r="AC68" s="199">
        <v>20308</v>
      </c>
      <c r="AD68" s="199">
        <v>22788</v>
      </c>
      <c r="AE68" s="199">
        <v>21964</v>
      </c>
      <c r="AF68" s="199">
        <v>16556</v>
      </c>
      <c r="AG68" s="199">
        <v>20740</v>
      </c>
      <c r="AH68" s="199">
        <v>23984</v>
      </c>
      <c r="AI68" s="199">
        <v>23962</v>
      </c>
      <c r="AJ68" s="199">
        <v>23324</v>
      </c>
      <c r="AK68" s="199">
        <v>19384</v>
      </c>
      <c r="AL68" s="199">
        <v>25304</v>
      </c>
      <c r="AM68" s="199">
        <v>25788</v>
      </c>
      <c r="AN68" s="199">
        <v>19556</v>
      </c>
      <c r="AO68" s="199">
        <v>29928</v>
      </c>
      <c r="AP68" s="199">
        <v>29680</v>
      </c>
      <c r="AQ68" s="199">
        <v>26152</v>
      </c>
      <c r="AR68" s="199">
        <v>29028</v>
      </c>
      <c r="AS68" s="199">
        <v>22492</v>
      </c>
      <c r="AT68" s="199">
        <v>26400</v>
      </c>
      <c r="AU68" s="199">
        <v>26198</v>
      </c>
      <c r="AV68" s="199">
        <v>30312</v>
      </c>
      <c r="AW68" s="199">
        <v>28176</v>
      </c>
      <c r="AX68" s="95">
        <v>9.3000000000000007</v>
      </c>
      <c r="AY68" s="95">
        <v>8.77</v>
      </c>
      <c r="AZ68" s="95">
        <v>8.01</v>
      </c>
      <c r="BA68" s="95">
        <v>9.17</v>
      </c>
      <c r="BB68" s="95">
        <v>9.4499999999999993</v>
      </c>
      <c r="BC68" s="95">
        <v>9.52</v>
      </c>
      <c r="BD68" s="95">
        <v>9.2100000000000009</v>
      </c>
      <c r="BE68" s="95">
        <v>7.53</v>
      </c>
      <c r="BF68" s="95">
        <v>6.89</v>
      </c>
      <c r="BG68" s="95">
        <v>7.99</v>
      </c>
      <c r="BH68" s="95">
        <v>8.85</v>
      </c>
      <c r="BI68" s="95">
        <v>9.18</v>
      </c>
      <c r="BJ68" s="95">
        <v>9.36</v>
      </c>
      <c r="BK68" s="95">
        <v>8.3699999999999992</v>
      </c>
      <c r="BL68" s="95">
        <v>8.51</v>
      </c>
      <c r="BM68" s="95">
        <v>8.66</v>
      </c>
      <c r="BN68" s="95">
        <v>8.99</v>
      </c>
      <c r="BO68" s="95">
        <v>8.2899999999999991</v>
      </c>
      <c r="BP68" s="95">
        <v>8.36</v>
      </c>
      <c r="BQ68" s="95">
        <v>7.9</v>
      </c>
      <c r="BR68" s="95">
        <v>8.82</v>
      </c>
      <c r="BS68" s="95">
        <v>7.74</v>
      </c>
      <c r="BT68" s="95">
        <v>7.07</v>
      </c>
      <c r="BU68" s="95">
        <v>8.56</v>
      </c>
      <c r="BV68" s="95">
        <v>8.94</v>
      </c>
      <c r="BW68" s="95">
        <v>8.7799999999999994</v>
      </c>
      <c r="BX68" s="95">
        <v>7.18</v>
      </c>
      <c r="BY68" s="95">
        <v>8.44</v>
      </c>
      <c r="BZ68" s="95">
        <v>9.08</v>
      </c>
      <c r="CA68" s="95">
        <v>8.94</v>
      </c>
      <c r="CB68" s="95">
        <v>8.66</v>
      </c>
      <c r="CC68" s="95">
        <v>8.64</v>
      </c>
      <c r="CD68" s="95">
        <v>10.16</v>
      </c>
      <c r="CE68" s="95">
        <v>9.3800000000000008</v>
      </c>
      <c r="CF68" s="95">
        <v>7.85</v>
      </c>
      <c r="CG68" s="95">
        <v>11.18</v>
      </c>
      <c r="CH68" s="95">
        <v>10.63</v>
      </c>
      <c r="CI68" s="95">
        <v>9.2100000000000009</v>
      </c>
      <c r="CJ68" s="95">
        <v>10.25</v>
      </c>
      <c r="CK68" s="95">
        <v>8.67</v>
      </c>
      <c r="CL68" s="95">
        <v>9.61</v>
      </c>
      <c r="CM68" s="95">
        <v>9.3699999999999992</v>
      </c>
      <c r="CN68" s="95">
        <v>10.56</v>
      </c>
      <c r="CO68" s="95">
        <v>9.9499999999999993</v>
      </c>
      <c r="CP68" s="259">
        <f>SUM(Input_Raw[[#This Row],[P-01]:[P-56]])/1000</f>
        <v>995.423</v>
      </c>
      <c r="CQ68" s="260">
        <f>IFERROR(AVERAGEIF(Input_Raw[[#This Row],[WS_P-01]:[WS_P-56]],"&lt;&gt;",Input_Raw[[#This Row],[WS_P-01]:[WS_P-56]]),"")</f>
        <v>8.8631818181818183</v>
      </c>
      <c r="CR68" s="261">
        <f>MAX(Input_Raw[[#This Row],[WS_P-01]:[WS_P-56]])</f>
        <v>11.18</v>
      </c>
      <c r="CS68" s="261"/>
      <c r="CT68" s="262">
        <f>SUM(Input_Raw[[#This Row],[P-08]:[P-13]],Input_Raw[[#This Row],[P-25]:[P-28]])</f>
        <v>192950</v>
      </c>
      <c r="CU68" s="262"/>
      <c r="CV68" s="262">
        <f>SUM(Input_Raw[[#This Row],[P-04]],Input_Raw[[#This Row],[P-14]:[P-17]],Input_Raw[[#This Row],[P-19]:[P-20]],Input_Raw[[#This Row],[P-22]:[P-23]],Input_Raw[[#This Row],[P-34]],Input_Raw[[#This Row],[P-38]],Input_Raw[[#This Row],[P-43]])</f>
        <v>256123</v>
      </c>
      <c r="CW68" s="262"/>
      <c r="CX68" s="262">
        <f>SUM(Input_Raw[[#This Row],[P-05]:[P-06]],Input_Raw[[#This Row],[P-40]:[P-42]],Input_Raw[[#This Row],[P-45]],Input_Raw[[#This Row],[P-46]],Input_Raw[[#This Row],[P-47]:[P-48]])</f>
        <v>237320</v>
      </c>
      <c r="CY68" s="262"/>
      <c r="CZ68" s="262">
        <f>SUM(Input_Raw[[#This Row],[P-01]:[P-03]],Input_Raw[[#This Row],[P-07]],Input_Raw[[#This Row],[P-18]],Input_Raw[[#This Row],[P-31]:[P-32]],Input_Raw[[#This Row],[P-37]],Input_Raw[[#This Row],[P-50]:[P-56]])</f>
        <v>309030</v>
      </c>
      <c r="DA68" s="263"/>
      <c r="DB68" s="264">
        <f>Input_Raw[[#This Row],[33 kV_Wind_F1_Export reading]]/1000</f>
        <v>192.95</v>
      </c>
      <c r="DC68" s="264"/>
      <c r="DD68" s="264">
        <f>Input_Raw[[#This Row],[33 kV_Wind_F2_Export_reading]]/1000</f>
        <v>256.12299999999999</v>
      </c>
      <c r="DE68" s="264"/>
      <c r="DF68" s="264">
        <f>Input_Raw[[#This Row],[33 kV_Wind_F3_Export_Reading]]/1000</f>
        <v>237.32</v>
      </c>
      <c r="DG68" s="264"/>
      <c r="DH68" s="264">
        <f>Input_Raw[[#This Row],[33 kV_Wind_F4_Export Reading]]/1000</f>
        <v>309.02999999999997</v>
      </c>
      <c r="DI68" s="264"/>
      <c r="DJ68" s="264">
        <f>Input_Raw[[#This Row],[33 kV_F1_Total_Export (MWh)]]+Input_Raw[[#This Row],[33 kV_F2_Total_Export (MWh)2]]+Input_Raw[[#This Row],[33 kV_Wind_F3_Export (MWh)]]+Input_Raw[[#This Row],[33 kV_Wind_F4_Export (MWh)]]</f>
        <v>995.423</v>
      </c>
      <c r="DK68" s="264">
        <f>Input_Raw[[#This Row],[33 kV_Wind_F1_Import (MWh)]]+Input_Raw[[#This Row],[33 kV_Wind_F2_Import (MWh)]]+Input_Raw[[#This Row],[33 kV_Wind_F3_Import (MWh)2]]+Input_Raw[[#This Row],[33 kV_Wind_F4_Import (MWh)2]]</f>
        <v>0</v>
      </c>
      <c r="DL68" s="265">
        <f>IFERROR(Input_Raw[[#This Row],[33 kV_Wind_Total_Export (MWh)]]/Input_Raw[[#This Row],[WTG Total Gneration (MWh)]]-1,"")</f>
        <v>0</v>
      </c>
      <c r="DM68" s="266"/>
      <c r="DN68" s="186">
        <v>93</v>
      </c>
      <c r="DO68" s="186">
        <v>0</v>
      </c>
      <c r="DP68" s="102">
        <v>983.09</v>
      </c>
      <c r="DQ68" s="266"/>
      <c r="DR68" s="181">
        <v>70.400000000000006</v>
      </c>
    </row>
    <row r="69" spans="1:122" ht="15">
      <c r="A69" s="92">
        <f t="shared" si="74"/>
        <v>45809</v>
      </c>
      <c r="B69" s="190">
        <f>YEAR(Input_Raw[[#This Row],[Date]])+IF(MONTH(Input_Raw[[#This Row],[Date]])&gt;=4,1,0)</f>
        <v>2026</v>
      </c>
      <c r="C69" s="190">
        <f>YEAR(Input_Raw[[#This Row],[Date]])</f>
        <v>2025</v>
      </c>
      <c r="D69" s="11">
        <f t="shared" ref="D69" si="122">A69-DAY(A69)+1</f>
        <v>45809</v>
      </c>
      <c r="E69" s="190">
        <f>DAY(EOMONTH(Input_Raw[[#This Row],[Date]],0))</f>
        <v>30</v>
      </c>
      <c r="F69" s="199">
        <v>15156</v>
      </c>
      <c r="G69" s="199">
        <v>13980</v>
      </c>
      <c r="H69" s="199">
        <v>10136</v>
      </c>
      <c r="I69" s="199">
        <v>12256</v>
      </c>
      <c r="J69" s="199">
        <v>13160</v>
      </c>
      <c r="K69" s="199">
        <v>15836</v>
      </c>
      <c r="L69" s="199">
        <v>13966</v>
      </c>
      <c r="M69" s="199">
        <v>8754</v>
      </c>
      <c r="N69" s="199">
        <v>5878</v>
      </c>
      <c r="O69" s="199">
        <v>5468</v>
      </c>
      <c r="P69" s="199">
        <v>6048</v>
      </c>
      <c r="Q69" s="199">
        <v>10344</v>
      </c>
      <c r="R69" s="199">
        <v>10024</v>
      </c>
      <c r="S69" s="199">
        <v>10616</v>
      </c>
      <c r="T69" s="199">
        <v>7802</v>
      </c>
      <c r="U69" s="199">
        <v>9646</v>
      </c>
      <c r="V69" s="199">
        <v>6878</v>
      </c>
      <c r="W69" s="199">
        <v>10300</v>
      </c>
      <c r="X69" s="199">
        <v>11804</v>
      </c>
      <c r="Y69" s="199">
        <v>6197</v>
      </c>
      <c r="Z69" s="199">
        <v>12060</v>
      </c>
      <c r="AA69" s="199">
        <v>11380</v>
      </c>
      <c r="AB69" s="199">
        <v>10016</v>
      </c>
      <c r="AC69" s="199">
        <v>9132</v>
      </c>
      <c r="AD69" s="199">
        <v>9412</v>
      </c>
      <c r="AE69" s="199">
        <v>7900</v>
      </c>
      <c r="AF69" s="199">
        <v>7812</v>
      </c>
      <c r="AG69" s="199">
        <v>8246</v>
      </c>
      <c r="AH69" s="199">
        <v>12156</v>
      </c>
      <c r="AI69" s="199">
        <v>11204</v>
      </c>
      <c r="AJ69" s="199">
        <v>6796</v>
      </c>
      <c r="AK69" s="199">
        <v>10442</v>
      </c>
      <c r="AL69" s="199">
        <v>13916</v>
      </c>
      <c r="AM69" s="199">
        <v>7764</v>
      </c>
      <c r="AN69" s="199">
        <v>9062</v>
      </c>
      <c r="AO69" s="199">
        <v>19420</v>
      </c>
      <c r="AP69" s="199">
        <v>17524</v>
      </c>
      <c r="AQ69" s="199">
        <v>8748</v>
      </c>
      <c r="AR69" s="199">
        <v>13164</v>
      </c>
      <c r="AS69" s="199">
        <v>9054</v>
      </c>
      <c r="AT69" s="199">
        <v>10492</v>
      </c>
      <c r="AU69" s="199">
        <v>12534</v>
      </c>
      <c r="AV69" s="199">
        <v>18468</v>
      </c>
      <c r="AW69" s="199">
        <v>16108</v>
      </c>
      <c r="AX69" s="95">
        <v>7.14</v>
      </c>
      <c r="AY69" s="95">
        <v>7.03</v>
      </c>
      <c r="AZ69" s="95">
        <v>6.34</v>
      </c>
      <c r="BA69" s="95">
        <v>7.04</v>
      </c>
      <c r="BB69" s="95">
        <v>6.7</v>
      </c>
      <c r="BC69" s="95">
        <v>7.67</v>
      </c>
      <c r="BD69" s="95">
        <v>7.25</v>
      </c>
      <c r="BE69" s="95">
        <v>6.15</v>
      </c>
      <c r="BF69" s="95">
        <v>5.5</v>
      </c>
      <c r="BG69" s="95">
        <v>5.7</v>
      </c>
      <c r="BH69" s="95">
        <v>5.42</v>
      </c>
      <c r="BI69" s="95">
        <v>6.52</v>
      </c>
      <c r="BJ69" s="95">
        <v>6.43</v>
      </c>
      <c r="BK69" s="95">
        <v>6.52</v>
      </c>
      <c r="BL69" s="95">
        <v>6.09</v>
      </c>
      <c r="BM69" s="95">
        <v>6.42</v>
      </c>
      <c r="BN69" s="95">
        <v>5.44</v>
      </c>
      <c r="BO69" s="95">
        <v>6.34</v>
      </c>
      <c r="BP69" s="95">
        <v>6.77</v>
      </c>
      <c r="BQ69" s="95">
        <v>5.25</v>
      </c>
      <c r="BR69" s="95">
        <v>6.94</v>
      </c>
      <c r="BS69" s="95">
        <v>6.7</v>
      </c>
      <c r="BT69" s="95">
        <v>6.09</v>
      </c>
      <c r="BU69" s="95">
        <v>6.24</v>
      </c>
      <c r="BV69" s="95">
        <v>6.3</v>
      </c>
      <c r="BW69" s="95">
        <v>5.9</v>
      </c>
      <c r="BX69" s="95">
        <v>5.52</v>
      </c>
      <c r="BY69" s="95">
        <v>5.94</v>
      </c>
      <c r="BZ69" s="95">
        <v>6.98</v>
      </c>
      <c r="CA69" s="95">
        <v>6.64</v>
      </c>
      <c r="CB69" s="95">
        <v>5.27</v>
      </c>
      <c r="CC69" s="95">
        <v>6.73</v>
      </c>
      <c r="CD69" s="95">
        <v>7.39</v>
      </c>
      <c r="CE69" s="95">
        <v>5.39</v>
      </c>
      <c r="CF69" s="95">
        <v>5.98</v>
      </c>
      <c r="CG69" s="95">
        <v>8.93</v>
      </c>
      <c r="CH69" s="95">
        <v>8.0500000000000007</v>
      </c>
      <c r="CI69" s="95">
        <v>5.69</v>
      </c>
      <c r="CJ69" s="95">
        <v>6.97</v>
      </c>
      <c r="CK69" s="95">
        <v>6.1</v>
      </c>
      <c r="CL69" s="95">
        <v>6.54</v>
      </c>
      <c r="CM69" s="95">
        <v>6.94</v>
      </c>
      <c r="CN69" s="95">
        <v>8.23</v>
      </c>
      <c r="CO69" s="95">
        <v>7.75</v>
      </c>
      <c r="CP69" s="259">
        <f>SUM(Input_Raw[[#This Row],[P-01]:[P-56]])/1000</f>
        <v>477.05900000000003</v>
      </c>
      <c r="CQ69" s="260">
        <f>IFERROR(AVERAGEIF(Input_Raw[[#This Row],[WS_P-01]:[WS_P-56]],"&lt;&gt;",Input_Raw[[#This Row],[WS_P-01]:[WS_P-56]]),"")</f>
        <v>6.521136363636364</v>
      </c>
      <c r="CR69" s="261">
        <f>MAX(Input_Raw[[#This Row],[WS_P-01]:[WS_P-56]])</f>
        <v>8.93</v>
      </c>
      <c r="CS69" s="261"/>
      <c r="CT69" s="262">
        <f>SUM(Input_Raw[[#This Row],[P-08]:[P-13]],Input_Raw[[#This Row],[P-25]:[P-28]])</f>
        <v>82976</v>
      </c>
      <c r="CU69" s="262"/>
      <c r="CV69" s="262">
        <f>SUM(Input_Raw[[#This Row],[P-04]],Input_Raw[[#This Row],[P-14]:[P-17]],Input_Raw[[#This Row],[P-19]:[P-20]],Input_Raw[[#This Row],[P-22]:[P-23]],Input_Raw[[#This Row],[P-34]],Input_Raw[[#This Row],[P-38]],Input_Raw[[#This Row],[P-43]])</f>
        <v>116653</v>
      </c>
      <c r="CW69" s="262"/>
      <c r="CX69" s="262">
        <f>SUM(Input_Raw[[#This Row],[P-05]:[P-06]],Input_Raw[[#This Row],[P-40]:[P-42]],Input_Raw[[#This Row],[P-45]],Input_Raw[[#This Row],[P-46]],Input_Raw[[#This Row],[P-47]:[P-48]])</f>
        <v>119974</v>
      </c>
      <c r="CY69" s="262"/>
      <c r="CZ69" s="262">
        <f>SUM(Input_Raw[[#This Row],[P-01]:[P-03]],Input_Raw[[#This Row],[P-07]],Input_Raw[[#This Row],[P-18]],Input_Raw[[#This Row],[P-31]:[P-32]],Input_Raw[[#This Row],[P-37]],Input_Raw[[#This Row],[P-50]:[P-56]])</f>
        <v>157456</v>
      </c>
      <c r="DA69" s="263"/>
      <c r="DB69" s="264">
        <f>Input_Raw[[#This Row],[33 kV_Wind_F1_Export reading]]/1000</f>
        <v>82.975999999999999</v>
      </c>
      <c r="DC69" s="264"/>
      <c r="DD69" s="264">
        <f>Input_Raw[[#This Row],[33 kV_Wind_F2_Export_reading]]/1000</f>
        <v>116.65300000000001</v>
      </c>
      <c r="DE69" s="264"/>
      <c r="DF69" s="264">
        <f>Input_Raw[[#This Row],[33 kV_Wind_F3_Export_Reading]]/1000</f>
        <v>119.974</v>
      </c>
      <c r="DG69" s="264"/>
      <c r="DH69" s="264">
        <f>Input_Raw[[#This Row],[33 kV_Wind_F4_Export Reading]]/1000</f>
        <v>157.45599999999999</v>
      </c>
      <c r="DI69" s="264"/>
      <c r="DJ69" s="264">
        <f>Input_Raw[[#This Row],[33 kV_F1_Total_Export (MWh)]]+Input_Raw[[#This Row],[33 kV_F2_Total_Export (MWh)2]]+Input_Raw[[#This Row],[33 kV_Wind_F3_Export (MWh)]]+Input_Raw[[#This Row],[33 kV_Wind_F4_Export (MWh)]]</f>
        <v>477.05899999999997</v>
      </c>
      <c r="DK69" s="264">
        <f>Input_Raw[[#This Row],[33 kV_Wind_F1_Import (MWh)]]+Input_Raw[[#This Row],[33 kV_Wind_F2_Import (MWh)]]+Input_Raw[[#This Row],[33 kV_Wind_F3_Import (MWh)2]]+Input_Raw[[#This Row],[33 kV_Wind_F4_Import (MWh)2]]</f>
        <v>0</v>
      </c>
      <c r="DL69" s="265">
        <f>IFERROR(Input_Raw[[#This Row],[33 kV_Wind_Total_Export (MWh)]]/Input_Raw[[#This Row],[WTG Total Gneration (MWh)]]-1,"")</f>
        <v>-1.1102230246251565E-16</v>
      </c>
      <c r="DM69" s="266"/>
      <c r="DN69" s="186">
        <v>96</v>
      </c>
      <c r="DO69" s="186">
        <v>0</v>
      </c>
      <c r="DP69" s="102">
        <v>430.77</v>
      </c>
      <c r="DQ69" s="266"/>
      <c r="DR69" s="181">
        <v>70.400000000000006</v>
      </c>
    </row>
    <row r="70" spans="1:122" ht="15">
      <c r="A70" s="92">
        <f t="shared" si="74"/>
        <v>45810</v>
      </c>
      <c r="B70" s="190">
        <f>YEAR(Input_Raw[[#This Row],[Date]])+IF(MONTH(Input_Raw[[#This Row],[Date]])&gt;=4,1,0)</f>
        <v>2026</v>
      </c>
      <c r="C70" s="190">
        <f>YEAR(Input_Raw[[#This Row],[Date]])</f>
        <v>2025</v>
      </c>
      <c r="D70" s="11">
        <f t="shared" ref="D70:D72" si="123">A70-DAY(A70)+1</f>
        <v>45809</v>
      </c>
      <c r="E70" s="190">
        <f>DAY(EOMONTH(Input_Raw[[#This Row],[Date]],0))</f>
        <v>30</v>
      </c>
      <c r="F70" s="199">
        <v>15232</v>
      </c>
      <c r="G70" s="199">
        <v>14788</v>
      </c>
      <c r="H70" s="199">
        <v>9096</v>
      </c>
      <c r="I70" s="199">
        <v>13316</v>
      </c>
      <c r="J70" s="199">
        <v>13948</v>
      </c>
      <c r="K70" s="199">
        <v>15708</v>
      </c>
      <c r="L70" s="199">
        <v>13944</v>
      </c>
      <c r="M70" s="199">
        <v>8964</v>
      </c>
      <c r="N70" s="199">
        <v>5886</v>
      </c>
      <c r="O70" s="199">
        <v>5864</v>
      </c>
      <c r="P70" s="199">
        <v>7046</v>
      </c>
      <c r="Q70" s="199">
        <v>11272</v>
      </c>
      <c r="R70" s="199">
        <v>11496</v>
      </c>
      <c r="S70" s="199">
        <v>10868</v>
      </c>
      <c r="T70" s="199">
        <v>6060</v>
      </c>
      <c r="U70" s="199">
        <v>10160</v>
      </c>
      <c r="V70" s="199">
        <v>8212</v>
      </c>
      <c r="W70" s="199">
        <v>9924</v>
      </c>
      <c r="X70" s="199">
        <v>11298</v>
      </c>
      <c r="Y70" s="199">
        <v>8100</v>
      </c>
      <c r="Z70" s="199">
        <v>11764</v>
      </c>
      <c r="AA70" s="199">
        <v>9980</v>
      </c>
      <c r="AB70" s="199">
        <v>9548</v>
      </c>
      <c r="AC70" s="199">
        <v>9868</v>
      </c>
      <c r="AD70" s="199">
        <v>10312</v>
      </c>
      <c r="AE70" s="199">
        <v>8360</v>
      </c>
      <c r="AF70" s="199">
        <v>5360</v>
      </c>
      <c r="AG70" s="199">
        <v>8284</v>
      </c>
      <c r="AH70" s="199">
        <v>12992</v>
      </c>
      <c r="AI70" s="199">
        <v>11288</v>
      </c>
      <c r="AJ70" s="199">
        <v>7428</v>
      </c>
      <c r="AK70" s="199">
        <v>11228</v>
      </c>
      <c r="AL70" s="199">
        <v>13424</v>
      </c>
      <c r="AM70" s="199">
        <v>9524</v>
      </c>
      <c r="AN70" s="199">
        <v>8172.0000000000009</v>
      </c>
      <c r="AO70" s="199">
        <v>19152</v>
      </c>
      <c r="AP70" s="199">
        <v>16712</v>
      </c>
      <c r="AQ70" s="199">
        <v>9196</v>
      </c>
      <c r="AR70" s="199">
        <v>16224</v>
      </c>
      <c r="AS70" s="199">
        <v>10642</v>
      </c>
      <c r="AT70" s="199">
        <v>11620</v>
      </c>
      <c r="AU70" s="199">
        <v>13060</v>
      </c>
      <c r="AV70" s="199">
        <v>18144</v>
      </c>
      <c r="AW70" s="199">
        <v>16968</v>
      </c>
      <c r="AX70" s="96">
        <v>7.11</v>
      </c>
      <c r="AY70" s="96">
        <v>7.12</v>
      </c>
      <c r="AZ70" s="96">
        <v>5.94</v>
      </c>
      <c r="BA70" s="96">
        <v>7.25</v>
      </c>
      <c r="BB70" s="96">
        <v>6.91</v>
      </c>
      <c r="BC70" s="96">
        <v>7.68</v>
      </c>
      <c r="BD70" s="96">
        <v>7.24</v>
      </c>
      <c r="BE70" s="96">
        <v>6.27</v>
      </c>
      <c r="BF70" s="96">
        <v>5.57</v>
      </c>
      <c r="BG70" s="96">
        <v>5.9</v>
      </c>
      <c r="BH70" s="96">
        <v>5.79</v>
      </c>
      <c r="BI70" s="96">
        <v>6.87</v>
      </c>
      <c r="BJ70" s="96">
        <v>6.98</v>
      </c>
      <c r="BK70" s="96">
        <v>6.77</v>
      </c>
      <c r="BL70" s="96">
        <v>6.5</v>
      </c>
      <c r="BM70" s="96">
        <v>6.65</v>
      </c>
      <c r="BN70" s="96">
        <v>5.81</v>
      </c>
      <c r="BO70" s="96">
        <v>6.16</v>
      </c>
      <c r="BP70" s="96">
        <v>6.72</v>
      </c>
      <c r="BQ70" s="96">
        <v>5.77</v>
      </c>
      <c r="BR70" s="96">
        <v>6.87</v>
      </c>
      <c r="BS70" s="96">
        <v>6.3</v>
      </c>
      <c r="BT70" s="96">
        <v>5.97</v>
      </c>
      <c r="BU70" s="96">
        <v>6.51</v>
      </c>
      <c r="BV70" s="96">
        <v>6.64</v>
      </c>
      <c r="BW70" s="96">
        <v>6.17</v>
      </c>
      <c r="BX70" s="96">
        <v>5.04</v>
      </c>
      <c r="BY70" s="96">
        <v>5.98</v>
      </c>
      <c r="BZ70" s="96">
        <v>7.16</v>
      </c>
      <c r="CA70" s="96">
        <v>6.68</v>
      </c>
      <c r="CB70" s="96">
        <v>5.43</v>
      </c>
      <c r="CC70" s="96">
        <v>6.97</v>
      </c>
      <c r="CD70" s="96">
        <v>7.31</v>
      </c>
      <c r="CE70" s="96">
        <v>5.86</v>
      </c>
      <c r="CF70" s="96">
        <v>5.77</v>
      </c>
      <c r="CG70" s="96">
        <v>8.89</v>
      </c>
      <c r="CH70" s="96">
        <v>8.11</v>
      </c>
      <c r="CI70" s="96">
        <v>5.69</v>
      </c>
      <c r="CJ70" s="96">
        <v>7.67</v>
      </c>
      <c r="CK70" s="96">
        <v>6.43</v>
      </c>
      <c r="CL70" s="96">
        <v>6.75</v>
      </c>
      <c r="CM70" s="96">
        <v>7.06</v>
      </c>
      <c r="CN70" s="96">
        <v>8.2100000000000009</v>
      </c>
      <c r="CO70" s="96">
        <v>7.9</v>
      </c>
      <c r="CP70" s="98">
        <f>SUM(Input_Raw[[#This Row],[P-01]:[P-56]])/1000</f>
        <v>490.43200000000002</v>
      </c>
      <c r="CQ70" s="71">
        <f>IFERROR(AVERAGEIF(Input_Raw[[#This Row],[WS_P-01]:[WS_P-56]],"&lt;&gt;",Input_Raw[[#This Row],[WS_P-01]:[WS_P-56]]),"")</f>
        <v>6.6449999999999996</v>
      </c>
      <c r="CR70" s="99">
        <f>MAX(Input_Raw[[#This Row],[WS_P-01]:[WS_P-56]])</f>
        <v>8.89</v>
      </c>
      <c r="CS70" s="99"/>
      <c r="CT70" s="70">
        <f>SUM(Input_Raw[[#This Row],[P-08]:[P-13]],Input_Raw[[#This Row],[P-25]:[P-28]])</f>
        <v>88616</v>
      </c>
      <c r="CU70" s="70"/>
      <c r="CV70" s="70">
        <f>SUM(Input_Raw[[#This Row],[P-04]],Input_Raw[[#This Row],[P-14]:[P-17]],Input_Raw[[#This Row],[P-19]:[P-20]],Input_Raw[[#This Row],[P-22]:[P-23]],Input_Raw[[#This Row],[P-34]],Input_Raw[[#This Row],[P-38]],Input_Raw[[#This Row],[P-43]])</f>
        <v>118350</v>
      </c>
      <c r="CW70" s="70"/>
      <c r="CX70" s="70">
        <f>SUM(Input_Raw[[#This Row],[P-05]:[P-06]],Input_Raw[[#This Row],[P-40]:[P-42]],Input_Raw[[#This Row],[P-45]],Input_Raw[[#This Row],[P-46]],Input_Raw[[#This Row],[P-47]:[P-48]])</f>
        <v>125116</v>
      </c>
      <c r="CY70" s="70"/>
      <c r="CZ70" s="70">
        <f>SUM(Input_Raw[[#This Row],[P-01]:[P-03]],Input_Raw[[#This Row],[P-07]],Input_Raw[[#This Row],[P-18]],Input_Raw[[#This Row],[P-31]:[P-32]],Input_Raw[[#This Row],[P-37]],Input_Raw[[#This Row],[P-50]:[P-56]])</f>
        <v>158350</v>
      </c>
      <c r="DA70" s="12"/>
      <c r="DB70" s="13">
        <f>Input_Raw[[#This Row],[33 kV_Wind_F1_Export reading]]/1000</f>
        <v>88.616</v>
      </c>
      <c r="DC70" s="13"/>
      <c r="DD70" s="13">
        <f>Input_Raw[[#This Row],[33 kV_Wind_F2_Export_reading]]/1000</f>
        <v>118.35</v>
      </c>
      <c r="DE70" s="13"/>
      <c r="DF70" s="13">
        <f>Input_Raw[[#This Row],[33 kV_Wind_F3_Export_Reading]]/1000</f>
        <v>125.116</v>
      </c>
      <c r="DG70" s="13"/>
      <c r="DH70" s="13">
        <f>Input_Raw[[#This Row],[33 kV_Wind_F4_Export Reading]]/1000</f>
        <v>158.35</v>
      </c>
      <c r="DI70" s="13"/>
      <c r="DJ70" s="13">
        <f>Input_Raw[[#This Row],[33 kV_F1_Total_Export (MWh)]]+Input_Raw[[#This Row],[33 kV_F2_Total_Export (MWh)2]]+Input_Raw[[#This Row],[33 kV_Wind_F3_Export (MWh)]]+Input_Raw[[#This Row],[33 kV_Wind_F4_Export (MWh)]]</f>
        <v>490.43200000000002</v>
      </c>
      <c r="DK70" s="13">
        <f>Input_Raw[[#This Row],[33 kV_Wind_F1_Import (MWh)]]+Input_Raw[[#This Row],[33 kV_Wind_F2_Import (MWh)]]+Input_Raw[[#This Row],[33 kV_Wind_F3_Import (MWh)2]]+Input_Raw[[#This Row],[33 kV_Wind_F4_Import (MWh)2]]</f>
        <v>0</v>
      </c>
      <c r="DL70" s="100">
        <f>IFERROR(Input_Raw[[#This Row],[33 kV_Wind_Total_Export (MWh)]]/Input_Raw[[#This Row],[WTG Total Gneration (MWh)]]-1,"")</f>
        <v>0</v>
      </c>
      <c r="DM70" s="66"/>
      <c r="DN70" s="186">
        <v>89</v>
      </c>
      <c r="DO70" s="186">
        <v>0</v>
      </c>
      <c r="DP70" s="102">
        <v>453.43</v>
      </c>
      <c r="DQ70" s="66"/>
      <c r="DR70" s="181">
        <v>70.400000000000006</v>
      </c>
    </row>
    <row r="71" spans="1:122" ht="15">
      <c r="A71" s="92">
        <f t="shared" si="74"/>
        <v>45811</v>
      </c>
      <c r="B71" s="190">
        <f>YEAR(Input_Raw[[#This Row],[Date]])+IF(MONTH(Input_Raw[[#This Row],[Date]])&gt;=4,1,0)</f>
        <v>2026</v>
      </c>
      <c r="C71" s="190">
        <f>YEAR(Input_Raw[[#This Row],[Date]])</f>
        <v>2025</v>
      </c>
      <c r="D71" s="11">
        <f t="shared" si="123"/>
        <v>45809</v>
      </c>
      <c r="E71" s="190">
        <f>DAY(EOMONTH(Input_Raw[[#This Row],[Date]],0))</f>
        <v>30</v>
      </c>
      <c r="F71" s="199">
        <v>16708</v>
      </c>
      <c r="G71" s="199">
        <v>14980</v>
      </c>
      <c r="H71" s="199">
        <v>10180</v>
      </c>
      <c r="I71" s="199">
        <v>12560</v>
      </c>
      <c r="J71" s="199">
        <v>15444</v>
      </c>
      <c r="K71" s="199">
        <v>16480</v>
      </c>
      <c r="L71" s="199">
        <v>14758</v>
      </c>
      <c r="M71" s="199">
        <v>9230</v>
      </c>
      <c r="N71" s="199">
        <v>5654</v>
      </c>
      <c r="O71" s="199">
        <v>6684</v>
      </c>
      <c r="P71" s="199">
        <v>9466</v>
      </c>
      <c r="Q71" s="199">
        <v>13520</v>
      </c>
      <c r="R71" s="199">
        <v>12872</v>
      </c>
      <c r="S71" s="199">
        <v>11326</v>
      </c>
      <c r="T71" s="199">
        <v>9026</v>
      </c>
      <c r="U71" s="199">
        <v>9852</v>
      </c>
      <c r="V71" s="199">
        <v>8440</v>
      </c>
      <c r="W71" s="199">
        <v>10712</v>
      </c>
      <c r="X71" s="199">
        <v>10548</v>
      </c>
      <c r="Y71" s="199">
        <v>6905</v>
      </c>
      <c r="Z71" s="199">
        <v>12236</v>
      </c>
      <c r="AA71" s="199">
        <v>10444</v>
      </c>
      <c r="AB71" s="199">
        <v>9924</v>
      </c>
      <c r="AC71" s="199">
        <v>10172</v>
      </c>
      <c r="AD71" s="199">
        <v>11360</v>
      </c>
      <c r="AE71" s="199">
        <v>7424</v>
      </c>
      <c r="AF71" s="199">
        <v>8328</v>
      </c>
      <c r="AG71" s="199">
        <v>9582</v>
      </c>
      <c r="AH71" s="199">
        <v>12824</v>
      </c>
      <c r="AI71" s="199">
        <v>12454</v>
      </c>
      <c r="AJ71" s="199">
        <v>7860</v>
      </c>
      <c r="AK71" s="199">
        <v>11044</v>
      </c>
      <c r="AL71" s="199">
        <v>14872</v>
      </c>
      <c r="AM71" s="199">
        <v>12236</v>
      </c>
      <c r="AN71" s="199">
        <v>9042</v>
      </c>
      <c r="AO71" s="199">
        <v>19868</v>
      </c>
      <c r="AP71" s="199">
        <v>19060</v>
      </c>
      <c r="AQ71" s="199">
        <v>11260</v>
      </c>
      <c r="AR71" s="199">
        <v>16940</v>
      </c>
      <c r="AS71" s="199">
        <v>10058</v>
      </c>
      <c r="AT71" s="199">
        <v>11864</v>
      </c>
      <c r="AU71" s="199">
        <v>14108</v>
      </c>
      <c r="AV71" s="199">
        <v>19088</v>
      </c>
      <c r="AW71" s="199">
        <v>17468</v>
      </c>
      <c r="AX71" s="96">
        <v>7.36</v>
      </c>
      <c r="AY71" s="96">
        <v>7.13</v>
      </c>
      <c r="AZ71" s="96">
        <v>6.23</v>
      </c>
      <c r="BA71" s="96">
        <v>6.98</v>
      </c>
      <c r="BB71" s="96">
        <v>7.14</v>
      </c>
      <c r="BC71" s="96">
        <v>7.76</v>
      </c>
      <c r="BD71" s="96">
        <v>7.37</v>
      </c>
      <c r="BE71" s="96">
        <v>6.19</v>
      </c>
      <c r="BF71" s="96">
        <v>5.51</v>
      </c>
      <c r="BG71" s="96">
        <v>6.07</v>
      </c>
      <c r="BH71" s="96">
        <v>6.3</v>
      </c>
      <c r="BI71" s="96">
        <v>7.19</v>
      </c>
      <c r="BJ71" s="96">
        <v>7.04</v>
      </c>
      <c r="BK71" s="96">
        <v>6.65</v>
      </c>
      <c r="BL71" s="96">
        <v>6.4</v>
      </c>
      <c r="BM71" s="96">
        <v>6.49</v>
      </c>
      <c r="BN71" s="96">
        <v>5.86</v>
      </c>
      <c r="BO71" s="96">
        <v>6.38</v>
      </c>
      <c r="BP71" s="96">
        <v>6.49</v>
      </c>
      <c r="BQ71" s="96">
        <v>5.49</v>
      </c>
      <c r="BR71" s="96">
        <v>6.87</v>
      </c>
      <c r="BS71" s="96">
        <v>6.32</v>
      </c>
      <c r="BT71" s="96">
        <v>5.94</v>
      </c>
      <c r="BU71" s="96">
        <v>6.5</v>
      </c>
      <c r="BV71" s="96">
        <v>6.69</v>
      </c>
      <c r="BW71" s="96">
        <v>6.14</v>
      </c>
      <c r="BX71" s="96">
        <v>5.51</v>
      </c>
      <c r="BY71" s="96">
        <v>6.23</v>
      </c>
      <c r="BZ71" s="96">
        <v>7.05</v>
      </c>
      <c r="CA71" s="96">
        <v>6.85</v>
      </c>
      <c r="CB71" s="96">
        <v>5.59</v>
      </c>
      <c r="CC71" s="96">
        <v>6.88</v>
      </c>
      <c r="CD71" s="96">
        <v>7.61</v>
      </c>
      <c r="CE71" s="96">
        <v>6.43</v>
      </c>
      <c r="CF71" s="96">
        <v>5.91</v>
      </c>
      <c r="CG71" s="96">
        <v>8.99</v>
      </c>
      <c r="CH71" s="96">
        <v>8.2799999999999994</v>
      </c>
      <c r="CI71" s="96">
        <v>6.19</v>
      </c>
      <c r="CJ71" s="96">
        <v>7.69</v>
      </c>
      <c r="CK71" s="96">
        <v>6.28</v>
      </c>
      <c r="CL71" s="96">
        <v>6.73</v>
      </c>
      <c r="CM71" s="96">
        <v>7.17</v>
      </c>
      <c r="CN71" s="96">
        <v>8.36</v>
      </c>
      <c r="CO71" s="96">
        <v>7.95</v>
      </c>
      <c r="CP71" s="259">
        <f>SUM(Input_Raw[[#This Row],[P-01]:[P-56]])/1000</f>
        <v>524.86099999999999</v>
      </c>
      <c r="CQ71" s="260">
        <f>IFERROR(AVERAGEIF(Input_Raw[[#This Row],[WS_P-01]:[WS_P-56]],"&lt;&gt;",Input_Raw[[#This Row],[WS_P-01]:[WS_P-56]]),"")</f>
        <v>6.731590909090909</v>
      </c>
      <c r="CR71" s="261">
        <f>MAX(Input_Raw[[#This Row],[WS_P-01]:[WS_P-56]])</f>
        <v>8.99</v>
      </c>
      <c r="CS71" s="261"/>
      <c r="CT71" s="262">
        <f>SUM(Input_Raw[[#This Row],[P-08]:[P-13]],Input_Raw[[#This Row],[P-25]:[P-28]])</f>
        <v>96306</v>
      </c>
      <c r="CU71" s="262"/>
      <c r="CV71" s="262">
        <f>SUM(Input_Raw[[#This Row],[P-04]],Input_Raw[[#This Row],[P-14]:[P-17]],Input_Raw[[#This Row],[P-19]:[P-20]],Input_Raw[[#This Row],[P-22]:[P-23]],Input_Raw[[#This Row],[P-34]],Input_Raw[[#This Row],[P-38]],Input_Raw[[#This Row],[P-43]])</f>
        <v>121063</v>
      </c>
      <c r="CW71" s="262"/>
      <c r="CX71" s="262">
        <f>SUM(Input_Raw[[#This Row],[P-05]:[P-06]],Input_Raw[[#This Row],[P-40]:[P-42]],Input_Raw[[#This Row],[P-45]],Input_Raw[[#This Row],[P-46]],Input_Raw[[#This Row],[P-47]:[P-48]])</f>
        <v>137204</v>
      </c>
      <c r="CY71" s="262"/>
      <c r="CZ71" s="262">
        <f>SUM(Input_Raw[[#This Row],[P-01]:[P-03]],Input_Raw[[#This Row],[P-07]],Input_Raw[[#This Row],[P-18]],Input_Raw[[#This Row],[P-31]:[P-32]],Input_Raw[[#This Row],[P-37]],Input_Raw[[#This Row],[P-50]:[P-56]])</f>
        <v>170288</v>
      </c>
      <c r="DA71" s="263"/>
      <c r="DB71" s="264">
        <f>Input_Raw[[#This Row],[33 kV_Wind_F1_Export reading]]/1000</f>
        <v>96.305999999999997</v>
      </c>
      <c r="DC71" s="264"/>
      <c r="DD71" s="264">
        <f>Input_Raw[[#This Row],[33 kV_Wind_F2_Export_reading]]/1000</f>
        <v>121.063</v>
      </c>
      <c r="DE71" s="264"/>
      <c r="DF71" s="264">
        <f>Input_Raw[[#This Row],[33 kV_Wind_F3_Export_Reading]]/1000</f>
        <v>137.20400000000001</v>
      </c>
      <c r="DG71" s="264"/>
      <c r="DH71" s="264">
        <f>Input_Raw[[#This Row],[33 kV_Wind_F4_Export Reading]]/1000</f>
        <v>170.28800000000001</v>
      </c>
      <c r="DI71" s="264"/>
      <c r="DJ71" s="264">
        <f>Input_Raw[[#This Row],[33 kV_F1_Total_Export (MWh)]]+Input_Raw[[#This Row],[33 kV_F2_Total_Export (MWh)2]]+Input_Raw[[#This Row],[33 kV_Wind_F3_Export (MWh)]]+Input_Raw[[#This Row],[33 kV_Wind_F4_Export (MWh)]]</f>
        <v>524.86099999999999</v>
      </c>
      <c r="DK71" s="264">
        <f>Input_Raw[[#This Row],[33 kV_Wind_F1_Import (MWh)]]+Input_Raw[[#This Row],[33 kV_Wind_F2_Import (MWh)]]+Input_Raw[[#This Row],[33 kV_Wind_F3_Import (MWh)2]]+Input_Raw[[#This Row],[33 kV_Wind_F4_Import (MWh)2]]</f>
        <v>0</v>
      </c>
      <c r="DL71" s="265">
        <f>IFERROR(Input_Raw[[#This Row],[33 kV_Wind_Total_Export (MWh)]]/Input_Raw[[#This Row],[WTG Total Gneration (MWh)]]-1,"")</f>
        <v>0</v>
      </c>
      <c r="DM71" s="266"/>
      <c r="DN71" s="186">
        <v>54</v>
      </c>
      <c r="DO71" s="186">
        <v>5590.37</v>
      </c>
      <c r="DP71" s="102">
        <v>482.41</v>
      </c>
      <c r="DQ71" s="266"/>
      <c r="DR71" s="181">
        <v>70.400000000000006</v>
      </c>
    </row>
    <row r="72" spans="1:122" ht="15">
      <c r="A72" s="92">
        <f t="shared" si="74"/>
        <v>45812</v>
      </c>
      <c r="B72" s="190">
        <f>YEAR(Input_Raw[[#This Row],[Date]])+IF(MONTH(Input_Raw[[#This Row],[Date]])&gt;=4,1,0)</f>
        <v>2026</v>
      </c>
      <c r="C72" s="190">
        <f>YEAR(Input_Raw[[#This Row],[Date]])</f>
        <v>2025</v>
      </c>
      <c r="D72" s="11">
        <f t="shared" si="123"/>
        <v>45809</v>
      </c>
      <c r="E72" s="190">
        <f>DAY(EOMONTH(Input_Raw[[#This Row],[Date]],0))</f>
        <v>30</v>
      </c>
      <c r="F72" s="199">
        <v>16388</v>
      </c>
      <c r="G72" s="199">
        <v>15436</v>
      </c>
      <c r="H72" s="199">
        <v>15280</v>
      </c>
      <c r="I72" s="199">
        <v>12198</v>
      </c>
      <c r="J72" s="199">
        <v>14272</v>
      </c>
      <c r="K72" s="199">
        <v>15156</v>
      </c>
      <c r="L72" s="199">
        <v>13570</v>
      </c>
      <c r="M72" s="199">
        <v>9960</v>
      </c>
      <c r="N72" s="199">
        <v>8726</v>
      </c>
      <c r="O72" s="199">
        <v>7804</v>
      </c>
      <c r="P72" s="199">
        <v>8440</v>
      </c>
      <c r="Q72" s="199">
        <v>9296</v>
      </c>
      <c r="R72" s="199">
        <v>7972</v>
      </c>
      <c r="S72" s="199">
        <v>8146.0000000000009</v>
      </c>
      <c r="T72" s="199">
        <v>7360</v>
      </c>
      <c r="U72" s="199">
        <v>8430</v>
      </c>
      <c r="V72" s="199">
        <v>9472</v>
      </c>
      <c r="W72" s="199">
        <v>11804</v>
      </c>
      <c r="X72" s="199">
        <v>10834</v>
      </c>
      <c r="Y72" s="199">
        <v>7663</v>
      </c>
      <c r="Z72" s="199">
        <v>12604</v>
      </c>
      <c r="AA72" s="199">
        <v>11372</v>
      </c>
      <c r="AB72" s="199">
        <v>12616</v>
      </c>
      <c r="AC72" s="199">
        <v>9924</v>
      </c>
      <c r="AD72" s="199">
        <v>10664</v>
      </c>
      <c r="AE72" s="199">
        <v>5016</v>
      </c>
      <c r="AF72" s="199">
        <v>13916</v>
      </c>
      <c r="AG72" s="199">
        <v>9112</v>
      </c>
      <c r="AH72" s="199">
        <v>12120</v>
      </c>
      <c r="AI72" s="199">
        <v>10892</v>
      </c>
      <c r="AJ72" s="199">
        <v>9556</v>
      </c>
      <c r="AK72" s="199">
        <v>10472</v>
      </c>
      <c r="AL72" s="199">
        <v>14152</v>
      </c>
      <c r="AM72" s="199">
        <v>11764</v>
      </c>
      <c r="AN72" s="199">
        <v>9968</v>
      </c>
      <c r="AO72" s="199">
        <v>19944</v>
      </c>
      <c r="AP72" s="199">
        <v>17600</v>
      </c>
      <c r="AQ72" s="199">
        <v>13024</v>
      </c>
      <c r="AR72" s="199">
        <v>12444</v>
      </c>
      <c r="AS72" s="199">
        <v>9888</v>
      </c>
      <c r="AT72" s="199">
        <v>11808</v>
      </c>
      <c r="AU72" s="199">
        <v>11980</v>
      </c>
      <c r="AV72" s="199">
        <v>18100</v>
      </c>
      <c r="AW72" s="199">
        <v>13268</v>
      </c>
      <c r="AX72" s="96">
        <v>7.29</v>
      </c>
      <c r="AY72" s="96">
        <v>7.27</v>
      </c>
      <c r="AZ72" s="96">
        <v>7.45</v>
      </c>
      <c r="BA72" s="96">
        <v>6.92</v>
      </c>
      <c r="BB72" s="96">
        <v>6.87</v>
      </c>
      <c r="BC72" s="96">
        <v>7.5</v>
      </c>
      <c r="BD72" s="96">
        <v>7.09</v>
      </c>
      <c r="BE72" s="96">
        <v>6.31</v>
      </c>
      <c r="BF72" s="96">
        <v>6.17</v>
      </c>
      <c r="BG72" s="96">
        <v>6.07</v>
      </c>
      <c r="BH72" s="96">
        <v>6.1</v>
      </c>
      <c r="BI72" s="96">
        <v>6.28</v>
      </c>
      <c r="BJ72" s="96">
        <v>5.93</v>
      </c>
      <c r="BK72" s="96">
        <v>5.9</v>
      </c>
      <c r="BL72" s="96">
        <v>5.99</v>
      </c>
      <c r="BM72" s="96">
        <v>6.05</v>
      </c>
      <c r="BN72" s="96">
        <v>6.05</v>
      </c>
      <c r="BO72" s="96">
        <v>6.54</v>
      </c>
      <c r="BP72" s="96">
        <v>6.55</v>
      </c>
      <c r="BQ72" s="96">
        <v>5.62</v>
      </c>
      <c r="BR72" s="96">
        <v>6.98</v>
      </c>
      <c r="BS72" s="96">
        <v>6.55</v>
      </c>
      <c r="BT72" s="96">
        <v>6.58</v>
      </c>
      <c r="BU72" s="96">
        <v>6.57</v>
      </c>
      <c r="BV72" s="96">
        <v>6.44</v>
      </c>
      <c r="BW72" s="96">
        <v>5.35</v>
      </c>
      <c r="BX72" s="96">
        <v>6.97</v>
      </c>
      <c r="BY72" s="96">
        <v>5.97</v>
      </c>
      <c r="BZ72" s="96">
        <v>6.91</v>
      </c>
      <c r="CA72" s="96">
        <v>6.37</v>
      </c>
      <c r="CB72" s="96">
        <v>6.12</v>
      </c>
      <c r="CC72" s="96">
        <v>6.68</v>
      </c>
      <c r="CD72" s="96">
        <v>7.37</v>
      </c>
      <c r="CE72" s="96">
        <v>6.39</v>
      </c>
      <c r="CF72" s="96">
        <v>6.11</v>
      </c>
      <c r="CG72" s="96">
        <v>9.1</v>
      </c>
      <c r="CH72" s="96">
        <v>8</v>
      </c>
      <c r="CI72" s="96">
        <v>6.61</v>
      </c>
      <c r="CJ72" s="96">
        <v>6.64</v>
      </c>
      <c r="CK72" s="96">
        <v>6.1</v>
      </c>
      <c r="CL72" s="96">
        <v>6.58</v>
      </c>
      <c r="CM72" s="96">
        <v>6.51</v>
      </c>
      <c r="CN72" s="96">
        <v>8.16</v>
      </c>
      <c r="CO72" s="96">
        <v>6.95</v>
      </c>
      <c r="CP72" s="259">
        <f>SUM(Input_Raw[[#This Row],[P-01]:[P-56]])/1000</f>
        <v>510.411</v>
      </c>
      <c r="CQ72" s="260">
        <f>IFERROR(AVERAGEIF(Input_Raw[[#This Row],[WS_P-01]:[WS_P-56]],"&lt;&gt;",Input_Raw[[#This Row],[WS_P-01]:[WS_P-56]]),"")</f>
        <v>6.6354545454545466</v>
      </c>
      <c r="CR72" s="261">
        <f>MAX(Input_Raw[[#This Row],[WS_P-01]:[WS_P-56]])</f>
        <v>9.1</v>
      </c>
      <c r="CS72" s="261"/>
      <c r="CT72" s="262">
        <f>SUM(Input_Raw[[#This Row],[P-08]:[P-13]],Input_Raw[[#This Row],[P-25]:[P-28]])</f>
        <v>90418</v>
      </c>
      <c r="CU72" s="262"/>
      <c r="CV72" s="262">
        <f>SUM(Input_Raw[[#This Row],[P-04]],Input_Raw[[#This Row],[P-14]:[P-17]],Input_Raw[[#This Row],[P-19]:[P-20]],Input_Raw[[#This Row],[P-22]:[P-23]],Input_Raw[[#This Row],[P-34]],Input_Raw[[#This Row],[P-38]],Input_Raw[[#This Row],[P-43]])</f>
        <v>119723</v>
      </c>
      <c r="CW72" s="262"/>
      <c r="CX72" s="262">
        <f>SUM(Input_Raw[[#This Row],[P-05]:[P-06]],Input_Raw[[#This Row],[P-40]:[P-42]],Input_Raw[[#This Row],[P-45]],Input_Raw[[#This Row],[P-46]],Input_Raw[[#This Row],[P-47]:[P-48]])</f>
        <v>128828</v>
      </c>
      <c r="CY72" s="262"/>
      <c r="CZ72" s="262">
        <f>SUM(Input_Raw[[#This Row],[P-01]:[P-03]],Input_Raw[[#This Row],[P-07]],Input_Raw[[#This Row],[P-18]],Input_Raw[[#This Row],[P-31]:[P-32]],Input_Raw[[#This Row],[P-37]],Input_Raw[[#This Row],[P-50]:[P-56]])</f>
        <v>171442</v>
      </c>
      <c r="DA72" s="263"/>
      <c r="DB72" s="264">
        <f>Input_Raw[[#This Row],[33 kV_Wind_F1_Export reading]]/1000</f>
        <v>90.418000000000006</v>
      </c>
      <c r="DC72" s="264"/>
      <c r="DD72" s="264">
        <f>Input_Raw[[#This Row],[33 kV_Wind_F2_Export_reading]]/1000</f>
        <v>119.723</v>
      </c>
      <c r="DE72" s="264"/>
      <c r="DF72" s="264">
        <f>Input_Raw[[#This Row],[33 kV_Wind_F3_Export_Reading]]/1000</f>
        <v>128.828</v>
      </c>
      <c r="DG72" s="264"/>
      <c r="DH72" s="264">
        <f>Input_Raw[[#This Row],[33 kV_Wind_F4_Export Reading]]/1000</f>
        <v>171.44200000000001</v>
      </c>
      <c r="DI72" s="264"/>
      <c r="DJ72" s="264">
        <f>Input_Raw[[#This Row],[33 kV_F1_Total_Export (MWh)]]+Input_Raw[[#This Row],[33 kV_F2_Total_Export (MWh)2]]+Input_Raw[[#This Row],[33 kV_Wind_F3_Export (MWh)]]+Input_Raw[[#This Row],[33 kV_Wind_F4_Export (MWh)]]</f>
        <v>510.41100000000006</v>
      </c>
      <c r="DK72" s="264">
        <f>Input_Raw[[#This Row],[33 kV_Wind_F1_Import (MWh)]]+Input_Raw[[#This Row],[33 kV_Wind_F2_Import (MWh)]]+Input_Raw[[#This Row],[33 kV_Wind_F3_Import (MWh)2]]+Input_Raw[[#This Row],[33 kV_Wind_F4_Import (MWh)2]]</f>
        <v>0</v>
      </c>
      <c r="DL72" s="265">
        <f>IFERROR(Input_Raw[[#This Row],[33 kV_Wind_Total_Export (MWh)]]/Input_Raw[[#This Row],[WTG Total Gneration (MWh)]]-1,"")</f>
        <v>2.2204460492503131E-16</v>
      </c>
      <c r="DM72" s="266"/>
      <c r="DN72" s="186">
        <v>90</v>
      </c>
      <c r="DO72" s="186">
        <v>57457.88</v>
      </c>
      <c r="DP72" s="102">
        <v>475.81</v>
      </c>
      <c r="DQ72" s="266"/>
      <c r="DR72" s="181">
        <v>70.400000000000006</v>
      </c>
    </row>
    <row r="73" spans="1:122" ht="15">
      <c r="A73" s="92">
        <f t="shared" si="74"/>
        <v>45813</v>
      </c>
      <c r="B73" s="190">
        <f>YEAR(Input_Raw[[#This Row],[Date]])+IF(MONTH(Input_Raw[[#This Row],[Date]])&gt;=4,1,0)</f>
        <v>2026</v>
      </c>
      <c r="C73" s="190">
        <f>YEAR(Input_Raw[[#This Row],[Date]])</f>
        <v>2025</v>
      </c>
      <c r="D73" s="11">
        <f t="shared" ref="D73" si="124">A73-DAY(A73)+1</f>
        <v>45809</v>
      </c>
      <c r="E73" s="190">
        <f>DAY(EOMONTH(Input_Raw[[#This Row],[Date]],0))</f>
        <v>30</v>
      </c>
      <c r="F73" s="199">
        <v>11576</v>
      </c>
      <c r="G73" s="199">
        <v>12092</v>
      </c>
      <c r="H73" s="199">
        <v>12092</v>
      </c>
      <c r="I73" s="199">
        <v>9480</v>
      </c>
      <c r="J73" s="199">
        <v>12004</v>
      </c>
      <c r="K73" s="199">
        <v>11220</v>
      </c>
      <c r="L73" s="199">
        <v>8064</v>
      </c>
      <c r="M73" s="199">
        <v>5290</v>
      </c>
      <c r="N73" s="199">
        <v>6012</v>
      </c>
      <c r="O73" s="199">
        <v>7048</v>
      </c>
      <c r="P73" s="199">
        <v>6664</v>
      </c>
      <c r="Q73" s="199">
        <v>6660</v>
      </c>
      <c r="R73" s="199">
        <v>5764</v>
      </c>
      <c r="S73" s="199">
        <v>6416</v>
      </c>
      <c r="T73" s="199">
        <v>5448</v>
      </c>
      <c r="U73" s="199">
        <v>6106</v>
      </c>
      <c r="V73" s="199">
        <v>6024</v>
      </c>
      <c r="W73" s="199">
        <v>11316</v>
      </c>
      <c r="X73" s="199">
        <v>5292</v>
      </c>
      <c r="Y73" s="199">
        <v>4342</v>
      </c>
      <c r="Z73" s="199">
        <v>8760</v>
      </c>
      <c r="AA73" s="199">
        <v>9120</v>
      </c>
      <c r="AB73" s="199">
        <v>8624</v>
      </c>
      <c r="AC73" s="199">
        <v>8096</v>
      </c>
      <c r="AD73" s="199">
        <v>7820</v>
      </c>
      <c r="AE73" s="199">
        <v>4616</v>
      </c>
      <c r="AF73" s="199">
        <v>14364</v>
      </c>
      <c r="AG73" s="199">
        <v>5776</v>
      </c>
      <c r="AH73" s="199">
        <v>9400</v>
      </c>
      <c r="AI73" s="199">
        <v>8039.9999999999991</v>
      </c>
      <c r="AJ73" s="199">
        <v>6040</v>
      </c>
      <c r="AK73" s="199">
        <v>7230</v>
      </c>
      <c r="AL73" s="199">
        <v>12628</v>
      </c>
      <c r="AM73" s="199">
        <v>12280</v>
      </c>
      <c r="AN73" s="199">
        <v>5924</v>
      </c>
      <c r="AO73" s="199">
        <v>12760</v>
      </c>
      <c r="AP73" s="199">
        <v>12544</v>
      </c>
      <c r="AQ73" s="199">
        <v>11340</v>
      </c>
      <c r="AR73" s="199">
        <v>12212</v>
      </c>
      <c r="AS73" s="199">
        <v>4854</v>
      </c>
      <c r="AT73" s="199">
        <v>8132</v>
      </c>
      <c r="AU73" s="199">
        <v>8996</v>
      </c>
      <c r="AV73" s="199">
        <v>10612</v>
      </c>
      <c r="AW73" s="199">
        <v>9476</v>
      </c>
      <c r="AX73" s="96">
        <v>6.34</v>
      </c>
      <c r="AY73" s="96">
        <v>6.59</v>
      </c>
      <c r="AZ73" s="96">
        <v>6.78</v>
      </c>
      <c r="BA73" s="96">
        <v>6.37</v>
      </c>
      <c r="BB73" s="96">
        <v>6.82</v>
      </c>
      <c r="BC73" s="96">
        <v>7.11</v>
      </c>
      <c r="BD73" s="96">
        <v>5.93</v>
      </c>
      <c r="BE73" s="96">
        <v>5.14</v>
      </c>
      <c r="BF73" s="96">
        <v>5.81</v>
      </c>
      <c r="BG73" s="96">
        <v>6.35</v>
      </c>
      <c r="BH73" s="96">
        <v>5.9</v>
      </c>
      <c r="BI73" s="96">
        <v>5.79</v>
      </c>
      <c r="BJ73" s="96">
        <v>5.7</v>
      </c>
      <c r="BK73" s="96">
        <v>5.74</v>
      </c>
      <c r="BL73" s="96">
        <v>5.65</v>
      </c>
      <c r="BM73" s="96">
        <v>5.8</v>
      </c>
      <c r="BN73" s="96">
        <v>5.5</v>
      </c>
      <c r="BO73" s="96">
        <v>6.69</v>
      </c>
      <c r="BP73" s="96">
        <v>5.29</v>
      </c>
      <c r="BQ73" s="96">
        <v>4.91</v>
      </c>
      <c r="BR73" s="96">
        <v>6.14</v>
      </c>
      <c r="BS73" s="96">
        <v>6.16</v>
      </c>
      <c r="BT73" s="96">
        <v>5.85</v>
      </c>
      <c r="BU73" s="96">
        <v>6.14</v>
      </c>
      <c r="BV73" s="96">
        <v>6.14</v>
      </c>
      <c r="BW73" s="96">
        <v>5.38</v>
      </c>
      <c r="BX73" s="96">
        <v>7.11</v>
      </c>
      <c r="BY73" s="96">
        <v>5.3</v>
      </c>
      <c r="BZ73" s="96">
        <v>6.34</v>
      </c>
      <c r="CA73" s="96">
        <v>5.97</v>
      </c>
      <c r="CB73" s="96">
        <v>5.38</v>
      </c>
      <c r="CC73" s="96">
        <v>6.24</v>
      </c>
      <c r="CD73" s="96">
        <v>7.43</v>
      </c>
      <c r="CE73" s="96">
        <v>6.77</v>
      </c>
      <c r="CF73" s="96">
        <v>5.1100000000000003</v>
      </c>
      <c r="CG73" s="96">
        <v>7.6</v>
      </c>
      <c r="CH73" s="96">
        <v>7.22</v>
      </c>
      <c r="CI73" s="96">
        <v>6.47</v>
      </c>
      <c r="CJ73" s="96">
        <v>7.04</v>
      </c>
      <c r="CK73" s="96">
        <v>4.71</v>
      </c>
      <c r="CL73" s="96">
        <v>5.86</v>
      </c>
      <c r="CM73" s="96">
        <v>6.09</v>
      </c>
      <c r="CN73" s="96">
        <v>6.58</v>
      </c>
      <c r="CO73" s="96">
        <v>6.41</v>
      </c>
      <c r="CP73" s="259">
        <f>SUM(Input_Raw[[#This Row],[P-01]:[P-56]])/1000</f>
        <v>378.55399999999997</v>
      </c>
      <c r="CQ73" s="260">
        <f>IFERROR(AVERAGEIF(Input_Raw[[#This Row],[WS_P-01]:[WS_P-56]],"&lt;&gt;",Input_Raw[[#This Row],[WS_P-01]:[WS_P-56]]),"")</f>
        <v>6.1284090909090914</v>
      </c>
      <c r="CR73" s="261">
        <f>MAX(Input_Raw[[#This Row],[WS_P-01]:[WS_P-56]])</f>
        <v>7.6</v>
      </c>
      <c r="CS73" s="261"/>
      <c r="CT73" s="262">
        <f>SUM(Input_Raw[[#This Row],[P-08]:[P-13]],Input_Raw[[#This Row],[P-25]:[P-28]])</f>
        <v>66594</v>
      </c>
      <c r="CU73" s="262"/>
      <c r="CV73" s="262">
        <f>SUM(Input_Raw[[#This Row],[P-04]],Input_Raw[[#This Row],[P-14]:[P-17]],Input_Raw[[#This Row],[P-19]:[P-20]],Input_Raw[[#This Row],[P-22]:[P-23]],Input_Raw[[#This Row],[P-34]],Input_Raw[[#This Row],[P-38]],Input_Raw[[#This Row],[P-43]])</f>
        <v>82352</v>
      </c>
      <c r="CW73" s="262"/>
      <c r="CX73" s="262">
        <f>SUM(Input_Raw[[#This Row],[P-05]:[P-06]],Input_Raw[[#This Row],[P-40]:[P-42]],Input_Raw[[#This Row],[P-45]],Input_Raw[[#This Row],[P-46]],Input_Raw[[#This Row],[P-47]:[P-48]])</f>
        <v>104218</v>
      </c>
      <c r="CY73" s="262"/>
      <c r="CZ73" s="262">
        <f>SUM(Input_Raw[[#This Row],[P-01]:[P-03]],Input_Raw[[#This Row],[P-07]],Input_Raw[[#This Row],[P-18]],Input_Raw[[#This Row],[P-31]:[P-32]],Input_Raw[[#This Row],[P-37]],Input_Raw[[#This Row],[P-50]:[P-56]])</f>
        <v>125390</v>
      </c>
      <c r="DA73" s="263"/>
      <c r="DB73" s="264">
        <f>Input_Raw[[#This Row],[33 kV_Wind_F1_Export reading]]/1000</f>
        <v>66.593999999999994</v>
      </c>
      <c r="DC73" s="264"/>
      <c r="DD73" s="264">
        <f>Input_Raw[[#This Row],[33 kV_Wind_F2_Export_reading]]/1000</f>
        <v>82.352000000000004</v>
      </c>
      <c r="DE73" s="264"/>
      <c r="DF73" s="264">
        <f>Input_Raw[[#This Row],[33 kV_Wind_F3_Export_Reading]]/1000</f>
        <v>104.218</v>
      </c>
      <c r="DG73" s="264"/>
      <c r="DH73" s="264">
        <f>Input_Raw[[#This Row],[33 kV_Wind_F4_Export Reading]]/1000</f>
        <v>125.39</v>
      </c>
      <c r="DI73" s="264"/>
      <c r="DJ73" s="264">
        <f>Input_Raw[[#This Row],[33 kV_F1_Total_Export (MWh)]]+Input_Raw[[#This Row],[33 kV_F2_Total_Export (MWh)2]]+Input_Raw[[#This Row],[33 kV_Wind_F3_Export (MWh)]]+Input_Raw[[#This Row],[33 kV_Wind_F4_Export (MWh)]]</f>
        <v>378.55399999999997</v>
      </c>
      <c r="DK73" s="264">
        <f>Input_Raw[[#This Row],[33 kV_Wind_F1_Import (MWh)]]+Input_Raw[[#This Row],[33 kV_Wind_F2_Import (MWh)]]+Input_Raw[[#This Row],[33 kV_Wind_F3_Import (MWh)2]]+Input_Raw[[#This Row],[33 kV_Wind_F4_Import (MWh)2]]</f>
        <v>0</v>
      </c>
      <c r="DL73" s="265">
        <f>IFERROR(Input_Raw[[#This Row],[33 kV_Wind_Total_Export (MWh)]]/Input_Raw[[#This Row],[WTG Total Gneration (MWh)]]-1,"")</f>
        <v>0</v>
      </c>
      <c r="DM73" s="266"/>
      <c r="DN73" s="186">
        <v>89</v>
      </c>
      <c r="DO73" s="186">
        <v>2043.25</v>
      </c>
      <c r="DP73" s="102">
        <v>361.89</v>
      </c>
      <c r="DQ73" s="266"/>
      <c r="DR73" s="181">
        <v>70.400000000000006</v>
      </c>
    </row>
    <row r="74" spans="1:122" ht="15">
      <c r="A74" s="92">
        <f t="shared" si="74"/>
        <v>45814</v>
      </c>
      <c r="B74" s="190">
        <f>YEAR(Input_Raw[[#This Row],[Date]])+IF(MONTH(Input_Raw[[#This Row],[Date]])&gt;=4,1,0)</f>
        <v>2026</v>
      </c>
      <c r="C74" s="190">
        <f>YEAR(Input_Raw[[#This Row],[Date]])</f>
        <v>2025</v>
      </c>
      <c r="D74" s="11">
        <f t="shared" ref="D74" si="125">A74-DAY(A74)+1</f>
        <v>45809</v>
      </c>
      <c r="E74" s="190">
        <f>DAY(EOMONTH(Input_Raw[[#This Row],[Date]],0))</f>
        <v>30</v>
      </c>
      <c r="F74" s="199">
        <v>11248</v>
      </c>
      <c r="G74" s="199">
        <v>11184</v>
      </c>
      <c r="H74" s="199">
        <v>9516</v>
      </c>
      <c r="I74" s="199">
        <v>6566</v>
      </c>
      <c r="J74" s="199">
        <v>6032</v>
      </c>
      <c r="K74" s="199">
        <v>5708</v>
      </c>
      <c r="L74" s="199">
        <v>6442</v>
      </c>
      <c r="M74" s="199">
        <v>2692</v>
      </c>
      <c r="N74" s="199">
        <v>1850</v>
      </c>
      <c r="O74" s="199">
        <v>1872</v>
      </c>
      <c r="P74" s="199">
        <v>1868</v>
      </c>
      <c r="Q74" s="199">
        <v>1828</v>
      </c>
      <c r="R74" s="199">
        <v>1180</v>
      </c>
      <c r="S74" s="199">
        <v>1980</v>
      </c>
      <c r="T74" s="199">
        <v>1854</v>
      </c>
      <c r="U74" s="199">
        <v>2162</v>
      </c>
      <c r="V74" s="199">
        <v>2802</v>
      </c>
      <c r="W74" s="199">
        <v>11256</v>
      </c>
      <c r="X74" s="199">
        <v>2948</v>
      </c>
      <c r="Y74" s="199">
        <v>2595</v>
      </c>
      <c r="Z74" s="199">
        <v>6976</v>
      </c>
      <c r="AA74" s="199">
        <v>7904</v>
      </c>
      <c r="AB74" s="199">
        <v>4120</v>
      </c>
      <c r="AC74" s="199">
        <v>4083.9999999999995</v>
      </c>
      <c r="AD74" s="199">
        <v>4644</v>
      </c>
      <c r="AE74" s="199">
        <v>4064</v>
      </c>
      <c r="AF74" s="199">
        <v>8438</v>
      </c>
      <c r="AG74" s="199">
        <v>4328</v>
      </c>
      <c r="AH74" s="199">
        <v>7016</v>
      </c>
      <c r="AI74" s="199">
        <v>6764</v>
      </c>
      <c r="AJ74" s="199">
        <v>3364</v>
      </c>
      <c r="AK74" s="199">
        <v>3776</v>
      </c>
      <c r="AL74" s="199">
        <v>6128</v>
      </c>
      <c r="AM74" s="199">
        <v>6332</v>
      </c>
      <c r="AN74" s="199">
        <v>5320</v>
      </c>
      <c r="AO74" s="199">
        <v>8832</v>
      </c>
      <c r="AP74" s="199">
        <v>7656</v>
      </c>
      <c r="AQ74" s="199">
        <v>7068</v>
      </c>
      <c r="AR74" s="199">
        <v>7852</v>
      </c>
      <c r="AS74" s="199">
        <v>1816</v>
      </c>
      <c r="AT74" s="199">
        <v>6110</v>
      </c>
      <c r="AU74" s="199">
        <v>8092.0000000000009</v>
      </c>
      <c r="AV74" s="199">
        <v>9868</v>
      </c>
      <c r="AW74" s="199">
        <v>9204</v>
      </c>
      <c r="AX74" s="269">
        <v>6.36</v>
      </c>
      <c r="AY74" s="269">
        <v>6.58</v>
      </c>
      <c r="AZ74" s="269">
        <v>6.38</v>
      </c>
      <c r="BA74" s="269">
        <v>5.61</v>
      </c>
      <c r="BB74" s="269">
        <v>5.53</v>
      </c>
      <c r="BC74" s="269">
        <v>5.76</v>
      </c>
      <c r="BD74" s="269">
        <v>5.47</v>
      </c>
      <c r="BE74" s="269">
        <v>4.38</v>
      </c>
      <c r="BF74" s="269">
        <v>4.2699999999999996</v>
      </c>
      <c r="BG74" s="269">
        <v>4.51</v>
      </c>
      <c r="BH74" s="269">
        <v>4.1100000000000003</v>
      </c>
      <c r="BI74" s="269">
        <v>4.1399999999999997</v>
      </c>
      <c r="BJ74" s="269">
        <v>4.08</v>
      </c>
      <c r="BK74" s="269">
        <v>4.21</v>
      </c>
      <c r="BL74" s="269">
        <v>4.29</v>
      </c>
      <c r="BM74" s="269">
        <v>4.4400000000000004</v>
      </c>
      <c r="BN74" s="269">
        <v>4.54</v>
      </c>
      <c r="BO74" s="269">
        <v>6.79</v>
      </c>
      <c r="BP74" s="269">
        <v>4.49</v>
      </c>
      <c r="BQ74" s="269">
        <v>4.3</v>
      </c>
      <c r="BR74" s="269">
        <v>5.75</v>
      </c>
      <c r="BS74" s="269">
        <v>5.98</v>
      </c>
      <c r="BT74" s="269">
        <v>4.75</v>
      </c>
      <c r="BU74" s="269">
        <v>5.13</v>
      </c>
      <c r="BV74" s="269">
        <v>5.35</v>
      </c>
      <c r="BW74" s="269">
        <v>5.2</v>
      </c>
      <c r="BX74" s="269">
        <v>6.03</v>
      </c>
      <c r="BY74" s="269">
        <v>4.8899999999999997</v>
      </c>
      <c r="BZ74" s="269">
        <v>5.85</v>
      </c>
      <c r="CA74" s="269">
        <v>5.73</v>
      </c>
      <c r="CB74" s="269">
        <v>4.51</v>
      </c>
      <c r="CC74" s="269">
        <v>5.09</v>
      </c>
      <c r="CD74" s="269">
        <v>5.78</v>
      </c>
      <c r="CE74" s="269">
        <v>5.97</v>
      </c>
      <c r="CF74" s="269">
        <v>5.07</v>
      </c>
      <c r="CG74" s="269">
        <v>6.84</v>
      </c>
      <c r="CH74" s="269">
        <v>6.27</v>
      </c>
      <c r="CI74" s="269">
        <v>5.58</v>
      </c>
      <c r="CJ74" s="269">
        <v>6.13</v>
      </c>
      <c r="CK74" s="269">
        <v>3.48</v>
      </c>
      <c r="CL74" s="269">
        <v>5.34</v>
      </c>
      <c r="CM74" s="269">
        <v>5.91</v>
      </c>
      <c r="CN74" s="269">
        <v>6.54</v>
      </c>
      <c r="CO74" s="269">
        <v>6.54</v>
      </c>
      <c r="CP74" s="259">
        <f>SUM(Input_Raw[[#This Row],[P-01]:[P-56]])/1000</f>
        <v>243.339</v>
      </c>
      <c r="CQ74" s="260">
        <f>IFERROR(AVERAGEIF(Input_Raw[[#This Row],[WS_P-01]:[WS_P-56]],"&lt;&gt;",Input_Raw[[#This Row],[WS_P-01]:[WS_P-56]]),"")</f>
        <v>5.317045454545454</v>
      </c>
      <c r="CR74" s="261">
        <f>MAX(Input_Raw[[#This Row],[WS_P-01]:[WS_P-56]])</f>
        <v>6.84</v>
      </c>
      <c r="CS74" s="261"/>
      <c r="CT74" s="262">
        <f>SUM(Input_Raw[[#This Row],[P-08]:[P-13]],Input_Raw[[#This Row],[P-25]:[P-28]])</f>
        <v>28202</v>
      </c>
      <c r="CU74" s="262"/>
      <c r="CV74" s="262">
        <f>SUM(Input_Raw[[#This Row],[P-04]],Input_Raw[[#This Row],[P-14]:[P-17]],Input_Raw[[#This Row],[P-19]:[P-20]],Input_Raw[[#This Row],[P-22]:[P-23]],Input_Raw[[#This Row],[P-34]],Input_Raw[[#This Row],[P-38]],Input_Raw[[#This Row],[P-43]])</f>
        <v>51487</v>
      </c>
      <c r="CW74" s="262"/>
      <c r="CX74" s="262">
        <f>SUM(Input_Raw[[#This Row],[P-05]:[P-06]],Input_Raw[[#This Row],[P-40]:[P-42]],Input_Raw[[#This Row],[P-45]],Input_Raw[[#This Row],[P-46]],Input_Raw[[#This Row],[P-47]:[P-48]])</f>
        <v>59384</v>
      </c>
      <c r="CY74" s="262"/>
      <c r="CZ74" s="262">
        <f>SUM(Input_Raw[[#This Row],[P-01]:[P-03]],Input_Raw[[#This Row],[P-07]],Input_Raw[[#This Row],[P-18]],Input_Raw[[#This Row],[P-31]:[P-32]],Input_Raw[[#This Row],[P-37]],Input_Raw[[#This Row],[P-50]:[P-56]])</f>
        <v>104266</v>
      </c>
      <c r="DA74" s="263"/>
      <c r="DB74" s="264">
        <f>Input_Raw[[#This Row],[33 kV_Wind_F1_Export reading]]/1000</f>
        <v>28.202000000000002</v>
      </c>
      <c r="DC74" s="264"/>
      <c r="DD74" s="264">
        <f>Input_Raw[[#This Row],[33 kV_Wind_F2_Export_reading]]/1000</f>
        <v>51.487000000000002</v>
      </c>
      <c r="DE74" s="264"/>
      <c r="DF74" s="264">
        <f>Input_Raw[[#This Row],[33 kV_Wind_F3_Export_Reading]]/1000</f>
        <v>59.384</v>
      </c>
      <c r="DG74" s="264"/>
      <c r="DH74" s="264">
        <f>Input_Raw[[#This Row],[33 kV_Wind_F4_Export Reading]]/1000</f>
        <v>104.26600000000001</v>
      </c>
      <c r="DI74" s="264"/>
      <c r="DJ74" s="264">
        <f>Input_Raw[[#This Row],[33 kV_F1_Total_Export (MWh)]]+Input_Raw[[#This Row],[33 kV_F2_Total_Export (MWh)2]]+Input_Raw[[#This Row],[33 kV_Wind_F3_Export (MWh)]]+Input_Raw[[#This Row],[33 kV_Wind_F4_Export (MWh)]]</f>
        <v>243.339</v>
      </c>
      <c r="DK74" s="264">
        <f>Input_Raw[[#This Row],[33 kV_Wind_F1_Import (MWh)]]+Input_Raw[[#This Row],[33 kV_Wind_F2_Import (MWh)]]+Input_Raw[[#This Row],[33 kV_Wind_F3_Import (MWh)2]]+Input_Raw[[#This Row],[33 kV_Wind_F4_Import (MWh)2]]</f>
        <v>0</v>
      </c>
      <c r="DL74" s="265">
        <f>IFERROR(Input_Raw[[#This Row],[33 kV_Wind_Total_Export (MWh)]]/Input_Raw[[#This Row],[WTG Total Gneration (MWh)]]-1,"")</f>
        <v>0</v>
      </c>
      <c r="DM74" s="266"/>
      <c r="DN74" s="186">
        <v>89</v>
      </c>
      <c r="DO74" s="186">
        <v>1151.1199999999999</v>
      </c>
      <c r="DP74" s="102">
        <v>238.66</v>
      </c>
      <c r="DQ74" s="266"/>
      <c r="DR74" s="181">
        <v>70.400000000000006</v>
      </c>
    </row>
    <row r="75" spans="1:122" ht="15">
      <c r="A75" s="92">
        <f t="shared" si="74"/>
        <v>45815</v>
      </c>
      <c r="B75" s="190">
        <f>YEAR(Input_Raw[[#This Row],[Date]])+IF(MONTH(Input_Raw[[#This Row],[Date]])&gt;=4,1,0)</f>
        <v>2026</v>
      </c>
      <c r="C75" s="190">
        <f>YEAR(Input_Raw[[#This Row],[Date]])</f>
        <v>2025</v>
      </c>
      <c r="D75" s="11">
        <f t="shared" ref="D75" si="126">A75-DAY(A75)+1</f>
        <v>45809</v>
      </c>
      <c r="E75" s="190">
        <f>DAY(EOMONTH(Input_Raw[[#This Row],[Date]],0))</f>
        <v>30</v>
      </c>
      <c r="F75" s="199">
        <v>11992</v>
      </c>
      <c r="G75" s="199">
        <v>11256</v>
      </c>
      <c r="H75" s="199">
        <v>9040</v>
      </c>
      <c r="I75" s="199">
        <v>9092</v>
      </c>
      <c r="J75" s="199">
        <v>8084</v>
      </c>
      <c r="K75" s="199">
        <v>7968</v>
      </c>
      <c r="L75" s="199">
        <v>6868</v>
      </c>
      <c r="M75" s="199">
        <v>3700</v>
      </c>
      <c r="N75" s="199">
        <v>3134</v>
      </c>
      <c r="O75" s="199">
        <v>3348</v>
      </c>
      <c r="P75" s="199">
        <v>3264</v>
      </c>
      <c r="Q75" s="199">
        <v>3100</v>
      </c>
      <c r="R75" s="199">
        <v>2816</v>
      </c>
      <c r="S75" s="199">
        <v>3232</v>
      </c>
      <c r="T75" s="199">
        <v>3002</v>
      </c>
      <c r="U75" s="199">
        <v>3340</v>
      </c>
      <c r="V75" s="199">
        <v>3930</v>
      </c>
      <c r="W75" s="199">
        <v>12464</v>
      </c>
      <c r="X75" s="199">
        <v>3848</v>
      </c>
      <c r="Y75" s="199">
        <v>3157</v>
      </c>
      <c r="Z75" s="199">
        <v>8748</v>
      </c>
      <c r="AA75" s="199">
        <v>9288</v>
      </c>
      <c r="AB75" s="199">
        <v>6160</v>
      </c>
      <c r="AC75" s="199">
        <v>5800</v>
      </c>
      <c r="AD75" s="199">
        <v>6288</v>
      </c>
      <c r="AE75" s="199">
        <v>5524</v>
      </c>
      <c r="AF75" s="199">
        <v>8826</v>
      </c>
      <c r="AG75" s="199">
        <v>3974</v>
      </c>
      <c r="AH75" s="199">
        <v>8060.0000000000009</v>
      </c>
      <c r="AI75" s="199">
        <v>6676</v>
      </c>
      <c r="AJ75" s="199">
        <v>4476</v>
      </c>
      <c r="AK75" s="199">
        <v>5310</v>
      </c>
      <c r="AL75" s="199">
        <v>8368</v>
      </c>
      <c r="AM75" s="199">
        <v>11440</v>
      </c>
      <c r="AN75" s="199">
        <v>6666</v>
      </c>
      <c r="AO75" s="199">
        <v>10712</v>
      </c>
      <c r="AP75" s="199">
        <v>9800</v>
      </c>
      <c r="AQ75" s="199">
        <v>9500</v>
      </c>
      <c r="AR75" s="199">
        <v>9852</v>
      </c>
      <c r="AS75" s="199">
        <v>1592</v>
      </c>
      <c r="AT75" s="199">
        <v>5158</v>
      </c>
      <c r="AU75" s="199">
        <v>7086</v>
      </c>
      <c r="AV75" s="199">
        <v>11176</v>
      </c>
      <c r="AW75" s="199">
        <v>10344</v>
      </c>
      <c r="AX75" s="96">
        <v>6.46</v>
      </c>
      <c r="AY75" s="96">
        <v>6.52</v>
      </c>
      <c r="AZ75" s="96">
        <v>6.2</v>
      </c>
      <c r="BA75" s="96">
        <v>6.26</v>
      </c>
      <c r="BB75" s="96">
        <v>6.11</v>
      </c>
      <c r="BC75" s="96">
        <v>6.39</v>
      </c>
      <c r="BD75" s="96">
        <v>5.59</v>
      </c>
      <c r="BE75" s="96">
        <v>4.74</v>
      </c>
      <c r="BF75" s="96">
        <v>4.9000000000000004</v>
      </c>
      <c r="BG75" s="96">
        <v>5.21</v>
      </c>
      <c r="BH75" s="96">
        <v>4.79</v>
      </c>
      <c r="BI75" s="96">
        <v>4.7</v>
      </c>
      <c r="BJ75" s="96">
        <v>4.74</v>
      </c>
      <c r="BK75" s="96">
        <v>4.8499999999999996</v>
      </c>
      <c r="BL75" s="96">
        <v>4.88</v>
      </c>
      <c r="BM75" s="96">
        <v>5.04</v>
      </c>
      <c r="BN75" s="96">
        <v>4.99</v>
      </c>
      <c r="BO75" s="96">
        <v>7.03</v>
      </c>
      <c r="BP75" s="96">
        <v>4.8899999999999997</v>
      </c>
      <c r="BQ75" s="96">
        <v>4.57</v>
      </c>
      <c r="BR75" s="96">
        <v>6.16</v>
      </c>
      <c r="BS75" s="96">
        <v>6.27</v>
      </c>
      <c r="BT75" s="96">
        <v>5.34</v>
      </c>
      <c r="BU75" s="96">
        <v>5.56</v>
      </c>
      <c r="BV75" s="96">
        <v>5.85</v>
      </c>
      <c r="BW75" s="96">
        <v>5.67</v>
      </c>
      <c r="BX75" s="96">
        <v>6</v>
      </c>
      <c r="BY75" s="96">
        <v>4.75</v>
      </c>
      <c r="BZ75" s="96">
        <v>6.19</v>
      </c>
      <c r="CA75" s="96">
        <v>5.7</v>
      </c>
      <c r="CB75" s="96">
        <v>4.99</v>
      </c>
      <c r="CC75" s="96">
        <v>5.67</v>
      </c>
      <c r="CD75" s="96">
        <v>6.41</v>
      </c>
      <c r="CE75" s="96">
        <v>6.63</v>
      </c>
      <c r="CF75" s="96">
        <v>5.43</v>
      </c>
      <c r="CG75" s="96">
        <v>7.26</v>
      </c>
      <c r="CH75" s="96">
        <v>6.75</v>
      </c>
      <c r="CI75" s="96">
        <v>6.19</v>
      </c>
      <c r="CJ75" s="96">
        <v>6.62</v>
      </c>
      <c r="CK75" s="96">
        <v>3.53</v>
      </c>
      <c r="CL75" s="96">
        <v>5.08</v>
      </c>
      <c r="CM75" s="96">
        <v>5.7</v>
      </c>
      <c r="CN75" s="96">
        <v>6.82</v>
      </c>
      <c r="CO75" s="96">
        <v>6.77</v>
      </c>
      <c r="CP75" s="259">
        <f>SUM(Input_Raw[[#This Row],[P-01]:[P-56]])/1000</f>
        <v>297.459</v>
      </c>
      <c r="CQ75" s="260">
        <f>IFERROR(AVERAGEIF(Input_Raw[[#This Row],[WS_P-01]:[WS_P-56]],"&lt;&gt;",Input_Raw[[#This Row],[WS_P-01]:[WS_P-56]]),"")</f>
        <v>5.6863636363636347</v>
      </c>
      <c r="CR75" s="261">
        <f>MAX(Input_Raw[[#This Row],[WS_P-01]:[WS_P-56]])</f>
        <v>7.26</v>
      </c>
      <c r="CS75" s="261"/>
      <c r="CT75" s="262">
        <f>SUM(Input_Raw[[#This Row],[P-08]:[P-13]],Input_Raw[[#This Row],[P-25]:[P-28]])</f>
        <v>43134</v>
      </c>
      <c r="CU75" s="262"/>
      <c r="CV75" s="262">
        <f>SUM(Input_Raw[[#This Row],[P-04]],Input_Raw[[#This Row],[P-14]:[P-17]],Input_Raw[[#This Row],[P-19]:[P-20]],Input_Raw[[#This Row],[P-22]:[P-23]],Input_Raw[[#This Row],[P-34]],Input_Raw[[#This Row],[P-38]],Input_Raw[[#This Row],[P-43]])</f>
        <v>66839</v>
      </c>
      <c r="CW75" s="262"/>
      <c r="CX75" s="262">
        <f>SUM(Input_Raw[[#This Row],[P-05]:[P-06]],Input_Raw[[#This Row],[P-40]:[P-42]],Input_Raw[[#This Row],[P-45]],Input_Raw[[#This Row],[P-46]],Input_Raw[[#This Row],[P-47]:[P-48]])</f>
        <v>81034</v>
      </c>
      <c r="CY75" s="262"/>
      <c r="CZ75" s="262">
        <f>SUM(Input_Raw[[#This Row],[P-01]:[P-03]],Input_Raw[[#This Row],[P-07]],Input_Raw[[#This Row],[P-18]],Input_Raw[[#This Row],[P-31]:[P-32]],Input_Raw[[#This Row],[P-37]],Input_Raw[[#This Row],[P-50]:[P-56]])</f>
        <v>106452</v>
      </c>
      <c r="DA75" s="263"/>
      <c r="DB75" s="264">
        <f>Input_Raw[[#This Row],[33 kV_Wind_F1_Export reading]]/1000</f>
        <v>43.134</v>
      </c>
      <c r="DC75" s="264"/>
      <c r="DD75" s="264">
        <f>Input_Raw[[#This Row],[33 kV_Wind_F2_Export_reading]]/1000</f>
        <v>66.838999999999999</v>
      </c>
      <c r="DE75" s="264"/>
      <c r="DF75" s="264">
        <f>Input_Raw[[#This Row],[33 kV_Wind_F3_Export_Reading]]/1000</f>
        <v>81.034000000000006</v>
      </c>
      <c r="DG75" s="264"/>
      <c r="DH75" s="264">
        <f>Input_Raw[[#This Row],[33 kV_Wind_F4_Export Reading]]/1000</f>
        <v>106.452</v>
      </c>
      <c r="DI75" s="264"/>
      <c r="DJ75" s="264">
        <f>Input_Raw[[#This Row],[33 kV_F1_Total_Export (MWh)]]+Input_Raw[[#This Row],[33 kV_F2_Total_Export (MWh)2]]+Input_Raw[[#This Row],[33 kV_Wind_F3_Export (MWh)]]+Input_Raw[[#This Row],[33 kV_Wind_F4_Export (MWh)]]</f>
        <v>297.459</v>
      </c>
      <c r="DK75" s="264">
        <f>Input_Raw[[#This Row],[33 kV_Wind_F1_Import (MWh)]]+Input_Raw[[#This Row],[33 kV_Wind_F2_Import (MWh)]]+Input_Raw[[#This Row],[33 kV_Wind_F3_Import (MWh)2]]+Input_Raw[[#This Row],[33 kV_Wind_F4_Import (MWh)2]]</f>
        <v>0</v>
      </c>
      <c r="DL75" s="265">
        <f>IFERROR(Input_Raw[[#This Row],[33 kV_Wind_Total_Export (MWh)]]/Input_Raw[[#This Row],[WTG Total Gneration (MWh)]]-1,"")</f>
        <v>0</v>
      </c>
      <c r="DM75" s="266"/>
      <c r="DN75" s="186">
        <v>88</v>
      </c>
      <c r="DO75" s="186">
        <v>58.37</v>
      </c>
      <c r="DP75" s="102">
        <v>290.06</v>
      </c>
      <c r="DQ75" s="266"/>
      <c r="DR75" s="181">
        <v>70.400000000000006</v>
      </c>
    </row>
    <row r="76" spans="1:122" ht="15">
      <c r="A76" s="92">
        <f t="shared" si="74"/>
        <v>45816</v>
      </c>
      <c r="B76" s="190">
        <f>YEAR(Input_Raw[[#This Row],[Date]])+IF(MONTH(Input_Raw[[#This Row],[Date]])&gt;=4,1,0)</f>
        <v>2026</v>
      </c>
      <c r="C76" s="190">
        <f>YEAR(Input_Raw[[#This Row],[Date]])</f>
        <v>2025</v>
      </c>
      <c r="D76" s="11">
        <f t="shared" ref="D76" si="127">A76-DAY(A76)+1</f>
        <v>45809</v>
      </c>
      <c r="E76" s="190">
        <f>DAY(EOMONTH(Input_Raw[[#This Row],[Date]],0))</f>
        <v>30</v>
      </c>
      <c r="F76" s="199">
        <v>16271.999999999998</v>
      </c>
      <c r="G76" s="199">
        <v>16412</v>
      </c>
      <c r="H76" s="199">
        <v>14480</v>
      </c>
      <c r="I76" s="199">
        <v>14668</v>
      </c>
      <c r="J76" s="199">
        <v>15760</v>
      </c>
      <c r="K76" s="199">
        <v>15420</v>
      </c>
      <c r="L76" s="199">
        <v>10990</v>
      </c>
      <c r="M76" s="199">
        <v>6340</v>
      </c>
      <c r="N76" s="199">
        <v>6332</v>
      </c>
      <c r="O76" s="199">
        <v>7096</v>
      </c>
      <c r="P76" s="199">
        <v>7096</v>
      </c>
      <c r="Q76" s="199">
        <v>6940</v>
      </c>
      <c r="R76" s="199">
        <v>6236</v>
      </c>
      <c r="S76" s="199">
        <v>6836</v>
      </c>
      <c r="T76" s="199">
        <v>6140</v>
      </c>
      <c r="U76" s="199">
        <v>7030</v>
      </c>
      <c r="V76" s="199">
        <v>7224</v>
      </c>
      <c r="W76" s="199">
        <v>18304</v>
      </c>
      <c r="X76" s="199">
        <v>7150</v>
      </c>
      <c r="Y76" s="199">
        <v>6097</v>
      </c>
      <c r="Z76" s="199">
        <v>13552</v>
      </c>
      <c r="AA76" s="199">
        <v>14848</v>
      </c>
      <c r="AB76" s="199">
        <v>10376</v>
      </c>
      <c r="AC76" s="199">
        <v>10516</v>
      </c>
      <c r="AD76" s="199">
        <v>10756</v>
      </c>
      <c r="AE76" s="199">
        <v>9288</v>
      </c>
      <c r="AF76" s="199">
        <v>15096</v>
      </c>
      <c r="AG76" s="199">
        <v>7022</v>
      </c>
      <c r="AH76" s="199">
        <v>14028</v>
      </c>
      <c r="AI76" s="199">
        <v>10336</v>
      </c>
      <c r="AJ76" s="199">
        <v>8348</v>
      </c>
      <c r="AK76" s="199">
        <v>10592</v>
      </c>
      <c r="AL76" s="199">
        <v>16544</v>
      </c>
      <c r="AM76" s="199">
        <v>19176</v>
      </c>
      <c r="AN76" s="199">
        <v>10218</v>
      </c>
      <c r="AO76" s="199">
        <v>16776</v>
      </c>
      <c r="AP76" s="199">
        <v>16276</v>
      </c>
      <c r="AQ76" s="199">
        <v>15704</v>
      </c>
      <c r="AR76" s="199">
        <v>16868</v>
      </c>
      <c r="AS76" s="199">
        <v>4310</v>
      </c>
      <c r="AT76" s="199">
        <v>8712</v>
      </c>
      <c r="AU76" s="199">
        <v>10746</v>
      </c>
      <c r="AV76" s="199">
        <v>14836</v>
      </c>
      <c r="AW76" s="199">
        <v>14176</v>
      </c>
      <c r="AX76" s="96">
        <v>7.33</v>
      </c>
      <c r="AY76" s="96">
        <v>7.57</v>
      </c>
      <c r="AZ76" s="96">
        <v>7.34</v>
      </c>
      <c r="BA76" s="96">
        <v>7.5</v>
      </c>
      <c r="BB76" s="96">
        <v>7.61</v>
      </c>
      <c r="BC76" s="96">
        <v>7.93</v>
      </c>
      <c r="BD76" s="96">
        <v>6.6</v>
      </c>
      <c r="BE76" s="96">
        <v>5.64</v>
      </c>
      <c r="BF76" s="96">
        <v>5.97</v>
      </c>
      <c r="BG76" s="96">
        <v>6.42</v>
      </c>
      <c r="BH76" s="96">
        <v>6.09</v>
      </c>
      <c r="BI76" s="96">
        <v>5.9</v>
      </c>
      <c r="BJ76" s="96">
        <v>5.93</v>
      </c>
      <c r="BK76" s="96">
        <v>6.03</v>
      </c>
      <c r="BL76" s="96">
        <v>6.04</v>
      </c>
      <c r="BM76" s="96">
        <v>6.2</v>
      </c>
      <c r="BN76" s="96">
        <v>5.91</v>
      </c>
      <c r="BO76" s="96">
        <v>8.08</v>
      </c>
      <c r="BP76" s="96">
        <v>5.96</v>
      </c>
      <c r="BQ76" s="96">
        <v>5.5</v>
      </c>
      <c r="BR76" s="96">
        <v>7.16</v>
      </c>
      <c r="BS76" s="96">
        <v>7.41</v>
      </c>
      <c r="BT76" s="96">
        <v>6.4</v>
      </c>
      <c r="BU76" s="96">
        <v>6.81</v>
      </c>
      <c r="BV76" s="96">
        <v>7.01</v>
      </c>
      <c r="BW76" s="96">
        <v>6.66</v>
      </c>
      <c r="BX76" s="96">
        <v>7.36</v>
      </c>
      <c r="BY76" s="96">
        <v>5.66</v>
      </c>
      <c r="BZ76" s="96">
        <v>7.4</v>
      </c>
      <c r="CA76" s="96">
        <v>6.61</v>
      </c>
      <c r="CB76" s="96">
        <v>6.11</v>
      </c>
      <c r="CC76" s="96">
        <v>7.07</v>
      </c>
      <c r="CD76" s="96">
        <v>8.24</v>
      </c>
      <c r="CE76" s="96">
        <v>8.07</v>
      </c>
      <c r="CF76" s="96">
        <v>6.31</v>
      </c>
      <c r="CG76" s="96">
        <v>8.57</v>
      </c>
      <c r="CH76" s="96">
        <v>7.97</v>
      </c>
      <c r="CI76" s="96">
        <v>7.4</v>
      </c>
      <c r="CJ76" s="96">
        <v>8.06</v>
      </c>
      <c r="CK76" s="96">
        <v>4.4800000000000004</v>
      </c>
      <c r="CL76" s="96">
        <v>6.02</v>
      </c>
      <c r="CM76" s="96">
        <v>6.56</v>
      </c>
      <c r="CN76" s="96">
        <v>7.62</v>
      </c>
      <c r="CO76" s="96">
        <v>7.47</v>
      </c>
      <c r="CP76" s="259">
        <f>SUM(Input_Raw[[#This Row],[P-01]:[P-56]])/1000</f>
        <v>501.923</v>
      </c>
      <c r="CQ76" s="260">
        <f>IFERROR(AVERAGEIF(Input_Raw[[#This Row],[WS_P-01]:[WS_P-56]],"&lt;&gt;",Input_Raw[[#This Row],[WS_P-01]:[WS_P-56]]),"")</f>
        <v>6.8177272727272742</v>
      </c>
      <c r="CR76" s="261">
        <f>MAX(Input_Raw[[#This Row],[WS_P-01]:[WS_P-56]])</f>
        <v>8.57</v>
      </c>
      <c r="CS76" s="261"/>
      <c r="CT76" s="262">
        <f>SUM(Input_Raw[[#This Row],[P-08]:[P-13]],Input_Raw[[#This Row],[P-25]:[P-28]])</f>
        <v>80976</v>
      </c>
      <c r="CU76" s="262"/>
      <c r="CV76" s="262">
        <f>SUM(Input_Raw[[#This Row],[P-04]],Input_Raw[[#This Row],[P-14]:[P-17]],Input_Raw[[#This Row],[P-19]:[P-20]],Input_Raw[[#This Row],[P-22]:[P-23]],Input_Raw[[#This Row],[P-34]],Input_Raw[[#This Row],[P-38]],Input_Raw[[#This Row],[P-43]])</f>
        <v>116139</v>
      </c>
      <c r="CW76" s="262"/>
      <c r="CX76" s="262">
        <f>SUM(Input_Raw[[#This Row],[P-05]:[P-06]],Input_Raw[[#This Row],[P-40]:[P-42]],Input_Raw[[#This Row],[P-45]],Input_Raw[[#This Row],[P-46]],Input_Raw[[#This Row],[P-47]:[P-48]])</f>
        <v>143116</v>
      </c>
      <c r="CY76" s="262"/>
      <c r="CZ76" s="262">
        <f>SUM(Input_Raw[[#This Row],[P-01]:[P-03]],Input_Raw[[#This Row],[P-07]],Input_Raw[[#This Row],[P-18]],Input_Raw[[#This Row],[P-31]:[P-32]],Input_Raw[[#This Row],[P-37]],Input_Raw[[#This Row],[P-50]:[P-56]])</f>
        <v>161692</v>
      </c>
      <c r="DA76" s="263"/>
      <c r="DB76" s="264">
        <f>Input_Raw[[#This Row],[33 kV_Wind_F1_Export reading]]/1000</f>
        <v>80.975999999999999</v>
      </c>
      <c r="DC76" s="264"/>
      <c r="DD76" s="264">
        <f>Input_Raw[[#This Row],[33 kV_Wind_F2_Export_reading]]/1000</f>
        <v>116.139</v>
      </c>
      <c r="DE76" s="264"/>
      <c r="DF76" s="264">
        <f>Input_Raw[[#This Row],[33 kV_Wind_F3_Export_Reading]]/1000</f>
        <v>143.11600000000001</v>
      </c>
      <c r="DG76" s="264"/>
      <c r="DH76" s="264">
        <f>Input_Raw[[#This Row],[33 kV_Wind_F4_Export Reading]]/1000</f>
        <v>161.69200000000001</v>
      </c>
      <c r="DI76" s="264"/>
      <c r="DJ76" s="264">
        <f>Input_Raw[[#This Row],[33 kV_F1_Total_Export (MWh)]]+Input_Raw[[#This Row],[33 kV_F2_Total_Export (MWh)2]]+Input_Raw[[#This Row],[33 kV_Wind_F3_Export (MWh)]]+Input_Raw[[#This Row],[33 kV_Wind_F4_Export (MWh)]]</f>
        <v>501.923</v>
      </c>
      <c r="DK76" s="264">
        <f>Input_Raw[[#This Row],[33 kV_Wind_F1_Import (MWh)]]+Input_Raw[[#This Row],[33 kV_Wind_F2_Import (MWh)]]+Input_Raw[[#This Row],[33 kV_Wind_F3_Import (MWh)2]]+Input_Raw[[#This Row],[33 kV_Wind_F4_Import (MWh)2]]</f>
        <v>0</v>
      </c>
      <c r="DL76" s="265">
        <f>IFERROR(Input_Raw[[#This Row],[33 kV_Wind_Total_Export (MWh)]]/Input_Raw[[#This Row],[WTG Total Gneration (MWh)]]-1,"")</f>
        <v>0</v>
      </c>
      <c r="DM76" s="266"/>
      <c r="DN76" s="186">
        <v>88</v>
      </c>
      <c r="DO76" s="186">
        <v>1277.8699999999999</v>
      </c>
      <c r="DP76" s="102">
        <v>485.96</v>
      </c>
      <c r="DQ76" s="266"/>
      <c r="DR76" s="181">
        <v>70.400000000000006</v>
      </c>
    </row>
    <row r="77" spans="1:122" ht="15">
      <c r="A77" s="92">
        <f t="shared" si="74"/>
        <v>45817</v>
      </c>
      <c r="B77" s="190">
        <f>YEAR(Input_Raw[[#This Row],[Date]])+IF(MONTH(Input_Raw[[#This Row],[Date]])&gt;=4,1,0)</f>
        <v>2026</v>
      </c>
      <c r="C77" s="190">
        <f>YEAR(Input_Raw[[#This Row],[Date]])</f>
        <v>2025</v>
      </c>
      <c r="D77" s="11">
        <f t="shared" ref="D77" si="128">A77-DAY(A77)+1</f>
        <v>45809</v>
      </c>
      <c r="E77" s="190">
        <f>DAY(EOMONTH(Input_Raw[[#This Row],[Date]],0))</f>
        <v>30</v>
      </c>
      <c r="F77" s="199">
        <v>16940</v>
      </c>
      <c r="G77" s="199">
        <v>18236</v>
      </c>
      <c r="H77" s="199">
        <v>16776</v>
      </c>
      <c r="I77" s="199">
        <v>16532</v>
      </c>
      <c r="J77" s="199">
        <v>20504</v>
      </c>
      <c r="K77" s="199">
        <v>20520</v>
      </c>
      <c r="L77" s="199">
        <v>12128</v>
      </c>
      <c r="M77" s="199">
        <v>8652</v>
      </c>
      <c r="N77" s="199">
        <v>9538</v>
      </c>
      <c r="O77" s="199">
        <v>10458</v>
      </c>
      <c r="P77" s="199">
        <v>10170</v>
      </c>
      <c r="Q77" s="199">
        <v>9840</v>
      </c>
      <c r="R77" s="199">
        <v>8880</v>
      </c>
      <c r="S77" s="199">
        <v>9484</v>
      </c>
      <c r="T77" s="199">
        <v>8716</v>
      </c>
      <c r="U77" s="199">
        <v>9292</v>
      </c>
      <c r="V77" s="199">
        <v>9242</v>
      </c>
      <c r="W77" s="199">
        <v>20004</v>
      </c>
      <c r="X77" s="199">
        <v>9754</v>
      </c>
      <c r="Y77" s="199">
        <v>9209</v>
      </c>
      <c r="Z77" s="199">
        <v>16132.000000000002</v>
      </c>
      <c r="AA77" s="199">
        <v>16792</v>
      </c>
      <c r="AB77" s="199">
        <v>13236</v>
      </c>
      <c r="AC77" s="199">
        <v>13472</v>
      </c>
      <c r="AD77" s="199">
        <v>14468</v>
      </c>
      <c r="AE77" s="199">
        <v>13176</v>
      </c>
      <c r="AF77" s="199">
        <v>17692</v>
      </c>
      <c r="AG77" s="199">
        <v>9324</v>
      </c>
      <c r="AH77" s="199">
        <v>15816</v>
      </c>
      <c r="AI77" s="199">
        <v>12992</v>
      </c>
      <c r="AJ77" s="199">
        <v>11256</v>
      </c>
      <c r="AK77" s="199">
        <v>13448</v>
      </c>
      <c r="AL77" s="199">
        <v>21704</v>
      </c>
      <c r="AM77" s="199">
        <v>23956</v>
      </c>
      <c r="AN77" s="199">
        <v>13724</v>
      </c>
      <c r="AO77" s="199">
        <v>22036</v>
      </c>
      <c r="AP77" s="199">
        <v>21456</v>
      </c>
      <c r="AQ77" s="199">
        <v>20508</v>
      </c>
      <c r="AR77" s="199">
        <v>22340</v>
      </c>
      <c r="AS77" s="199">
        <v>4666</v>
      </c>
      <c r="AT77" s="199">
        <v>10828</v>
      </c>
      <c r="AU77" s="199">
        <v>12460</v>
      </c>
      <c r="AV77" s="199">
        <v>17356</v>
      </c>
      <c r="AW77" s="199">
        <v>17380</v>
      </c>
      <c r="AX77" s="96">
        <v>7.42</v>
      </c>
      <c r="AY77" s="96">
        <v>7.85</v>
      </c>
      <c r="AZ77" s="96">
        <v>7.75</v>
      </c>
      <c r="BA77" s="96">
        <v>7.83</v>
      </c>
      <c r="BB77" s="96">
        <v>8.39</v>
      </c>
      <c r="BC77" s="96">
        <v>8.74</v>
      </c>
      <c r="BD77" s="96">
        <v>6.75</v>
      </c>
      <c r="BE77" s="96">
        <v>6.18</v>
      </c>
      <c r="BF77" s="96">
        <v>6.82</v>
      </c>
      <c r="BG77" s="96">
        <v>7.26</v>
      </c>
      <c r="BH77" s="96">
        <v>6.91</v>
      </c>
      <c r="BI77" s="96">
        <v>6.63</v>
      </c>
      <c r="BJ77" s="96">
        <v>6.62</v>
      </c>
      <c r="BK77" s="96">
        <v>6.63</v>
      </c>
      <c r="BL77" s="96">
        <v>6.69</v>
      </c>
      <c r="BM77" s="96">
        <v>6.71</v>
      </c>
      <c r="BN77" s="96">
        <v>6.37</v>
      </c>
      <c r="BO77" s="96">
        <v>8.34</v>
      </c>
      <c r="BP77" s="96">
        <v>6.56</v>
      </c>
      <c r="BQ77" s="96">
        <v>6.26</v>
      </c>
      <c r="BR77" s="96">
        <v>7.57</v>
      </c>
      <c r="BS77" s="96">
        <v>7.73</v>
      </c>
      <c r="BT77" s="96">
        <v>6.94</v>
      </c>
      <c r="BU77" s="96">
        <v>7.39</v>
      </c>
      <c r="BV77" s="96">
        <v>7.69</v>
      </c>
      <c r="BW77" s="96">
        <v>7.48</v>
      </c>
      <c r="BX77" s="96">
        <v>7.79</v>
      </c>
      <c r="BY77" s="96">
        <v>6.16</v>
      </c>
      <c r="BZ77" s="96">
        <v>7.7</v>
      </c>
      <c r="CA77" s="96">
        <v>7.01</v>
      </c>
      <c r="CB77" s="96">
        <v>6.71</v>
      </c>
      <c r="CC77" s="96">
        <v>7.61</v>
      </c>
      <c r="CD77" s="96">
        <v>9.24</v>
      </c>
      <c r="CE77" s="96">
        <v>8.83</v>
      </c>
      <c r="CF77" s="96">
        <v>6.97</v>
      </c>
      <c r="CG77" s="96">
        <v>9.48</v>
      </c>
      <c r="CH77" s="96">
        <v>8.76</v>
      </c>
      <c r="CI77" s="96">
        <v>8.17</v>
      </c>
      <c r="CJ77" s="96">
        <v>8.8800000000000008</v>
      </c>
      <c r="CK77" s="96">
        <v>4.63</v>
      </c>
      <c r="CL77" s="96">
        <v>6.48</v>
      </c>
      <c r="CM77" s="96">
        <v>6.82</v>
      </c>
      <c r="CN77" s="96">
        <v>8.0399999999999991</v>
      </c>
      <c r="CO77" s="96">
        <v>7.99</v>
      </c>
      <c r="CP77" s="259">
        <f>SUM(Input_Raw[[#This Row],[P-01]:[P-56]])/1000</f>
        <v>631.09299999999996</v>
      </c>
      <c r="CQ77" s="260">
        <f>IFERROR(AVERAGEIF(Input_Raw[[#This Row],[WS_P-01]:[WS_P-56]],"&lt;&gt;",Input_Raw[[#This Row],[WS_P-01]:[WS_P-56]]),"")</f>
        <v>7.3813636363636359</v>
      </c>
      <c r="CR77" s="261">
        <f>MAX(Input_Raw[[#This Row],[WS_P-01]:[WS_P-56]])</f>
        <v>9.48</v>
      </c>
      <c r="CS77" s="261"/>
      <c r="CT77" s="262">
        <f>SUM(Input_Raw[[#This Row],[P-08]:[P-13]],Input_Raw[[#This Row],[P-25]:[P-28]])</f>
        <v>111890</v>
      </c>
      <c r="CU77" s="262"/>
      <c r="CV77" s="262">
        <f>SUM(Input_Raw[[#This Row],[P-04]],Input_Raw[[#This Row],[P-14]:[P-17]],Input_Raw[[#This Row],[P-19]:[P-20]],Input_Raw[[#This Row],[P-22]:[P-23]],Input_Raw[[#This Row],[P-34]],Input_Raw[[#This Row],[P-38]],Input_Raw[[#This Row],[P-43]])</f>
        <v>145949</v>
      </c>
      <c r="CW77" s="262"/>
      <c r="CX77" s="262">
        <f>SUM(Input_Raw[[#This Row],[P-05]:[P-06]],Input_Raw[[#This Row],[P-40]:[P-42]],Input_Raw[[#This Row],[P-45]],Input_Raw[[#This Row],[P-46]],Input_Raw[[#This Row],[P-47]:[P-48]])</f>
        <v>186472</v>
      </c>
      <c r="CY77" s="262"/>
      <c r="CZ77" s="262">
        <f>SUM(Input_Raw[[#This Row],[P-01]:[P-03]],Input_Raw[[#This Row],[P-07]],Input_Raw[[#This Row],[P-18]],Input_Raw[[#This Row],[P-31]:[P-32]],Input_Raw[[#This Row],[P-37]],Input_Raw[[#This Row],[P-50]:[P-56]])</f>
        <v>186782</v>
      </c>
      <c r="DA77" s="263"/>
      <c r="DB77" s="264">
        <f>Input_Raw[[#This Row],[33 kV_Wind_F1_Export reading]]/1000</f>
        <v>111.89</v>
      </c>
      <c r="DC77" s="264"/>
      <c r="DD77" s="264">
        <f>Input_Raw[[#This Row],[33 kV_Wind_F2_Export_reading]]/1000</f>
        <v>145.94900000000001</v>
      </c>
      <c r="DE77" s="264"/>
      <c r="DF77" s="264">
        <f>Input_Raw[[#This Row],[33 kV_Wind_F3_Export_Reading]]/1000</f>
        <v>186.47200000000001</v>
      </c>
      <c r="DG77" s="264"/>
      <c r="DH77" s="264">
        <f>Input_Raw[[#This Row],[33 kV_Wind_F4_Export Reading]]/1000</f>
        <v>186.78200000000001</v>
      </c>
      <c r="DI77" s="264"/>
      <c r="DJ77" s="264">
        <f>Input_Raw[[#This Row],[33 kV_F1_Total_Export (MWh)]]+Input_Raw[[#This Row],[33 kV_F2_Total_Export (MWh)2]]+Input_Raw[[#This Row],[33 kV_Wind_F3_Export (MWh)]]+Input_Raw[[#This Row],[33 kV_Wind_F4_Export (MWh)]]</f>
        <v>631.09300000000007</v>
      </c>
      <c r="DK77" s="264">
        <f>Input_Raw[[#This Row],[33 kV_Wind_F1_Import (MWh)]]+Input_Raw[[#This Row],[33 kV_Wind_F2_Import (MWh)]]+Input_Raw[[#This Row],[33 kV_Wind_F3_Import (MWh)2]]+Input_Raw[[#This Row],[33 kV_Wind_F4_Import (MWh)2]]</f>
        <v>0</v>
      </c>
      <c r="DL77" s="265">
        <f>IFERROR(Input_Raw[[#This Row],[33 kV_Wind_Total_Export (MWh)]]/Input_Raw[[#This Row],[WTG Total Gneration (MWh)]]-1,"")</f>
        <v>2.2204460492503131E-16</v>
      </c>
      <c r="DM77" s="266"/>
      <c r="DN77" s="186">
        <v>88</v>
      </c>
      <c r="DO77" s="186">
        <v>7317.37</v>
      </c>
      <c r="DP77" s="102">
        <v>615.65</v>
      </c>
      <c r="DQ77" s="266"/>
      <c r="DR77" s="181">
        <v>70.400000000000006</v>
      </c>
    </row>
    <row r="78" spans="1:122" ht="15">
      <c r="A78" s="92">
        <f t="shared" si="74"/>
        <v>45818</v>
      </c>
      <c r="B78" s="190">
        <f>YEAR(Input_Raw[[#This Row],[Date]])+IF(MONTH(Input_Raw[[#This Row],[Date]])&gt;=4,1,0)</f>
        <v>2026</v>
      </c>
      <c r="C78" s="190">
        <f>YEAR(Input_Raw[[#This Row],[Date]])</f>
        <v>2025</v>
      </c>
      <c r="D78" s="11">
        <f t="shared" ref="D78" si="129">A78-DAY(A78)+1</f>
        <v>45809</v>
      </c>
      <c r="E78" s="190">
        <f>DAY(EOMONTH(Input_Raw[[#This Row],[Date]],0))</f>
        <v>30</v>
      </c>
      <c r="F78" s="199">
        <v>24196</v>
      </c>
      <c r="G78" s="199">
        <v>25240</v>
      </c>
      <c r="H78" s="199">
        <v>24932</v>
      </c>
      <c r="I78" s="199">
        <v>19492</v>
      </c>
      <c r="J78" s="199">
        <v>22920</v>
      </c>
      <c r="K78" s="199">
        <v>21536</v>
      </c>
      <c r="L78" s="199">
        <v>17028</v>
      </c>
      <c r="M78" s="199">
        <v>9980</v>
      </c>
      <c r="N78" s="199">
        <v>10090</v>
      </c>
      <c r="O78" s="199">
        <v>10840</v>
      </c>
      <c r="P78" s="199">
        <v>10442</v>
      </c>
      <c r="Q78" s="199">
        <v>9888</v>
      </c>
      <c r="R78" s="199">
        <v>8660</v>
      </c>
      <c r="S78" s="199">
        <v>9344</v>
      </c>
      <c r="T78" s="199">
        <v>8536</v>
      </c>
      <c r="U78" s="199">
        <v>8916</v>
      </c>
      <c r="V78" s="199">
        <v>8990</v>
      </c>
      <c r="W78" s="199">
        <v>25260</v>
      </c>
      <c r="X78" s="199">
        <v>9608</v>
      </c>
      <c r="Y78" s="199">
        <v>8518</v>
      </c>
      <c r="Z78" s="199">
        <v>19384</v>
      </c>
      <c r="AA78" s="199">
        <v>20144</v>
      </c>
      <c r="AB78" s="199">
        <v>15308</v>
      </c>
      <c r="AC78" s="199">
        <v>13504</v>
      </c>
      <c r="AD78" s="199">
        <v>15072</v>
      </c>
      <c r="AE78" s="199">
        <v>13060</v>
      </c>
      <c r="AF78" s="199">
        <v>23764</v>
      </c>
      <c r="AG78" s="199">
        <v>14612</v>
      </c>
      <c r="AH78" s="199">
        <v>18956</v>
      </c>
      <c r="AI78" s="199">
        <v>18500</v>
      </c>
      <c r="AJ78" s="199">
        <v>10694</v>
      </c>
      <c r="AK78" s="199">
        <v>14312</v>
      </c>
      <c r="AL78" s="199">
        <v>23096</v>
      </c>
      <c r="AM78" s="199">
        <v>26168</v>
      </c>
      <c r="AN78" s="199">
        <v>14422</v>
      </c>
      <c r="AO78" s="199">
        <v>24492</v>
      </c>
      <c r="AP78" s="199">
        <v>22780</v>
      </c>
      <c r="AQ78" s="199">
        <v>22304</v>
      </c>
      <c r="AR78" s="199">
        <v>24300</v>
      </c>
      <c r="AS78" s="199">
        <v>8910</v>
      </c>
      <c r="AT78" s="199">
        <v>18918</v>
      </c>
      <c r="AU78" s="199">
        <v>20834</v>
      </c>
      <c r="AV78" s="199">
        <v>23140</v>
      </c>
      <c r="AW78" s="199">
        <v>21940</v>
      </c>
      <c r="AX78" s="96">
        <v>8.76</v>
      </c>
      <c r="AY78" s="96">
        <v>9.44</v>
      </c>
      <c r="AZ78" s="96">
        <v>9.3800000000000008</v>
      </c>
      <c r="BA78" s="96">
        <v>8.5500000000000007</v>
      </c>
      <c r="BB78" s="96">
        <v>8.8000000000000007</v>
      </c>
      <c r="BC78" s="96">
        <v>8.9499999999999993</v>
      </c>
      <c r="BD78" s="96">
        <v>7.57</v>
      </c>
      <c r="BE78" s="96">
        <v>6.86</v>
      </c>
      <c r="BF78" s="96">
        <v>7.03</v>
      </c>
      <c r="BG78" s="96">
        <v>7.44</v>
      </c>
      <c r="BH78" s="96">
        <v>7.08</v>
      </c>
      <c r="BI78" s="96">
        <v>6.76</v>
      </c>
      <c r="BJ78" s="96">
        <v>6.66</v>
      </c>
      <c r="BK78" s="96">
        <v>6.67</v>
      </c>
      <c r="BL78" s="96">
        <v>6.75</v>
      </c>
      <c r="BM78" s="96">
        <v>6.7</v>
      </c>
      <c r="BN78" s="96">
        <v>6.46</v>
      </c>
      <c r="BO78" s="96">
        <v>9.32</v>
      </c>
      <c r="BP78" s="96">
        <v>6.7</v>
      </c>
      <c r="BQ78" s="96">
        <v>6.25</v>
      </c>
      <c r="BR78" s="96">
        <v>8.3699999999999992</v>
      </c>
      <c r="BS78" s="96">
        <v>8.73</v>
      </c>
      <c r="BT78" s="96">
        <v>7.58</v>
      </c>
      <c r="BU78" s="96">
        <v>7.93</v>
      </c>
      <c r="BV78" s="96">
        <v>8.1199999999999992</v>
      </c>
      <c r="BW78" s="96">
        <v>7.71</v>
      </c>
      <c r="BX78" s="96">
        <v>9.0299999999999994</v>
      </c>
      <c r="BY78" s="96">
        <v>7.14</v>
      </c>
      <c r="BZ78" s="96">
        <v>8.56</v>
      </c>
      <c r="CA78" s="96">
        <v>7.99</v>
      </c>
      <c r="CB78" s="96">
        <v>6.77</v>
      </c>
      <c r="CC78" s="96">
        <v>7.73</v>
      </c>
      <c r="CD78" s="96">
        <v>9.6</v>
      </c>
      <c r="CE78" s="96">
        <v>9.44</v>
      </c>
      <c r="CF78" s="96">
        <v>7.39</v>
      </c>
      <c r="CG78" s="96">
        <v>10.029999999999999</v>
      </c>
      <c r="CH78" s="96">
        <v>9.1</v>
      </c>
      <c r="CI78" s="96">
        <v>8.5299999999999994</v>
      </c>
      <c r="CJ78" s="96">
        <v>9.31</v>
      </c>
      <c r="CK78" s="96">
        <v>5.53</v>
      </c>
      <c r="CL78" s="96">
        <v>8</v>
      </c>
      <c r="CM78" s="96">
        <v>8.35</v>
      </c>
      <c r="CN78" s="96">
        <v>9.09</v>
      </c>
      <c r="CO78" s="96">
        <v>8.8000000000000007</v>
      </c>
      <c r="CP78" s="259">
        <f>SUM(Input_Raw[[#This Row],[P-01]:[P-56]])/1000</f>
        <v>743.03</v>
      </c>
      <c r="CQ78" s="260">
        <f>IFERROR(AVERAGEIF(Input_Raw[[#This Row],[WS_P-01]:[WS_P-56]],"&lt;&gt;",Input_Raw[[#This Row],[WS_P-01]:[WS_P-56]]),"")</f>
        <v>7.9763636363636357</v>
      </c>
      <c r="CR78" s="261">
        <f>MAX(Input_Raw[[#This Row],[WS_P-01]:[WS_P-56]])</f>
        <v>10.029999999999999</v>
      </c>
      <c r="CS78" s="261"/>
      <c r="CT78" s="262">
        <f>SUM(Input_Raw[[#This Row],[P-08]:[P-13]],Input_Raw[[#This Row],[P-25]:[P-28]])</f>
        <v>116844</v>
      </c>
      <c r="CU78" s="262"/>
      <c r="CV78" s="262">
        <f>SUM(Input_Raw[[#This Row],[P-04]],Input_Raw[[#This Row],[P-14]:[P-17]],Input_Raw[[#This Row],[P-19]:[P-20]],Input_Raw[[#This Row],[P-22]:[P-23]],Input_Raw[[#This Row],[P-34]],Input_Raw[[#This Row],[P-38]],Input_Raw[[#This Row],[P-43]])</f>
        <v>157004</v>
      </c>
      <c r="CW78" s="262"/>
      <c r="CX78" s="262">
        <f>SUM(Input_Raw[[#This Row],[P-05]:[P-06]],Input_Raw[[#This Row],[P-40]:[P-42]],Input_Raw[[#This Row],[P-45]],Input_Raw[[#This Row],[P-46]],Input_Raw[[#This Row],[P-47]:[P-48]])</f>
        <v>201908</v>
      </c>
      <c r="CY78" s="262"/>
      <c r="CZ78" s="262">
        <f>SUM(Input_Raw[[#This Row],[P-01]:[P-03]],Input_Raw[[#This Row],[P-07]],Input_Raw[[#This Row],[P-18]],Input_Raw[[#This Row],[P-31]:[P-32]],Input_Raw[[#This Row],[P-37]],Input_Raw[[#This Row],[P-50]:[P-56]])</f>
        <v>267274</v>
      </c>
      <c r="DA78" s="263"/>
      <c r="DB78" s="264">
        <f>Input_Raw[[#This Row],[33 kV_Wind_F1_Export reading]]/1000</f>
        <v>116.84399999999999</v>
      </c>
      <c r="DC78" s="264"/>
      <c r="DD78" s="264">
        <f>Input_Raw[[#This Row],[33 kV_Wind_F2_Export_reading]]/1000</f>
        <v>157.00399999999999</v>
      </c>
      <c r="DE78" s="264"/>
      <c r="DF78" s="264">
        <f>Input_Raw[[#This Row],[33 kV_Wind_F3_Export_Reading]]/1000</f>
        <v>201.90799999999999</v>
      </c>
      <c r="DG78" s="264"/>
      <c r="DH78" s="264">
        <f>Input_Raw[[#This Row],[33 kV_Wind_F4_Export Reading]]/1000</f>
        <v>267.274</v>
      </c>
      <c r="DI78" s="264"/>
      <c r="DJ78" s="264">
        <f>Input_Raw[[#This Row],[33 kV_F1_Total_Export (MWh)]]+Input_Raw[[#This Row],[33 kV_F2_Total_Export (MWh)2]]+Input_Raw[[#This Row],[33 kV_Wind_F3_Export (MWh)]]+Input_Raw[[#This Row],[33 kV_Wind_F4_Export (MWh)]]</f>
        <v>743.03</v>
      </c>
      <c r="DK78" s="264">
        <f>Input_Raw[[#This Row],[33 kV_Wind_F1_Import (MWh)]]+Input_Raw[[#This Row],[33 kV_Wind_F2_Import (MWh)]]+Input_Raw[[#This Row],[33 kV_Wind_F3_Import (MWh)2]]+Input_Raw[[#This Row],[33 kV_Wind_F4_Import (MWh)2]]</f>
        <v>0</v>
      </c>
      <c r="DL78" s="265">
        <f>IFERROR(Input_Raw[[#This Row],[33 kV_Wind_Total_Export (MWh)]]/Input_Raw[[#This Row],[WTG Total Gneration (MWh)]]-1,"")</f>
        <v>0</v>
      </c>
      <c r="DM78" s="266"/>
      <c r="DN78" s="186">
        <v>46</v>
      </c>
      <c r="DO78" s="186">
        <v>30691.5</v>
      </c>
      <c r="DP78" s="102">
        <v>754.1</v>
      </c>
      <c r="DQ78" s="266"/>
      <c r="DR78" s="181">
        <v>70.400000000000006</v>
      </c>
    </row>
    <row r="79" spans="1:122" ht="15">
      <c r="A79" s="92">
        <f t="shared" si="74"/>
        <v>45819</v>
      </c>
      <c r="B79" s="190">
        <f>YEAR(Input_Raw[[#This Row],[Date]])+IF(MONTH(Input_Raw[[#This Row],[Date]])&gt;=4,1,0)</f>
        <v>2026</v>
      </c>
      <c r="C79" s="190">
        <f>YEAR(Input_Raw[[#This Row],[Date]])</f>
        <v>2025</v>
      </c>
      <c r="D79" s="11">
        <f t="shared" ref="D79" si="130">A79-DAY(A79)+1</f>
        <v>45809</v>
      </c>
      <c r="E79" s="190">
        <f>DAY(EOMONTH(Input_Raw[[#This Row],[Date]],0))</f>
        <v>30</v>
      </c>
      <c r="F79" s="199">
        <v>26848</v>
      </c>
      <c r="G79" s="199">
        <v>29624</v>
      </c>
      <c r="H79" s="199">
        <v>29888</v>
      </c>
      <c r="I79" s="199">
        <v>22960</v>
      </c>
      <c r="J79" s="199">
        <v>22984</v>
      </c>
      <c r="K79" s="199">
        <v>22604</v>
      </c>
      <c r="L79" s="199">
        <v>19756</v>
      </c>
      <c r="M79" s="199">
        <v>13976</v>
      </c>
      <c r="N79" s="199">
        <v>12856</v>
      </c>
      <c r="O79" s="199">
        <v>13350</v>
      </c>
      <c r="P79" s="199">
        <v>13108</v>
      </c>
      <c r="Q79" s="199">
        <v>12576</v>
      </c>
      <c r="R79" s="199">
        <v>12416</v>
      </c>
      <c r="S79" s="199">
        <v>12842</v>
      </c>
      <c r="T79" s="199">
        <v>12008</v>
      </c>
      <c r="U79" s="199">
        <v>12492</v>
      </c>
      <c r="V79" s="199">
        <v>11744</v>
      </c>
      <c r="W79" s="199">
        <v>27292</v>
      </c>
      <c r="X79" s="199">
        <v>13188</v>
      </c>
      <c r="Y79" s="199">
        <v>12000</v>
      </c>
      <c r="Z79" s="199">
        <v>22824</v>
      </c>
      <c r="AA79" s="199">
        <v>25256</v>
      </c>
      <c r="AB79" s="199">
        <v>17560</v>
      </c>
      <c r="AC79" s="199">
        <v>18140</v>
      </c>
      <c r="AD79" s="199">
        <v>19120</v>
      </c>
      <c r="AE79" s="199">
        <v>18040</v>
      </c>
      <c r="AF79" s="199">
        <v>29972</v>
      </c>
      <c r="AG79" s="199">
        <v>17014</v>
      </c>
      <c r="AH79" s="199">
        <v>18836</v>
      </c>
      <c r="AI79" s="199">
        <v>21024</v>
      </c>
      <c r="AJ79" s="199">
        <v>14360</v>
      </c>
      <c r="AK79" s="199">
        <v>16360</v>
      </c>
      <c r="AL79" s="199">
        <v>23972</v>
      </c>
      <c r="AM79" s="199">
        <v>27140</v>
      </c>
      <c r="AN79" s="199">
        <v>20686</v>
      </c>
      <c r="AO79" s="199">
        <v>25664</v>
      </c>
      <c r="AP79" s="199">
        <v>24512</v>
      </c>
      <c r="AQ79" s="199">
        <v>23912</v>
      </c>
      <c r="AR79" s="199">
        <v>25080</v>
      </c>
      <c r="AS79" s="199">
        <v>10968</v>
      </c>
      <c r="AT79" s="199">
        <v>23360</v>
      </c>
      <c r="AU79" s="199">
        <v>24166</v>
      </c>
      <c r="AV79" s="199">
        <v>23932</v>
      </c>
      <c r="AW79" s="199">
        <v>23244</v>
      </c>
      <c r="AX79" s="96">
        <v>9.26</v>
      </c>
      <c r="AY79" s="96">
        <v>10.48</v>
      </c>
      <c r="AZ79" s="96">
        <v>10.56</v>
      </c>
      <c r="BA79" s="96">
        <v>8.91</v>
      </c>
      <c r="BB79" s="96">
        <v>8.75</v>
      </c>
      <c r="BC79" s="96">
        <v>9.1</v>
      </c>
      <c r="BD79" s="96">
        <v>8.0399999999999991</v>
      </c>
      <c r="BE79" s="96">
        <v>7.36</v>
      </c>
      <c r="BF79" s="96">
        <v>7.46</v>
      </c>
      <c r="BG79" s="96">
        <v>7.78</v>
      </c>
      <c r="BH79" s="96">
        <v>7.49</v>
      </c>
      <c r="BI79" s="96">
        <v>7.17</v>
      </c>
      <c r="BJ79" s="96">
        <v>7.28</v>
      </c>
      <c r="BK79" s="96">
        <v>7.31</v>
      </c>
      <c r="BL79" s="96">
        <v>7.43</v>
      </c>
      <c r="BM79" s="96">
        <v>7.42</v>
      </c>
      <c r="BN79" s="96">
        <v>6.87</v>
      </c>
      <c r="BO79" s="96">
        <v>9.8000000000000007</v>
      </c>
      <c r="BP79" s="96">
        <v>7.27</v>
      </c>
      <c r="BQ79" s="96">
        <v>6.85</v>
      </c>
      <c r="BR79" s="96">
        <v>8.59</v>
      </c>
      <c r="BS79" s="96">
        <v>9.24</v>
      </c>
      <c r="BT79" s="96">
        <v>7.58</v>
      </c>
      <c r="BU79" s="96">
        <v>8.27</v>
      </c>
      <c r="BV79" s="96">
        <v>8.49</v>
      </c>
      <c r="BW79" s="96">
        <v>8.35</v>
      </c>
      <c r="BX79" s="96">
        <v>10.32</v>
      </c>
      <c r="BY79" s="96">
        <v>7.67</v>
      </c>
      <c r="BZ79" s="96">
        <v>8.75</v>
      </c>
      <c r="CA79" s="96">
        <v>8.49</v>
      </c>
      <c r="CB79" s="96">
        <v>7.35</v>
      </c>
      <c r="CC79" s="96">
        <v>8.2100000000000009</v>
      </c>
      <c r="CD79" s="96">
        <v>9.68</v>
      </c>
      <c r="CE79" s="96">
        <v>9.4499999999999993</v>
      </c>
      <c r="CF79" s="96">
        <v>8.2100000000000009</v>
      </c>
      <c r="CG79" s="96">
        <v>10.19</v>
      </c>
      <c r="CH79" s="96">
        <v>9.3000000000000007</v>
      </c>
      <c r="CI79" s="96">
        <v>8.76</v>
      </c>
      <c r="CJ79" s="96">
        <v>9.3800000000000008</v>
      </c>
      <c r="CK79" s="96">
        <v>6.03</v>
      </c>
      <c r="CL79" s="96">
        <v>8.92</v>
      </c>
      <c r="CM79" s="96">
        <v>9</v>
      </c>
      <c r="CN79" s="96">
        <v>9.26</v>
      </c>
      <c r="CO79" s="96">
        <v>9.1</v>
      </c>
      <c r="CP79" s="259">
        <f>SUM(Input_Raw[[#This Row],[P-01]:[P-56]])/1000</f>
        <v>869.654</v>
      </c>
      <c r="CQ79" s="260">
        <f>IFERROR(AVERAGEIF(Input_Raw[[#This Row],[WS_P-01]:[WS_P-56]],"&lt;&gt;",Input_Raw[[#This Row],[WS_P-01]:[WS_P-56]]),"")</f>
        <v>8.4359090909090906</v>
      </c>
      <c r="CR79" s="261">
        <f>MAX(Input_Raw[[#This Row],[WS_P-01]:[WS_P-56]])</f>
        <v>10.56</v>
      </c>
      <c r="CS79" s="261"/>
      <c r="CT79" s="262">
        <f>SUM(Input_Raw[[#This Row],[P-08]:[P-13]],Input_Raw[[#This Row],[P-25]:[P-28]])</f>
        <v>151142</v>
      </c>
      <c r="CU79" s="262"/>
      <c r="CV79" s="262">
        <f>SUM(Input_Raw[[#This Row],[P-04]],Input_Raw[[#This Row],[P-14]:[P-17]],Input_Raw[[#This Row],[P-19]:[P-20]],Input_Raw[[#This Row],[P-22]:[P-23]],Input_Raw[[#This Row],[P-34]],Input_Raw[[#This Row],[P-38]],Input_Raw[[#This Row],[P-43]])</f>
        <v>199196</v>
      </c>
      <c r="CW79" s="262"/>
      <c r="CX79" s="262">
        <f>SUM(Input_Raw[[#This Row],[P-05]:[P-06]],Input_Raw[[#This Row],[P-40]:[P-42]],Input_Raw[[#This Row],[P-45]],Input_Raw[[#This Row],[P-46]],Input_Raw[[#This Row],[P-47]:[P-48]])</f>
        <v>212228</v>
      </c>
      <c r="CY79" s="262"/>
      <c r="CZ79" s="262">
        <f>SUM(Input_Raw[[#This Row],[P-01]:[P-03]],Input_Raw[[#This Row],[P-07]],Input_Raw[[#This Row],[P-18]],Input_Raw[[#This Row],[P-31]:[P-32]],Input_Raw[[#This Row],[P-37]],Input_Raw[[#This Row],[P-50]:[P-56]])</f>
        <v>307088</v>
      </c>
      <c r="DA79" s="263"/>
      <c r="DB79" s="264">
        <f>Input_Raw[[#This Row],[33 kV_Wind_F1_Export reading]]/1000</f>
        <v>151.142</v>
      </c>
      <c r="DC79" s="264"/>
      <c r="DD79" s="264">
        <f>Input_Raw[[#This Row],[33 kV_Wind_F2_Export_reading]]/1000</f>
        <v>199.196</v>
      </c>
      <c r="DE79" s="264"/>
      <c r="DF79" s="264">
        <f>Input_Raw[[#This Row],[33 kV_Wind_F3_Export_Reading]]/1000</f>
        <v>212.22800000000001</v>
      </c>
      <c r="DG79" s="264"/>
      <c r="DH79" s="264">
        <f>Input_Raw[[#This Row],[33 kV_Wind_F4_Export Reading]]/1000</f>
        <v>307.08800000000002</v>
      </c>
      <c r="DI79" s="264"/>
      <c r="DJ79" s="264">
        <f>Input_Raw[[#This Row],[33 kV_F1_Total_Export (MWh)]]+Input_Raw[[#This Row],[33 kV_F2_Total_Export (MWh)2]]+Input_Raw[[#This Row],[33 kV_Wind_F3_Export (MWh)]]+Input_Raw[[#This Row],[33 kV_Wind_F4_Export (MWh)]]</f>
        <v>869.654</v>
      </c>
      <c r="DK79" s="264">
        <f>Input_Raw[[#This Row],[33 kV_Wind_F1_Import (MWh)]]+Input_Raw[[#This Row],[33 kV_Wind_F2_Import (MWh)]]+Input_Raw[[#This Row],[33 kV_Wind_F3_Import (MWh)2]]+Input_Raw[[#This Row],[33 kV_Wind_F4_Import (MWh)2]]</f>
        <v>0</v>
      </c>
      <c r="DL79" s="265">
        <f>IFERROR(Input_Raw[[#This Row],[33 kV_Wind_Total_Export (MWh)]]/Input_Raw[[#This Row],[WTG Total Gneration (MWh)]]-1,"")</f>
        <v>0</v>
      </c>
      <c r="DM79" s="266"/>
      <c r="DN79" s="186">
        <v>46</v>
      </c>
      <c r="DO79" s="186">
        <v>13380.75</v>
      </c>
      <c r="DP79" s="102">
        <v>869.19</v>
      </c>
      <c r="DQ79" s="266"/>
      <c r="DR79" s="181">
        <v>70.400000000000006</v>
      </c>
    </row>
    <row r="80" spans="1:122" ht="15">
      <c r="A80" s="92">
        <f t="shared" si="74"/>
        <v>45820</v>
      </c>
      <c r="B80" s="190">
        <f>YEAR(Input_Raw[[#This Row],[Date]])+IF(MONTH(Input_Raw[[#This Row],[Date]])&gt;=4,1,0)</f>
        <v>2026</v>
      </c>
      <c r="C80" s="190">
        <f>YEAR(Input_Raw[[#This Row],[Date]])</f>
        <v>2025</v>
      </c>
      <c r="D80" s="11">
        <f t="shared" ref="D80" si="131">A80-DAY(A80)+1</f>
        <v>45809</v>
      </c>
      <c r="E80" s="190">
        <f>DAY(EOMONTH(Input_Raw[[#This Row],[Date]],0))</f>
        <v>30</v>
      </c>
      <c r="F80" s="199">
        <v>22828</v>
      </c>
      <c r="G80" s="199">
        <v>27164</v>
      </c>
      <c r="H80" s="199">
        <v>27808</v>
      </c>
      <c r="I80" s="199">
        <v>14710</v>
      </c>
      <c r="J80" s="199">
        <v>15188</v>
      </c>
      <c r="K80" s="199">
        <v>15524</v>
      </c>
      <c r="L80" s="199">
        <v>15484</v>
      </c>
      <c r="M80" s="199">
        <v>10594</v>
      </c>
      <c r="N80" s="199">
        <v>9624</v>
      </c>
      <c r="O80" s="199">
        <v>9644</v>
      </c>
      <c r="P80" s="199">
        <v>8592</v>
      </c>
      <c r="Q80" s="199">
        <v>7896</v>
      </c>
      <c r="R80" s="199">
        <v>7740</v>
      </c>
      <c r="S80" s="199">
        <v>8038</v>
      </c>
      <c r="T80" s="199">
        <v>7424</v>
      </c>
      <c r="U80" s="199">
        <v>7284</v>
      </c>
      <c r="V80" s="199">
        <v>8218</v>
      </c>
      <c r="W80" s="199">
        <v>22240</v>
      </c>
      <c r="X80" s="199">
        <v>8612</v>
      </c>
      <c r="Y80" s="199">
        <v>7553</v>
      </c>
      <c r="Z80" s="199">
        <v>15504</v>
      </c>
      <c r="AA80" s="199">
        <v>18048</v>
      </c>
      <c r="AB80" s="199">
        <v>12244</v>
      </c>
      <c r="AC80" s="199">
        <v>12116</v>
      </c>
      <c r="AD80" s="199">
        <v>12872</v>
      </c>
      <c r="AE80" s="199">
        <v>12256</v>
      </c>
      <c r="AF80" s="199">
        <v>27744</v>
      </c>
      <c r="AG80" s="199">
        <v>10994</v>
      </c>
      <c r="AH80" s="199">
        <v>16283.999999999998</v>
      </c>
      <c r="AI80" s="199">
        <v>14372</v>
      </c>
      <c r="AJ80" s="199">
        <v>9026</v>
      </c>
      <c r="AK80" s="199">
        <v>10860</v>
      </c>
      <c r="AL80" s="199">
        <v>15924</v>
      </c>
      <c r="AM80" s="199">
        <v>20804</v>
      </c>
      <c r="AN80" s="199">
        <v>13654</v>
      </c>
      <c r="AO80" s="199">
        <v>20720</v>
      </c>
      <c r="AP80" s="199">
        <v>19632</v>
      </c>
      <c r="AQ80" s="199">
        <v>17676</v>
      </c>
      <c r="AR80" s="199">
        <v>18500</v>
      </c>
      <c r="AS80" s="199">
        <v>8602</v>
      </c>
      <c r="AT80" s="199">
        <v>18210</v>
      </c>
      <c r="AU80" s="199">
        <v>19786</v>
      </c>
      <c r="AV80" s="199">
        <v>19344</v>
      </c>
      <c r="AW80" s="199">
        <v>18436</v>
      </c>
      <c r="AX80" s="96">
        <v>8.3699999999999992</v>
      </c>
      <c r="AY80" s="96">
        <v>9.7100000000000009</v>
      </c>
      <c r="AZ80" s="96">
        <v>9.94</v>
      </c>
      <c r="BA80" s="96">
        <v>7.23</v>
      </c>
      <c r="BB80" s="96">
        <v>7.31</v>
      </c>
      <c r="BC80" s="96">
        <v>7.82</v>
      </c>
      <c r="BD80" s="96">
        <v>7.4</v>
      </c>
      <c r="BE80" s="96">
        <v>6.56</v>
      </c>
      <c r="BF80" s="96">
        <v>6.55</v>
      </c>
      <c r="BG80" s="96">
        <v>6.84</v>
      </c>
      <c r="BH80" s="96">
        <v>6.26</v>
      </c>
      <c r="BI80" s="96">
        <v>6.04</v>
      </c>
      <c r="BJ80" s="96">
        <v>6.12</v>
      </c>
      <c r="BK80" s="96">
        <v>6.17</v>
      </c>
      <c r="BL80" s="96">
        <v>6.26</v>
      </c>
      <c r="BM80" s="96">
        <v>6.12</v>
      </c>
      <c r="BN80" s="96">
        <v>6.06</v>
      </c>
      <c r="BO80" s="96">
        <v>8.69</v>
      </c>
      <c r="BP80" s="96">
        <v>6.2</v>
      </c>
      <c r="BQ80" s="96">
        <v>5.84</v>
      </c>
      <c r="BR80" s="96">
        <v>7.29</v>
      </c>
      <c r="BS80" s="96">
        <v>7.87</v>
      </c>
      <c r="BT80" s="96">
        <v>6.55</v>
      </c>
      <c r="BU80" s="96">
        <v>6.96</v>
      </c>
      <c r="BV80" s="96">
        <v>7.22</v>
      </c>
      <c r="BW80" s="96">
        <v>7.12</v>
      </c>
      <c r="BX80" s="96">
        <v>9.7200000000000006</v>
      </c>
      <c r="BY80" s="96">
        <v>6.48</v>
      </c>
      <c r="BZ80" s="96">
        <v>7.57</v>
      </c>
      <c r="CA80" s="96">
        <v>7.27</v>
      </c>
      <c r="CB80" s="96">
        <v>6.18</v>
      </c>
      <c r="CC80" s="96">
        <v>7.07</v>
      </c>
      <c r="CD80" s="96">
        <v>7.98</v>
      </c>
      <c r="CE80" s="96">
        <v>8.2100000000000009</v>
      </c>
      <c r="CF80" s="96">
        <v>6.91</v>
      </c>
      <c r="CG80" s="96">
        <v>9.34</v>
      </c>
      <c r="CH80" s="96">
        <v>8.5</v>
      </c>
      <c r="CI80" s="96">
        <v>7.67</v>
      </c>
      <c r="CJ80" s="96">
        <v>8.15</v>
      </c>
      <c r="CK80" s="96">
        <v>5.45</v>
      </c>
      <c r="CL80" s="96">
        <v>7.92</v>
      </c>
      <c r="CM80" s="96">
        <v>8.15</v>
      </c>
      <c r="CN80" s="96">
        <v>8.35</v>
      </c>
      <c r="CO80" s="96">
        <v>8.18</v>
      </c>
      <c r="CP80" s="259">
        <f>SUM(Input_Raw[[#This Row],[P-01]:[P-56]])/1000</f>
        <v>645.77300000000002</v>
      </c>
      <c r="CQ80" s="260">
        <f>IFERROR(AVERAGEIF(Input_Raw[[#This Row],[WS_P-01]:[WS_P-56]],"&lt;&gt;",Input_Raw[[#This Row],[WS_P-01]:[WS_P-56]]),"")</f>
        <v>7.3545454545454554</v>
      </c>
      <c r="CR80" s="261">
        <f>MAX(Input_Raw[[#This Row],[WS_P-01]:[WS_P-56]])</f>
        <v>9.94</v>
      </c>
      <c r="CS80" s="261"/>
      <c r="CT80" s="262">
        <f>SUM(Input_Raw[[#This Row],[P-08]:[P-13]],Input_Raw[[#This Row],[P-25]:[P-28]])</f>
        <v>103578</v>
      </c>
      <c r="CU80" s="262"/>
      <c r="CV80" s="262">
        <f>SUM(Input_Raw[[#This Row],[P-04]],Input_Raw[[#This Row],[P-14]:[P-17]],Input_Raw[[#This Row],[P-19]:[P-20]],Input_Raw[[#This Row],[P-22]:[P-23]],Input_Raw[[#This Row],[P-34]],Input_Raw[[#This Row],[P-38]],Input_Raw[[#This Row],[P-43]])</f>
        <v>134355</v>
      </c>
      <c r="CW80" s="262"/>
      <c r="CX80" s="262">
        <f>SUM(Input_Raw[[#This Row],[P-05]:[P-06]],Input_Raw[[#This Row],[P-40]:[P-42]],Input_Raw[[#This Row],[P-45]],Input_Raw[[#This Row],[P-46]],Input_Raw[[#This Row],[P-47]:[P-48]])</f>
        <v>154828</v>
      </c>
      <c r="CY80" s="262"/>
      <c r="CZ80" s="262">
        <f>SUM(Input_Raw[[#This Row],[P-01]:[P-03]],Input_Raw[[#This Row],[P-07]],Input_Raw[[#This Row],[P-18]],Input_Raw[[#This Row],[P-31]:[P-32]],Input_Raw[[#This Row],[P-37]],Input_Raw[[#This Row],[P-50]:[P-56]])</f>
        <v>253012</v>
      </c>
      <c r="DA80" s="263"/>
      <c r="DB80" s="264">
        <f>Input_Raw[[#This Row],[33 kV_Wind_F1_Export reading]]/1000</f>
        <v>103.578</v>
      </c>
      <c r="DC80" s="264"/>
      <c r="DD80" s="264">
        <f>Input_Raw[[#This Row],[33 kV_Wind_F2_Export_reading]]/1000</f>
        <v>134.35499999999999</v>
      </c>
      <c r="DE80" s="264"/>
      <c r="DF80" s="264">
        <f>Input_Raw[[#This Row],[33 kV_Wind_F3_Export_Reading]]/1000</f>
        <v>154.828</v>
      </c>
      <c r="DG80" s="264"/>
      <c r="DH80" s="264">
        <f>Input_Raw[[#This Row],[33 kV_Wind_F4_Export Reading]]/1000</f>
        <v>253.012</v>
      </c>
      <c r="DI80" s="264"/>
      <c r="DJ80" s="264">
        <f>Input_Raw[[#This Row],[33 kV_F1_Total_Export (MWh)]]+Input_Raw[[#This Row],[33 kV_F2_Total_Export (MWh)2]]+Input_Raw[[#This Row],[33 kV_Wind_F3_Export (MWh)]]+Input_Raw[[#This Row],[33 kV_Wind_F4_Export (MWh)]]</f>
        <v>645.77299999999991</v>
      </c>
      <c r="DK80" s="264">
        <f>Input_Raw[[#This Row],[33 kV_Wind_F1_Import (MWh)]]+Input_Raw[[#This Row],[33 kV_Wind_F2_Import (MWh)]]+Input_Raw[[#This Row],[33 kV_Wind_F3_Import (MWh)2]]+Input_Raw[[#This Row],[33 kV_Wind_F4_Import (MWh)2]]</f>
        <v>0</v>
      </c>
      <c r="DL80" s="265">
        <f>IFERROR(Input_Raw[[#This Row],[33 kV_Wind_Total_Export (MWh)]]/Input_Raw[[#This Row],[WTG Total Gneration (MWh)]]-1,"")</f>
        <v>-2.2204460492503131E-16</v>
      </c>
      <c r="DM80" s="266"/>
      <c r="DN80" s="186">
        <v>93</v>
      </c>
      <c r="DO80" s="186">
        <v>28400.5</v>
      </c>
      <c r="DP80" s="102">
        <v>630.85</v>
      </c>
      <c r="DQ80" s="266"/>
      <c r="DR80" s="181">
        <v>70.400000000000006</v>
      </c>
    </row>
    <row r="81" spans="1:122" ht="15">
      <c r="A81" s="92">
        <f t="shared" si="74"/>
        <v>45821</v>
      </c>
      <c r="B81" s="190">
        <f>YEAR(Input_Raw[[#This Row],[Date]])+IF(MONTH(Input_Raw[[#This Row],[Date]])&gt;=4,1,0)</f>
        <v>2026</v>
      </c>
      <c r="C81" s="190">
        <f>YEAR(Input_Raw[[#This Row],[Date]])</f>
        <v>2025</v>
      </c>
      <c r="D81" s="11">
        <f t="shared" ref="D81" si="132">A81-DAY(A81)+1</f>
        <v>45809</v>
      </c>
      <c r="E81" s="190">
        <f>DAY(EOMONTH(Input_Raw[[#This Row],[Date]],0))</f>
        <v>30</v>
      </c>
      <c r="F81" s="199">
        <v>648</v>
      </c>
      <c r="G81" s="199">
        <v>704</v>
      </c>
      <c r="H81" s="199">
        <v>756</v>
      </c>
      <c r="I81" s="199">
        <v>498</v>
      </c>
      <c r="J81" s="199">
        <v>276</v>
      </c>
      <c r="K81" s="199">
        <v>280</v>
      </c>
      <c r="L81" s="199">
        <v>618</v>
      </c>
      <c r="M81" s="199">
        <v>302</v>
      </c>
      <c r="N81" s="199">
        <v>200</v>
      </c>
      <c r="O81" s="199">
        <v>172</v>
      </c>
      <c r="P81" s="199">
        <v>280</v>
      </c>
      <c r="Q81" s="199">
        <v>256</v>
      </c>
      <c r="R81" s="199">
        <v>268</v>
      </c>
      <c r="S81" s="199">
        <v>280</v>
      </c>
      <c r="T81" s="199">
        <v>44</v>
      </c>
      <c r="U81" s="199">
        <v>170</v>
      </c>
      <c r="V81" s="199">
        <v>122</v>
      </c>
      <c r="W81" s="199">
        <v>560</v>
      </c>
      <c r="X81" s="199">
        <v>236</v>
      </c>
      <c r="Y81" s="199">
        <v>256</v>
      </c>
      <c r="Z81" s="199">
        <v>752</v>
      </c>
      <c r="AA81" s="199">
        <v>424</v>
      </c>
      <c r="AB81" s="199">
        <v>424</v>
      </c>
      <c r="AC81" s="199">
        <v>348</v>
      </c>
      <c r="AD81" s="199">
        <v>388</v>
      </c>
      <c r="AE81" s="199">
        <v>424</v>
      </c>
      <c r="AF81" s="199">
        <v>606</v>
      </c>
      <c r="AG81" s="199">
        <v>304</v>
      </c>
      <c r="AH81" s="199">
        <v>236</v>
      </c>
      <c r="AI81" s="199">
        <v>686</v>
      </c>
      <c r="AJ81" s="199">
        <v>284</v>
      </c>
      <c r="AK81" s="199">
        <v>156</v>
      </c>
      <c r="AL81" s="199">
        <v>180</v>
      </c>
      <c r="AM81" s="199">
        <v>400</v>
      </c>
      <c r="AN81" s="199">
        <v>458</v>
      </c>
      <c r="AO81" s="199">
        <v>968</v>
      </c>
      <c r="AP81" s="199">
        <v>512</v>
      </c>
      <c r="AQ81" s="199">
        <v>376</v>
      </c>
      <c r="AR81" s="199">
        <v>444</v>
      </c>
      <c r="AS81" s="199">
        <v>350</v>
      </c>
      <c r="AT81" s="199">
        <v>430</v>
      </c>
      <c r="AU81" s="199">
        <v>672</v>
      </c>
      <c r="AV81" s="199">
        <v>936</v>
      </c>
      <c r="AW81" s="199">
        <v>584</v>
      </c>
      <c r="AX81" s="96">
        <v>2.35</v>
      </c>
      <c r="AY81" s="96">
        <v>2.97</v>
      </c>
      <c r="AZ81" s="96">
        <v>2.7</v>
      </c>
      <c r="BA81" s="96">
        <v>2.4500000000000002</v>
      </c>
      <c r="BB81" s="96">
        <v>2.2599999999999998</v>
      </c>
      <c r="BC81" s="96">
        <v>2.4900000000000002</v>
      </c>
      <c r="BD81" s="96">
        <v>2.71</v>
      </c>
      <c r="BE81" s="96">
        <v>2.23</v>
      </c>
      <c r="BF81" s="96">
        <v>2.2000000000000002</v>
      </c>
      <c r="BG81" s="96">
        <v>2.42</v>
      </c>
      <c r="BH81" s="96">
        <v>2.42</v>
      </c>
      <c r="BI81" s="96">
        <v>2.65</v>
      </c>
      <c r="BJ81" s="96">
        <v>2.4</v>
      </c>
      <c r="BK81" s="96">
        <v>2.31</v>
      </c>
      <c r="BL81" s="96">
        <v>2.4300000000000002</v>
      </c>
      <c r="BM81" s="96">
        <v>2.25</v>
      </c>
      <c r="BN81" s="96">
        <v>2.64</v>
      </c>
      <c r="BO81" s="96">
        <v>2.64</v>
      </c>
      <c r="BP81" s="96">
        <v>2.16</v>
      </c>
      <c r="BQ81" s="96">
        <v>2.2599999999999998</v>
      </c>
      <c r="BR81" s="96">
        <v>2.78</v>
      </c>
      <c r="BS81" s="96">
        <v>2.74</v>
      </c>
      <c r="BT81" s="96">
        <v>2.2599999999999998</v>
      </c>
      <c r="BU81" s="96">
        <v>3.02</v>
      </c>
      <c r="BV81" s="96">
        <v>2.4700000000000002</v>
      </c>
      <c r="BW81" s="96">
        <v>2.4900000000000002</v>
      </c>
      <c r="BX81" s="96">
        <v>2.2999999999999998</v>
      </c>
      <c r="BY81" s="96">
        <v>2.2000000000000002</v>
      </c>
      <c r="BZ81" s="96">
        <v>2.36</v>
      </c>
      <c r="CA81" s="96">
        <v>2.58</v>
      </c>
      <c r="CB81" s="96">
        <v>2.0099999999999998</v>
      </c>
      <c r="CC81" s="96">
        <v>2.0499999999999998</v>
      </c>
      <c r="CD81" s="96">
        <v>2.77</v>
      </c>
      <c r="CE81" s="96">
        <v>2.41</v>
      </c>
      <c r="CF81" s="96">
        <v>2.41</v>
      </c>
      <c r="CG81" s="96">
        <v>2.94</v>
      </c>
      <c r="CH81" s="96">
        <v>2.85</v>
      </c>
      <c r="CI81" s="96">
        <v>2.2599999999999998</v>
      </c>
      <c r="CJ81" s="96">
        <v>2.7</v>
      </c>
      <c r="CK81" s="96">
        <v>2.21</v>
      </c>
      <c r="CL81" s="96">
        <v>2.29</v>
      </c>
      <c r="CM81" s="96">
        <v>2.71</v>
      </c>
      <c r="CN81" s="96">
        <v>2.75</v>
      </c>
      <c r="CO81" s="96">
        <v>2.89</v>
      </c>
      <c r="CP81" s="259">
        <f>SUM(Input_Raw[[#This Row],[P-01]:[P-56]])/1000</f>
        <v>18.268000000000001</v>
      </c>
      <c r="CQ81" s="260">
        <f>IFERROR(AVERAGEIF(Input_Raw[[#This Row],[WS_P-01]:[WS_P-56]],"&lt;&gt;",Input_Raw[[#This Row],[WS_P-01]:[WS_P-56]]),"")</f>
        <v>2.4861363636363634</v>
      </c>
      <c r="CR81" s="261">
        <f>MAX(Input_Raw[[#This Row],[WS_P-01]:[WS_P-56]])</f>
        <v>3.02</v>
      </c>
      <c r="CS81" s="261"/>
      <c r="CT81" s="262">
        <f>SUM(Input_Raw[[#This Row],[P-08]:[P-13]],Input_Raw[[#This Row],[P-25]:[P-28]])</f>
        <v>3062</v>
      </c>
      <c r="CU81" s="262"/>
      <c r="CV81" s="262">
        <f>SUM(Input_Raw[[#This Row],[P-04]],Input_Raw[[#This Row],[P-14]:[P-17]],Input_Raw[[#This Row],[P-19]:[P-20]],Input_Raw[[#This Row],[P-22]:[P-23]],Input_Raw[[#This Row],[P-34]],Input_Raw[[#This Row],[P-38]],Input_Raw[[#This Row],[P-43]])</f>
        <v>3760</v>
      </c>
      <c r="CW81" s="262"/>
      <c r="CX81" s="262">
        <f>SUM(Input_Raw[[#This Row],[P-05]:[P-06]],Input_Raw[[#This Row],[P-40]:[P-42]],Input_Raw[[#This Row],[P-45]],Input_Raw[[#This Row],[P-46]],Input_Raw[[#This Row],[P-47]:[P-48]])</f>
        <v>3592</v>
      </c>
      <c r="CY81" s="262"/>
      <c r="CZ81" s="262">
        <f>SUM(Input_Raw[[#This Row],[P-01]:[P-03]],Input_Raw[[#This Row],[P-07]],Input_Raw[[#This Row],[P-18]],Input_Raw[[#This Row],[P-31]:[P-32]],Input_Raw[[#This Row],[P-37]],Input_Raw[[#This Row],[P-50]:[P-56]])</f>
        <v>7854</v>
      </c>
      <c r="DA81" s="263"/>
      <c r="DB81" s="264">
        <f>Input_Raw[[#This Row],[33 kV_Wind_F1_Export reading]]/1000</f>
        <v>3.0619999999999998</v>
      </c>
      <c r="DC81" s="264"/>
      <c r="DD81" s="264">
        <f>Input_Raw[[#This Row],[33 kV_Wind_F2_Export_reading]]/1000</f>
        <v>3.76</v>
      </c>
      <c r="DE81" s="264"/>
      <c r="DF81" s="264">
        <f>Input_Raw[[#This Row],[33 kV_Wind_F3_Export_Reading]]/1000</f>
        <v>3.5920000000000001</v>
      </c>
      <c r="DG81" s="264"/>
      <c r="DH81" s="264">
        <f>Input_Raw[[#This Row],[33 kV_Wind_F4_Export Reading]]/1000</f>
        <v>7.8540000000000001</v>
      </c>
      <c r="DI81" s="264"/>
      <c r="DJ81" s="264">
        <f>Input_Raw[[#This Row],[33 kV_F1_Total_Export (MWh)]]+Input_Raw[[#This Row],[33 kV_F2_Total_Export (MWh)2]]+Input_Raw[[#This Row],[33 kV_Wind_F3_Export (MWh)]]+Input_Raw[[#This Row],[33 kV_Wind_F4_Export (MWh)]]</f>
        <v>18.268000000000001</v>
      </c>
      <c r="DK81" s="264">
        <f>Input_Raw[[#This Row],[33 kV_Wind_F1_Import (MWh)]]+Input_Raw[[#This Row],[33 kV_Wind_F2_Import (MWh)]]+Input_Raw[[#This Row],[33 kV_Wind_F3_Import (MWh)2]]+Input_Raw[[#This Row],[33 kV_Wind_F4_Import (MWh)2]]</f>
        <v>0</v>
      </c>
      <c r="DL81" s="265">
        <f>IFERROR(Input_Raw[[#This Row],[33 kV_Wind_Total_Export (MWh)]]/Input_Raw[[#This Row],[WTG Total Gneration (MWh)]]-1,"")</f>
        <v>0</v>
      </c>
      <c r="DM81" s="266"/>
      <c r="DN81" s="186">
        <v>92</v>
      </c>
      <c r="DO81" s="186">
        <v>976.75</v>
      </c>
      <c r="DP81" s="102">
        <v>15.97</v>
      </c>
      <c r="DQ81" s="266"/>
      <c r="DR81" s="181">
        <v>70.400000000000006</v>
      </c>
    </row>
    <row r="82" spans="1:122" ht="15">
      <c r="A82" s="92">
        <f t="shared" si="74"/>
        <v>45822</v>
      </c>
      <c r="B82" s="190">
        <f>YEAR(Input_Raw[[#This Row],[Date]])+IF(MONTH(Input_Raw[[#This Row],[Date]])&gt;=4,1,0)</f>
        <v>2026</v>
      </c>
      <c r="C82" s="190">
        <f>YEAR(Input_Raw[[#This Row],[Date]])</f>
        <v>2025</v>
      </c>
      <c r="D82" s="11">
        <f t="shared" ref="D82" si="133">A82-DAY(A82)+1</f>
        <v>45809</v>
      </c>
      <c r="E82" s="190">
        <f>DAY(EOMONTH(Input_Raw[[#This Row],[Date]],0))</f>
        <v>30</v>
      </c>
      <c r="F82" s="199">
        <v>2480</v>
      </c>
      <c r="G82" s="199">
        <v>2804</v>
      </c>
      <c r="H82" s="199">
        <v>2964</v>
      </c>
      <c r="I82" s="199">
        <v>1612</v>
      </c>
      <c r="J82" s="199">
        <v>1908</v>
      </c>
      <c r="K82" s="199">
        <v>2548</v>
      </c>
      <c r="L82" s="199">
        <v>2274</v>
      </c>
      <c r="M82" s="199">
        <v>1456</v>
      </c>
      <c r="N82" s="199">
        <v>980</v>
      </c>
      <c r="O82" s="199">
        <v>850</v>
      </c>
      <c r="P82" s="199">
        <v>958</v>
      </c>
      <c r="Q82" s="199">
        <v>1032</v>
      </c>
      <c r="R82" s="199">
        <v>1044</v>
      </c>
      <c r="S82" s="199">
        <v>1062</v>
      </c>
      <c r="T82" s="199">
        <v>580</v>
      </c>
      <c r="U82" s="199">
        <v>1272</v>
      </c>
      <c r="V82" s="199">
        <v>1540</v>
      </c>
      <c r="W82" s="199">
        <v>2172</v>
      </c>
      <c r="X82" s="199">
        <v>1608</v>
      </c>
      <c r="Y82" s="199">
        <v>1373</v>
      </c>
      <c r="Z82" s="199">
        <v>1576</v>
      </c>
      <c r="AA82" s="199">
        <v>1224</v>
      </c>
      <c r="AB82" s="199">
        <v>1336</v>
      </c>
      <c r="AC82" s="199">
        <v>1232</v>
      </c>
      <c r="AD82" s="199">
        <v>1388</v>
      </c>
      <c r="AE82" s="199">
        <v>1280</v>
      </c>
      <c r="AF82" s="199">
        <v>2834</v>
      </c>
      <c r="AG82" s="199">
        <v>550</v>
      </c>
      <c r="AH82" s="199">
        <v>1592</v>
      </c>
      <c r="AI82" s="199">
        <v>754</v>
      </c>
      <c r="AJ82" s="199">
        <v>1524</v>
      </c>
      <c r="AK82" s="199">
        <v>2218</v>
      </c>
      <c r="AL82" s="199">
        <v>1872</v>
      </c>
      <c r="AM82" s="199">
        <v>2548</v>
      </c>
      <c r="AN82" s="199">
        <v>960</v>
      </c>
      <c r="AO82" s="199">
        <v>2848</v>
      </c>
      <c r="AP82" s="199">
        <v>2176</v>
      </c>
      <c r="AQ82" s="199">
        <v>2044</v>
      </c>
      <c r="AR82" s="199">
        <v>2408</v>
      </c>
      <c r="AS82" s="199">
        <v>602</v>
      </c>
      <c r="AT82" s="199">
        <v>778</v>
      </c>
      <c r="AU82" s="199">
        <v>818</v>
      </c>
      <c r="AV82" s="199">
        <v>2624</v>
      </c>
      <c r="AW82" s="199">
        <v>1592</v>
      </c>
      <c r="AX82" s="96">
        <v>3.19</v>
      </c>
      <c r="AY82" s="96">
        <v>3.74</v>
      </c>
      <c r="AZ82" s="96">
        <v>3.49</v>
      </c>
      <c r="BA82" s="96">
        <v>3.12</v>
      </c>
      <c r="BB82" s="96">
        <v>2.81</v>
      </c>
      <c r="BC82" s="96">
        <v>3.52</v>
      </c>
      <c r="BD82" s="96">
        <v>3.41</v>
      </c>
      <c r="BE82" s="96">
        <v>3.14</v>
      </c>
      <c r="BF82" s="96">
        <v>3.03</v>
      </c>
      <c r="BG82" s="96">
        <v>3.18</v>
      </c>
      <c r="BH82" s="96">
        <v>2.99</v>
      </c>
      <c r="BI82" s="96">
        <v>3.22</v>
      </c>
      <c r="BJ82" s="96">
        <v>3</v>
      </c>
      <c r="BK82" s="96">
        <v>2.9</v>
      </c>
      <c r="BL82" s="96">
        <v>3.01</v>
      </c>
      <c r="BM82" s="96">
        <v>3.08</v>
      </c>
      <c r="BN82" s="96">
        <v>3.34</v>
      </c>
      <c r="BO82" s="96">
        <v>3.25</v>
      </c>
      <c r="BP82" s="96">
        <v>2.99</v>
      </c>
      <c r="BQ82" s="96">
        <v>2.9</v>
      </c>
      <c r="BR82" s="96">
        <v>3.23</v>
      </c>
      <c r="BS82" s="96">
        <v>2.97</v>
      </c>
      <c r="BT82" s="96">
        <v>2.85</v>
      </c>
      <c r="BU82" s="96">
        <v>3.53</v>
      </c>
      <c r="BV82" s="96">
        <v>3.14</v>
      </c>
      <c r="BW82" s="96">
        <v>3.1</v>
      </c>
      <c r="BX82" s="96">
        <v>3.06</v>
      </c>
      <c r="BY82" s="96">
        <v>2.42</v>
      </c>
      <c r="BZ82" s="96">
        <v>3.13</v>
      </c>
      <c r="CA82" s="96">
        <v>2.64</v>
      </c>
      <c r="CB82" s="96">
        <v>2.72</v>
      </c>
      <c r="CC82" s="96">
        <v>3.3</v>
      </c>
      <c r="CD82" s="96">
        <v>3.42</v>
      </c>
      <c r="CE82" s="96">
        <v>3.17</v>
      </c>
      <c r="CF82" s="96">
        <v>2.68</v>
      </c>
      <c r="CG82" s="96">
        <v>3.77</v>
      </c>
      <c r="CH82" s="96">
        <v>3.58</v>
      </c>
      <c r="CI82" s="96">
        <v>3.09</v>
      </c>
      <c r="CJ82" s="96">
        <v>3.52</v>
      </c>
      <c r="CK82" s="96">
        <v>2.2999999999999998</v>
      </c>
      <c r="CL82" s="96">
        <v>2.52</v>
      </c>
      <c r="CM82" s="96">
        <v>2.73</v>
      </c>
      <c r="CN82" s="96">
        <v>3.45</v>
      </c>
      <c r="CO82" s="96">
        <v>3.24</v>
      </c>
      <c r="CP82" s="259">
        <f>SUM(Input_Raw[[#This Row],[P-01]:[P-56]])/1000</f>
        <v>71.295000000000002</v>
      </c>
      <c r="CQ82" s="260">
        <f>IFERROR(AVERAGEIF(Input_Raw[[#This Row],[WS_P-01]:[WS_P-56]],"&lt;&gt;",Input_Raw[[#This Row],[WS_P-01]:[WS_P-56]]),"")</f>
        <v>3.1106818181818174</v>
      </c>
      <c r="CR82" s="261">
        <f>MAX(Input_Raw[[#This Row],[WS_P-01]:[WS_P-56]])</f>
        <v>3.77</v>
      </c>
      <c r="CS82" s="261"/>
      <c r="CT82" s="262">
        <f>SUM(Input_Raw[[#This Row],[P-08]:[P-13]],Input_Raw[[#This Row],[P-25]:[P-28]])</f>
        <v>11556</v>
      </c>
      <c r="CU82" s="262"/>
      <c r="CV82" s="262">
        <f>SUM(Input_Raw[[#This Row],[P-04]],Input_Raw[[#This Row],[P-14]:[P-17]],Input_Raw[[#This Row],[P-19]:[P-20]],Input_Raw[[#This Row],[P-22]:[P-23]],Input_Raw[[#This Row],[P-34]],Input_Raw[[#This Row],[P-38]],Input_Raw[[#This Row],[P-43]])</f>
        <v>15923</v>
      </c>
      <c r="CW82" s="262"/>
      <c r="CX82" s="262">
        <f>SUM(Input_Raw[[#This Row],[P-05]:[P-06]],Input_Raw[[#This Row],[P-40]:[P-42]],Input_Raw[[#This Row],[P-45]],Input_Raw[[#This Row],[P-46]],Input_Raw[[#This Row],[P-47]:[P-48]])</f>
        <v>20570</v>
      </c>
      <c r="CY82" s="262"/>
      <c r="CZ82" s="262">
        <f>SUM(Input_Raw[[#This Row],[P-01]:[P-03]],Input_Raw[[#This Row],[P-07]],Input_Raw[[#This Row],[P-18]],Input_Raw[[#This Row],[P-31]:[P-32]],Input_Raw[[#This Row],[P-37]],Input_Raw[[#This Row],[P-50]:[P-56]])</f>
        <v>23246</v>
      </c>
      <c r="DA82" s="263"/>
      <c r="DB82" s="264">
        <f>Input_Raw[[#This Row],[33 kV_Wind_F1_Export reading]]/1000</f>
        <v>11.555999999999999</v>
      </c>
      <c r="DC82" s="264"/>
      <c r="DD82" s="264">
        <f>Input_Raw[[#This Row],[33 kV_Wind_F2_Export_reading]]/1000</f>
        <v>15.923</v>
      </c>
      <c r="DE82" s="264"/>
      <c r="DF82" s="264">
        <f>Input_Raw[[#This Row],[33 kV_Wind_F3_Export_Reading]]/1000</f>
        <v>20.57</v>
      </c>
      <c r="DG82" s="264"/>
      <c r="DH82" s="264">
        <f>Input_Raw[[#This Row],[33 kV_Wind_F4_Export Reading]]/1000</f>
        <v>23.245999999999999</v>
      </c>
      <c r="DI82" s="264"/>
      <c r="DJ82" s="264">
        <f>Input_Raw[[#This Row],[33 kV_F1_Total_Export (MWh)]]+Input_Raw[[#This Row],[33 kV_F2_Total_Export (MWh)2]]+Input_Raw[[#This Row],[33 kV_Wind_F3_Export (MWh)]]+Input_Raw[[#This Row],[33 kV_Wind_F4_Export (MWh)]]</f>
        <v>71.295000000000002</v>
      </c>
      <c r="DK82" s="264">
        <f>Input_Raw[[#This Row],[33 kV_Wind_F1_Import (MWh)]]+Input_Raw[[#This Row],[33 kV_Wind_F2_Import (MWh)]]+Input_Raw[[#This Row],[33 kV_Wind_F3_Import (MWh)2]]+Input_Raw[[#This Row],[33 kV_Wind_F4_Import (MWh)2]]</f>
        <v>0</v>
      </c>
      <c r="DL82" s="265">
        <f>IFERROR(Input_Raw[[#This Row],[33 kV_Wind_Total_Export (MWh)]]/Input_Raw[[#This Row],[WTG Total Gneration (MWh)]]-1,"")</f>
        <v>0</v>
      </c>
      <c r="DM82" s="266"/>
      <c r="DN82" s="186">
        <v>92</v>
      </c>
      <c r="DO82" s="186">
        <v>3.25</v>
      </c>
      <c r="DP82" s="102">
        <v>65.28</v>
      </c>
      <c r="DQ82" s="266"/>
      <c r="DR82" s="181">
        <v>70.400000000000006</v>
      </c>
    </row>
    <row r="83" spans="1:122" ht="15">
      <c r="A83" s="92">
        <f t="shared" si="74"/>
        <v>45823</v>
      </c>
      <c r="B83" s="190">
        <f>YEAR(Input_Raw[[#This Row],[Date]])+IF(MONTH(Input_Raw[[#This Row],[Date]])&gt;=4,1,0)</f>
        <v>2026</v>
      </c>
      <c r="C83" s="190">
        <f>YEAR(Input_Raw[[#This Row],[Date]])</f>
        <v>2025</v>
      </c>
      <c r="D83" s="11">
        <f t="shared" ref="D83" si="134">A83-DAY(A83)+1</f>
        <v>45809</v>
      </c>
      <c r="E83" s="190">
        <f>DAY(EOMONTH(Input_Raw[[#This Row],[Date]],0))</f>
        <v>30</v>
      </c>
      <c r="F83" s="199">
        <v>13724</v>
      </c>
      <c r="G83" s="199">
        <v>12936</v>
      </c>
      <c r="H83" s="199">
        <v>10560</v>
      </c>
      <c r="I83" s="199">
        <v>12372</v>
      </c>
      <c r="J83" s="199">
        <v>9236</v>
      </c>
      <c r="K83" s="199">
        <v>12700</v>
      </c>
      <c r="L83" s="199">
        <v>12626</v>
      </c>
      <c r="M83" s="199">
        <v>9906</v>
      </c>
      <c r="N83" s="199">
        <v>7748</v>
      </c>
      <c r="O83" s="199">
        <v>6614</v>
      </c>
      <c r="P83" s="199">
        <v>8029.9999999999991</v>
      </c>
      <c r="Q83" s="199">
        <v>9108</v>
      </c>
      <c r="R83" s="199">
        <v>6184</v>
      </c>
      <c r="S83" s="199">
        <v>9206</v>
      </c>
      <c r="T83" s="199">
        <v>7992</v>
      </c>
      <c r="U83" s="199">
        <v>8828</v>
      </c>
      <c r="V83" s="199">
        <v>9030</v>
      </c>
      <c r="W83" s="199">
        <v>9548</v>
      </c>
      <c r="X83" s="199">
        <v>11152</v>
      </c>
      <c r="Y83" s="199">
        <v>7733</v>
      </c>
      <c r="Z83" s="199">
        <v>12856</v>
      </c>
      <c r="AA83" s="199">
        <v>10272</v>
      </c>
      <c r="AB83" s="199">
        <v>10944</v>
      </c>
      <c r="AC83" s="199">
        <v>8680</v>
      </c>
      <c r="AD83" s="199">
        <v>9672</v>
      </c>
      <c r="AE83" s="199">
        <v>9968</v>
      </c>
      <c r="AF83" s="199">
        <v>8052</v>
      </c>
      <c r="AG83" s="199">
        <v>7542</v>
      </c>
      <c r="AH83" s="199">
        <v>12668</v>
      </c>
      <c r="AI83" s="199">
        <v>9060</v>
      </c>
      <c r="AJ83" s="199">
        <v>8400</v>
      </c>
      <c r="AK83" s="199">
        <v>9266</v>
      </c>
      <c r="AL83" s="199">
        <v>9540</v>
      </c>
      <c r="AM83" s="199">
        <v>9700</v>
      </c>
      <c r="AN83" s="199">
        <v>9756</v>
      </c>
      <c r="AO83" s="199">
        <v>17016</v>
      </c>
      <c r="AP83" s="199">
        <v>13768</v>
      </c>
      <c r="AQ83" s="199">
        <v>10384</v>
      </c>
      <c r="AR83" s="199">
        <v>10204</v>
      </c>
      <c r="AS83" s="199">
        <v>8312</v>
      </c>
      <c r="AT83" s="199">
        <v>9426</v>
      </c>
      <c r="AU83" s="199">
        <v>8980</v>
      </c>
      <c r="AV83" s="199">
        <v>16656</v>
      </c>
      <c r="AW83" s="199">
        <v>11460</v>
      </c>
      <c r="AX83" s="96">
        <v>6.89</v>
      </c>
      <c r="AY83" s="96">
        <v>6.7</v>
      </c>
      <c r="AZ83" s="96">
        <v>6.47</v>
      </c>
      <c r="BA83" s="96">
        <v>7.02</v>
      </c>
      <c r="BB83" s="96">
        <v>5.63</v>
      </c>
      <c r="BC83" s="96">
        <v>6.87</v>
      </c>
      <c r="BD83" s="96">
        <v>6.86</v>
      </c>
      <c r="BE83" s="96">
        <v>6.41</v>
      </c>
      <c r="BF83" s="96">
        <v>5.84</v>
      </c>
      <c r="BG83" s="96">
        <v>5.74</v>
      </c>
      <c r="BH83" s="96">
        <v>5.75</v>
      </c>
      <c r="BI83" s="96">
        <v>5.96</v>
      </c>
      <c r="BJ83" s="96">
        <v>5.84</v>
      </c>
      <c r="BK83" s="96">
        <v>6.06</v>
      </c>
      <c r="BL83" s="96">
        <v>6.07</v>
      </c>
      <c r="BM83" s="96">
        <v>6.07</v>
      </c>
      <c r="BN83" s="96">
        <v>5.84</v>
      </c>
      <c r="BO83" s="96">
        <v>6</v>
      </c>
      <c r="BP83" s="96">
        <v>6.45</v>
      </c>
      <c r="BQ83" s="96">
        <v>5.55</v>
      </c>
      <c r="BR83" s="96">
        <v>6.97</v>
      </c>
      <c r="BS83" s="96">
        <v>6.2</v>
      </c>
      <c r="BT83" s="96">
        <v>6.15</v>
      </c>
      <c r="BU83" s="96">
        <v>5.89</v>
      </c>
      <c r="BV83" s="96">
        <v>6.18</v>
      </c>
      <c r="BW83" s="96">
        <v>6.23</v>
      </c>
      <c r="BX83" s="96">
        <v>5.56</v>
      </c>
      <c r="BY83" s="96">
        <v>5.64</v>
      </c>
      <c r="BZ83" s="96">
        <v>6.97</v>
      </c>
      <c r="CA83" s="96">
        <v>5.78</v>
      </c>
      <c r="CB83" s="96">
        <v>5.71</v>
      </c>
      <c r="CC83" s="96">
        <v>6.25</v>
      </c>
      <c r="CD83" s="96">
        <v>6.1</v>
      </c>
      <c r="CE83" s="96">
        <v>5.88</v>
      </c>
      <c r="CF83" s="96">
        <v>6.09</v>
      </c>
      <c r="CG83" s="96">
        <v>8.49</v>
      </c>
      <c r="CH83" s="96">
        <v>7.17</v>
      </c>
      <c r="CI83" s="96">
        <v>6.14</v>
      </c>
      <c r="CJ83" s="96">
        <v>6.08</v>
      </c>
      <c r="CK83" s="96">
        <v>5.83</v>
      </c>
      <c r="CL83" s="96">
        <v>6.23</v>
      </c>
      <c r="CM83" s="96">
        <v>5.85</v>
      </c>
      <c r="CN83" s="96">
        <v>7.92</v>
      </c>
      <c r="CO83" s="96">
        <v>6.34</v>
      </c>
      <c r="CP83" s="259">
        <f>SUM(Input_Raw[[#This Row],[P-01]:[P-56]])/1000</f>
        <v>447.815</v>
      </c>
      <c r="CQ83" s="260">
        <f>IFERROR(AVERAGEIF(Input_Raw[[#This Row],[WS_P-01]:[WS_P-56]],"&lt;&gt;",Input_Raw[[#This Row],[WS_P-01]:[WS_P-56]]),"")</f>
        <v>6.2652272727272722</v>
      </c>
      <c r="CR83" s="261">
        <f>MAX(Input_Raw[[#This Row],[WS_P-01]:[WS_P-56]])</f>
        <v>8.49</v>
      </c>
      <c r="CS83" s="261"/>
      <c r="CT83" s="262">
        <f>SUM(Input_Raw[[#This Row],[P-08]:[P-13]],Input_Raw[[#This Row],[P-25]:[P-28]])</f>
        <v>86854</v>
      </c>
      <c r="CU83" s="262"/>
      <c r="CV83" s="262">
        <f>SUM(Input_Raw[[#This Row],[P-04]],Input_Raw[[#This Row],[P-14]:[P-17]],Input_Raw[[#This Row],[P-19]:[P-20]],Input_Raw[[#This Row],[P-22]:[P-23]],Input_Raw[[#This Row],[P-34]],Input_Raw[[#This Row],[P-38]],Input_Raw[[#This Row],[P-43]])</f>
        <v>120265</v>
      </c>
      <c r="CW83" s="262"/>
      <c r="CX83" s="262">
        <f>SUM(Input_Raw[[#This Row],[P-05]:[P-06]],Input_Raw[[#This Row],[P-40]:[P-42]],Input_Raw[[#This Row],[P-45]],Input_Raw[[#This Row],[P-46]],Input_Raw[[#This Row],[P-47]:[P-48]])</f>
        <v>101814</v>
      </c>
      <c r="CY83" s="262"/>
      <c r="CZ83" s="262">
        <f>SUM(Input_Raw[[#This Row],[P-01]:[P-03]],Input_Raw[[#This Row],[P-07]],Input_Raw[[#This Row],[P-18]],Input_Raw[[#This Row],[P-31]:[P-32]],Input_Raw[[#This Row],[P-37]],Input_Raw[[#This Row],[P-50]:[P-56]])</f>
        <v>138882</v>
      </c>
      <c r="DA83" s="263"/>
      <c r="DB83" s="264">
        <f>Input_Raw[[#This Row],[33 kV_Wind_F1_Export reading]]/1000</f>
        <v>86.853999999999999</v>
      </c>
      <c r="DC83" s="264"/>
      <c r="DD83" s="264">
        <f>Input_Raw[[#This Row],[33 kV_Wind_F2_Export_reading]]/1000</f>
        <v>120.265</v>
      </c>
      <c r="DE83" s="264"/>
      <c r="DF83" s="264">
        <f>Input_Raw[[#This Row],[33 kV_Wind_F3_Export_Reading]]/1000</f>
        <v>101.81399999999999</v>
      </c>
      <c r="DG83" s="264"/>
      <c r="DH83" s="264">
        <f>Input_Raw[[#This Row],[33 kV_Wind_F4_Export Reading]]/1000</f>
        <v>138.88200000000001</v>
      </c>
      <c r="DI83" s="264"/>
      <c r="DJ83" s="264">
        <f>Input_Raw[[#This Row],[33 kV_F1_Total_Export (MWh)]]+Input_Raw[[#This Row],[33 kV_F2_Total_Export (MWh)2]]+Input_Raw[[#This Row],[33 kV_Wind_F3_Export (MWh)]]+Input_Raw[[#This Row],[33 kV_Wind_F4_Export (MWh)]]</f>
        <v>447.815</v>
      </c>
      <c r="DK83" s="264">
        <f>Input_Raw[[#This Row],[33 kV_Wind_F1_Import (MWh)]]+Input_Raw[[#This Row],[33 kV_Wind_F2_Import (MWh)]]+Input_Raw[[#This Row],[33 kV_Wind_F3_Import (MWh)2]]+Input_Raw[[#This Row],[33 kV_Wind_F4_Import (MWh)2]]</f>
        <v>0</v>
      </c>
      <c r="DL83" s="265">
        <f>IFERROR(Input_Raw[[#This Row],[33 kV_Wind_Total_Export (MWh)]]/Input_Raw[[#This Row],[WTG Total Gneration (MWh)]]-1,"")</f>
        <v>0</v>
      </c>
      <c r="DM83" s="266"/>
      <c r="DN83" s="186">
        <v>91</v>
      </c>
      <c r="DO83" s="186">
        <v>56256.63</v>
      </c>
      <c r="DP83" s="102">
        <v>413.48</v>
      </c>
      <c r="DQ83" s="266"/>
      <c r="DR83" s="181">
        <v>70.400000000000006</v>
      </c>
    </row>
    <row r="84" spans="1:122" ht="15">
      <c r="A84" s="92">
        <f t="shared" si="74"/>
        <v>45824</v>
      </c>
      <c r="B84" s="190">
        <f>YEAR(Input_Raw[[#This Row],[Date]])+IF(MONTH(Input_Raw[[#This Row],[Date]])&gt;=4,1,0)</f>
        <v>2026</v>
      </c>
      <c r="C84" s="190">
        <f>YEAR(Input_Raw[[#This Row],[Date]])</f>
        <v>2025</v>
      </c>
      <c r="D84" s="11">
        <f t="shared" ref="D84" si="135">A84-DAY(A84)+1</f>
        <v>45809</v>
      </c>
      <c r="E84" s="190">
        <f>DAY(EOMONTH(Input_Raw[[#This Row],[Date]],0))</f>
        <v>30</v>
      </c>
      <c r="F84" s="199">
        <v>36552</v>
      </c>
      <c r="G84" s="199">
        <v>34760</v>
      </c>
      <c r="H84" s="199">
        <v>32576</v>
      </c>
      <c r="I84" s="199">
        <v>34444</v>
      </c>
      <c r="J84" s="199">
        <v>35688</v>
      </c>
      <c r="K84" s="199">
        <v>35648</v>
      </c>
      <c r="L84" s="199">
        <v>35116</v>
      </c>
      <c r="M84" s="199">
        <v>30966</v>
      </c>
      <c r="N84" s="199">
        <v>26508</v>
      </c>
      <c r="O84" s="199">
        <v>28724</v>
      </c>
      <c r="P84" s="199">
        <v>31880</v>
      </c>
      <c r="Q84" s="199">
        <v>34828</v>
      </c>
      <c r="R84" s="199">
        <v>12584</v>
      </c>
      <c r="S84" s="199">
        <v>33536</v>
      </c>
      <c r="T84" s="199">
        <v>31354</v>
      </c>
      <c r="U84" s="199">
        <v>32549.999999999996</v>
      </c>
      <c r="V84" s="199">
        <v>32706.000000000004</v>
      </c>
      <c r="W84" s="199">
        <v>33384</v>
      </c>
      <c r="X84" s="199">
        <v>33224</v>
      </c>
      <c r="Y84" s="199">
        <v>29763</v>
      </c>
      <c r="Z84" s="199">
        <v>33960</v>
      </c>
      <c r="AA84" s="199">
        <v>32112.000000000004</v>
      </c>
      <c r="AB84" s="199">
        <v>32012</v>
      </c>
      <c r="AC84" s="199">
        <v>33396</v>
      </c>
      <c r="AD84" s="199">
        <v>33696</v>
      </c>
      <c r="AE84" s="199">
        <v>32716</v>
      </c>
      <c r="AF84" s="199">
        <v>28958</v>
      </c>
      <c r="AG84" s="199">
        <v>31428</v>
      </c>
      <c r="AH84" s="199">
        <v>26180</v>
      </c>
      <c r="AI84" s="199">
        <v>33976</v>
      </c>
      <c r="AJ84" s="199">
        <v>31472</v>
      </c>
      <c r="AK84" s="199">
        <v>31448</v>
      </c>
      <c r="AL84" s="199">
        <v>35336</v>
      </c>
      <c r="AM84" s="199">
        <v>35308</v>
      </c>
      <c r="AN84" s="199">
        <v>30300</v>
      </c>
      <c r="AO84" s="199">
        <v>37048</v>
      </c>
      <c r="AP84" s="199">
        <v>36928</v>
      </c>
      <c r="AQ84" s="199">
        <v>35064</v>
      </c>
      <c r="AR84" s="199">
        <v>36564</v>
      </c>
      <c r="AS84" s="199">
        <v>31868</v>
      </c>
      <c r="AT84" s="199">
        <v>34686</v>
      </c>
      <c r="AU84" s="199">
        <v>35748</v>
      </c>
      <c r="AV84" s="199">
        <v>37100</v>
      </c>
      <c r="AW84" s="199">
        <v>36384</v>
      </c>
      <c r="AX84" s="96">
        <v>12.74</v>
      </c>
      <c r="AY84" s="96">
        <v>12.86</v>
      </c>
      <c r="AZ84" s="96">
        <v>11.44</v>
      </c>
      <c r="BA84" s="96">
        <v>12.51</v>
      </c>
      <c r="BB84" s="96">
        <v>12.25</v>
      </c>
      <c r="BC84" s="96">
        <v>12.79</v>
      </c>
      <c r="BD84" s="96">
        <v>12.67</v>
      </c>
      <c r="BE84" s="96">
        <v>11.37</v>
      </c>
      <c r="BF84" s="96">
        <v>10.039999999999999</v>
      </c>
      <c r="BG84" s="96">
        <v>10.72</v>
      </c>
      <c r="BH84" s="96">
        <v>12.37</v>
      </c>
      <c r="BI84" s="96">
        <v>13.31</v>
      </c>
      <c r="BJ84" s="96">
        <v>9.5299999999999994</v>
      </c>
      <c r="BK84" s="96">
        <v>11.81</v>
      </c>
      <c r="BL84" s="96">
        <v>11.76</v>
      </c>
      <c r="BM84" s="96">
        <v>11.3</v>
      </c>
      <c r="BN84" s="96">
        <v>11.82</v>
      </c>
      <c r="BO84" s="96">
        <v>11.6</v>
      </c>
      <c r="BP84" s="96">
        <v>11.63</v>
      </c>
      <c r="BQ84" s="96">
        <v>10.31</v>
      </c>
      <c r="BR84" s="96">
        <v>11.75</v>
      </c>
      <c r="BS84" s="96">
        <v>11.25</v>
      </c>
      <c r="BT84" s="96">
        <v>10.76</v>
      </c>
      <c r="BU84" s="96">
        <v>12.33</v>
      </c>
      <c r="BV84" s="96">
        <v>12.31</v>
      </c>
      <c r="BW84" s="96">
        <v>11.35</v>
      </c>
      <c r="BX84" s="96">
        <v>10.18</v>
      </c>
      <c r="BY84" s="96">
        <v>10.83</v>
      </c>
      <c r="BZ84" s="96">
        <v>11.96</v>
      </c>
      <c r="CA84" s="96">
        <v>11.53</v>
      </c>
      <c r="CB84" s="96">
        <v>11.39</v>
      </c>
      <c r="CC84" s="96">
        <v>11.16</v>
      </c>
      <c r="CD84" s="96">
        <v>13.93</v>
      </c>
      <c r="CE84" s="96">
        <v>12.66</v>
      </c>
      <c r="CF84" s="96">
        <v>10.68</v>
      </c>
      <c r="CG84" s="96">
        <v>14.99</v>
      </c>
      <c r="CH84" s="96">
        <v>13.63</v>
      </c>
      <c r="CI84" s="96">
        <v>12.24</v>
      </c>
      <c r="CJ84" s="96">
        <v>13.08</v>
      </c>
      <c r="CK84" s="96">
        <v>11.2</v>
      </c>
      <c r="CL84" s="96">
        <v>12.31</v>
      </c>
      <c r="CM84" s="96">
        <v>12.53</v>
      </c>
      <c r="CN84" s="96">
        <v>14.66</v>
      </c>
      <c r="CO84" s="96">
        <v>13.21</v>
      </c>
      <c r="CP84" s="259">
        <f>SUM(Input_Raw[[#This Row],[P-01]:[P-56]])/1000</f>
        <v>1440.479</v>
      </c>
      <c r="CQ84" s="260">
        <f>IFERROR(AVERAGEIF(Input_Raw[[#This Row],[WS_P-01]:[WS_P-56]],"&lt;&gt;",Input_Raw[[#This Row],[WS_P-01]:[WS_P-56]]),"")</f>
        <v>11.971590909090908</v>
      </c>
      <c r="CR84" s="261">
        <f>MAX(Input_Raw[[#This Row],[WS_P-01]:[WS_P-56]])</f>
        <v>14.99</v>
      </c>
      <c r="CS84" s="261"/>
      <c r="CT84" s="262">
        <f>SUM(Input_Raw[[#This Row],[P-08]:[P-13]],Input_Raw[[#This Row],[P-25]:[P-28]])</f>
        <v>297310</v>
      </c>
      <c r="CU84" s="262"/>
      <c r="CV84" s="262">
        <f>SUM(Input_Raw[[#This Row],[P-04]],Input_Raw[[#This Row],[P-14]:[P-17]],Input_Raw[[#This Row],[P-19]:[P-20]],Input_Raw[[#This Row],[P-22]:[P-23]],Input_Raw[[#This Row],[P-34]],Input_Raw[[#This Row],[P-38]],Input_Raw[[#This Row],[P-43]])</f>
        <v>381601</v>
      </c>
      <c r="CW84" s="262"/>
      <c r="CX84" s="262">
        <f>SUM(Input_Raw[[#This Row],[P-05]:[P-06]],Input_Raw[[#This Row],[P-40]:[P-42]],Input_Raw[[#This Row],[P-45]],Input_Raw[[#This Row],[P-46]],Input_Raw[[#This Row],[P-47]:[P-48]])</f>
        <v>319032</v>
      </c>
      <c r="CY84" s="262"/>
      <c r="CZ84" s="262">
        <f>SUM(Input_Raw[[#This Row],[P-01]:[P-03]],Input_Raw[[#This Row],[P-07]],Input_Raw[[#This Row],[P-18]],Input_Raw[[#This Row],[P-31]:[P-32]],Input_Raw[[#This Row],[P-37]],Input_Raw[[#This Row],[P-50]:[P-56]])</f>
        <v>442536</v>
      </c>
      <c r="DA84" s="263"/>
      <c r="DB84" s="264">
        <f>Input_Raw[[#This Row],[33 kV_Wind_F1_Export reading]]/1000</f>
        <v>297.31</v>
      </c>
      <c r="DC84" s="264"/>
      <c r="DD84" s="264">
        <f>Input_Raw[[#This Row],[33 kV_Wind_F2_Export_reading]]/1000</f>
        <v>381.601</v>
      </c>
      <c r="DE84" s="264"/>
      <c r="DF84" s="264">
        <f>Input_Raw[[#This Row],[33 kV_Wind_F3_Export_Reading]]/1000</f>
        <v>319.03199999999998</v>
      </c>
      <c r="DG84" s="264"/>
      <c r="DH84" s="264">
        <f>Input_Raw[[#This Row],[33 kV_Wind_F4_Export Reading]]/1000</f>
        <v>442.536</v>
      </c>
      <c r="DI84" s="264"/>
      <c r="DJ84" s="264">
        <f>Input_Raw[[#This Row],[33 kV_F1_Total_Export (MWh)]]+Input_Raw[[#This Row],[33 kV_F2_Total_Export (MWh)2]]+Input_Raw[[#This Row],[33 kV_Wind_F3_Export (MWh)]]+Input_Raw[[#This Row],[33 kV_Wind_F4_Export (MWh)]]</f>
        <v>1440.479</v>
      </c>
      <c r="DK84" s="264">
        <f>Input_Raw[[#This Row],[33 kV_Wind_F1_Import (MWh)]]+Input_Raw[[#This Row],[33 kV_Wind_F2_Import (MWh)]]+Input_Raw[[#This Row],[33 kV_Wind_F3_Import (MWh)2]]+Input_Raw[[#This Row],[33 kV_Wind_F4_Import (MWh)2]]</f>
        <v>0</v>
      </c>
      <c r="DL84" s="265">
        <f>IFERROR(Input_Raw[[#This Row],[33 kV_Wind_Total_Export (MWh)]]/Input_Raw[[#This Row],[WTG Total Gneration (MWh)]]-1,"")</f>
        <v>0</v>
      </c>
      <c r="DM84" s="266"/>
      <c r="DN84" s="186">
        <v>85</v>
      </c>
      <c r="DO84" s="186">
        <v>50539.5</v>
      </c>
      <c r="DP84" s="102">
        <v>1482.58</v>
      </c>
      <c r="DQ84" s="266"/>
      <c r="DR84" s="181">
        <v>70.400000000000006</v>
      </c>
    </row>
    <row r="85" spans="1:122" ht="15">
      <c r="A85" s="92">
        <f t="shared" si="74"/>
        <v>45825</v>
      </c>
      <c r="B85" s="190">
        <f>YEAR(Input_Raw[[#This Row],[Date]])+IF(MONTH(Input_Raw[[#This Row],[Date]])&gt;=4,1,0)</f>
        <v>2026</v>
      </c>
      <c r="C85" s="190">
        <f>YEAR(Input_Raw[[#This Row],[Date]])</f>
        <v>2025</v>
      </c>
      <c r="D85" s="11">
        <f t="shared" ref="D85" si="136">A85-DAY(A85)+1</f>
        <v>45809</v>
      </c>
      <c r="E85" s="190">
        <f>DAY(EOMONTH(Input_Raw[[#This Row],[Date]],0))</f>
        <v>30</v>
      </c>
      <c r="F85" s="199">
        <v>33308</v>
      </c>
      <c r="G85" s="199">
        <v>32247.999999999996</v>
      </c>
      <c r="H85" s="199">
        <v>27628</v>
      </c>
      <c r="I85" s="199">
        <v>28426</v>
      </c>
      <c r="J85" s="199">
        <v>35712</v>
      </c>
      <c r="K85" s="199">
        <v>37064</v>
      </c>
      <c r="L85" s="199">
        <v>31428</v>
      </c>
      <c r="M85" s="199">
        <v>32924</v>
      </c>
      <c r="N85" s="199">
        <v>29168</v>
      </c>
      <c r="O85" s="199">
        <v>28362</v>
      </c>
      <c r="P85" s="199">
        <v>31910</v>
      </c>
      <c r="Q85" s="199">
        <v>35396</v>
      </c>
      <c r="R85" s="199">
        <v>36792</v>
      </c>
      <c r="S85" s="199">
        <v>35570</v>
      </c>
      <c r="T85" s="199">
        <v>32546</v>
      </c>
      <c r="U85" s="199">
        <v>33520</v>
      </c>
      <c r="V85" s="199">
        <v>32982</v>
      </c>
      <c r="W85" s="199">
        <v>29540</v>
      </c>
      <c r="X85" s="199">
        <v>35650</v>
      </c>
      <c r="Y85" s="199">
        <v>32116.999999999996</v>
      </c>
      <c r="Z85" s="199">
        <v>35632</v>
      </c>
      <c r="AA85" s="199">
        <v>34064</v>
      </c>
      <c r="AB85" s="199">
        <v>33652</v>
      </c>
      <c r="AC85" s="199">
        <v>34780</v>
      </c>
      <c r="AD85" s="199">
        <v>34800</v>
      </c>
      <c r="AE85" s="199">
        <v>32503.999999999996</v>
      </c>
      <c r="AF85" s="199">
        <v>21566</v>
      </c>
      <c r="AG85" s="199">
        <v>25480</v>
      </c>
      <c r="AH85" s="199">
        <v>29992</v>
      </c>
      <c r="AI85" s="199">
        <v>27662</v>
      </c>
      <c r="AJ85" s="199">
        <v>30784</v>
      </c>
      <c r="AK85" s="199">
        <v>32878</v>
      </c>
      <c r="AL85" s="199">
        <v>35552</v>
      </c>
      <c r="AM85" s="199">
        <v>34684</v>
      </c>
      <c r="AN85" s="199">
        <v>31866</v>
      </c>
      <c r="AO85" s="199">
        <v>37964</v>
      </c>
      <c r="AP85" s="199">
        <v>37628</v>
      </c>
      <c r="AQ85" s="199">
        <v>34616</v>
      </c>
      <c r="AR85" s="199">
        <v>36976</v>
      </c>
      <c r="AS85" s="199">
        <v>24700</v>
      </c>
      <c r="AT85" s="199">
        <v>26272</v>
      </c>
      <c r="AU85" s="199">
        <v>27976</v>
      </c>
      <c r="AV85" s="199">
        <v>28880</v>
      </c>
      <c r="AW85" s="199">
        <v>33860</v>
      </c>
      <c r="AX85" s="270">
        <v>12.27</v>
      </c>
      <c r="AY85" s="270">
        <v>12.47</v>
      </c>
      <c r="AZ85" s="270">
        <v>10.45</v>
      </c>
      <c r="BA85" s="270">
        <v>12.47</v>
      </c>
      <c r="BB85" s="270">
        <v>11.54</v>
      </c>
      <c r="BC85" s="270">
        <v>12.55</v>
      </c>
      <c r="BD85" s="270">
        <v>12.33</v>
      </c>
      <c r="BE85" s="270">
        <v>11.42</v>
      </c>
      <c r="BF85" s="270">
        <v>10.49</v>
      </c>
      <c r="BG85" s="270">
        <v>10.62</v>
      </c>
      <c r="BH85" s="270">
        <v>11.91</v>
      </c>
      <c r="BI85" s="270">
        <v>13.03</v>
      </c>
      <c r="BJ85" s="270">
        <v>12.67</v>
      </c>
      <c r="BK85" s="270">
        <v>12.16</v>
      </c>
      <c r="BL85" s="270">
        <v>11.74</v>
      </c>
      <c r="BM85" s="270">
        <v>11.26</v>
      </c>
      <c r="BN85" s="270">
        <v>11.45</v>
      </c>
      <c r="BO85" s="270">
        <v>10.84</v>
      </c>
      <c r="BP85" s="270">
        <v>11.89</v>
      </c>
      <c r="BQ85" s="270">
        <v>10.43</v>
      </c>
      <c r="BR85" s="270">
        <v>11.92</v>
      </c>
      <c r="BS85" s="270">
        <v>11.41</v>
      </c>
      <c r="BT85" s="270">
        <v>10.8</v>
      </c>
      <c r="BU85" s="270">
        <v>12.5</v>
      </c>
      <c r="BV85" s="270">
        <v>12.2</v>
      </c>
      <c r="BW85" s="270">
        <v>11.19</v>
      </c>
      <c r="BX85" s="270">
        <v>8.81</v>
      </c>
      <c r="BY85" s="270">
        <v>10.86</v>
      </c>
      <c r="BZ85" s="270">
        <v>11.87</v>
      </c>
      <c r="CA85" s="270">
        <v>11.55</v>
      </c>
      <c r="CB85" s="270">
        <v>10.62</v>
      </c>
      <c r="CC85" s="270">
        <v>11.14</v>
      </c>
      <c r="CD85" s="270">
        <v>13.04</v>
      </c>
      <c r="CE85" s="270">
        <v>11.66</v>
      </c>
      <c r="CF85" s="270">
        <v>10.66</v>
      </c>
      <c r="CG85" s="270">
        <v>14.63</v>
      </c>
      <c r="CH85" s="270">
        <v>13.27</v>
      </c>
      <c r="CI85" s="270">
        <v>11.32</v>
      </c>
      <c r="CJ85" s="270">
        <v>12.55</v>
      </c>
      <c r="CK85" s="270">
        <v>10.39</v>
      </c>
      <c r="CL85" s="270">
        <v>11.46</v>
      </c>
      <c r="CM85" s="270">
        <v>12.07</v>
      </c>
      <c r="CN85" s="270">
        <v>14.27</v>
      </c>
      <c r="CO85" s="270">
        <v>12.92</v>
      </c>
      <c r="CP85" s="98">
        <f>SUM(Input_Raw[[#This Row],[P-01]:[P-56]])/1000</f>
        <v>1417.059</v>
      </c>
      <c r="CQ85" s="71">
        <f>IFERROR(AVERAGEIF(Input_Raw[[#This Row],[WS_P-01]:[WS_P-56]],"&lt;&gt;",Input_Raw[[#This Row],[WS_P-01]:[WS_P-56]]),"")</f>
        <v>11.752272727272727</v>
      </c>
      <c r="CR85" s="99">
        <f>MAX(Input_Raw[[#This Row],[WS_P-01]:[WS_P-56]])</f>
        <v>14.63</v>
      </c>
      <c r="CS85" s="99"/>
      <c r="CT85" s="70">
        <f>SUM(Input_Raw[[#This Row],[P-08]:[P-13]],Input_Raw[[#This Row],[P-25]:[P-28]])</f>
        <v>330288</v>
      </c>
      <c r="CU85" s="70"/>
      <c r="CV85" s="70">
        <f>SUM(Input_Raw[[#This Row],[P-04]],Input_Raw[[#This Row],[P-14]:[P-17]],Input_Raw[[#This Row],[P-19]:[P-20]],Input_Raw[[#This Row],[P-22]:[P-23]],Input_Raw[[#This Row],[P-34]],Input_Raw[[#This Row],[P-38]],Input_Raw[[#This Row],[P-43]])</f>
        <v>393149</v>
      </c>
      <c r="CW85" s="70"/>
      <c r="CX85" s="70">
        <f>SUM(Input_Raw[[#This Row],[P-05]:[P-06]],Input_Raw[[#This Row],[P-40]:[P-42]],Input_Raw[[#This Row],[P-45]],Input_Raw[[#This Row],[P-46]],Input_Raw[[#This Row],[P-47]:[P-48]])</f>
        <v>323074</v>
      </c>
      <c r="CY85" s="70"/>
      <c r="CZ85" s="70">
        <f>SUM(Input_Raw[[#This Row],[P-01]:[P-03]],Input_Raw[[#This Row],[P-07]],Input_Raw[[#This Row],[P-18]],Input_Raw[[#This Row],[P-31]:[P-32]],Input_Raw[[#This Row],[P-37]],Input_Raw[[#This Row],[P-50]:[P-56]])</f>
        <v>370548</v>
      </c>
      <c r="DA85" s="12"/>
      <c r="DB85" s="13">
        <f>Input_Raw[[#This Row],[33 kV_Wind_F1_Export reading]]/1000</f>
        <v>330.28800000000001</v>
      </c>
      <c r="DC85" s="13"/>
      <c r="DD85" s="13">
        <f>Input_Raw[[#This Row],[33 kV_Wind_F2_Export_reading]]/1000</f>
        <v>393.149</v>
      </c>
      <c r="DE85" s="13"/>
      <c r="DF85" s="13">
        <f>Input_Raw[[#This Row],[33 kV_Wind_F3_Export_Reading]]/1000</f>
        <v>323.07400000000001</v>
      </c>
      <c r="DG85" s="13"/>
      <c r="DH85" s="13">
        <f>Input_Raw[[#This Row],[33 kV_Wind_F4_Export Reading]]/1000</f>
        <v>370.548</v>
      </c>
      <c r="DI85" s="13"/>
      <c r="DJ85" s="13">
        <f>Input_Raw[[#This Row],[33 kV_F1_Total_Export (MWh)]]+Input_Raw[[#This Row],[33 kV_F2_Total_Export (MWh)2]]+Input_Raw[[#This Row],[33 kV_Wind_F3_Export (MWh)]]+Input_Raw[[#This Row],[33 kV_Wind_F4_Export (MWh)]]</f>
        <v>1417.059</v>
      </c>
      <c r="DK85" s="13">
        <f>Input_Raw[[#This Row],[33 kV_Wind_F1_Import (MWh)]]+Input_Raw[[#This Row],[33 kV_Wind_F2_Import (MWh)]]+Input_Raw[[#This Row],[33 kV_Wind_F3_Import (MWh)2]]+Input_Raw[[#This Row],[33 kV_Wind_F4_Import (MWh)2]]</f>
        <v>0</v>
      </c>
      <c r="DL85" s="100">
        <f>IFERROR(Input_Raw[[#This Row],[33 kV_Wind_Total_Export (MWh)]]/Input_Raw[[#This Row],[WTG Total Gneration (MWh)]]-1,"")</f>
        <v>0</v>
      </c>
      <c r="DM85" s="66"/>
      <c r="DN85" s="186">
        <v>70</v>
      </c>
      <c r="DO85" s="186">
        <v>3827.75</v>
      </c>
      <c r="DP85" s="102">
        <v>1496.89</v>
      </c>
      <c r="DQ85" s="66"/>
      <c r="DR85" s="181">
        <v>70.400000000000006</v>
      </c>
    </row>
    <row r="86" spans="1:122" ht="15">
      <c r="A86" s="92">
        <f t="shared" si="74"/>
        <v>45826</v>
      </c>
      <c r="B86" s="190">
        <f>YEAR(Input_Raw[[#This Row],[Date]])+IF(MONTH(Input_Raw[[#This Row],[Date]])&gt;=4,1,0)</f>
        <v>2026</v>
      </c>
      <c r="C86" s="190">
        <f>YEAR(Input_Raw[[#This Row],[Date]])</f>
        <v>2025</v>
      </c>
      <c r="D86" s="11">
        <f t="shared" ref="D86" si="137">A86-DAY(A86)+1</f>
        <v>45809</v>
      </c>
      <c r="E86" s="190">
        <f>DAY(EOMONTH(Input_Raw[[#This Row],[Date]],0))</f>
        <v>30</v>
      </c>
      <c r="F86" s="199">
        <v>37480</v>
      </c>
      <c r="G86" s="199">
        <v>36332</v>
      </c>
      <c r="H86" s="199">
        <v>33716</v>
      </c>
      <c r="I86" s="199">
        <v>14582</v>
      </c>
      <c r="J86" s="199">
        <v>37140</v>
      </c>
      <c r="K86" s="199">
        <v>37872</v>
      </c>
      <c r="L86" s="199">
        <v>36686</v>
      </c>
      <c r="M86" s="199">
        <v>34520</v>
      </c>
      <c r="N86" s="199">
        <v>30316</v>
      </c>
      <c r="O86" s="199">
        <v>30690</v>
      </c>
      <c r="P86" s="199">
        <v>33706</v>
      </c>
      <c r="Q86" s="199">
        <v>37028</v>
      </c>
      <c r="R86" s="199">
        <v>37632</v>
      </c>
      <c r="S86" s="199">
        <v>36490</v>
      </c>
      <c r="T86" s="199">
        <v>34918</v>
      </c>
      <c r="U86" s="199">
        <v>27354</v>
      </c>
      <c r="V86" s="199">
        <v>35774</v>
      </c>
      <c r="W86" s="199">
        <v>35016</v>
      </c>
      <c r="X86" s="199">
        <v>36850</v>
      </c>
      <c r="Y86" s="199">
        <v>34341</v>
      </c>
      <c r="Z86" s="199">
        <v>37272</v>
      </c>
      <c r="AA86" s="199">
        <v>36064</v>
      </c>
      <c r="AB86" s="199">
        <v>35504</v>
      </c>
      <c r="AC86" s="199">
        <v>36484</v>
      </c>
      <c r="AD86" s="199">
        <v>36796</v>
      </c>
      <c r="AE86" s="199">
        <v>29400</v>
      </c>
      <c r="AF86" s="199">
        <v>29268</v>
      </c>
      <c r="AG86" s="199">
        <v>33140</v>
      </c>
      <c r="AH86" s="199">
        <v>37492</v>
      </c>
      <c r="AI86" s="199">
        <v>35074</v>
      </c>
      <c r="AJ86" s="199">
        <v>34672</v>
      </c>
      <c r="AK86" s="199">
        <v>34842</v>
      </c>
      <c r="AL86" s="199">
        <v>37212</v>
      </c>
      <c r="AM86" s="199">
        <v>37216</v>
      </c>
      <c r="AN86" s="199">
        <v>34260</v>
      </c>
      <c r="AO86" s="199">
        <v>38616</v>
      </c>
      <c r="AP86" s="199">
        <v>38508</v>
      </c>
      <c r="AQ86" s="199">
        <v>37312</v>
      </c>
      <c r="AR86" s="199">
        <v>38268</v>
      </c>
      <c r="AS86" s="199">
        <v>31984</v>
      </c>
      <c r="AT86" s="199">
        <v>33848</v>
      </c>
      <c r="AU86" s="199">
        <v>33916</v>
      </c>
      <c r="AV86" s="199">
        <v>36560</v>
      </c>
      <c r="AW86" s="199">
        <v>36160</v>
      </c>
      <c r="AX86" s="96">
        <v>13.4</v>
      </c>
      <c r="AY86" s="96">
        <v>13.87</v>
      </c>
      <c r="AZ86" s="96">
        <v>11.83</v>
      </c>
      <c r="BA86" s="96">
        <v>11.53</v>
      </c>
      <c r="BB86" s="96">
        <v>12.52</v>
      </c>
      <c r="BC86" s="96">
        <v>13.58</v>
      </c>
      <c r="BD86" s="96">
        <v>13.54</v>
      </c>
      <c r="BE86" s="96">
        <v>12.16</v>
      </c>
      <c r="BF86" s="96">
        <v>10.98</v>
      </c>
      <c r="BG86" s="96">
        <v>11.1</v>
      </c>
      <c r="BH86" s="96">
        <v>12.64</v>
      </c>
      <c r="BI86" s="96">
        <v>14</v>
      </c>
      <c r="BJ86" s="96">
        <v>13.26</v>
      </c>
      <c r="BK86" s="96">
        <v>12.52</v>
      </c>
      <c r="BL86" s="96">
        <v>12.43</v>
      </c>
      <c r="BM86" s="96">
        <v>11.56</v>
      </c>
      <c r="BN86" s="96">
        <v>12.64</v>
      </c>
      <c r="BO86" s="96">
        <v>12.2</v>
      </c>
      <c r="BP86" s="96">
        <v>12.58</v>
      </c>
      <c r="BQ86" s="96">
        <v>11.14</v>
      </c>
      <c r="BR86" s="96">
        <v>12.74</v>
      </c>
      <c r="BS86" s="96">
        <v>12.33</v>
      </c>
      <c r="BT86" s="96">
        <v>11.56</v>
      </c>
      <c r="BU86" s="96">
        <v>13.43</v>
      </c>
      <c r="BV86" s="96">
        <v>12.99</v>
      </c>
      <c r="BW86" s="96">
        <v>11.84</v>
      </c>
      <c r="BX86" s="96">
        <v>10.23</v>
      </c>
      <c r="BY86" s="96">
        <v>11.62</v>
      </c>
      <c r="BZ86" s="96">
        <v>13.26</v>
      </c>
      <c r="CA86" s="96">
        <v>12.35</v>
      </c>
      <c r="CB86" s="96">
        <v>11.78</v>
      </c>
      <c r="CC86" s="96">
        <v>12.08</v>
      </c>
      <c r="CD86" s="96">
        <v>14.61</v>
      </c>
      <c r="CE86" s="96">
        <v>13</v>
      </c>
      <c r="CF86" s="96">
        <v>11.6</v>
      </c>
      <c r="CG86" s="96">
        <v>15.89</v>
      </c>
      <c r="CH86" s="96">
        <v>14.51</v>
      </c>
      <c r="CI86" s="96">
        <v>12.62</v>
      </c>
      <c r="CJ86" s="96">
        <v>13.73</v>
      </c>
      <c r="CK86" s="96">
        <v>11.46</v>
      </c>
      <c r="CL86" s="96">
        <v>12.59</v>
      </c>
      <c r="CM86" s="96">
        <v>13.15</v>
      </c>
      <c r="CN86" s="96">
        <v>15.49</v>
      </c>
      <c r="CO86" s="96">
        <v>14.06</v>
      </c>
      <c r="CP86" s="271">
        <f>SUM(Input_Raw[[#This Row],[P-01]:[P-56]])/1000</f>
        <v>1528.3109999999999</v>
      </c>
      <c r="CQ86" s="272">
        <f>IFERROR(AVERAGEIF(Input_Raw[[#This Row],[WS_P-01]:[WS_P-56]],"&lt;&gt;",Input_Raw[[#This Row],[WS_P-01]:[WS_P-56]]),"")</f>
        <v>12.69090909090909</v>
      </c>
      <c r="CR86" s="273">
        <f>MAX(Input_Raw[[#This Row],[WS_P-01]:[WS_P-56]])</f>
        <v>15.89</v>
      </c>
      <c r="CS86" s="273"/>
      <c r="CT86" s="274">
        <f>SUM(Input_Raw[[#This Row],[P-08]:[P-13]],Input_Raw[[#This Row],[P-25]:[P-28]])</f>
        <v>342076</v>
      </c>
      <c r="CU86" s="274"/>
      <c r="CV86" s="274">
        <f>SUM(Input_Raw[[#This Row],[P-04]],Input_Raw[[#This Row],[P-14]:[P-17]],Input_Raw[[#This Row],[P-19]:[P-20]],Input_Raw[[#This Row],[P-22]:[P-23]],Input_Raw[[#This Row],[P-34]],Input_Raw[[#This Row],[P-38]],Input_Raw[[#This Row],[P-43]])</f>
        <v>400069</v>
      </c>
      <c r="CW86" s="274"/>
      <c r="CX86" s="274">
        <f>SUM(Input_Raw[[#This Row],[P-05]:[P-06]],Input_Raw[[#This Row],[P-40]:[P-42]],Input_Raw[[#This Row],[P-45]],Input_Raw[[#This Row],[P-46]],Input_Raw[[#This Row],[P-47]:[P-48]])</f>
        <v>336986</v>
      </c>
      <c r="CY86" s="274"/>
      <c r="CZ86" s="274">
        <f>SUM(Input_Raw[[#This Row],[P-01]:[P-03]],Input_Raw[[#This Row],[P-07]],Input_Raw[[#This Row],[P-18]],Input_Raw[[#This Row],[P-31]:[P-32]],Input_Raw[[#This Row],[P-37]],Input_Raw[[#This Row],[P-50]:[P-56]])</f>
        <v>449180</v>
      </c>
      <c r="DA86" s="275"/>
      <c r="DB86" s="276">
        <f>Input_Raw[[#This Row],[33 kV_Wind_F1_Export reading]]/1000</f>
        <v>342.07600000000002</v>
      </c>
      <c r="DC86" s="276"/>
      <c r="DD86" s="276">
        <f>Input_Raw[[#This Row],[33 kV_Wind_F2_Export_reading]]/1000</f>
        <v>400.06900000000002</v>
      </c>
      <c r="DE86" s="276"/>
      <c r="DF86" s="276">
        <f>Input_Raw[[#This Row],[33 kV_Wind_F3_Export_Reading]]/1000</f>
        <v>336.98599999999999</v>
      </c>
      <c r="DG86" s="276"/>
      <c r="DH86" s="276">
        <f>Input_Raw[[#This Row],[33 kV_Wind_F4_Export Reading]]/1000</f>
        <v>449.18</v>
      </c>
      <c r="DI86" s="276"/>
      <c r="DJ86" s="276">
        <f>Input_Raw[[#This Row],[33 kV_F1_Total_Export (MWh)]]+Input_Raw[[#This Row],[33 kV_F2_Total_Export (MWh)2]]+Input_Raw[[#This Row],[33 kV_Wind_F3_Export (MWh)]]+Input_Raw[[#This Row],[33 kV_Wind_F4_Export (MWh)]]</f>
        <v>1528.3109999999999</v>
      </c>
      <c r="DK86" s="276">
        <f>Input_Raw[[#This Row],[33 kV_Wind_F1_Import (MWh)]]+Input_Raw[[#This Row],[33 kV_Wind_F2_Import (MWh)]]+Input_Raw[[#This Row],[33 kV_Wind_F3_Import (MWh)2]]+Input_Raw[[#This Row],[33 kV_Wind_F4_Import (MWh)2]]</f>
        <v>0</v>
      </c>
      <c r="DL86" s="277">
        <f>IFERROR(Input_Raw[[#This Row],[33 kV_Wind_Total_Export (MWh)]]/Input_Raw[[#This Row],[WTG Total Gneration (MWh)]]-1,"")</f>
        <v>0</v>
      </c>
      <c r="DM86" s="278"/>
      <c r="DN86" s="186">
        <v>54</v>
      </c>
      <c r="DO86" s="186">
        <v>2657.25</v>
      </c>
      <c r="DP86" s="102">
        <v>1619.39</v>
      </c>
      <c r="DQ86" s="278"/>
      <c r="DR86" s="181">
        <v>70.400000000000006</v>
      </c>
    </row>
    <row r="87" spans="1:122" ht="15">
      <c r="A87" s="92">
        <f t="shared" si="74"/>
        <v>45827</v>
      </c>
      <c r="B87" s="190">
        <f>YEAR(Input_Raw[[#This Row],[Date]])+IF(MONTH(Input_Raw[[#This Row],[Date]])&gt;=4,1,0)</f>
        <v>2026</v>
      </c>
      <c r="C87" s="190">
        <f>YEAR(Input_Raw[[#This Row],[Date]])</f>
        <v>2025</v>
      </c>
      <c r="D87" s="11">
        <f t="shared" ref="D87" si="138">A87-DAY(A87)+1</f>
        <v>45809</v>
      </c>
      <c r="E87" s="190">
        <f>DAY(EOMONTH(Input_Raw[[#This Row],[Date]],0))</f>
        <v>30</v>
      </c>
      <c r="F87" s="199">
        <v>32792</v>
      </c>
      <c r="G87" s="199">
        <v>32387.999999999996</v>
      </c>
      <c r="H87" s="199">
        <v>29648</v>
      </c>
      <c r="I87" s="199">
        <v>18184</v>
      </c>
      <c r="J87" s="199">
        <v>36872</v>
      </c>
      <c r="K87" s="199">
        <v>36696</v>
      </c>
      <c r="L87" s="199">
        <v>31748</v>
      </c>
      <c r="M87" s="199">
        <v>33708</v>
      </c>
      <c r="N87" s="199">
        <v>29716</v>
      </c>
      <c r="O87" s="199">
        <v>29340</v>
      </c>
      <c r="P87" s="199">
        <v>33832</v>
      </c>
      <c r="Q87" s="199">
        <v>33356</v>
      </c>
      <c r="R87" s="199">
        <v>32020.000000000004</v>
      </c>
      <c r="S87" s="199">
        <v>34536</v>
      </c>
      <c r="T87" s="199">
        <v>29202</v>
      </c>
      <c r="U87" s="199">
        <v>34376</v>
      </c>
      <c r="V87" s="199">
        <v>35066</v>
      </c>
      <c r="W87" s="199">
        <v>31248</v>
      </c>
      <c r="X87" s="199">
        <v>34828</v>
      </c>
      <c r="Y87" s="199">
        <v>31291</v>
      </c>
      <c r="Z87" s="199">
        <v>36256</v>
      </c>
      <c r="AA87" s="199">
        <v>32119.999999999996</v>
      </c>
      <c r="AB87" s="199">
        <v>34020</v>
      </c>
      <c r="AC87" s="199">
        <v>34932</v>
      </c>
      <c r="AD87" s="199">
        <v>35584</v>
      </c>
      <c r="AE87" s="199">
        <v>34840</v>
      </c>
      <c r="AF87" s="199">
        <v>27094</v>
      </c>
      <c r="AG87" s="199">
        <v>22976</v>
      </c>
      <c r="AH87" s="199">
        <v>35804</v>
      </c>
      <c r="AI87" s="199">
        <v>24454</v>
      </c>
      <c r="AJ87" s="199">
        <v>34754</v>
      </c>
      <c r="AK87" s="199">
        <v>33148</v>
      </c>
      <c r="AL87" s="199">
        <v>36588</v>
      </c>
      <c r="AM87" s="199">
        <v>36896</v>
      </c>
      <c r="AN87" s="199">
        <v>32518</v>
      </c>
      <c r="AO87" s="199">
        <v>37740</v>
      </c>
      <c r="AP87" s="199">
        <v>37824</v>
      </c>
      <c r="AQ87" s="199">
        <v>36472</v>
      </c>
      <c r="AR87" s="199">
        <v>37716</v>
      </c>
      <c r="AS87" s="199">
        <v>23764</v>
      </c>
      <c r="AT87" s="199">
        <v>25776</v>
      </c>
      <c r="AU87" s="199">
        <v>24092</v>
      </c>
      <c r="AV87" s="199">
        <v>27288</v>
      </c>
      <c r="AW87" s="199">
        <v>21228</v>
      </c>
      <c r="AX87" s="96">
        <v>13.21</v>
      </c>
      <c r="AY87" s="96">
        <v>13.62</v>
      </c>
      <c r="AZ87" s="96">
        <v>12.11</v>
      </c>
      <c r="BA87" s="96">
        <v>12.43</v>
      </c>
      <c r="BB87" s="96">
        <v>12.69</v>
      </c>
      <c r="BC87" s="96">
        <v>13.3</v>
      </c>
      <c r="BD87" s="96">
        <v>13.23</v>
      </c>
      <c r="BE87" s="96">
        <v>12.06</v>
      </c>
      <c r="BF87" s="96">
        <v>10.8</v>
      </c>
      <c r="BG87" s="96">
        <v>11.11</v>
      </c>
      <c r="BH87" s="96">
        <v>12.84</v>
      </c>
      <c r="BI87" s="96">
        <v>13.98</v>
      </c>
      <c r="BJ87" s="96">
        <v>13.1</v>
      </c>
      <c r="BK87" s="96">
        <v>12.34</v>
      </c>
      <c r="BL87" s="96">
        <v>12.26</v>
      </c>
      <c r="BM87" s="96">
        <v>11.79</v>
      </c>
      <c r="BN87" s="96">
        <v>12.73</v>
      </c>
      <c r="BO87" s="96">
        <v>12.17</v>
      </c>
      <c r="BP87" s="96">
        <v>12.16</v>
      </c>
      <c r="BQ87" s="96">
        <v>10.83</v>
      </c>
      <c r="BR87" s="96">
        <v>12.69</v>
      </c>
      <c r="BS87" s="96">
        <v>11.99</v>
      </c>
      <c r="BT87" s="96">
        <v>11.33</v>
      </c>
      <c r="BU87" s="96">
        <v>13.16</v>
      </c>
      <c r="BV87" s="96">
        <v>12.77</v>
      </c>
      <c r="BW87" s="96">
        <v>11.86</v>
      </c>
      <c r="BX87" s="96">
        <v>10.82</v>
      </c>
      <c r="BY87" s="96">
        <v>11.02</v>
      </c>
      <c r="BZ87" s="96">
        <v>12.83</v>
      </c>
      <c r="CA87" s="96">
        <v>11.72</v>
      </c>
      <c r="CB87" s="96">
        <v>12.09</v>
      </c>
      <c r="CC87" s="96">
        <v>11.62</v>
      </c>
      <c r="CD87" s="96">
        <v>14.55</v>
      </c>
      <c r="CE87" s="96">
        <v>13.23</v>
      </c>
      <c r="CF87" s="96">
        <v>11.32</v>
      </c>
      <c r="CG87" s="96">
        <v>15.54</v>
      </c>
      <c r="CH87" s="96">
        <v>14.12</v>
      </c>
      <c r="CI87" s="96">
        <v>12.66</v>
      </c>
      <c r="CJ87" s="96">
        <v>13.54</v>
      </c>
      <c r="CK87" s="96">
        <v>11.07</v>
      </c>
      <c r="CL87" s="96">
        <v>12.08</v>
      </c>
      <c r="CM87" s="96">
        <v>12.54</v>
      </c>
      <c r="CN87" s="96">
        <v>14.9</v>
      </c>
      <c r="CO87" s="96">
        <v>13.38</v>
      </c>
      <c r="CP87" s="271">
        <f>SUM(Input_Raw[[#This Row],[P-01]:[P-56]])/1000</f>
        <v>1404.731</v>
      </c>
      <c r="CQ87" s="272">
        <f>IFERROR(AVERAGEIF(Input_Raw[[#This Row],[WS_P-01]:[WS_P-56]],"&lt;&gt;",Input_Raw[[#This Row],[WS_P-01]:[WS_P-56]]),"")</f>
        <v>12.536136363636365</v>
      </c>
      <c r="CR87" s="273">
        <f>MAX(Input_Raw[[#This Row],[WS_P-01]:[WS_P-56]])</f>
        <v>15.54</v>
      </c>
      <c r="CS87" s="273"/>
      <c r="CT87" s="274">
        <f>SUM(Input_Raw[[#This Row],[P-08]:[P-13]],Input_Raw[[#This Row],[P-25]:[P-28]])</f>
        <v>331348</v>
      </c>
      <c r="CU87" s="274"/>
      <c r="CV87" s="274">
        <f>SUM(Input_Raw[[#This Row],[P-04]],Input_Raw[[#This Row],[P-14]:[P-17]],Input_Raw[[#This Row],[P-19]:[P-20]],Input_Raw[[#This Row],[P-22]:[P-23]],Input_Raw[[#This Row],[P-34]],Input_Raw[[#This Row],[P-38]],Input_Raw[[#This Row],[P-43]])</f>
        <v>388935</v>
      </c>
      <c r="CW87" s="274"/>
      <c r="CX87" s="274">
        <f>SUM(Input_Raw[[#This Row],[P-05]:[P-06]],Input_Raw[[#This Row],[P-40]:[P-42]],Input_Raw[[#This Row],[P-45]],Input_Raw[[#This Row],[P-46]],Input_Raw[[#This Row],[P-47]:[P-48]])</f>
        <v>329952</v>
      </c>
      <c r="CY87" s="274"/>
      <c r="CZ87" s="274">
        <f>SUM(Input_Raw[[#This Row],[P-01]:[P-03]],Input_Raw[[#This Row],[P-07]],Input_Raw[[#This Row],[P-18]],Input_Raw[[#This Row],[P-31]:[P-32]],Input_Raw[[#This Row],[P-37]],Input_Raw[[#This Row],[P-50]:[P-56]])</f>
        <v>354496</v>
      </c>
      <c r="DA87" s="275"/>
      <c r="DB87" s="276">
        <f>Input_Raw[[#This Row],[33 kV_Wind_F1_Export reading]]/1000</f>
        <v>331.34800000000001</v>
      </c>
      <c r="DC87" s="276"/>
      <c r="DD87" s="276">
        <f>Input_Raw[[#This Row],[33 kV_Wind_F2_Export_reading]]/1000</f>
        <v>388.935</v>
      </c>
      <c r="DE87" s="276"/>
      <c r="DF87" s="276">
        <f>Input_Raw[[#This Row],[33 kV_Wind_F3_Export_Reading]]/1000</f>
        <v>329.952</v>
      </c>
      <c r="DG87" s="276"/>
      <c r="DH87" s="276">
        <f>Input_Raw[[#This Row],[33 kV_Wind_F4_Export Reading]]/1000</f>
        <v>354.49599999999998</v>
      </c>
      <c r="DI87" s="276"/>
      <c r="DJ87" s="276">
        <f>Input_Raw[[#This Row],[33 kV_F1_Total_Export (MWh)]]+Input_Raw[[#This Row],[33 kV_F2_Total_Export (MWh)2]]+Input_Raw[[#This Row],[33 kV_Wind_F3_Export (MWh)]]+Input_Raw[[#This Row],[33 kV_Wind_F4_Export (MWh)]]</f>
        <v>1404.7310000000002</v>
      </c>
      <c r="DK87" s="276">
        <f>Input_Raw[[#This Row],[33 kV_Wind_F1_Import (MWh)]]+Input_Raw[[#This Row],[33 kV_Wind_F2_Import (MWh)]]+Input_Raw[[#This Row],[33 kV_Wind_F3_Import (MWh)2]]+Input_Raw[[#This Row],[33 kV_Wind_F4_Import (MWh)2]]</f>
        <v>0</v>
      </c>
      <c r="DL87" s="277">
        <f>IFERROR(Input_Raw[[#This Row],[33 kV_Wind_Total_Export (MWh)]]/Input_Raw[[#This Row],[WTG Total Gneration (MWh)]]-1,"")</f>
        <v>2.2204460492503131E-16</v>
      </c>
      <c r="DM87" s="278"/>
      <c r="DN87" s="186">
        <v>89</v>
      </c>
      <c r="DO87" s="186">
        <v>23087.63</v>
      </c>
      <c r="DP87" s="102">
        <v>1534.29</v>
      </c>
      <c r="DQ87" s="278"/>
      <c r="DR87" s="181">
        <v>70.400000000000006</v>
      </c>
    </row>
    <row r="88" spans="1:122" ht="15">
      <c r="A88" s="92">
        <f t="shared" si="74"/>
        <v>45828</v>
      </c>
      <c r="B88" s="190">
        <f>YEAR(Input_Raw[[#This Row],[Date]])+IF(MONTH(Input_Raw[[#This Row],[Date]])&gt;=4,1,0)</f>
        <v>2026</v>
      </c>
      <c r="C88" s="190">
        <f>YEAR(Input_Raw[[#This Row],[Date]])</f>
        <v>2025</v>
      </c>
      <c r="D88" s="11">
        <f t="shared" ref="D88" si="139">A88-DAY(A88)+1</f>
        <v>45809</v>
      </c>
      <c r="E88" s="190">
        <f>DAY(EOMONTH(Input_Raw[[#This Row],[Date]],0))</f>
        <v>30</v>
      </c>
      <c r="F88" s="199">
        <v>31544</v>
      </c>
      <c r="G88" s="199">
        <v>30016</v>
      </c>
      <c r="H88" s="199">
        <v>26188</v>
      </c>
      <c r="I88" s="199">
        <v>30920</v>
      </c>
      <c r="J88" s="199">
        <v>35096</v>
      </c>
      <c r="K88" s="199">
        <v>34912</v>
      </c>
      <c r="L88" s="199">
        <v>30624</v>
      </c>
      <c r="M88" s="199">
        <v>26844</v>
      </c>
      <c r="N88" s="199">
        <v>24360</v>
      </c>
      <c r="O88" s="199">
        <v>26306</v>
      </c>
      <c r="P88" s="199">
        <v>31160</v>
      </c>
      <c r="Q88" s="199">
        <v>34148</v>
      </c>
      <c r="R88" s="199">
        <v>34860</v>
      </c>
      <c r="S88" s="199">
        <v>31624</v>
      </c>
      <c r="T88" s="199">
        <v>29750</v>
      </c>
      <c r="U88" s="199">
        <v>30646</v>
      </c>
      <c r="V88" s="199">
        <v>32439.999999999996</v>
      </c>
      <c r="W88" s="199">
        <v>28808</v>
      </c>
      <c r="X88" s="199">
        <v>30916</v>
      </c>
      <c r="Y88" s="199">
        <v>27615</v>
      </c>
      <c r="Z88" s="199">
        <v>33320</v>
      </c>
      <c r="AA88" s="199">
        <v>30080</v>
      </c>
      <c r="AB88" s="199">
        <v>29972</v>
      </c>
      <c r="AC88" s="199">
        <v>31968</v>
      </c>
      <c r="AD88" s="199">
        <v>32924</v>
      </c>
      <c r="AE88" s="199">
        <v>31964</v>
      </c>
      <c r="AF88" s="199">
        <v>22670</v>
      </c>
      <c r="AG88" s="199">
        <v>18384</v>
      </c>
      <c r="AH88" s="199">
        <v>33068</v>
      </c>
      <c r="AI88" s="199">
        <v>22350</v>
      </c>
      <c r="AJ88" s="199">
        <v>31422</v>
      </c>
      <c r="AK88" s="199">
        <v>29348</v>
      </c>
      <c r="AL88" s="199">
        <v>34212</v>
      </c>
      <c r="AM88" s="199">
        <v>34968</v>
      </c>
      <c r="AN88" s="199">
        <v>27714</v>
      </c>
      <c r="AO88" s="199">
        <v>37052</v>
      </c>
      <c r="AP88" s="199">
        <v>37116</v>
      </c>
      <c r="AQ88" s="199">
        <v>34632</v>
      </c>
      <c r="AR88" s="199">
        <v>36456</v>
      </c>
      <c r="AS88" s="199">
        <v>18632</v>
      </c>
      <c r="AT88" s="199">
        <v>24404</v>
      </c>
      <c r="AU88" s="199">
        <v>20436</v>
      </c>
      <c r="AV88" s="199">
        <v>27680</v>
      </c>
      <c r="AW88" s="199">
        <v>23888</v>
      </c>
      <c r="AX88" s="96">
        <v>11.43</v>
      </c>
      <c r="AY88" s="96">
        <v>11.44</v>
      </c>
      <c r="AZ88" s="96">
        <v>10.59</v>
      </c>
      <c r="BA88" s="96">
        <v>11.36</v>
      </c>
      <c r="BB88" s="96">
        <v>11.33</v>
      </c>
      <c r="BC88" s="96">
        <v>11.93</v>
      </c>
      <c r="BD88" s="96">
        <v>11.71</v>
      </c>
      <c r="BE88" s="96">
        <v>10.37</v>
      </c>
      <c r="BF88" s="96">
        <v>9.32</v>
      </c>
      <c r="BG88" s="96">
        <v>9.9700000000000006</v>
      </c>
      <c r="BH88" s="96">
        <v>11.61</v>
      </c>
      <c r="BI88" s="96">
        <v>12.32</v>
      </c>
      <c r="BJ88" s="96">
        <v>11.66</v>
      </c>
      <c r="BK88" s="96">
        <v>10.6</v>
      </c>
      <c r="BL88" s="96">
        <v>10.81</v>
      </c>
      <c r="BM88" s="96">
        <v>10.43</v>
      </c>
      <c r="BN88" s="96">
        <v>11.19</v>
      </c>
      <c r="BO88" s="96">
        <v>10.8</v>
      </c>
      <c r="BP88" s="96">
        <v>10.35</v>
      </c>
      <c r="BQ88" s="96">
        <v>9.32</v>
      </c>
      <c r="BR88" s="96">
        <v>10.96</v>
      </c>
      <c r="BS88" s="96">
        <v>10.06</v>
      </c>
      <c r="BT88" s="96">
        <v>9.77</v>
      </c>
      <c r="BU88" s="96">
        <v>11.15</v>
      </c>
      <c r="BV88" s="96">
        <v>11.27</v>
      </c>
      <c r="BW88" s="96">
        <v>10.74</v>
      </c>
      <c r="BX88" s="96">
        <v>9.6</v>
      </c>
      <c r="BY88" s="96">
        <v>9.66</v>
      </c>
      <c r="BZ88" s="96">
        <v>11.13</v>
      </c>
      <c r="CA88" s="96">
        <v>10.23</v>
      </c>
      <c r="CB88" s="96">
        <v>10.86</v>
      </c>
      <c r="CC88" s="96">
        <v>10.36</v>
      </c>
      <c r="CD88" s="96">
        <v>12.67</v>
      </c>
      <c r="CE88" s="96">
        <v>12</v>
      </c>
      <c r="CF88" s="96">
        <v>9.58</v>
      </c>
      <c r="CG88" s="96">
        <v>13.77</v>
      </c>
      <c r="CH88" s="96">
        <v>12.64</v>
      </c>
      <c r="CI88" s="96">
        <v>11.43</v>
      </c>
      <c r="CJ88" s="96">
        <v>12.29</v>
      </c>
      <c r="CK88" s="96">
        <v>10.23</v>
      </c>
      <c r="CL88" s="96">
        <v>11.17</v>
      </c>
      <c r="CM88" s="96">
        <v>11.17</v>
      </c>
      <c r="CN88" s="96">
        <v>13.1</v>
      </c>
      <c r="CO88" s="96">
        <v>11.95</v>
      </c>
      <c r="CP88" s="309">
        <f>SUM(Input_Raw[[#This Row],[P-01]:[P-56]])/1000</f>
        <v>1313.4369999999999</v>
      </c>
      <c r="CQ88" s="310">
        <f>IFERROR(AVERAGEIF(Input_Raw[[#This Row],[WS_P-01]:[WS_P-56]],"&lt;&gt;",Input_Raw[[#This Row],[WS_P-01]:[WS_P-56]]),"")</f>
        <v>11.052954545454549</v>
      </c>
      <c r="CR88" s="311">
        <f>MAX(Input_Raw[[#This Row],[WS_P-01]:[WS_P-56]])</f>
        <v>13.77</v>
      </c>
      <c r="CS88" s="311"/>
      <c r="CT88" s="312">
        <f>SUM(Input_Raw[[#This Row],[P-08]:[P-13]],Input_Raw[[#This Row],[P-25]:[P-28]])</f>
        <v>304506</v>
      </c>
      <c r="CU88" s="312"/>
      <c r="CV88" s="312">
        <f>SUM(Input_Raw[[#This Row],[P-04]],Input_Raw[[#This Row],[P-14]:[P-17]],Input_Raw[[#This Row],[P-19]:[P-20]],Input_Raw[[#This Row],[P-22]:[P-23]],Input_Raw[[#This Row],[P-34]],Input_Raw[[#This Row],[P-38]],Input_Raw[[#This Row],[P-43]])</f>
        <v>369515</v>
      </c>
      <c r="CW88" s="312"/>
      <c r="CX88" s="312">
        <f>SUM(Input_Raw[[#This Row],[P-05]:[P-06]],Input_Raw[[#This Row],[P-40]:[P-42]],Input_Raw[[#This Row],[P-45]],Input_Raw[[#This Row],[P-46]],Input_Raw[[#This Row],[P-47]:[P-48]])</f>
        <v>313792</v>
      </c>
      <c r="CY88" s="312"/>
      <c r="CZ88" s="312">
        <f>SUM(Input_Raw[[#This Row],[P-01]:[P-03]],Input_Raw[[#This Row],[P-07]],Input_Raw[[#This Row],[P-18]],Input_Raw[[#This Row],[P-31]:[P-32]],Input_Raw[[#This Row],[P-37]],Input_Raw[[#This Row],[P-50]:[P-56]])</f>
        <v>325624</v>
      </c>
      <c r="DA88" s="313"/>
      <c r="DB88" s="314">
        <f>Input_Raw[[#This Row],[33 kV_Wind_F1_Export reading]]/1000</f>
        <v>304.50599999999997</v>
      </c>
      <c r="DC88" s="314"/>
      <c r="DD88" s="314">
        <f>Input_Raw[[#This Row],[33 kV_Wind_F2_Export_reading]]/1000</f>
        <v>369.51499999999999</v>
      </c>
      <c r="DE88" s="314"/>
      <c r="DF88" s="314">
        <f>Input_Raw[[#This Row],[33 kV_Wind_F3_Export_Reading]]/1000</f>
        <v>313.79199999999997</v>
      </c>
      <c r="DG88" s="314"/>
      <c r="DH88" s="314">
        <f>Input_Raw[[#This Row],[33 kV_Wind_F4_Export Reading]]/1000</f>
        <v>325.62400000000002</v>
      </c>
      <c r="DI88" s="314"/>
      <c r="DJ88" s="314">
        <f>Input_Raw[[#This Row],[33 kV_F1_Total_Export (MWh)]]+Input_Raw[[#This Row],[33 kV_F2_Total_Export (MWh)2]]+Input_Raw[[#This Row],[33 kV_Wind_F3_Export (MWh)]]+Input_Raw[[#This Row],[33 kV_Wind_F4_Export (MWh)]]</f>
        <v>1313.4369999999999</v>
      </c>
      <c r="DK88" s="314">
        <f>Input_Raw[[#This Row],[33 kV_Wind_F1_Import (MWh)]]+Input_Raw[[#This Row],[33 kV_Wind_F2_Import (MWh)]]+Input_Raw[[#This Row],[33 kV_Wind_F3_Import (MWh)2]]+Input_Raw[[#This Row],[33 kV_Wind_F4_Import (MWh)2]]</f>
        <v>0</v>
      </c>
      <c r="DL88" s="315">
        <f>IFERROR(Input_Raw[[#This Row],[33 kV_Wind_Total_Export (MWh)]]/Input_Raw[[#This Row],[WTG Total Gneration (MWh)]]-1,"")</f>
        <v>0</v>
      </c>
      <c r="DM88" s="316"/>
      <c r="DN88" s="186">
        <v>88</v>
      </c>
      <c r="DO88" s="186">
        <v>24565.62</v>
      </c>
      <c r="DP88" s="102">
        <v>1387.29</v>
      </c>
      <c r="DQ88" s="316"/>
      <c r="DR88" s="181">
        <v>70.400000000000006</v>
      </c>
    </row>
    <row r="89" spans="1:122" ht="15">
      <c r="A89" s="92">
        <f t="shared" si="74"/>
        <v>45829</v>
      </c>
      <c r="B89" s="190">
        <f>YEAR(Input_Raw[[#This Row],[Date]])+IF(MONTH(Input_Raw[[#This Row],[Date]])&gt;=4,1,0)</f>
        <v>2026</v>
      </c>
      <c r="C89" s="190">
        <f>YEAR(Input_Raw[[#This Row],[Date]])</f>
        <v>2025</v>
      </c>
      <c r="D89" s="11">
        <f t="shared" ref="D89" si="140">A89-DAY(A89)+1</f>
        <v>45809</v>
      </c>
      <c r="E89" s="190">
        <f>DAY(EOMONTH(Input_Raw[[#This Row],[Date]],0))</f>
        <v>30</v>
      </c>
      <c r="F89" s="199">
        <v>33160</v>
      </c>
      <c r="G89" s="199">
        <v>32792</v>
      </c>
      <c r="H89" s="199">
        <v>27180</v>
      </c>
      <c r="I89" s="199">
        <v>32628</v>
      </c>
      <c r="J89" s="199">
        <v>33900</v>
      </c>
      <c r="K89" s="199">
        <v>32776</v>
      </c>
      <c r="L89" s="199">
        <v>33436</v>
      </c>
      <c r="M89" s="199">
        <v>27290</v>
      </c>
      <c r="N89" s="199">
        <v>22320</v>
      </c>
      <c r="O89" s="199">
        <v>23326</v>
      </c>
      <c r="P89" s="199">
        <v>28306</v>
      </c>
      <c r="Q89" s="199">
        <v>32592</v>
      </c>
      <c r="R89" s="199">
        <v>34160</v>
      </c>
      <c r="S89" s="199">
        <v>30636</v>
      </c>
      <c r="T89" s="199">
        <v>27646</v>
      </c>
      <c r="U89" s="199">
        <v>28156</v>
      </c>
      <c r="V89" s="199">
        <v>30542</v>
      </c>
      <c r="W89" s="199">
        <v>29048</v>
      </c>
      <c r="X89" s="199">
        <v>28496</v>
      </c>
      <c r="Y89" s="199">
        <v>24429</v>
      </c>
      <c r="Z89" s="199">
        <v>31340</v>
      </c>
      <c r="AA89" s="199">
        <v>26388</v>
      </c>
      <c r="AB89" s="199">
        <v>26896</v>
      </c>
      <c r="AC89" s="199">
        <v>30128</v>
      </c>
      <c r="AD89" s="199">
        <v>30628</v>
      </c>
      <c r="AE89" s="199">
        <v>28844</v>
      </c>
      <c r="AF89" s="199">
        <v>22328</v>
      </c>
      <c r="AG89" s="199">
        <v>27472</v>
      </c>
      <c r="AH89" s="199">
        <v>32595.999999999996</v>
      </c>
      <c r="AI89" s="199">
        <v>27132</v>
      </c>
      <c r="AJ89" s="199">
        <v>28632</v>
      </c>
      <c r="AK89" s="199">
        <v>27760</v>
      </c>
      <c r="AL89" s="199">
        <v>32960</v>
      </c>
      <c r="AM89" s="199">
        <v>33116</v>
      </c>
      <c r="AN89" s="199">
        <v>24482</v>
      </c>
      <c r="AO89" s="199">
        <v>34948</v>
      </c>
      <c r="AP89" s="199">
        <v>35936</v>
      </c>
      <c r="AQ89" s="199">
        <v>31320</v>
      </c>
      <c r="AR89" s="199">
        <v>35384</v>
      </c>
      <c r="AS89" s="199">
        <v>29026</v>
      </c>
      <c r="AT89" s="199">
        <v>32780</v>
      </c>
      <c r="AU89" s="199">
        <v>26260</v>
      </c>
      <c r="AV89" s="199">
        <v>36908</v>
      </c>
      <c r="AW89" s="199">
        <v>35988</v>
      </c>
      <c r="AX89" s="96">
        <v>10.82</v>
      </c>
      <c r="AY89" s="96">
        <v>10.87</v>
      </c>
      <c r="AZ89" s="96">
        <v>9.3800000000000008</v>
      </c>
      <c r="BA89" s="96">
        <v>11.04</v>
      </c>
      <c r="BB89" s="96">
        <v>10.59</v>
      </c>
      <c r="BC89" s="96">
        <v>11.32</v>
      </c>
      <c r="BD89" s="96">
        <v>11.1</v>
      </c>
      <c r="BE89" s="96">
        <v>9.8699999999999992</v>
      </c>
      <c r="BF89" s="96">
        <v>8.9</v>
      </c>
      <c r="BG89" s="96">
        <v>9.35</v>
      </c>
      <c r="BH89" s="96">
        <v>10.53</v>
      </c>
      <c r="BI89" s="96">
        <v>11.46</v>
      </c>
      <c r="BJ89" s="96">
        <v>11.25</v>
      </c>
      <c r="BK89" s="96">
        <v>10.32</v>
      </c>
      <c r="BL89" s="96">
        <v>10.25</v>
      </c>
      <c r="BM89" s="96">
        <v>9.8699999999999992</v>
      </c>
      <c r="BN89" s="96">
        <v>10.47</v>
      </c>
      <c r="BO89" s="96">
        <v>9.6999999999999993</v>
      </c>
      <c r="BP89" s="96">
        <v>9.82</v>
      </c>
      <c r="BQ89" s="96">
        <v>8.74</v>
      </c>
      <c r="BR89" s="96">
        <v>10.39</v>
      </c>
      <c r="BS89" s="96">
        <v>9.26</v>
      </c>
      <c r="BT89" s="96">
        <v>8.98</v>
      </c>
      <c r="BU89" s="96">
        <v>10.56</v>
      </c>
      <c r="BV89" s="96">
        <v>10.48</v>
      </c>
      <c r="BW89" s="96">
        <v>9.92</v>
      </c>
      <c r="BX89" s="96">
        <v>8.25</v>
      </c>
      <c r="BY89" s="96">
        <v>9.5299999999999994</v>
      </c>
      <c r="BZ89" s="96">
        <v>10.72</v>
      </c>
      <c r="CA89" s="96">
        <v>10.1</v>
      </c>
      <c r="CB89" s="96">
        <v>9.91</v>
      </c>
      <c r="CC89" s="96">
        <v>9.92</v>
      </c>
      <c r="CD89" s="96">
        <v>11.65</v>
      </c>
      <c r="CE89" s="96">
        <v>10.86</v>
      </c>
      <c r="CF89" s="96">
        <v>8.83</v>
      </c>
      <c r="CG89" s="96">
        <v>12.93</v>
      </c>
      <c r="CH89" s="96">
        <v>11.76</v>
      </c>
      <c r="CI89" s="96">
        <v>10.11</v>
      </c>
      <c r="CJ89" s="96">
        <v>11.54</v>
      </c>
      <c r="CK89" s="96">
        <v>9.91</v>
      </c>
      <c r="CL89" s="96">
        <v>10.9</v>
      </c>
      <c r="CM89" s="96">
        <v>10.73</v>
      </c>
      <c r="CN89" s="96">
        <v>12.63</v>
      </c>
      <c r="CO89" s="96">
        <v>11.7</v>
      </c>
      <c r="CP89" s="309">
        <f>SUM(Input_Raw[[#This Row],[P-01]:[P-56]])/1000</f>
        <v>1322.0709999999999</v>
      </c>
      <c r="CQ89" s="310">
        <f>IFERROR(AVERAGEIF(Input_Raw[[#This Row],[WS_P-01]:[WS_P-56]],"&lt;&gt;",Input_Raw[[#This Row],[WS_P-01]:[WS_P-56]]),"")</f>
        <v>10.391363636363637</v>
      </c>
      <c r="CR89" s="311">
        <f>MAX(Input_Raw[[#This Row],[WS_P-01]:[WS_P-56]])</f>
        <v>12.93</v>
      </c>
      <c r="CS89" s="311"/>
      <c r="CT89" s="312">
        <f>SUM(Input_Raw[[#This Row],[P-08]:[P-13]],Input_Raw[[#This Row],[P-25]:[P-28]])</f>
        <v>284490</v>
      </c>
      <c r="CU89" s="312"/>
      <c r="CV89" s="312">
        <f>SUM(Input_Raw[[#This Row],[P-04]],Input_Raw[[#This Row],[P-14]:[P-17]],Input_Raw[[#This Row],[P-19]:[P-20]],Input_Raw[[#This Row],[P-22]:[P-23]],Input_Raw[[#This Row],[P-34]],Input_Raw[[#This Row],[P-38]],Input_Raw[[#This Row],[P-43]])</f>
        <v>345971</v>
      </c>
      <c r="CW89" s="312"/>
      <c r="CX89" s="312">
        <f>SUM(Input_Raw[[#This Row],[P-05]:[P-06]],Input_Raw[[#This Row],[P-40]:[P-42]],Input_Raw[[#This Row],[P-45]],Input_Raw[[#This Row],[P-46]],Input_Raw[[#This Row],[P-47]:[P-48]])</f>
        <v>298100</v>
      </c>
      <c r="CY89" s="312"/>
      <c r="CZ89" s="312">
        <f>SUM(Input_Raw[[#This Row],[P-01]:[P-03]],Input_Raw[[#This Row],[P-07]],Input_Raw[[#This Row],[P-18]],Input_Raw[[#This Row],[P-31]:[P-32]],Input_Raw[[#This Row],[P-37]],Input_Raw[[#This Row],[P-50]:[P-56]])</f>
        <v>393510</v>
      </c>
      <c r="DA89" s="313"/>
      <c r="DB89" s="314">
        <f>Input_Raw[[#This Row],[33 kV_Wind_F1_Export reading]]/1000</f>
        <v>284.49</v>
      </c>
      <c r="DC89" s="314"/>
      <c r="DD89" s="314">
        <f>Input_Raw[[#This Row],[33 kV_Wind_F2_Export_reading]]/1000</f>
        <v>345.971</v>
      </c>
      <c r="DE89" s="314"/>
      <c r="DF89" s="314">
        <f>Input_Raw[[#This Row],[33 kV_Wind_F3_Export_Reading]]/1000</f>
        <v>298.10000000000002</v>
      </c>
      <c r="DG89" s="314"/>
      <c r="DH89" s="314">
        <f>Input_Raw[[#This Row],[33 kV_Wind_F4_Export Reading]]/1000</f>
        <v>393.51</v>
      </c>
      <c r="DI89" s="314"/>
      <c r="DJ89" s="314">
        <f>Input_Raw[[#This Row],[33 kV_F1_Total_Export (MWh)]]+Input_Raw[[#This Row],[33 kV_F2_Total_Export (MWh)2]]+Input_Raw[[#This Row],[33 kV_Wind_F3_Export (MWh)]]+Input_Raw[[#This Row],[33 kV_Wind_F4_Export (MWh)]]</f>
        <v>1322.0709999999999</v>
      </c>
      <c r="DK89" s="314">
        <f>Input_Raw[[#This Row],[33 kV_Wind_F1_Import (MWh)]]+Input_Raw[[#This Row],[33 kV_Wind_F2_Import (MWh)]]+Input_Raw[[#This Row],[33 kV_Wind_F3_Import (MWh)2]]+Input_Raw[[#This Row],[33 kV_Wind_F4_Import (MWh)2]]</f>
        <v>0</v>
      </c>
      <c r="DL89" s="315">
        <f>IFERROR(Input_Raw[[#This Row],[33 kV_Wind_Total_Export (MWh)]]/Input_Raw[[#This Row],[WTG Total Gneration (MWh)]]-1,"")</f>
        <v>0</v>
      </c>
      <c r="DM89" s="316"/>
      <c r="DN89" s="186">
        <v>88</v>
      </c>
      <c r="DO89" s="186">
        <v>19905.13</v>
      </c>
      <c r="DP89" s="102">
        <v>1337.29</v>
      </c>
      <c r="DQ89" s="316"/>
      <c r="DR89" s="181">
        <v>70.400000000000006</v>
      </c>
    </row>
    <row r="90" spans="1:122" ht="15">
      <c r="A90" s="92">
        <f t="shared" si="74"/>
        <v>45830</v>
      </c>
      <c r="B90" s="190">
        <f>YEAR(Input_Raw[[#This Row],[Date]])+IF(MONTH(Input_Raw[[#This Row],[Date]])&gt;=4,1,0)</f>
        <v>2026</v>
      </c>
      <c r="C90" s="190">
        <f>YEAR(Input_Raw[[#This Row],[Date]])</f>
        <v>2025</v>
      </c>
      <c r="D90" s="11">
        <f t="shared" ref="D90" si="141">A90-DAY(A90)+1</f>
        <v>45809</v>
      </c>
      <c r="E90" s="190">
        <f>DAY(EOMONTH(Input_Raw[[#This Row],[Date]],0))</f>
        <v>30</v>
      </c>
      <c r="F90" s="199">
        <v>35268</v>
      </c>
      <c r="G90" s="199">
        <v>31376</v>
      </c>
      <c r="H90" s="199">
        <v>28408</v>
      </c>
      <c r="I90" s="199">
        <v>33820</v>
      </c>
      <c r="J90" s="199">
        <v>33368</v>
      </c>
      <c r="K90" s="199">
        <v>32752.000000000004</v>
      </c>
      <c r="L90" s="199">
        <v>33774</v>
      </c>
      <c r="M90" s="199">
        <v>30090</v>
      </c>
      <c r="N90" s="199">
        <v>22256</v>
      </c>
      <c r="O90" s="199">
        <v>25796</v>
      </c>
      <c r="P90" s="199">
        <v>28906</v>
      </c>
      <c r="Q90" s="199">
        <v>35872</v>
      </c>
      <c r="R90" s="199">
        <v>36164</v>
      </c>
      <c r="S90" s="199">
        <v>30960</v>
      </c>
      <c r="T90" s="199">
        <v>29464</v>
      </c>
      <c r="U90" s="199">
        <v>31010</v>
      </c>
      <c r="V90" s="199">
        <v>33144</v>
      </c>
      <c r="W90" s="199">
        <v>30088</v>
      </c>
      <c r="X90" s="199">
        <v>27604</v>
      </c>
      <c r="Y90" s="199">
        <v>26036</v>
      </c>
      <c r="Z90" s="199">
        <v>33100</v>
      </c>
      <c r="AA90" s="199">
        <v>26816</v>
      </c>
      <c r="AB90" s="199">
        <v>29532</v>
      </c>
      <c r="AC90" s="199">
        <v>31144</v>
      </c>
      <c r="AD90" s="199">
        <v>33436</v>
      </c>
      <c r="AE90" s="199">
        <v>33180</v>
      </c>
      <c r="AF90" s="199">
        <v>24908</v>
      </c>
      <c r="AG90" s="199">
        <v>28364</v>
      </c>
      <c r="AH90" s="199">
        <v>31696</v>
      </c>
      <c r="AI90" s="199">
        <v>30752</v>
      </c>
      <c r="AJ90" s="199">
        <v>30464</v>
      </c>
      <c r="AK90" s="199">
        <v>25338</v>
      </c>
      <c r="AL90" s="199">
        <v>32536</v>
      </c>
      <c r="AM90" s="199">
        <v>34532</v>
      </c>
      <c r="AN90" s="199">
        <v>27220</v>
      </c>
      <c r="AO90" s="199">
        <v>36376</v>
      </c>
      <c r="AP90" s="199">
        <v>36276</v>
      </c>
      <c r="AQ90" s="199">
        <v>33948</v>
      </c>
      <c r="AR90" s="199">
        <v>35660</v>
      </c>
      <c r="AS90" s="199">
        <v>31874</v>
      </c>
      <c r="AT90" s="199">
        <v>34872</v>
      </c>
      <c r="AU90" s="199">
        <v>27490</v>
      </c>
      <c r="AV90" s="199">
        <v>36912</v>
      </c>
      <c r="AW90" s="199">
        <v>36036</v>
      </c>
      <c r="AX90" s="96">
        <v>11.07</v>
      </c>
      <c r="AY90" s="96">
        <v>10.62</v>
      </c>
      <c r="AZ90" s="96">
        <v>9.86</v>
      </c>
      <c r="BA90" s="96">
        <v>11.34</v>
      </c>
      <c r="BB90" s="96">
        <v>10.57</v>
      </c>
      <c r="BC90" s="96">
        <v>11.13</v>
      </c>
      <c r="BD90" s="96">
        <v>11.25</v>
      </c>
      <c r="BE90" s="96">
        <v>10.48</v>
      </c>
      <c r="BF90" s="96">
        <v>9.09</v>
      </c>
      <c r="BG90" s="96">
        <v>9.9700000000000006</v>
      </c>
      <c r="BH90" s="96">
        <v>11.68</v>
      </c>
      <c r="BI90" s="96">
        <v>12.67</v>
      </c>
      <c r="BJ90" s="96">
        <v>11.97</v>
      </c>
      <c r="BK90" s="96">
        <v>10.35</v>
      </c>
      <c r="BL90" s="96">
        <v>10.73</v>
      </c>
      <c r="BM90" s="96">
        <v>10.46</v>
      </c>
      <c r="BN90" s="96">
        <v>11.3</v>
      </c>
      <c r="BO90" s="96">
        <v>10.08</v>
      </c>
      <c r="BP90" s="96">
        <v>9.89</v>
      </c>
      <c r="BQ90" s="96">
        <v>9.0500000000000007</v>
      </c>
      <c r="BR90" s="96">
        <v>10.76</v>
      </c>
      <c r="BS90" s="96">
        <v>9.59</v>
      </c>
      <c r="BT90" s="96">
        <v>9.51</v>
      </c>
      <c r="BU90" s="96">
        <v>11.05</v>
      </c>
      <c r="BV90" s="96">
        <v>11.23</v>
      </c>
      <c r="BW90" s="96">
        <v>10.99</v>
      </c>
      <c r="BX90" s="96">
        <v>8.91</v>
      </c>
      <c r="BY90" s="96">
        <v>9.74</v>
      </c>
      <c r="BZ90" s="96">
        <v>11.15</v>
      </c>
      <c r="CA90" s="96">
        <v>10.35</v>
      </c>
      <c r="CB90" s="96">
        <v>10.68</v>
      </c>
      <c r="CC90" s="96">
        <v>9.6</v>
      </c>
      <c r="CD90" s="96">
        <v>11.79</v>
      </c>
      <c r="CE90" s="96">
        <v>11.48</v>
      </c>
      <c r="CF90" s="96">
        <v>9.39</v>
      </c>
      <c r="CG90" s="96">
        <v>13.14</v>
      </c>
      <c r="CH90" s="96">
        <v>12.16</v>
      </c>
      <c r="CI90" s="96">
        <v>11.05</v>
      </c>
      <c r="CJ90" s="96">
        <v>11.74</v>
      </c>
      <c r="CK90" s="96">
        <v>10.61</v>
      </c>
      <c r="CL90" s="96">
        <v>11.52</v>
      </c>
      <c r="CM90" s="96">
        <v>11.01</v>
      </c>
      <c r="CN90" s="96">
        <v>12.74</v>
      </c>
      <c r="CO90" s="96">
        <v>11.85</v>
      </c>
      <c r="CP90" s="309">
        <f>SUM(Input_Raw[[#This Row],[P-01]:[P-56]])/1000</f>
        <v>1378.6179999999999</v>
      </c>
      <c r="CQ90" s="310">
        <f>IFERROR(AVERAGEIF(Input_Raw[[#This Row],[WS_P-01]:[WS_P-56]],"&lt;&gt;",Input_Raw[[#This Row],[WS_P-01]:[WS_P-56]]),"")</f>
        <v>10.809090909090912</v>
      </c>
      <c r="CR90" s="311">
        <f>MAX(Input_Raw[[#This Row],[WS_P-01]:[WS_P-56]])</f>
        <v>13.14</v>
      </c>
      <c r="CS90" s="311"/>
      <c r="CT90" s="312">
        <f>SUM(Input_Raw[[#This Row],[P-08]:[P-13]],Input_Raw[[#This Row],[P-25]:[P-28]])</f>
        <v>306376</v>
      </c>
      <c r="CU90" s="312"/>
      <c r="CV90" s="312">
        <f>SUM(Input_Raw[[#This Row],[P-04]],Input_Raw[[#This Row],[P-14]:[P-17]],Input_Raw[[#This Row],[P-19]:[P-20]],Input_Raw[[#This Row],[P-22]:[P-23]],Input_Raw[[#This Row],[P-34]],Input_Raw[[#This Row],[P-38]],Input_Raw[[#This Row],[P-43]])</f>
        <v>361334</v>
      </c>
      <c r="CW90" s="312"/>
      <c r="CX90" s="312">
        <f>SUM(Input_Raw[[#This Row],[P-05]:[P-06]],Input_Raw[[#This Row],[P-40]:[P-42]],Input_Raw[[#This Row],[P-45]],Input_Raw[[#This Row],[P-46]],Input_Raw[[#This Row],[P-47]:[P-48]])</f>
        <v>300786</v>
      </c>
      <c r="CY90" s="312"/>
      <c r="CZ90" s="312">
        <f>SUM(Input_Raw[[#This Row],[P-01]:[P-03]],Input_Raw[[#This Row],[P-07]],Input_Raw[[#This Row],[P-18]],Input_Raw[[#This Row],[P-31]:[P-32]],Input_Raw[[#This Row],[P-37]],Input_Raw[[#This Row],[P-50]:[P-56]])</f>
        <v>410122</v>
      </c>
      <c r="DA90" s="313"/>
      <c r="DB90" s="314">
        <f>Input_Raw[[#This Row],[33 kV_Wind_F1_Export reading]]/1000</f>
        <v>306.37599999999998</v>
      </c>
      <c r="DC90" s="314"/>
      <c r="DD90" s="314">
        <f>Input_Raw[[#This Row],[33 kV_Wind_F2_Export_reading]]/1000</f>
        <v>361.334</v>
      </c>
      <c r="DE90" s="314"/>
      <c r="DF90" s="314">
        <f>Input_Raw[[#This Row],[33 kV_Wind_F3_Export_Reading]]/1000</f>
        <v>300.786</v>
      </c>
      <c r="DG90" s="314"/>
      <c r="DH90" s="314">
        <f>Input_Raw[[#This Row],[33 kV_Wind_F4_Export Reading]]/1000</f>
        <v>410.12200000000001</v>
      </c>
      <c r="DI90" s="314"/>
      <c r="DJ90" s="314">
        <f>Input_Raw[[#This Row],[33 kV_F1_Total_Export (MWh)]]+Input_Raw[[#This Row],[33 kV_F2_Total_Export (MWh)2]]+Input_Raw[[#This Row],[33 kV_Wind_F3_Export (MWh)]]+Input_Raw[[#This Row],[33 kV_Wind_F4_Export (MWh)]]</f>
        <v>1378.6180000000002</v>
      </c>
      <c r="DK90" s="314">
        <f>Input_Raw[[#This Row],[33 kV_Wind_F1_Import (MWh)]]+Input_Raw[[#This Row],[33 kV_Wind_F2_Import (MWh)]]+Input_Raw[[#This Row],[33 kV_Wind_F3_Import (MWh)2]]+Input_Raw[[#This Row],[33 kV_Wind_F4_Import (MWh)2]]</f>
        <v>0</v>
      </c>
      <c r="DL90" s="315">
        <f>IFERROR(Input_Raw[[#This Row],[33 kV_Wind_Total_Export (MWh)]]/Input_Raw[[#This Row],[WTG Total Gneration (MWh)]]-1,"")</f>
        <v>2.2204460492503131E-16</v>
      </c>
      <c r="DM90" s="316"/>
      <c r="DN90" s="186">
        <v>88</v>
      </c>
      <c r="DO90" s="186">
        <v>12007.25</v>
      </c>
      <c r="DP90" s="102">
        <v>1411.15</v>
      </c>
      <c r="DQ90" s="316"/>
      <c r="DR90" s="181">
        <v>70.400000000000006</v>
      </c>
    </row>
    <row r="91" spans="1:122" ht="15">
      <c r="A91" s="92">
        <f t="shared" si="74"/>
        <v>45831</v>
      </c>
      <c r="B91" s="190">
        <f>YEAR(Input_Raw[[#This Row],[Date]])+IF(MONTH(Input_Raw[[#This Row],[Date]])&gt;=4,1,0)</f>
        <v>2026</v>
      </c>
      <c r="C91" s="190">
        <f>YEAR(Input_Raw[[#This Row],[Date]])</f>
        <v>2025</v>
      </c>
      <c r="D91" s="11">
        <f t="shared" ref="D91" si="142">A91-DAY(A91)+1</f>
        <v>45809</v>
      </c>
      <c r="E91" s="190">
        <f>DAY(EOMONTH(Input_Raw[[#This Row],[Date]],0))</f>
        <v>30</v>
      </c>
      <c r="F91" s="199">
        <v>31768</v>
      </c>
      <c r="G91" s="199">
        <v>30844</v>
      </c>
      <c r="H91" s="199">
        <v>29372</v>
      </c>
      <c r="I91" s="199">
        <v>35934</v>
      </c>
      <c r="J91" s="199">
        <v>38084</v>
      </c>
      <c r="K91" s="199">
        <v>37928</v>
      </c>
      <c r="L91" s="199">
        <v>31610</v>
      </c>
      <c r="M91" s="199">
        <v>33912</v>
      </c>
      <c r="N91" s="199">
        <v>27648</v>
      </c>
      <c r="O91" s="199">
        <v>31576</v>
      </c>
      <c r="P91" s="199">
        <v>35656</v>
      </c>
      <c r="Q91" s="199">
        <v>37360</v>
      </c>
      <c r="R91" s="199">
        <v>37956</v>
      </c>
      <c r="S91" s="199">
        <v>35964</v>
      </c>
      <c r="T91" s="199">
        <v>34936</v>
      </c>
      <c r="U91" s="199">
        <v>36106</v>
      </c>
      <c r="V91" s="199">
        <v>36156</v>
      </c>
      <c r="W91" s="199">
        <v>30916</v>
      </c>
      <c r="X91" s="199">
        <v>37072</v>
      </c>
      <c r="Y91" s="199">
        <v>35571</v>
      </c>
      <c r="Z91" s="199">
        <v>37288</v>
      </c>
      <c r="AA91" s="199">
        <v>36084</v>
      </c>
      <c r="AB91" s="199">
        <v>36216</v>
      </c>
      <c r="AC91" s="199">
        <v>36684</v>
      </c>
      <c r="AD91" s="199">
        <v>37120</v>
      </c>
      <c r="AE91" s="199">
        <v>36656</v>
      </c>
      <c r="AF91" s="199">
        <v>26728</v>
      </c>
      <c r="AG91" s="199">
        <v>25442</v>
      </c>
      <c r="AH91" s="199">
        <v>33592</v>
      </c>
      <c r="AI91" s="199">
        <v>30044</v>
      </c>
      <c r="AJ91" s="199">
        <v>36748</v>
      </c>
      <c r="AK91" s="199">
        <v>35492</v>
      </c>
      <c r="AL91" s="199">
        <v>35216</v>
      </c>
      <c r="AM91" s="199">
        <v>35360</v>
      </c>
      <c r="AN91" s="199">
        <v>35322</v>
      </c>
      <c r="AO91" s="199">
        <v>38592</v>
      </c>
      <c r="AP91" s="199">
        <v>38616</v>
      </c>
      <c r="AQ91" s="199">
        <v>38140</v>
      </c>
      <c r="AR91" s="199">
        <v>38564</v>
      </c>
      <c r="AS91" s="199">
        <v>28652</v>
      </c>
      <c r="AT91" s="199">
        <v>29696</v>
      </c>
      <c r="AU91" s="199">
        <v>22890</v>
      </c>
      <c r="AV91" s="199">
        <v>31044</v>
      </c>
      <c r="AW91" s="199">
        <v>32100</v>
      </c>
      <c r="AX91" s="96">
        <v>13.81</v>
      </c>
      <c r="AY91" s="96">
        <v>14.11</v>
      </c>
      <c r="AZ91" s="96">
        <v>12.49</v>
      </c>
      <c r="BA91" s="96">
        <v>14.06</v>
      </c>
      <c r="BB91" s="96">
        <v>13.32</v>
      </c>
      <c r="BC91" s="96">
        <v>14.28</v>
      </c>
      <c r="BD91" s="96">
        <v>13.99</v>
      </c>
      <c r="BE91" s="96">
        <v>12.83</v>
      </c>
      <c r="BF91" s="96">
        <v>11.39</v>
      </c>
      <c r="BG91" s="96">
        <v>11.77</v>
      </c>
      <c r="BH91" s="96">
        <v>14.07</v>
      </c>
      <c r="BI91" s="96">
        <v>15.21</v>
      </c>
      <c r="BJ91" s="96">
        <v>14.11</v>
      </c>
      <c r="BK91" s="96">
        <v>12.99</v>
      </c>
      <c r="BL91" s="96">
        <v>13.24</v>
      </c>
      <c r="BM91" s="96">
        <v>12.6</v>
      </c>
      <c r="BN91" s="96">
        <v>13.91</v>
      </c>
      <c r="BO91" s="96">
        <v>12.8</v>
      </c>
      <c r="BP91" s="96">
        <v>13.01</v>
      </c>
      <c r="BQ91" s="96">
        <v>11.7</v>
      </c>
      <c r="BR91" s="96">
        <v>13.19</v>
      </c>
      <c r="BS91" s="96">
        <v>12.74</v>
      </c>
      <c r="BT91" s="96">
        <v>12.23</v>
      </c>
      <c r="BU91" s="96">
        <v>14.36</v>
      </c>
      <c r="BV91" s="96">
        <v>13.79</v>
      </c>
      <c r="BW91" s="96">
        <v>12.99</v>
      </c>
      <c r="BX91" s="96">
        <v>11.18</v>
      </c>
      <c r="BY91" s="96">
        <v>11.75</v>
      </c>
      <c r="BZ91" s="96">
        <v>13.49</v>
      </c>
      <c r="CA91" s="96">
        <v>12.71</v>
      </c>
      <c r="CB91" s="96">
        <v>13</v>
      </c>
      <c r="CC91" s="96">
        <v>12.41</v>
      </c>
      <c r="CD91" s="96">
        <v>15.61</v>
      </c>
      <c r="CE91" s="96">
        <v>14.29</v>
      </c>
      <c r="CF91" s="96">
        <v>12.34</v>
      </c>
      <c r="CG91" s="96">
        <v>16.41</v>
      </c>
      <c r="CH91" s="96">
        <v>15.2</v>
      </c>
      <c r="CI91" s="96">
        <v>13.78</v>
      </c>
      <c r="CJ91" s="96">
        <v>14.55</v>
      </c>
      <c r="CK91" s="96">
        <v>12.41</v>
      </c>
      <c r="CL91" s="96">
        <v>13.44</v>
      </c>
      <c r="CM91" s="96">
        <v>13.62</v>
      </c>
      <c r="CN91" s="96">
        <v>15.84</v>
      </c>
      <c r="CO91" s="96">
        <v>14.59</v>
      </c>
      <c r="CP91" s="309">
        <f>SUM(Input_Raw[[#This Row],[P-01]:[P-56]])/1000</f>
        <v>1498.655</v>
      </c>
      <c r="CQ91" s="310">
        <f>IFERROR(AVERAGEIF(Input_Raw[[#This Row],[WS_P-01]:[WS_P-56]],"&lt;&gt;",Input_Raw[[#This Row],[WS_P-01]:[WS_P-56]]),"")</f>
        <v>13.445681818181821</v>
      </c>
      <c r="CR91" s="311">
        <f>MAX(Input_Raw[[#This Row],[WS_P-01]:[WS_P-56]])</f>
        <v>16.41</v>
      </c>
      <c r="CS91" s="311"/>
      <c r="CT91" s="312">
        <f>SUM(Input_Raw[[#This Row],[P-08]:[P-13]],Input_Raw[[#This Row],[P-25]:[P-28]])</f>
        <v>350784</v>
      </c>
      <c r="CU91" s="312"/>
      <c r="CV91" s="312">
        <f>SUM(Input_Raw[[#This Row],[P-04]],Input_Raw[[#This Row],[P-14]:[P-17]],Input_Raw[[#This Row],[P-19]:[P-20]],Input_Raw[[#This Row],[P-22]:[P-23]],Input_Raw[[#This Row],[P-34]],Input_Raw[[#This Row],[P-38]],Input_Raw[[#This Row],[P-43]])</f>
        <v>430773</v>
      </c>
      <c r="CW91" s="312"/>
      <c r="CX91" s="312">
        <f>SUM(Input_Raw[[#This Row],[P-05]:[P-06]],Input_Raw[[#This Row],[P-40]:[P-42]],Input_Raw[[#This Row],[P-45]],Input_Raw[[#This Row],[P-46]],Input_Raw[[#This Row],[P-47]:[P-48]])</f>
        <v>335992</v>
      </c>
      <c r="CY91" s="312"/>
      <c r="CZ91" s="312">
        <f>SUM(Input_Raw[[#This Row],[P-01]:[P-03]],Input_Raw[[#This Row],[P-07]],Input_Raw[[#This Row],[P-18]],Input_Raw[[#This Row],[P-31]:[P-32]],Input_Raw[[#This Row],[P-37]],Input_Raw[[#This Row],[P-50]:[P-56]])</f>
        <v>381106</v>
      </c>
      <c r="DA91" s="313"/>
      <c r="DB91" s="314">
        <f>Input_Raw[[#This Row],[33 kV_Wind_F1_Export reading]]/1000</f>
        <v>350.78399999999999</v>
      </c>
      <c r="DC91" s="314"/>
      <c r="DD91" s="314">
        <f>Input_Raw[[#This Row],[33 kV_Wind_F2_Export_reading]]/1000</f>
        <v>430.77300000000002</v>
      </c>
      <c r="DE91" s="314"/>
      <c r="DF91" s="314">
        <f>Input_Raw[[#This Row],[33 kV_Wind_F3_Export_Reading]]/1000</f>
        <v>335.99200000000002</v>
      </c>
      <c r="DG91" s="314"/>
      <c r="DH91" s="314">
        <f>Input_Raw[[#This Row],[33 kV_Wind_F4_Export Reading]]/1000</f>
        <v>381.10599999999999</v>
      </c>
      <c r="DI91" s="314"/>
      <c r="DJ91" s="314">
        <f>Input_Raw[[#This Row],[33 kV_F1_Total_Export (MWh)]]+Input_Raw[[#This Row],[33 kV_F2_Total_Export (MWh)2]]+Input_Raw[[#This Row],[33 kV_Wind_F3_Export (MWh)]]+Input_Raw[[#This Row],[33 kV_Wind_F4_Export (MWh)]]</f>
        <v>1498.655</v>
      </c>
      <c r="DK91" s="314">
        <f>Input_Raw[[#This Row],[33 kV_Wind_F1_Import (MWh)]]+Input_Raw[[#This Row],[33 kV_Wind_F2_Import (MWh)]]+Input_Raw[[#This Row],[33 kV_Wind_F3_Import (MWh)2]]+Input_Raw[[#This Row],[33 kV_Wind_F4_Import (MWh)2]]</f>
        <v>0</v>
      </c>
      <c r="DL91" s="315">
        <f>IFERROR(Input_Raw[[#This Row],[33 kV_Wind_Total_Export (MWh)]]/Input_Raw[[#This Row],[WTG Total Gneration (MWh)]]-1,"")</f>
        <v>0</v>
      </c>
      <c r="DM91" s="316"/>
      <c r="DN91" s="186">
        <v>76</v>
      </c>
      <c r="DO91" s="186">
        <v>5714</v>
      </c>
      <c r="DP91" s="102">
        <v>1581.51</v>
      </c>
      <c r="DQ91" s="316"/>
      <c r="DR91" s="181">
        <v>70.400000000000006</v>
      </c>
    </row>
    <row r="92" spans="1:122" ht="15">
      <c r="A92" s="92">
        <f t="shared" si="74"/>
        <v>45832</v>
      </c>
      <c r="B92" s="190">
        <f>YEAR(Input_Raw[[#This Row],[Date]])+IF(MONTH(Input_Raw[[#This Row],[Date]])&gt;=4,1,0)</f>
        <v>2026</v>
      </c>
      <c r="C92" s="190">
        <f>YEAR(Input_Raw[[#This Row],[Date]])</f>
        <v>2025</v>
      </c>
      <c r="D92" s="11">
        <f t="shared" ref="D92" si="143">A92-DAY(A92)+1</f>
        <v>45809</v>
      </c>
      <c r="E92" s="190">
        <f>DAY(EOMONTH(Input_Raw[[#This Row],[Date]],0))</f>
        <v>30</v>
      </c>
      <c r="F92" s="199">
        <v>36304</v>
      </c>
      <c r="G92" s="199">
        <v>34300</v>
      </c>
      <c r="H92" s="199">
        <v>34904</v>
      </c>
      <c r="I92" s="199">
        <v>36964</v>
      </c>
      <c r="J92" s="199">
        <v>37444</v>
      </c>
      <c r="K92" s="199">
        <v>36416</v>
      </c>
      <c r="L92" s="199">
        <v>34906</v>
      </c>
      <c r="M92" s="199">
        <v>35892</v>
      </c>
      <c r="N92" s="199">
        <v>31096</v>
      </c>
      <c r="O92" s="199">
        <v>33644</v>
      </c>
      <c r="P92" s="199">
        <v>35304</v>
      </c>
      <c r="Q92" s="199">
        <v>37592</v>
      </c>
      <c r="R92" s="199">
        <v>37912</v>
      </c>
      <c r="S92" s="199">
        <v>33632</v>
      </c>
      <c r="T92" s="199">
        <v>33916</v>
      </c>
      <c r="U92" s="199">
        <v>36376</v>
      </c>
      <c r="V92" s="199">
        <v>34668</v>
      </c>
      <c r="W92" s="199">
        <v>35292</v>
      </c>
      <c r="X92" s="199">
        <v>35668</v>
      </c>
      <c r="Y92" s="199">
        <v>33965</v>
      </c>
      <c r="Z92" s="199">
        <v>36664</v>
      </c>
      <c r="AA92" s="199">
        <v>35196</v>
      </c>
      <c r="AB92" s="199">
        <v>36272</v>
      </c>
      <c r="AC92" s="199">
        <v>35796</v>
      </c>
      <c r="AD92" s="199">
        <v>37600</v>
      </c>
      <c r="AE92" s="199">
        <v>37384</v>
      </c>
      <c r="AF92" s="199">
        <v>33520</v>
      </c>
      <c r="AG92" s="199">
        <v>31976</v>
      </c>
      <c r="AH92" s="199">
        <v>23564</v>
      </c>
      <c r="AI92" s="199">
        <v>33866</v>
      </c>
      <c r="AJ92" s="199">
        <v>35908</v>
      </c>
      <c r="AK92" s="199">
        <v>32409.999999999996</v>
      </c>
      <c r="AL92" s="199">
        <v>36244</v>
      </c>
      <c r="AM92" s="199">
        <v>37488</v>
      </c>
      <c r="AN92" s="199">
        <v>34862</v>
      </c>
      <c r="AO92" s="199">
        <v>38192</v>
      </c>
      <c r="AP92" s="199">
        <v>37640</v>
      </c>
      <c r="AQ92" s="199">
        <v>37868</v>
      </c>
      <c r="AR92" s="199">
        <v>38044</v>
      </c>
      <c r="AS92" s="199">
        <v>27660</v>
      </c>
      <c r="AT92" s="199">
        <v>35100</v>
      </c>
      <c r="AU92" s="199">
        <v>26496</v>
      </c>
      <c r="AV92" s="199">
        <v>35840</v>
      </c>
      <c r="AW92" s="199">
        <v>36236</v>
      </c>
      <c r="AX92" s="96">
        <v>13.68</v>
      </c>
      <c r="AY92" s="96">
        <v>13.93</v>
      </c>
      <c r="AZ92" s="96">
        <v>13.18</v>
      </c>
      <c r="BA92" s="96">
        <v>13.79</v>
      </c>
      <c r="BB92" s="96">
        <v>13.23</v>
      </c>
      <c r="BC92" s="96">
        <v>13.62</v>
      </c>
      <c r="BD92" s="96">
        <v>13.81</v>
      </c>
      <c r="BE92" s="96">
        <v>12.97</v>
      </c>
      <c r="BF92" s="96">
        <v>11.4</v>
      </c>
      <c r="BG92" s="96">
        <v>12.08</v>
      </c>
      <c r="BH92" s="96">
        <v>15.06</v>
      </c>
      <c r="BI92" s="96">
        <v>15.91</v>
      </c>
      <c r="BJ92" s="96">
        <v>14.23</v>
      </c>
      <c r="BK92" s="96">
        <v>12.64</v>
      </c>
      <c r="BL92" s="96">
        <v>13.04</v>
      </c>
      <c r="BM92" s="96">
        <v>12.88</v>
      </c>
      <c r="BN92" s="96">
        <v>13.84</v>
      </c>
      <c r="BO92" s="96">
        <v>13.06</v>
      </c>
      <c r="BP92" s="96">
        <v>12.56</v>
      </c>
      <c r="BQ92" s="96">
        <v>11.49</v>
      </c>
      <c r="BR92" s="96">
        <v>12.92</v>
      </c>
      <c r="BS92" s="96">
        <v>12.4</v>
      </c>
      <c r="BT92" s="96">
        <v>12.2</v>
      </c>
      <c r="BU92" s="96">
        <v>14.15</v>
      </c>
      <c r="BV92" s="96">
        <v>14.26</v>
      </c>
      <c r="BW92" s="96">
        <v>13.31</v>
      </c>
      <c r="BX92" s="96">
        <v>12.18</v>
      </c>
      <c r="BY92" s="96">
        <v>11.58</v>
      </c>
      <c r="BZ92" s="96">
        <v>11.92</v>
      </c>
      <c r="CA92" s="96">
        <v>12.45</v>
      </c>
      <c r="CB92" s="96">
        <v>13.08</v>
      </c>
      <c r="CC92" s="96">
        <v>11.78</v>
      </c>
      <c r="CD92" s="96">
        <v>15.34</v>
      </c>
      <c r="CE92" s="96">
        <v>14.15</v>
      </c>
      <c r="CF92" s="96">
        <v>12.27</v>
      </c>
      <c r="CG92" s="96">
        <v>15.77</v>
      </c>
      <c r="CH92" s="96">
        <v>14.73</v>
      </c>
      <c r="CI92" s="96">
        <v>13.83</v>
      </c>
      <c r="CJ92" s="96">
        <v>14.22</v>
      </c>
      <c r="CK92" s="96">
        <v>12.17</v>
      </c>
      <c r="CL92" s="96">
        <v>13.49</v>
      </c>
      <c r="CM92" s="96">
        <v>13.17</v>
      </c>
      <c r="CN92" s="96">
        <v>15.67</v>
      </c>
      <c r="CO92" s="96">
        <v>14.15</v>
      </c>
      <c r="CP92" s="309">
        <f>SUM(Input_Raw[[#This Row],[P-01]:[P-56]])/1000</f>
        <v>1538.021</v>
      </c>
      <c r="CQ92" s="310">
        <f>IFERROR(AVERAGEIF(Input_Raw[[#This Row],[WS_P-01]:[WS_P-56]],"&lt;&gt;",Input_Raw[[#This Row],[WS_P-01]:[WS_P-56]]),"")</f>
        <v>13.354318181818174</v>
      </c>
      <c r="CR92" s="311">
        <f>MAX(Input_Raw[[#This Row],[WS_P-01]:[WS_P-56]])</f>
        <v>15.91</v>
      </c>
      <c r="CS92" s="311"/>
      <c r="CT92" s="312">
        <f>SUM(Input_Raw[[#This Row],[P-08]:[P-13]],Input_Raw[[#This Row],[P-25]:[P-28]])</f>
        <v>358492</v>
      </c>
      <c r="CU92" s="312"/>
      <c r="CV92" s="312">
        <f>SUM(Input_Raw[[#This Row],[P-04]],Input_Raw[[#This Row],[P-14]:[P-17]],Input_Raw[[#This Row],[P-19]:[P-20]],Input_Raw[[#This Row],[P-22]:[P-23]],Input_Raw[[#This Row],[P-34]],Input_Raw[[#This Row],[P-38]],Input_Raw[[#This Row],[P-43]])</f>
        <v>411383</v>
      </c>
      <c r="CW92" s="312"/>
      <c r="CX92" s="312">
        <f>SUM(Input_Raw[[#This Row],[P-05]:[P-06]],Input_Raw[[#This Row],[P-40]:[P-42]],Input_Raw[[#This Row],[P-45]],Input_Raw[[#This Row],[P-46]],Input_Raw[[#This Row],[P-47]:[P-48]])</f>
        <v>331746</v>
      </c>
      <c r="CY92" s="312"/>
      <c r="CZ92" s="312">
        <f>SUM(Input_Raw[[#This Row],[P-01]:[P-03]],Input_Raw[[#This Row],[P-07]],Input_Raw[[#This Row],[P-18]],Input_Raw[[#This Row],[P-31]:[P-32]],Input_Raw[[#This Row],[P-37]],Input_Raw[[#This Row],[P-50]:[P-56]])</f>
        <v>436400</v>
      </c>
      <c r="DA92" s="313"/>
      <c r="DB92" s="314">
        <f>Input_Raw[[#This Row],[33 kV_Wind_F1_Export reading]]/1000</f>
        <v>358.49200000000002</v>
      </c>
      <c r="DC92" s="314"/>
      <c r="DD92" s="314">
        <f>Input_Raw[[#This Row],[33 kV_Wind_F2_Export_reading]]/1000</f>
        <v>411.38299999999998</v>
      </c>
      <c r="DE92" s="314"/>
      <c r="DF92" s="314">
        <f>Input_Raw[[#This Row],[33 kV_Wind_F3_Export_Reading]]/1000</f>
        <v>331.74599999999998</v>
      </c>
      <c r="DG92" s="314"/>
      <c r="DH92" s="314">
        <f>Input_Raw[[#This Row],[33 kV_Wind_F4_Export Reading]]/1000</f>
        <v>436.4</v>
      </c>
      <c r="DI92" s="314"/>
      <c r="DJ92" s="314">
        <f>Input_Raw[[#This Row],[33 kV_F1_Total_Export (MWh)]]+Input_Raw[[#This Row],[33 kV_F2_Total_Export (MWh)2]]+Input_Raw[[#This Row],[33 kV_Wind_F3_Export (MWh)]]+Input_Raw[[#This Row],[33 kV_Wind_F4_Export (MWh)]]</f>
        <v>1538.0210000000002</v>
      </c>
      <c r="DK92" s="314">
        <f>Input_Raw[[#This Row],[33 kV_Wind_F1_Import (MWh)]]+Input_Raw[[#This Row],[33 kV_Wind_F2_Import (MWh)]]+Input_Raw[[#This Row],[33 kV_Wind_F3_Import (MWh)2]]+Input_Raw[[#This Row],[33 kV_Wind_F4_Import (MWh)2]]</f>
        <v>0</v>
      </c>
      <c r="DL92" s="315">
        <f>IFERROR(Input_Raw[[#This Row],[33 kV_Wind_Total_Export (MWh)]]/Input_Raw[[#This Row],[WTG Total Gneration (MWh)]]-1,"")</f>
        <v>2.2204460492503131E-16</v>
      </c>
      <c r="DM92" s="316"/>
      <c r="DN92" s="186">
        <v>93</v>
      </c>
      <c r="DO92" s="186">
        <v>7554.13</v>
      </c>
      <c r="DP92" s="102">
        <v>1618.54</v>
      </c>
      <c r="DQ92" s="316"/>
      <c r="DR92" s="181">
        <v>70.400000000000006</v>
      </c>
    </row>
    <row r="93" spans="1:122" ht="15">
      <c r="A93" s="92">
        <f t="shared" si="74"/>
        <v>45833</v>
      </c>
      <c r="B93" s="190">
        <f>YEAR(Input_Raw[[#This Row],[Date]])+IF(MONTH(Input_Raw[[#This Row],[Date]])&gt;=4,1,0)</f>
        <v>2026</v>
      </c>
      <c r="C93" s="190">
        <f>YEAR(Input_Raw[[#This Row],[Date]])</f>
        <v>2025</v>
      </c>
      <c r="D93" s="11">
        <f t="shared" ref="D93" si="144">A93-DAY(A93)+1</f>
        <v>45809</v>
      </c>
      <c r="E93" s="190">
        <f>DAY(EOMONTH(Input_Raw[[#This Row],[Date]],0))</f>
        <v>30</v>
      </c>
      <c r="F93" s="199">
        <v>37872</v>
      </c>
      <c r="G93" s="199">
        <v>37092</v>
      </c>
      <c r="H93" s="199">
        <v>34608</v>
      </c>
      <c r="I93" s="199">
        <v>35210</v>
      </c>
      <c r="J93" s="199">
        <v>37056</v>
      </c>
      <c r="K93" s="199">
        <v>37400</v>
      </c>
      <c r="L93" s="199">
        <v>37636</v>
      </c>
      <c r="M93" s="199">
        <v>33792</v>
      </c>
      <c r="N93" s="199">
        <v>28304</v>
      </c>
      <c r="O93" s="199">
        <v>28912</v>
      </c>
      <c r="P93" s="199">
        <v>34046</v>
      </c>
      <c r="Q93" s="199">
        <v>36772</v>
      </c>
      <c r="R93" s="199">
        <v>37316</v>
      </c>
      <c r="S93" s="199">
        <v>34280</v>
      </c>
      <c r="T93" s="199">
        <v>32652</v>
      </c>
      <c r="U93" s="199">
        <v>34038</v>
      </c>
      <c r="V93" s="199">
        <v>35184</v>
      </c>
      <c r="W93" s="199">
        <v>35704</v>
      </c>
      <c r="X93" s="199">
        <v>34296</v>
      </c>
      <c r="Y93" s="199">
        <v>31710</v>
      </c>
      <c r="Z93" s="199">
        <v>36544</v>
      </c>
      <c r="AA93" s="199">
        <v>34212</v>
      </c>
      <c r="AB93" s="199">
        <v>31528</v>
      </c>
      <c r="AC93" s="199">
        <v>30244</v>
      </c>
      <c r="AD93" s="199">
        <v>35360</v>
      </c>
      <c r="AE93" s="199">
        <v>35172</v>
      </c>
      <c r="AF93" s="199">
        <v>31352</v>
      </c>
      <c r="AG93" s="199">
        <v>34268</v>
      </c>
      <c r="AH93" s="199">
        <v>37284</v>
      </c>
      <c r="AI93" s="199">
        <v>36452</v>
      </c>
      <c r="AJ93" s="199">
        <v>34288</v>
      </c>
      <c r="AK93" s="199">
        <v>33276</v>
      </c>
      <c r="AL93" s="199">
        <v>30556</v>
      </c>
      <c r="AM93" s="199">
        <v>37220</v>
      </c>
      <c r="AN93" s="199">
        <v>31930</v>
      </c>
      <c r="AO93" s="199">
        <v>38064</v>
      </c>
      <c r="AP93" s="199">
        <v>38040</v>
      </c>
      <c r="AQ93" s="199">
        <v>36700</v>
      </c>
      <c r="AR93" s="199">
        <v>37964</v>
      </c>
      <c r="AS93" s="199">
        <v>35056</v>
      </c>
      <c r="AT93" s="199">
        <v>37404</v>
      </c>
      <c r="AU93" s="199">
        <v>28626</v>
      </c>
      <c r="AV93" s="199">
        <v>38540</v>
      </c>
      <c r="AW93" s="199">
        <v>38292</v>
      </c>
      <c r="AX93" s="96">
        <v>12.69</v>
      </c>
      <c r="AY93" s="96">
        <v>13.17</v>
      </c>
      <c r="AZ93" s="96">
        <v>11.68</v>
      </c>
      <c r="BA93" s="96">
        <v>12.99</v>
      </c>
      <c r="BB93" s="96">
        <v>12.23</v>
      </c>
      <c r="BC93" s="96">
        <v>13.23</v>
      </c>
      <c r="BD93" s="96">
        <v>13.07</v>
      </c>
      <c r="BE93" s="96">
        <v>11.69</v>
      </c>
      <c r="BF93" s="96">
        <v>10.24</v>
      </c>
      <c r="BG93" s="96">
        <v>10.59</v>
      </c>
      <c r="BH93" s="96">
        <v>12.51</v>
      </c>
      <c r="BI93" s="96">
        <v>13.7</v>
      </c>
      <c r="BJ93" s="96">
        <v>12.81</v>
      </c>
      <c r="BK93" s="96">
        <v>11.48</v>
      </c>
      <c r="BL93" s="96">
        <v>11.77</v>
      </c>
      <c r="BM93" s="96">
        <v>11.32</v>
      </c>
      <c r="BN93" s="96">
        <v>12.46</v>
      </c>
      <c r="BO93" s="96">
        <v>11.88</v>
      </c>
      <c r="BP93" s="96">
        <v>11.36</v>
      </c>
      <c r="BQ93" s="96">
        <v>10.25</v>
      </c>
      <c r="BR93" s="96">
        <v>12.21</v>
      </c>
      <c r="BS93" s="96">
        <v>11.29</v>
      </c>
      <c r="BT93" s="96">
        <v>10.65</v>
      </c>
      <c r="BU93" s="96">
        <v>12.12</v>
      </c>
      <c r="BV93" s="96">
        <v>12.35</v>
      </c>
      <c r="BW93" s="96">
        <v>11.68</v>
      </c>
      <c r="BX93" s="96">
        <v>10.49</v>
      </c>
      <c r="BY93" s="96">
        <v>11.17</v>
      </c>
      <c r="BZ93" s="96">
        <v>12.81</v>
      </c>
      <c r="CA93" s="96">
        <v>11.88</v>
      </c>
      <c r="CB93" s="96">
        <v>11.8</v>
      </c>
      <c r="CC93" s="96">
        <v>11.41</v>
      </c>
      <c r="CD93" s="96">
        <v>13.64</v>
      </c>
      <c r="CE93" s="96">
        <v>13.14</v>
      </c>
      <c r="CF93" s="96">
        <v>10.67</v>
      </c>
      <c r="CG93" s="96">
        <v>14.81</v>
      </c>
      <c r="CH93" s="96">
        <v>13.59</v>
      </c>
      <c r="CI93" s="96">
        <v>12.35</v>
      </c>
      <c r="CJ93" s="96">
        <v>13.3</v>
      </c>
      <c r="CK93" s="96">
        <v>11.75</v>
      </c>
      <c r="CL93" s="96">
        <v>12.94</v>
      </c>
      <c r="CM93" s="96">
        <v>12.68</v>
      </c>
      <c r="CN93" s="96">
        <v>14.65</v>
      </c>
      <c r="CO93" s="96">
        <v>13.41</v>
      </c>
      <c r="CP93" s="309">
        <f>SUM(Input_Raw[[#This Row],[P-01]:[P-56]])/1000</f>
        <v>1532.252</v>
      </c>
      <c r="CQ93" s="310">
        <f>IFERROR(AVERAGEIF(Input_Raw[[#This Row],[WS_P-01]:[WS_P-56]],"&lt;&gt;",Input_Raw[[#This Row],[WS_P-01]:[WS_P-56]]),"")</f>
        <v>12.225227272727274</v>
      </c>
      <c r="CR93" s="311">
        <f>MAX(Input_Raw[[#This Row],[WS_P-01]:[WS_P-56]])</f>
        <v>14.81</v>
      </c>
      <c r="CS93" s="311"/>
      <c r="CT93" s="312">
        <f>SUM(Input_Raw[[#This Row],[P-08]:[P-13]],Input_Raw[[#This Row],[P-25]:[P-28]])</f>
        <v>331446</v>
      </c>
      <c r="CU93" s="312"/>
      <c r="CV93" s="312">
        <f>SUM(Input_Raw[[#This Row],[P-04]],Input_Raw[[#This Row],[P-14]:[P-17]],Input_Raw[[#This Row],[P-19]:[P-20]],Input_Raw[[#This Row],[P-22]:[P-23]],Input_Raw[[#This Row],[P-34]],Input_Raw[[#This Row],[P-38]],Input_Raw[[#This Row],[P-43]])</f>
        <v>411628</v>
      </c>
      <c r="CW93" s="312"/>
      <c r="CX93" s="312">
        <f>SUM(Input_Raw[[#This Row],[P-05]:[P-06]],Input_Raw[[#This Row],[P-40]:[P-42]],Input_Raw[[#This Row],[P-45]],Input_Raw[[#This Row],[P-46]],Input_Raw[[#This Row],[P-47]:[P-48]])</f>
        <v>326276</v>
      </c>
      <c r="CY93" s="312"/>
      <c r="CZ93" s="312">
        <f>SUM(Input_Raw[[#This Row],[P-01]:[P-03]],Input_Raw[[#This Row],[P-07]],Input_Raw[[#This Row],[P-18]],Input_Raw[[#This Row],[P-31]:[P-32]],Input_Raw[[#This Row],[P-37]],Input_Raw[[#This Row],[P-50]:[P-56]])</f>
        <v>462902</v>
      </c>
      <c r="DA93" s="313"/>
      <c r="DB93" s="314">
        <f>Input_Raw[[#This Row],[33 kV_Wind_F1_Export reading]]/1000</f>
        <v>331.44600000000003</v>
      </c>
      <c r="DC93" s="314"/>
      <c r="DD93" s="314">
        <f>Input_Raw[[#This Row],[33 kV_Wind_F2_Export_reading]]/1000</f>
        <v>411.62799999999999</v>
      </c>
      <c r="DE93" s="314"/>
      <c r="DF93" s="314">
        <f>Input_Raw[[#This Row],[33 kV_Wind_F3_Export_Reading]]/1000</f>
        <v>326.27600000000001</v>
      </c>
      <c r="DG93" s="314"/>
      <c r="DH93" s="314">
        <f>Input_Raw[[#This Row],[33 kV_Wind_F4_Export Reading]]/1000</f>
        <v>462.90199999999999</v>
      </c>
      <c r="DI93" s="314"/>
      <c r="DJ93" s="314">
        <f>Input_Raw[[#This Row],[33 kV_F1_Total_Export (MWh)]]+Input_Raw[[#This Row],[33 kV_F2_Total_Export (MWh)2]]+Input_Raw[[#This Row],[33 kV_Wind_F3_Export (MWh)]]+Input_Raw[[#This Row],[33 kV_Wind_F4_Export (MWh)]]</f>
        <v>1532.2520000000002</v>
      </c>
      <c r="DK93" s="314">
        <f>Input_Raw[[#This Row],[33 kV_Wind_F1_Import (MWh)]]+Input_Raw[[#This Row],[33 kV_Wind_F2_Import (MWh)]]+Input_Raw[[#This Row],[33 kV_Wind_F3_Import (MWh)2]]+Input_Raw[[#This Row],[33 kV_Wind_F4_Import (MWh)2]]</f>
        <v>0</v>
      </c>
      <c r="DL93" s="315">
        <f>IFERROR(Input_Raw[[#This Row],[33 kV_Wind_Total_Export (MWh)]]/Input_Raw[[#This Row],[WTG Total Gneration (MWh)]]-1,"")</f>
        <v>2.2204460492503131E-16</v>
      </c>
      <c r="DM93" s="316"/>
      <c r="DN93" s="186">
        <v>87</v>
      </c>
      <c r="DO93" s="186">
        <v>1780.62</v>
      </c>
      <c r="DP93" s="102">
        <v>1590.42</v>
      </c>
      <c r="DQ93" s="316"/>
      <c r="DR93" s="181">
        <v>70.400000000000006</v>
      </c>
    </row>
    <row r="94" spans="1:122" ht="15">
      <c r="A94" s="92">
        <f t="shared" si="74"/>
        <v>45834</v>
      </c>
      <c r="B94" s="190">
        <f>YEAR(Input_Raw[[#This Row],[Date]])+IF(MONTH(Input_Raw[[#This Row],[Date]])&gt;=4,1,0)</f>
        <v>2026</v>
      </c>
      <c r="C94" s="190">
        <f>YEAR(Input_Raw[[#This Row],[Date]])</f>
        <v>2025</v>
      </c>
      <c r="D94" s="11">
        <f t="shared" ref="D94" si="145">A94-DAY(A94)+1</f>
        <v>45809</v>
      </c>
      <c r="E94" s="190">
        <f>DAY(EOMONTH(Input_Raw[[#This Row],[Date]],0))</f>
        <v>30</v>
      </c>
      <c r="F94" s="199">
        <v>37344</v>
      </c>
      <c r="G94" s="199">
        <v>36472</v>
      </c>
      <c r="H94" s="199">
        <v>32720</v>
      </c>
      <c r="I94" s="199">
        <v>36244</v>
      </c>
      <c r="J94" s="199">
        <v>36904</v>
      </c>
      <c r="K94" s="199">
        <v>36976</v>
      </c>
      <c r="L94" s="199">
        <v>36652</v>
      </c>
      <c r="M94" s="199">
        <v>31512</v>
      </c>
      <c r="N94" s="199">
        <v>27164</v>
      </c>
      <c r="O94" s="199">
        <v>27150</v>
      </c>
      <c r="P94" s="199">
        <v>31396</v>
      </c>
      <c r="Q94" s="199">
        <v>34780</v>
      </c>
      <c r="R94" s="199">
        <v>36268</v>
      </c>
      <c r="S94" s="199">
        <v>34512</v>
      </c>
      <c r="T94" s="199">
        <v>31148</v>
      </c>
      <c r="U94" s="199">
        <v>31998</v>
      </c>
      <c r="V94" s="199">
        <v>32468.000000000004</v>
      </c>
      <c r="W94" s="199">
        <v>34176</v>
      </c>
      <c r="X94" s="199">
        <v>34478</v>
      </c>
      <c r="Y94" s="199">
        <v>31135</v>
      </c>
      <c r="Z94" s="199">
        <v>35816</v>
      </c>
      <c r="AA94" s="199">
        <v>33152</v>
      </c>
      <c r="AB94" s="199">
        <v>32360</v>
      </c>
      <c r="AC94" s="199">
        <v>34552</v>
      </c>
      <c r="AD94" s="199">
        <v>34144</v>
      </c>
      <c r="AE94" s="199">
        <v>32680</v>
      </c>
      <c r="AF94" s="199">
        <v>27046</v>
      </c>
      <c r="AG94" s="199">
        <v>32176.000000000004</v>
      </c>
      <c r="AH94" s="199">
        <v>36552</v>
      </c>
      <c r="AI94" s="199">
        <v>35098</v>
      </c>
      <c r="AJ94" s="199">
        <v>30896</v>
      </c>
      <c r="AK94" s="199">
        <v>33360</v>
      </c>
      <c r="AL94" s="199">
        <v>32052</v>
      </c>
      <c r="AM94" s="199">
        <v>35908</v>
      </c>
      <c r="AN94" s="199">
        <v>31036</v>
      </c>
      <c r="AO94" s="199">
        <v>38396</v>
      </c>
      <c r="AP94" s="199">
        <v>38124</v>
      </c>
      <c r="AQ94" s="199">
        <v>35704</v>
      </c>
      <c r="AR94" s="199">
        <v>37672</v>
      </c>
      <c r="AS94" s="199">
        <v>28972</v>
      </c>
      <c r="AT94" s="199">
        <v>34848</v>
      </c>
      <c r="AU94" s="199">
        <v>28390</v>
      </c>
      <c r="AV94" s="199">
        <v>37600</v>
      </c>
      <c r="AW94" s="199">
        <v>37200</v>
      </c>
      <c r="AX94" s="96">
        <v>12.41</v>
      </c>
      <c r="AY94" s="96">
        <v>12.87</v>
      </c>
      <c r="AZ94" s="96">
        <v>10.88</v>
      </c>
      <c r="BA94" s="96">
        <v>12.42</v>
      </c>
      <c r="BB94" s="96">
        <v>11.96</v>
      </c>
      <c r="BC94" s="96">
        <v>12.73</v>
      </c>
      <c r="BD94" s="96">
        <v>12.62</v>
      </c>
      <c r="BE94" s="96">
        <v>11.18</v>
      </c>
      <c r="BF94" s="96">
        <v>10.08</v>
      </c>
      <c r="BG94" s="96">
        <v>10.15</v>
      </c>
      <c r="BH94" s="96">
        <v>11.42</v>
      </c>
      <c r="BI94" s="96">
        <v>12.39</v>
      </c>
      <c r="BJ94" s="96">
        <v>11.83</v>
      </c>
      <c r="BK94" s="96">
        <v>11.42</v>
      </c>
      <c r="BL94" s="96">
        <v>11.03</v>
      </c>
      <c r="BM94" s="96">
        <v>10.75</v>
      </c>
      <c r="BN94" s="96">
        <v>10.93</v>
      </c>
      <c r="BO94" s="96">
        <v>11.28</v>
      </c>
      <c r="BP94" s="96">
        <v>11.29</v>
      </c>
      <c r="BQ94" s="96">
        <v>10.07</v>
      </c>
      <c r="BR94" s="96">
        <v>11.75</v>
      </c>
      <c r="BS94" s="96">
        <v>11.02</v>
      </c>
      <c r="BT94" s="96">
        <v>10.39</v>
      </c>
      <c r="BU94" s="96">
        <v>12.08</v>
      </c>
      <c r="BV94" s="96">
        <v>11.97</v>
      </c>
      <c r="BW94" s="96">
        <v>10.86</v>
      </c>
      <c r="BX94" s="96">
        <v>9.27</v>
      </c>
      <c r="BY94" s="96">
        <v>10.75</v>
      </c>
      <c r="BZ94" s="96">
        <v>12.12</v>
      </c>
      <c r="CA94" s="96">
        <v>11.46</v>
      </c>
      <c r="CB94" s="96">
        <v>10.36</v>
      </c>
      <c r="CC94" s="96">
        <v>11.29</v>
      </c>
      <c r="CD94" s="96">
        <v>13.16</v>
      </c>
      <c r="CE94" s="96">
        <v>11.99</v>
      </c>
      <c r="CF94" s="96">
        <v>10.39</v>
      </c>
      <c r="CG94" s="96">
        <v>14.81</v>
      </c>
      <c r="CH94" s="96">
        <v>13.33</v>
      </c>
      <c r="CI94" s="96">
        <v>11.48</v>
      </c>
      <c r="CJ94" s="96">
        <v>12.78</v>
      </c>
      <c r="CK94" s="96">
        <v>10.31</v>
      </c>
      <c r="CL94" s="96">
        <v>11.89</v>
      </c>
      <c r="CM94" s="96">
        <v>12.1</v>
      </c>
      <c r="CN94" s="96">
        <v>14.31</v>
      </c>
      <c r="CO94" s="96">
        <v>13.1</v>
      </c>
      <c r="CP94" s="309">
        <f>SUM(Input_Raw[[#This Row],[P-01]:[P-56]])/1000</f>
        <v>1485.231</v>
      </c>
      <c r="CQ94" s="310">
        <f>IFERROR(AVERAGEIF(Input_Raw[[#This Row],[WS_P-01]:[WS_P-56]],"&lt;&gt;",Input_Raw[[#This Row],[WS_P-01]:[WS_P-56]]),"")</f>
        <v>11.651818181818184</v>
      </c>
      <c r="CR94" s="311">
        <f>MAX(Input_Raw[[#This Row],[WS_P-01]:[WS_P-56]])</f>
        <v>14.81</v>
      </c>
      <c r="CS94" s="311"/>
      <c r="CT94" s="312">
        <f>SUM(Input_Raw[[#This Row],[P-08]:[P-13]],Input_Raw[[#This Row],[P-25]:[P-28]])</f>
        <v>322006</v>
      </c>
      <c r="CU94" s="312"/>
      <c r="CV94" s="312">
        <f>SUM(Input_Raw[[#This Row],[P-04]],Input_Raw[[#This Row],[P-14]:[P-17]],Input_Raw[[#This Row],[P-19]:[P-20]],Input_Raw[[#This Row],[P-22]:[P-23]],Input_Raw[[#This Row],[P-34]],Input_Raw[[#This Row],[P-38]],Input_Raw[[#This Row],[P-43]])</f>
        <v>399435</v>
      </c>
      <c r="CW94" s="312"/>
      <c r="CX94" s="312">
        <f>SUM(Input_Raw[[#This Row],[P-05]:[P-06]],Input_Raw[[#This Row],[P-40]:[P-42]],Input_Raw[[#This Row],[P-45]],Input_Raw[[#This Row],[P-46]],Input_Raw[[#This Row],[P-47]:[P-48]])</f>
        <v>325096</v>
      </c>
      <c r="CY94" s="312"/>
      <c r="CZ94" s="312">
        <f>SUM(Input_Raw[[#This Row],[P-01]:[P-03]],Input_Raw[[#This Row],[P-07]],Input_Raw[[#This Row],[P-18]],Input_Raw[[#This Row],[P-31]:[P-32]],Input_Raw[[#This Row],[P-37]],Input_Raw[[#This Row],[P-50]:[P-56]])</f>
        <v>438694</v>
      </c>
      <c r="DA94" s="313"/>
      <c r="DB94" s="314">
        <f>Input_Raw[[#This Row],[33 kV_Wind_F1_Export reading]]/1000</f>
        <v>322.00599999999997</v>
      </c>
      <c r="DC94" s="314"/>
      <c r="DD94" s="314">
        <f>Input_Raw[[#This Row],[33 kV_Wind_F2_Export_reading]]/1000</f>
        <v>399.435</v>
      </c>
      <c r="DE94" s="314"/>
      <c r="DF94" s="314">
        <f>Input_Raw[[#This Row],[33 kV_Wind_F3_Export_Reading]]/1000</f>
        <v>325.096</v>
      </c>
      <c r="DG94" s="314"/>
      <c r="DH94" s="314">
        <f>Input_Raw[[#This Row],[33 kV_Wind_F4_Export Reading]]/1000</f>
        <v>438.69400000000002</v>
      </c>
      <c r="DI94" s="314"/>
      <c r="DJ94" s="314">
        <f>Input_Raw[[#This Row],[33 kV_F1_Total_Export (MWh)]]+Input_Raw[[#This Row],[33 kV_F2_Total_Export (MWh)2]]+Input_Raw[[#This Row],[33 kV_Wind_F3_Export (MWh)]]+Input_Raw[[#This Row],[33 kV_Wind_F4_Export (MWh)]]</f>
        <v>1485.231</v>
      </c>
      <c r="DK94" s="314">
        <f>Input_Raw[[#This Row],[33 kV_Wind_F1_Import (MWh)]]+Input_Raw[[#This Row],[33 kV_Wind_F2_Import (MWh)]]+Input_Raw[[#This Row],[33 kV_Wind_F3_Import (MWh)2]]+Input_Raw[[#This Row],[33 kV_Wind_F4_Import (MWh)2]]</f>
        <v>0</v>
      </c>
      <c r="DL94" s="315">
        <f>IFERROR(Input_Raw[[#This Row],[33 kV_Wind_Total_Export (MWh)]]/Input_Raw[[#This Row],[WTG Total Gneration (MWh)]]-1,"")</f>
        <v>0</v>
      </c>
      <c r="DM94" s="316"/>
      <c r="DN94" s="186">
        <v>90</v>
      </c>
      <c r="DO94" s="186">
        <v>7795.25</v>
      </c>
      <c r="DP94" s="102">
        <v>1539.71</v>
      </c>
      <c r="DQ94" s="316"/>
      <c r="DR94" s="181">
        <v>70.400000000000006</v>
      </c>
    </row>
    <row r="95" spans="1:122" ht="15">
      <c r="A95" s="92">
        <f t="shared" si="74"/>
        <v>45835</v>
      </c>
      <c r="B95" s="190">
        <f>YEAR(Input_Raw[[#This Row],[Date]])+IF(MONTH(Input_Raw[[#This Row],[Date]])&gt;=4,1,0)</f>
        <v>2026</v>
      </c>
      <c r="C95" s="190">
        <f>YEAR(Input_Raw[[#This Row],[Date]])</f>
        <v>2025</v>
      </c>
      <c r="D95" s="11">
        <f t="shared" ref="D95" si="146">A95-DAY(A95)+1</f>
        <v>45809</v>
      </c>
      <c r="E95" s="190">
        <f>DAY(EOMONTH(Input_Raw[[#This Row],[Date]],0))</f>
        <v>30</v>
      </c>
      <c r="F95" s="199">
        <v>35220</v>
      </c>
      <c r="G95" s="199">
        <v>33256</v>
      </c>
      <c r="H95" s="199">
        <v>25496</v>
      </c>
      <c r="I95" s="199">
        <v>34184</v>
      </c>
      <c r="J95" s="199">
        <v>32712.000000000004</v>
      </c>
      <c r="K95" s="199">
        <v>34388</v>
      </c>
      <c r="L95" s="199">
        <v>33614</v>
      </c>
      <c r="M95" s="199">
        <v>28690</v>
      </c>
      <c r="N95" s="199">
        <v>25872</v>
      </c>
      <c r="O95" s="199">
        <v>23298</v>
      </c>
      <c r="P95" s="199">
        <v>26352</v>
      </c>
      <c r="Q95" s="199">
        <v>31248</v>
      </c>
      <c r="R95" s="199">
        <v>33008</v>
      </c>
      <c r="S95" s="199">
        <v>32299.999999999996</v>
      </c>
      <c r="T95" s="199">
        <v>27792</v>
      </c>
      <c r="U95" s="199">
        <v>28472</v>
      </c>
      <c r="V95" s="199">
        <v>26832</v>
      </c>
      <c r="W95" s="199">
        <v>27508</v>
      </c>
      <c r="X95" s="199">
        <v>31086</v>
      </c>
      <c r="Y95" s="199">
        <v>25514</v>
      </c>
      <c r="Z95" s="199">
        <v>33240</v>
      </c>
      <c r="AA95" s="199">
        <v>30976</v>
      </c>
      <c r="AB95" s="199">
        <v>29408</v>
      </c>
      <c r="AC95" s="199">
        <v>27580</v>
      </c>
      <c r="AD95" s="199">
        <v>30884</v>
      </c>
      <c r="AE95" s="199">
        <v>28948</v>
      </c>
      <c r="AF95" s="199">
        <v>18178</v>
      </c>
      <c r="AG95" s="199">
        <v>28242</v>
      </c>
      <c r="AH95" s="199">
        <v>33648</v>
      </c>
      <c r="AI95" s="199">
        <v>32484</v>
      </c>
      <c r="AJ95" s="199">
        <v>23594</v>
      </c>
      <c r="AK95" s="199">
        <v>28706</v>
      </c>
      <c r="AL95" s="199">
        <v>32247.999999999996</v>
      </c>
      <c r="AM95" s="199">
        <v>29660</v>
      </c>
      <c r="AN95" s="199">
        <v>27458</v>
      </c>
      <c r="AO95" s="199">
        <v>36856</v>
      </c>
      <c r="AP95" s="199">
        <v>36428</v>
      </c>
      <c r="AQ95" s="199">
        <v>29920</v>
      </c>
      <c r="AR95" s="199">
        <v>34760</v>
      </c>
      <c r="AS95" s="199">
        <v>26418</v>
      </c>
      <c r="AT95" s="199">
        <v>30446</v>
      </c>
      <c r="AU95" s="199">
        <v>34060</v>
      </c>
      <c r="AV95" s="199">
        <v>37048</v>
      </c>
      <c r="AW95" s="199">
        <v>35928</v>
      </c>
      <c r="AX95" s="96">
        <v>10.87</v>
      </c>
      <c r="AY95" s="96">
        <v>10.87</v>
      </c>
      <c r="AZ95" s="96">
        <v>9</v>
      </c>
      <c r="BA95" s="96">
        <v>11.4</v>
      </c>
      <c r="BB95" s="96">
        <v>10.31</v>
      </c>
      <c r="BC95" s="96">
        <v>11.3</v>
      </c>
      <c r="BD95" s="96">
        <v>10.91</v>
      </c>
      <c r="BE95" s="96">
        <v>10.119999999999999</v>
      </c>
      <c r="BF95" s="96">
        <v>9.57</v>
      </c>
      <c r="BG95" s="96">
        <v>9.41</v>
      </c>
      <c r="BH95" s="96">
        <v>10</v>
      </c>
      <c r="BI95" s="96">
        <v>11.06</v>
      </c>
      <c r="BJ95" s="96">
        <v>10.78</v>
      </c>
      <c r="BK95" s="96">
        <v>10.67</v>
      </c>
      <c r="BL95" s="96">
        <v>10.16</v>
      </c>
      <c r="BM95" s="96">
        <v>9.92</v>
      </c>
      <c r="BN95" s="96">
        <v>9.43</v>
      </c>
      <c r="BO95" s="96">
        <v>9.36</v>
      </c>
      <c r="BP95" s="96">
        <v>10.3</v>
      </c>
      <c r="BQ95" s="96">
        <v>8.9</v>
      </c>
      <c r="BR95" s="96">
        <v>10.74</v>
      </c>
      <c r="BS95" s="96">
        <v>10.24</v>
      </c>
      <c r="BT95" s="96">
        <v>9.59</v>
      </c>
      <c r="BU95" s="96">
        <v>10.8</v>
      </c>
      <c r="BV95" s="96">
        <v>10.79</v>
      </c>
      <c r="BW95" s="96">
        <v>9.89</v>
      </c>
      <c r="BX95" s="96">
        <v>7.42</v>
      </c>
      <c r="BY95" s="96">
        <v>9.6300000000000008</v>
      </c>
      <c r="BZ95" s="96">
        <v>11</v>
      </c>
      <c r="CA95" s="96">
        <v>10.41</v>
      </c>
      <c r="CB95" s="96">
        <v>8.75</v>
      </c>
      <c r="CC95" s="96">
        <v>10.14</v>
      </c>
      <c r="CD95" s="96">
        <v>11.53</v>
      </c>
      <c r="CE95" s="96">
        <v>9.84</v>
      </c>
      <c r="CF95" s="96">
        <v>9.44</v>
      </c>
      <c r="CG95" s="96">
        <v>13.37</v>
      </c>
      <c r="CH95" s="96">
        <v>11.98</v>
      </c>
      <c r="CI95" s="96">
        <v>9.67</v>
      </c>
      <c r="CJ95" s="96">
        <v>11.27</v>
      </c>
      <c r="CK95" s="96">
        <v>9.35</v>
      </c>
      <c r="CL95" s="96">
        <v>10.33</v>
      </c>
      <c r="CM95" s="96">
        <v>10.93</v>
      </c>
      <c r="CN95" s="96">
        <v>12.67</v>
      </c>
      <c r="CO95" s="96">
        <v>11.59</v>
      </c>
      <c r="CP95" s="321">
        <f>SUM(Input_Raw[[#This Row],[P-01]:[P-56]])/1000</f>
        <v>1333.96</v>
      </c>
      <c r="CQ95" s="322">
        <f>IFERROR(AVERAGEIF(Input_Raw[[#This Row],[WS_P-01]:[WS_P-56]],"&lt;&gt;",Input_Raw[[#This Row],[WS_P-01]:[WS_P-56]]),"")</f>
        <v>10.357045454545455</v>
      </c>
      <c r="CR95" s="323">
        <f>MAX(Input_Raw[[#This Row],[WS_P-01]:[WS_P-56]])</f>
        <v>13.37</v>
      </c>
      <c r="CS95" s="323"/>
      <c r="CT95" s="324">
        <f>SUM(Input_Raw[[#This Row],[P-08]:[P-13]],Input_Raw[[#This Row],[P-25]:[P-28]])</f>
        <v>285288</v>
      </c>
      <c r="CU95" s="324"/>
      <c r="CV95" s="324">
        <f>SUM(Input_Raw[[#This Row],[P-04]],Input_Raw[[#This Row],[P-14]:[P-17]],Input_Raw[[#This Row],[P-19]:[P-20]],Input_Raw[[#This Row],[P-22]:[P-23]],Input_Raw[[#This Row],[P-34]],Input_Raw[[#This Row],[P-38]],Input_Raw[[#This Row],[P-43]])</f>
        <v>355096</v>
      </c>
      <c r="CW95" s="324"/>
      <c r="CX95" s="324">
        <f>SUM(Input_Raw[[#This Row],[P-05]:[P-06]],Input_Raw[[#This Row],[P-40]:[P-42]],Input_Raw[[#This Row],[P-45]],Input_Raw[[#This Row],[P-46]],Input_Raw[[#This Row],[P-47]:[P-48]])</f>
        <v>295678</v>
      </c>
      <c r="CY95" s="324"/>
      <c r="CZ95" s="324">
        <f>SUM(Input_Raw[[#This Row],[P-01]:[P-03]],Input_Raw[[#This Row],[P-07]],Input_Raw[[#This Row],[P-18]],Input_Raw[[#This Row],[P-31]:[P-32]],Input_Raw[[#This Row],[P-37]],Input_Raw[[#This Row],[P-50]:[P-56]])</f>
        <v>397898</v>
      </c>
      <c r="DA95" s="325"/>
      <c r="DB95" s="326">
        <f>Input_Raw[[#This Row],[33 kV_Wind_F1_Export reading]]/1000</f>
        <v>285.28800000000001</v>
      </c>
      <c r="DC95" s="326"/>
      <c r="DD95" s="326">
        <f>Input_Raw[[#This Row],[33 kV_Wind_F2_Export_reading]]/1000</f>
        <v>355.096</v>
      </c>
      <c r="DE95" s="326"/>
      <c r="DF95" s="326">
        <f>Input_Raw[[#This Row],[33 kV_Wind_F3_Export_Reading]]/1000</f>
        <v>295.678</v>
      </c>
      <c r="DG95" s="326"/>
      <c r="DH95" s="326">
        <f>Input_Raw[[#This Row],[33 kV_Wind_F4_Export Reading]]/1000</f>
        <v>397.89800000000002</v>
      </c>
      <c r="DI95" s="326"/>
      <c r="DJ95" s="326">
        <f>Input_Raw[[#This Row],[33 kV_F1_Total_Export (MWh)]]+Input_Raw[[#This Row],[33 kV_F2_Total_Export (MWh)2]]+Input_Raw[[#This Row],[33 kV_Wind_F3_Export (MWh)]]+Input_Raw[[#This Row],[33 kV_Wind_F4_Export (MWh)]]</f>
        <v>1333.96</v>
      </c>
      <c r="DK95" s="326">
        <f>Input_Raw[[#This Row],[33 kV_Wind_F1_Import (MWh)]]+Input_Raw[[#This Row],[33 kV_Wind_F2_Import (MWh)]]+Input_Raw[[#This Row],[33 kV_Wind_F3_Import (MWh)2]]+Input_Raw[[#This Row],[33 kV_Wind_F4_Import (MWh)2]]</f>
        <v>0</v>
      </c>
      <c r="DL95" s="327">
        <f>IFERROR(Input_Raw[[#This Row],[33 kV_Wind_Total_Export (MWh)]]/Input_Raw[[#This Row],[WTG Total Gneration (MWh)]]-1,"")</f>
        <v>0</v>
      </c>
      <c r="DM95" s="328"/>
      <c r="DN95" s="186">
        <v>76</v>
      </c>
      <c r="DO95" s="186">
        <v>8973</v>
      </c>
      <c r="DP95" s="102">
        <v>1342.98</v>
      </c>
      <c r="DQ95" s="328"/>
      <c r="DR95" s="181">
        <v>70.400000000000006</v>
      </c>
    </row>
    <row r="96" spans="1:122" ht="15">
      <c r="A96" s="92">
        <f t="shared" si="74"/>
        <v>45836</v>
      </c>
      <c r="B96" s="190">
        <f>YEAR(Input_Raw[[#This Row],[Date]])+IF(MONTH(Input_Raw[[#This Row],[Date]])&gt;=4,1,0)</f>
        <v>2026</v>
      </c>
      <c r="C96" s="190">
        <f>YEAR(Input_Raw[[#This Row],[Date]])</f>
        <v>2025</v>
      </c>
      <c r="D96" s="11">
        <f t="shared" ref="D96" si="147">A96-DAY(A96)+1</f>
        <v>45809</v>
      </c>
      <c r="E96" s="190">
        <f>DAY(EOMONTH(Input_Raw[[#This Row],[Date]],0))</f>
        <v>30</v>
      </c>
      <c r="F96" s="199">
        <v>34880</v>
      </c>
      <c r="G96" s="199">
        <v>32804</v>
      </c>
      <c r="H96" s="199">
        <v>25076</v>
      </c>
      <c r="I96" s="199">
        <v>33318</v>
      </c>
      <c r="J96" s="199">
        <v>33384</v>
      </c>
      <c r="K96" s="199">
        <v>34728</v>
      </c>
      <c r="L96" s="199">
        <v>33448</v>
      </c>
      <c r="M96" s="199">
        <v>29282</v>
      </c>
      <c r="N96" s="199">
        <v>24540</v>
      </c>
      <c r="O96" s="199">
        <v>24036</v>
      </c>
      <c r="P96" s="199">
        <v>28610</v>
      </c>
      <c r="Q96" s="199">
        <v>33344</v>
      </c>
      <c r="R96" s="199">
        <v>35008</v>
      </c>
      <c r="S96" s="199">
        <v>33028</v>
      </c>
      <c r="T96" s="199">
        <v>29156</v>
      </c>
      <c r="U96" s="199">
        <v>30232</v>
      </c>
      <c r="V96" s="199">
        <v>30606</v>
      </c>
      <c r="W96" s="199">
        <v>27236</v>
      </c>
      <c r="X96" s="199">
        <v>31982</v>
      </c>
      <c r="Y96" s="199">
        <v>27725</v>
      </c>
      <c r="Z96" s="199">
        <v>33144</v>
      </c>
      <c r="AA96" s="199">
        <v>28476</v>
      </c>
      <c r="AB96" s="199">
        <v>28928</v>
      </c>
      <c r="AC96" s="199">
        <v>30284</v>
      </c>
      <c r="AD96" s="199">
        <v>31476</v>
      </c>
      <c r="AE96" s="199">
        <v>30432</v>
      </c>
      <c r="AF96" s="199">
        <v>18140</v>
      </c>
      <c r="AG96" s="199">
        <v>27820</v>
      </c>
      <c r="AH96" s="199">
        <v>34088</v>
      </c>
      <c r="AI96" s="199">
        <v>32090.000000000004</v>
      </c>
      <c r="AJ96" s="199">
        <v>28052</v>
      </c>
      <c r="AK96" s="199">
        <v>29682</v>
      </c>
      <c r="AL96" s="199">
        <v>32436</v>
      </c>
      <c r="AM96" s="199">
        <v>30764</v>
      </c>
      <c r="AN96" s="199">
        <v>24332</v>
      </c>
      <c r="AO96" s="199">
        <v>36924</v>
      </c>
      <c r="AP96" s="199">
        <v>36136</v>
      </c>
      <c r="AQ96" s="199">
        <v>29888</v>
      </c>
      <c r="AR96" s="199">
        <v>35128</v>
      </c>
      <c r="AS96" s="199">
        <v>27690</v>
      </c>
      <c r="AT96" s="199">
        <v>31238</v>
      </c>
      <c r="AU96" s="199">
        <v>34060</v>
      </c>
      <c r="AV96" s="199">
        <v>37068</v>
      </c>
      <c r="AW96" s="199">
        <v>36112</v>
      </c>
      <c r="AX96" s="95">
        <v>10.95</v>
      </c>
      <c r="AY96" s="95">
        <v>10.92</v>
      </c>
      <c r="AZ96" s="95">
        <v>8.94</v>
      </c>
      <c r="BA96" s="95">
        <v>11.46</v>
      </c>
      <c r="BB96" s="95">
        <v>10.61</v>
      </c>
      <c r="BC96" s="95">
        <v>11.47</v>
      </c>
      <c r="BD96" s="95">
        <v>10.96</v>
      </c>
      <c r="BE96" s="95">
        <v>10.27</v>
      </c>
      <c r="BF96" s="95">
        <v>9.42</v>
      </c>
      <c r="BG96" s="95">
        <v>9.51</v>
      </c>
      <c r="BH96" s="95">
        <v>10.67</v>
      </c>
      <c r="BI96" s="95">
        <v>11.72</v>
      </c>
      <c r="BJ96" s="95">
        <v>11.37</v>
      </c>
      <c r="BK96" s="95">
        <v>10.95</v>
      </c>
      <c r="BL96" s="95">
        <v>10.59</v>
      </c>
      <c r="BM96" s="95">
        <v>10.34</v>
      </c>
      <c r="BN96" s="95">
        <v>10.43</v>
      </c>
      <c r="BO96" s="95">
        <v>9.36</v>
      </c>
      <c r="BP96" s="95">
        <v>10.64</v>
      </c>
      <c r="BQ96" s="95">
        <v>9.36</v>
      </c>
      <c r="BR96" s="95">
        <v>10.92</v>
      </c>
      <c r="BS96" s="95">
        <v>10.06</v>
      </c>
      <c r="BT96" s="95">
        <v>9.48</v>
      </c>
      <c r="BU96" s="95">
        <v>11</v>
      </c>
      <c r="BV96" s="95">
        <v>11.04</v>
      </c>
      <c r="BW96" s="95">
        <v>10.28</v>
      </c>
      <c r="BX96" s="95">
        <v>7.4</v>
      </c>
      <c r="BY96" s="95">
        <v>9.67</v>
      </c>
      <c r="BZ96" s="95">
        <v>11.32</v>
      </c>
      <c r="CA96" s="95">
        <v>10.44</v>
      </c>
      <c r="CB96" s="95">
        <v>9.73</v>
      </c>
      <c r="CC96" s="95">
        <v>10.36</v>
      </c>
      <c r="CD96" s="95">
        <v>11.62</v>
      </c>
      <c r="CE96" s="95">
        <v>10.17</v>
      </c>
      <c r="CF96" s="95">
        <v>9.4600000000000009</v>
      </c>
      <c r="CG96" s="95">
        <v>13.4</v>
      </c>
      <c r="CH96" s="95">
        <v>12.09</v>
      </c>
      <c r="CI96" s="95">
        <v>9.7899999999999991</v>
      </c>
      <c r="CJ96" s="95">
        <v>11.46</v>
      </c>
      <c r="CK96" s="95">
        <v>9.6</v>
      </c>
      <c r="CL96" s="95">
        <v>10.59</v>
      </c>
      <c r="CM96" s="95">
        <v>11.06</v>
      </c>
      <c r="CN96" s="95">
        <v>12.76</v>
      </c>
      <c r="CO96" s="95">
        <v>11.78</v>
      </c>
      <c r="CP96" s="98">
        <f>SUM(Input_Raw[[#This Row],[P-01]:[P-56]])/1000</f>
        <v>1356.8109999999999</v>
      </c>
      <c r="CQ96" s="71">
        <f>IFERROR(AVERAGEIF(Input_Raw[[#This Row],[WS_P-01]:[WS_P-56]],"&lt;&gt;",Input_Raw[[#This Row],[WS_P-01]:[WS_P-56]]),"")</f>
        <v>10.577727272727271</v>
      </c>
      <c r="CR96" s="99">
        <f>MAX(Input_Raw[[#This Row],[WS_P-01]:[WS_P-56]])</f>
        <v>13.4</v>
      </c>
      <c r="CS96" s="99"/>
      <c r="CT96" s="70">
        <f>SUM(Input_Raw[[#This Row],[P-08]:[P-13]],Input_Raw[[#This Row],[P-25]:[P-28]])</f>
        <v>295940</v>
      </c>
      <c r="CU96" s="70"/>
      <c r="CV96" s="70">
        <f>SUM(Input_Raw[[#This Row],[P-04]],Input_Raw[[#This Row],[P-14]:[P-17]],Input_Raw[[#This Row],[P-19]:[P-20]],Input_Raw[[#This Row],[P-22]:[P-23]],Input_Raw[[#This Row],[P-34]],Input_Raw[[#This Row],[P-38]],Input_Raw[[#This Row],[P-43]])</f>
        <v>364139</v>
      </c>
      <c r="CW96" s="70"/>
      <c r="CX96" s="70">
        <f>SUM(Input_Raw[[#This Row],[P-05]:[P-06]],Input_Raw[[#This Row],[P-40]:[P-42]],Input_Raw[[#This Row],[P-45]],Input_Raw[[#This Row],[P-46]],Input_Raw[[#This Row],[P-47]:[P-48]])</f>
        <v>299070</v>
      </c>
      <c r="CY96" s="70"/>
      <c r="CZ96" s="70">
        <f>SUM(Input_Raw[[#This Row],[P-01]:[P-03]],Input_Raw[[#This Row],[P-07]],Input_Raw[[#This Row],[P-18]],Input_Raw[[#This Row],[P-31]:[P-32]],Input_Raw[[#This Row],[P-37]],Input_Raw[[#This Row],[P-50]:[P-56]])</f>
        <v>397662</v>
      </c>
      <c r="DA96" s="12"/>
      <c r="DB96" s="13">
        <f>Input_Raw[[#This Row],[33 kV_Wind_F1_Export reading]]/1000</f>
        <v>295.94</v>
      </c>
      <c r="DC96" s="13"/>
      <c r="DD96" s="13">
        <f>Input_Raw[[#This Row],[33 kV_Wind_F2_Export_reading]]/1000</f>
        <v>364.13900000000001</v>
      </c>
      <c r="DE96" s="13"/>
      <c r="DF96" s="13">
        <f>Input_Raw[[#This Row],[33 kV_Wind_F3_Export_Reading]]/1000</f>
        <v>299.07</v>
      </c>
      <c r="DG96" s="13"/>
      <c r="DH96" s="13">
        <f>Input_Raw[[#This Row],[33 kV_Wind_F4_Export Reading]]/1000</f>
        <v>397.66199999999998</v>
      </c>
      <c r="DI96" s="13"/>
      <c r="DJ96" s="13">
        <f>Input_Raw[[#This Row],[33 kV_F1_Total_Export (MWh)]]+Input_Raw[[#This Row],[33 kV_F2_Total_Export (MWh)2]]+Input_Raw[[#This Row],[33 kV_Wind_F3_Export (MWh)]]+Input_Raw[[#This Row],[33 kV_Wind_F4_Export (MWh)]]</f>
        <v>1356.8109999999999</v>
      </c>
      <c r="DK96" s="13">
        <f>Input_Raw[[#This Row],[33 kV_Wind_F1_Import (MWh)]]+Input_Raw[[#This Row],[33 kV_Wind_F2_Import (MWh)]]+Input_Raw[[#This Row],[33 kV_Wind_F3_Import (MWh)2]]+Input_Raw[[#This Row],[33 kV_Wind_F4_Import (MWh)2]]</f>
        <v>0</v>
      </c>
      <c r="DL96" s="100">
        <f>IFERROR(Input_Raw[[#This Row],[33 kV_Wind_Total_Export (MWh)]]/Input_Raw[[#This Row],[WTG Total Gneration (MWh)]]-1,"")</f>
        <v>0</v>
      </c>
      <c r="DM96" s="66"/>
      <c r="DN96" s="186">
        <v>95</v>
      </c>
      <c r="DO96" s="186">
        <v>11966</v>
      </c>
      <c r="DP96" s="102">
        <v>1368.72</v>
      </c>
      <c r="DQ96" s="66"/>
      <c r="DR96" s="181">
        <v>70.400000000000006</v>
      </c>
    </row>
    <row r="97" spans="1:122" ht="15">
      <c r="A97" s="92">
        <f t="shared" si="74"/>
        <v>45837</v>
      </c>
      <c r="B97" s="190">
        <f>YEAR(Input_Raw[[#This Row],[Date]])+IF(MONTH(Input_Raw[[#This Row],[Date]])&gt;=4,1,0)</f>
        <v>2026</v>
      </c>
      <c r="C97" s="190">
        <f>YEAR(Input_Raw[[#This Row],[Date]])</f>
        <v>2025</v>
      </c>
      <c r="D97" s="11">
        <f t="shared" ref="D97" si="148">A97-DAY(A97)+1</f>
        <v>45809</v>
      </c>
      <c r="E97" s="190">
        <f>DAY(EOMONTH(Input_Raw[[#This Row],[Date]],0))</f>
        <v>30</v>
      </c>
      <c r="F97" s="199">
        <v>35320</v>
      </c>
      <c r="G97" s="199">
        <v>32164</v>
      </c>
      <c r="H97" s="199">
        <v>28848</v>
      </c>
      <c r="I97" s="199">
        <v>33378</v>
      </c>
      <c r="J97" s="199">
        <v>30180</v>
      </c>
      <c r="K97" s="199">
        <v>31808</v>
      </c>
      <c r="L97" s="199">
        <v>32784</v>
      </c>
      <c r="M97" s="199">
        <v>30544</v>
      </c>
      <c r="N97" s="199">
        <v>24688</v>
      </c>
      <c r="O97" s="199">
        <v>26808</v>
      </c>
      <c r="P97" s="199">
        <v>31576</v>
      </c>
      <c r="Q97" s="199">
        <v>33320</v>
      </c>
      <c r="R97" s="199">
        <v>34776</v>
      </c>
      <c r="S97" s="199">
        <v>28284</v>
      </c>
      <c r="T97" s="199">
        <v>27910</v>
      </c>
      <c r="U97" s="199">
        <v>29912</v>
      </c>
      <c r="V97" s="199">
        <v>30918</v>
      </c>
      <c r="W97" s="199">
        <v>30132</v>
      </c>
      <c r="X97" s="199">
        <v>21022</v>
      </c>
      <c r="Y97" s="199">
        <v>25255</v>
      </c>
      <c r="Z97" s="199">
        <v>33000</v>
      </c>
      <c r="AA97" s="199">
        <v>29452</v>
      </c>
      <c r="AB97" s="199">
        <v>30284</v>
      </c>
      <c r="AC97" s="199">
        <v>28448</v>
      </c>
      <c r="AD97" s="199">
        <v>32491.999999999996</v>
      </c>
      <c r="AE97" s="199">
        <v>31956</v>
      </c>
      <c r="AF97" s="199">
        <v>24704</v>
      </c>
      <c r="AG97" s="199">
        <v>28244</v>
      </c>
      <c r="AH97" s="199">
        <v>33532</v>
      </c>
      <c r="AI97" s="199">
        <v>31770</v>
      </c>
      <c r="AJ97" s="199">
        <v>29454</v>
      </c>
      <c r="AK97" s="199">
        <v>25212</v>
      </c>
      <c r="AL97" s="199">
        <v>31528</v>
      </c>
      <c r="AM97" s="199">
        <v>33224</v>
      </c>
      <c r="AN97" s="199">
        <v>27730</v>
      </c>
      <c r="AO97" s="199">
        <v>33812</v>
      </c>
      <c r="AP97" s="199">
        <v>35516</v>
      </c>
      <c r="AQ97" s="199">
        <v>32560.000000000004</v>
      </c>
      <c r="AR97" s="199">
        <v>34788</v>
      </c>
      <c r="AS97" s="199">
        <v>31308</v>
      </c>
      <c r="AT97" s="199">
        <v>34148</v>
      </c>
      <c r="AU97" s="199">
        <v>33920</v>
      </c>
      <c r="AV97" s="199">
        <v>36624</v>
      </c>
      <c r="AW97" s="199">
        <v>35384</v>
      </c>
      <c r="AX97" s="95">
        <v>11.24</v>
      </c>
      <c r="AY97" s="95">
        <v>10.9</v>
      </c>
      <c r="AZ97" s="95">
        <v>9.99</v>
      </c>
      <c r="BA97" s="95">
        <v>11.53</v>
      </c>
      <c r="BB97" s="95">
        <v>10.37</v>
      </c>
      <c r="BC97" s="95">
        <v>11.2</v>
      </c>
      <c r="BD97" s="95">
        <v>11.13</v>
      </c>
      <c r="BE97" s="95">
        <v>10.69</v>
      </c>
      <c r="BF97" s="95">
        <v>9.44</v>
      </c>
      <c r="BG97" s="95">
        <v>10.11</v>
      </c>
      <c r="BH97" s="95">
        <v>11.85</v>
      </c>
      <c r="BI97" s="95">
        <v>12.58</v>
      </c>
      <c r="BJ97" s="95">
        <v>11.78</v>
      </c>
      <c r="BK97" s="95">
        <v>10.47</v>
      </c>
      <c r="BL97" s="95">
        <v>10.55</v>
      </c>
      <c r="BM97" s="95">
        <v>10.38</v>
      </c>
      <c r="BN97" s="95">
        <v>10.97</v>
      </c>
      <c r="BO97" s="95">
        <v>10.17</v>
      </c>
      <c r="BP97" s="95">
        <v>9.89</v>
      </c>
      <c r="BQ97" s="95">
        <v>8.9499999999999993</v>
      </c>
      <c r="BR97" s="95">
        <v>10.92</v>
      </c>
      <c r="BS97" s="95">
        <v>10.050000000000001</v>
      </c>
      <c r="BT97" s="95">
        <v>9.85</v>
      </c>
      <c r="BU97" s="95">
        <v>11.1</v>
      </c>
      <c r="BV97" s="95">
        <v>11.5</v>
      </c>
      <c r="BW97" s="95">
        <v>10.86</v>
      </c>
      <c r="BX97" s="95">
        <v>8.89</v>
      </c>
      <c r="BY97" s="95">
        <v>9.76</v>
      </c>
      <c r="BZ97" s="95">
        <v>11.25</v>
      </c>
      <c r="CA97" s="95">
        <v>10.46</v>
      </c>
      <c r="CB97" s="95">
        <v>10.33</v>
      </c>
      <c r="CC97" s="95">
        <v>9.6300000000000008</v>
      </c>
      <c r="CD97" s="95">
        <v>11.7</v>
      </c>
      <c r="CE97" s="95">
        <v>11.25</v>
      </c>
      <c r="CF97" s="95">
        <v>9.61</v>
      </c>
      <c r="CG97" s="95">
        <v>13.28</v>
      </c>
      <c r="CH97" s="95">
        <v>12.2</v>
      </c>
      <c r="CI97" s="95">
        <v>10.9</v>
      </c>
      <c r="CJ97" s="95">
        <v>11.65</v>
      </c>
      <c r="CK97" s="95">
        <v>10.6</v>
      </c>
      <c r="CL97" s="95">
        <v>11.46</v>
      </c>
      <c r="CM97" s="95">
        <v>11.23</v>
      </c>
      <c r="CN97" s="95">
        <v>12.86</v>
      </c>
      <c r="CO97" s="95">
        <v>11.78</v>
      </c>
      <c r="CP97" s="333">
        <f>SUM(Input_Raw[[#This Row],[P-01]:[P-56]])/1000</f>
        <v>1358.7170000000001</v>
      </c>
      <c r="CQ97" s="334">
        <f>IFERROR(AVERAGEIF(Input_Raw[[#This Row],[WS_P-01]:[WS_P-56]],"&lt;&gt;",Input_Raw[[#This Row],[WS_P-01]:[WS_P-56]]),"")</f>
        <v>10.847954545454543</v>
      </c>
      <c r="CR97" s="335">
        <f>MAX(Input_Raw[[#This Row],[WS_P-01]:[WS_P-56]])</f>
        <v>13.28</v>
      </c>
      <c r="CS97" s="335"/>
      <c r="CT97" s="336">
        <f>SUM(Input_Raw[[#This Row],[P-08]:[P-13]],Input_Raw[[#This Row],[P-25]:[P-28]])</f>
        <v>304892</v>
      </c>
      <c r="CU97" s="336"/>
      <c r="CV97" s="336">
        <f>SUM(Input_Raw[[#This Row],[P-04]],Input_Raw[[#This Row],[P-14]:[P-17]],Input_Raw[[#This Row],[P-19]:[P-20]],Input_Raw[[#This Row],[P-22]:[P-23]],Input_Raw[[#This Row],[P-34]],Input_Raw[[#This Row],[P-38]],Input_Raw[[#This Row],[P-43]])</f>
        <v>349847</v>
      </c>
      <c r="CW97" s="336"/>
      <c r="CX97" s="336">
        <f>SUM(Input_Raw[[#This Row],[P-05]:[P-06]],Input_Raw[[#This Row],[P-40]:[P-42]],Input_Raw[[#This Row],[P-45]],Input_Raw[[#This Row],[P-46]],Input_Raw[[#This Row],[P-47]:[P-48]])</f>
        <v>288628</v>
      </c>
      <c r="CY97" s="336"/>
      <c r="CZ97" s="336">
        <f>SUM(Input_Raw[[#This Row],[P-01]:[P-03]],Input_Raw[[#This Row],[P-07]],Input_Raw[[#This Row],[P-18]],Input_Raw[[#This Row],[P-31]:[P-32]],Input_Raw[[#This Row],[P-37]],Input_Raw[[#This Row],[P-50]:[P-56]])</f>
        <v>415350</v>
      </c>
      <c r="DA97" s="337"/>
      <c r="DB97" s="338">
        <f>Input_Raw[[#This Row],[33 kV_Wind_F1_Export reading]]/1000</f>
        <v>304.892</v>
      </c>
      <c r="DC97" s="338"/>
      <c r="DD97" s="338">
        <f>Input_Raw[[#This Row],[33 kV_Wind_F2_Export_reading]]/1000</f>
        <v>349.84699999999998</v>
      </c>
      <c r="DE97" s="338"/>
      <c r="DF97" s="338">
        <f>Input_Raw[[#This Row],[33 kV_Wind_F3_Export_Reading]]/1000</f>
        <v>288.62799999999999</v>
      </c>
      <c r="DG97" s="338"/>
      <c r="DH97" s="338">
        <f>Input_Raw[[#This Row],[33 kV_Wind_F4_Export Reading]]/1000</f>
        <v>415.35</v>
      </c>
      <c r="DI97" s="338"/>
      <c r="DJ97" s="338">
        <f>Input_Raw[[#This Row],[33 kV_F1_Total_Export (MWh)]]+Input_Raw[[#This Row],[33 kV_F2_Total_Export (MWh)2]]+Input_Raw[[#This Row],[33 kV_Wind_F3_Export (MWh)]]+Input_Raw[[#This Row],[33 kV_Wind_F4_Export (MWh)]]</f>
        <v>1358.7170000000001</v>
      </c>
      <c r="DK97" s="338">
        <f>Input_Raw[[#This Row],[33 kV_Wind_F1_Import (MWh)]]+Input_Raw[[#This Row],[33 kV_Wind_F2_Import (MWh)]]+Input_Raw[[#This Row],[33 kV_Wind_F3_Import (MWh)2]]+Input_Raw[[#This Row],[33 kV_Wind_F4_Import (MWh)2]]</f>
        <v>0</v>
      </c>
      <c r="DL97" s="339">
        <f>IFERROR(Input_Raw[[#This Row],[33 kV_Wind_Total_Export (MWh)]]/Input_Raw[[#This Row],[WTG Total Gneration (MWh)]]-1,"")</f>
        <v>0</v>
      </c>
      <c r="DM97" s="340"/>
      <c r="DN97" s="186">
        <v>88</v>
      </c>
      <c r="DO97" s="186">
        <v>28273</v>
      </c>
      <c r="DP97" s="102">
        <v>1400.72</v>
      </c>
      <c r="DQ97" s="340"/>
      <c r="DR97" s="181">
        <v>70.400000000000006</v>
      </c>
    </row>
    <row r="98" spans="1:122" ht="15">
      <c r="A98" s="92">
        <f t="shared" si="74"/>
        <v>45838</v>
      </c>
      <c r="B98" s="190">
        <f>YEAR(Input_Raw[[#This Row],[Date]])+IF(MONTH(Input_Raw[[#This Row],[Date]])&gt;=4,1,0)</f>
        <v>2026</v>
      </c>
      <c r="C98" s="190">
        <f>YEAR(Input_Raw[[#This Row],[Date]])</f>
        <v>2025</v>
      </c>
      <c r="D98" s="11">
        <f t="shared" ref="D98:D99" si="149">A98-DAY(A98)+1</f>
        <v>45809</v>
      </c>
      <c r="E98" s="190">
        <f>DAY(EOMONTH(Input_Raw[[#This Row],[Date]],0))</f>
        <v>30</v>
      </c>
      <c r="F98" s="199">
        <v>37604</v>
      </c>
      <c r="G98" s="199">
        <v>35884</v>
      </c>
      <c r="H98" s="199">
        <v>12572</v>
      </c>
      <c r="I98" s="199">
        <v>36876</v>
      </c>
      <c r="J98" s="199">
        <v>31768</v>
      </c>
      <c r="K98" s="199">
        <v>35668</v>
      </c>
      <c r="L98" s="199">
        <v>37002</v>
      </c>
      <c r="M98" s="199">
        <v>34272</v>
      </c>
      <c r="N98" s="199">
        <v>28488</v>
      </c>
      <c r="O98" s="199">
        <v>30148</v>
      </c>
      <c r="P98" s="199">
        <v>30524</v>
      </c>
      <c r="Q98" s="199">
        <v>37060</v>
      </c>
      <c r="R98" s="199">
        <v>37416</v>
      </c>
      <c r="S98" s="199">
        <v>33072</v>
      </c>
      <c r="T98" s="199">
        <v>32390</v>
      </c>
      <c r="U98" s="199">
        <v>33876</v>
      </c>
      <c r="V98" s="199">
        <v>34820</v>
      </c>
      <c r="W98" s="199">
        <v>35348</v>
      </c>
      <c r="X98" s="199">
        <v>33448</v>
      </c>
      <c r="Y98" s="199">
        <v>30811</v>
      </c>
      <c r="Z98" s="199">
        <v>36332</v>
      </c>
      <c r="AA98" s="199">
        <v>34040</v>
      </c>
      <c r="AB98" s="199">
        <v>34332</v>
      </c>
      <c r="AC98" s="199">
        <v>35428</v>
      </c>
      <c r="AD98" s="199">
        <v>35700</v>
      </c>
      <c r="AE98" s="199">
        <v>35652</v>
      </c>
      <c r="AF98" s="199">
        <v>31666</v>
      </c>
      <c r="AG98" s="199">
        <v>33350</v>
      </c>
      <c r="AH98" s="199">
        <v>36996</v>
      </c>
      <c r="AI98" s="199">
        <v>35804</v>
      </c>
      <c r="AJ98" s="199">
        <v>33860</v>
      </c>
      <c r="AK98" s="199">
        <v>30326</v>
      </c>
      <c r="AL98" s="199">
        <v>35624</v>
      </c>
      <c r="AM98" s="199">
        <v>36552</v>
      </c>
      <c r="AN98" s="199">
        <v>32542</v>
      </c>
      <c r="AO98" s="199">
        <v>38060</v>
      </c>
      <c r="AP98" s="199">
        <v>38036</v>
      </c>
      <c r="AQ98" s="199">
        <v>36472</v>
      </c>
      <c r="AR98" s="199">
        <v>37476</v>
      </c>
      <c r="AS98" s="199">
        <v>34470</v>
      </c>
      <c r="AT98" s="199">
        <v>36576</v>
      </c>
      <c r="AU98" s="199">
        <v>37148</v>
      </c>
      <c r="AV98" s="199">
        <v>38404</v>
      </c>
      <c r="AW98" s="199">
        <v>37944</v>
      </c>
      <c r="AX98" s="95">
        <v>12.48</v>
      </c>
      <c r="AY98" s="95">
        <v>12.48</v>
      </c>
      <c r="AZ98" s="95">
        <v>10.89</v>
      </c>
      <c r="BA98" s="95">
        <v>12.82</v>
      </c>
      <c r="BB98" s="95">
        <v>11.62</v>
      </c>
      <c r="BC98" s="95">
        <v>12.36</v>
      </c>
      <c r="BD98" s="95">
        <v>12.59</v>
      </c>
      <c r="BE98" s="95">
        <v>11.8</v>
      </c>
      <c r="BF98" s="95">
        <v>10.38</v>
      </c>
      <c r="BG98" s="95">
        <v>10.84</v>
      </c>
      <c r="BH98" s="95">
        <v>12.74</v>
      </c>
      <c r="BI98" s="95">
        <v>13.99</v>
      </c>
      <c r="BJ98" s="95">
        <v>12.95</v>
      </c>
      <c r="BK98" s="95">
        <v>11.36</v>
      </c>
      <c r="BL98" s="95">
        <v>11.74</v>
      </c>
      <c r="BM98" s="95">
        <v>11.37</v>
      </c>
      <c r="BN98" s="95">
        <v>12.28</v>
      </c>
      <c r="BO98" s="95">
        <v>11.62</v>
      </c>
      <c r="BP98" s="95">
        <v>11.24</v>
      </c>
      <c r="BQ98" s="95">
        <v>10.1</v>
      </c>
      <c r="BR98" s="95">
        <v>12.06</v>
      </c>
      <c r="BS98" s="95">
        <v>11.29</v>
      </c>
      <c r="BT98" s="95">
        <v>11.03</v>
      </c>
      <c r="BU98" s="95">
        <v>12.6</v>
      </c>
      <c r="BV98" s="95">
        <v>12.74</v>
      </c>
      <c r="BW98" s="95">
        <v>11.99</v>
      </c>
      <c r="BX98" s="95">
        <v>10.53</v>
      </c>
      <c r="BY98" s="95">
        <v>10.97</v>
      </c>
      <c r="BZ98" s="95">
        <v>12.54</v>
      </c>
      <c r="CA98" s="95">
        <v>11.55</v>
      </c>
      <c r="CB98" s="95">
        <v>11.59</v>
      </c>
      <c r="CC98" s="95">
        <v>10.69</v>
      </c>
      <c r="CD98" s="95">
        <v>13.27</v>
      </c>
      <c r="CE98" s="95">
        <v>12.53</v>
      </c>
      <c r="CF98" s="95">
        <v>10.84</v>
      </c>
      <c r="CG98" s="95">
        <v>14.72</v>
      </c>
      <c r="CH98" s="95">
        <v>13.44</v>
      </c>
      <c r="CI98" s="95">
        <v>12.24</v>
      </c>
      <c r="CJ98" s="95">
        <v>12.9</v>
      </c>
      <c r="CK98" s="95">
        <v>11.6</v>
      </c>
      <c r="CL98" s="95">
        <v>12.53</v>
      </c>
      <c r="CM98" s="95">
        <v>12.48</v>
      </c>
      <c r="CN98" s="95">
        <v>14.27</v>
      </c>
      <c r="CO98" s="95">
        <v>12.96</v>
      </c>
      <c r="CP98" s="98">
        <f>SUM(Input_Raw[[#This Row],[P-01]:[P-56]])/1000</f>
        <v>1511.837</v>
      </c>
      <c r="CQ98" s="71">
        <f>IFERROR(AVERAGEIF(Input_Raw[[#This Row],[WS_P-01]:[WS_P-56]],"&lt;&gt;",Input_Raw[[#This Row],[WS_P-01]:[WS_P-56]]),"")</f>
        <v>12.068409090909093</v>
      </c>
      <c r="CR98" s="99">
        <f>MAX(Input_Raw[[#This Row],[WS_P-01]:[WS_P-56]])</f>
        <v>14.72</v>
      </c>
      <c r="CS98" s="99"/>
      <c r="CT98" s="70">
        <f>SUM(Input_Raw[[#This Row],[P-08]:[P-13]],Input_Raw[[#This Row],[P-25]:[P-28]])</f>
        <v>339020</v>
      </c>
      <c r="CU98" s="70"/>
      <c r="CV98" s="70">
        <f>SUM(Input_Raw[[#This Row],[P-04]],Input_Raw[[#This Row],[P-14]:[P-17]],Input_Raw[[#This Row],[P-19]:[P-20]],Input_Raw[[#This Row],[P-22]:[P-23]],Input_Raw[[#This Row],[P-34]],Input_Raw[[#This Row],[P-38]],Input_Raw[[#This Row],[P-43]])</f>
        <v>409063</v>
      </c>
      <c r="CW98" s="70"/>
      <c r="CX98" s="70">
        <f>SUM(Input_Raw[[#This Row],[P-05]:[P-06]],Input_Raw[[#This Row],[P-40]:[P-42]],Input_Raw[[#This Row],[P-45]],Input_Raw[[#This Row],[P-46]],Input_Raw[[#This Row],[P-47]:[P-48]])</f>
        <v>319982</v>
      </c>
      <c r="CY98" s="70"/>
      <c r="CZ98" s="70">
        <f>SUM(Input_Raw[[#This Row],[P-01]:[P-03]],Input_Raw[[#This Row],[P-07]],Input_Raw[[#This Row],[P-18]],Input_Raw[[#This Row],[P-31]:[P-32]],Input_Raw[[#This Row],[P-37]],Input_Raw[[#This Row],[P-50]:[P-56]])</f>
        <v>443772</v>
      </c>
      <c r="DA98" s="12"/>
      <c r="DB98" s="13">
        <f>Input_Raw[[#This Row],[33 kV_Wind_F1_Export reading]]/1000</f>
        <v>339.02</v>
      </c>
      <c r="DC98" s="13"/>
      <c r="DD98" s="13">
        <f>Input_Raw[[#This Row],[33 kV_Wind_F2_Export_reading]]/1000</f>
        <v>409.06299999999999</v>
      </c>
      <c r="DE98" s="13"/>
      <c r="DF98" s="13">
        <f>Input_Raw[[#This Row],[33 kV_Wind_F3_Export_Reading]]/1000</f>
        <v>319.98200000000003</v>
      </c>
      <c r="DG98" s="13"/>
      <c r="DH98" s="13">
        <f>Input_Raw[[#This Row],[33 kV_Wind_F4_Export Reading]]/1000</f>
        <v>443.77199999999999</v>
      </c>
      <c r="DI98" s="13"/>
      <c r="DJ98" s="13">
        <f>Input_Raw[[#This Row],[33 kV_F1_Total_Export (MWh)]]+Input_Raw[[#This Row],[33 kV_F2_Total_Export (MWh)2]]+Input_Raw[[#This Row],[33 kV_Wind_F3_Export (MWh)]]+Input_Raw[[#This Row],[33 kV_Wind_F4_Export (MWh)]]</f>
        <v>1511.837</v>
      </c>
      <c r="DK98" s="13">
        <f>Input_Raw[[#This Row],[33 kV_Wind_F1_Import (MWh)]]+Input_Raw[[#This Row],[33 kV_Wind_F2_Import (MWh)]]+Input_Raw[[#This Row],[33 kV_Wind_F3_Import (MWh)2]]+Input_Raw[[#This Row],[33 kV_Wind_F4_Import (MWh)2]]</f>
        <v>0</v>
      </c>
      <c r="DL98" s="100">
        <f>IFERROR(Input_Raw[[#This Row],[33 kV_Wind_Total_Export (MWh)]]/Input_Raw[[#This Row],[WTG Total Gneration (MWh)]]-1,"")</f>
        <v>0</v>
      </c>
      <c r="DM98" s="66"/>
      <c r="DN98" s="186">
        <v>90</v>
      </c>
      <c r="DO98" s="186">
        <v>1373</v>
      </c>
      <c r="DP98" s="102">
        <v>1574.47</v>
      </c>
      <c r="DQ98" s="66"/>
      <c r="DR98" s="181">
        <v>70.400000000000006</v>
      </c>
    </row>
    <row r="99" spans="1:122" ht="15">
      <c r="A99" s="92">
        <f t="shared" si="74"/>
        <v>45839</v>
      </c>
      <c r="B99" s="190">
        <f>YEAR(Input_Raw[[#This Row],[Date]])+IF(MONTH(Input_Raw[[#This Row],[Date]])&gt;=4,1,0)</f>
        <v>2026</v>
      </c>
      <c r="C99" s="190">
        <f>YEAR(Input_Raw[[#This Row],[Date]])</f>
        <v>2025</v>
      </c>
      <c r="D99" s="11">
        <f t="shared" si="149"/>
        <v>45839</v>
      </c>
      <c r="E99" s="190">
        <f>DAY(EOMONTH(Input_Raw[[#This Row],[Date]],0))</f>
        <v>31</v>
      </c>
      <c r="F99" s="199">
        <v>36472</v>
      </c>
      <c r="G99" s="199">
        <v>33292</v>
      </c>
      <c r="H99" s="199">
        <v>13552</v>
      </c>
      <c r="I99" s="199">
        <v>34144</v>
      </c>
      <c r="J99" s="199">
        <v>28088</v>
      </c>
      <c r="K99" s="199">
        <v>29144</v>
      </c>
      <c r="L99" s="199">
        <v>34354</v>
      </c>
      <c r="M99" s="199">
        <v>31060</v>
      </c>
      <c r="N99" s="199">
        <v>23538</v>
      </c>
      <c r="O99" s="199">
        <v>27696</v>
      </c>
      <c r="P99" s="199">
        <v>31092</v>
      </c>
      <c r="Q99" s="199">
        <v>35800</v>
      </c>
      <c r="R99" s="199">
        <v>35112</v>
      </c>
      <c r="S99" s="199">
        <v>30556</v>
      </c>
      <c r="T99" s="199">
        <v>28654</v>
      </c>
      <c r="U99" s="199">
        <v>31642</v>
      </c>
      <c r="V99" s="199">
        <v>32864</v>
      </c>
      <c r="W99" s="199">
        <v>33304</v>
      </c>
      <c r="X99" s="199">
        <v>28902</v>
      </c>
      <c r="Y99" s="199">
        <v>25311</v>
      </c>
      <c r="Z99" s="199">
        <v>33084</v>
      </c>
      <c r="AA99" s="199">
        <v>29856</v>
      </c>
      <c r="AB99" s="199">
        <v>30888</v>
      </c>
      <c r="AC99" s="199">
        <v>32287.999999999996</v>
      </c>
      <c r="AD99" s="199">
        <v>34216</v>
      </c>
      <c r="AE99" s="199">
        <v>32784</v>
      </c>
      <c r="AF99" s="199">
        <v>31244</v>
      </c>
      <c r="AG99" s="199">
        <v>29034</v>
      </c>
      <c r="AH99" s="199">
        <v>34136</v>
      </c>
      <c r="AI99" s="199">
        <v>32619.999999999996</v>
      </c>
      <c r="AJ99" s="199">
        <v>31438</v>
      </c>
      <c r="AK99" s="199">
        <v>24090</v>
      </c>
      <c r="AL99" s="199">
        <v>33348</v>
      </c>
      <c r="AM99" s="199">
        <v>34608</v>
      </c>
      <c r="AN99" s="199">
        <v>28492</v>
      </c>
      <c r="AO99" s="199">
        <v>36504</v>
      </c>
      <c r="AP99" s="199">
        <v>36668</v>
      </c>
      <c r="AQ99" s="199">
        <v>34828</v>
      </c>
      <c r="AR99" s="199">
        <v>35684</v>
      </c>
      <c r="AS99" s="199">
        <v>33694</v>
      </c>
      <c r="AT99" s="199">
        <v>35508</v>
      </c>
      <c r="AU99" s="199">
        <v>34620</v>
      </c>
      <c r="AV99" s="199">
        <v>37488</v>
      </c>
      <c r="AW99" s="199">
        <v>36168</v>
      </c>
      <c r="AX99" s="95">
        <v>11.42</v>
      </c>
      <c r="AY99" s="95">
        <v>10.86</v>
      </c>
      <c r="AZ99" s="95">
        <v>10.39</v>
      </c>
      <c r="BA99" s="95">
        <v>11.29</v>
      </c>
      <c r="BB99" s="95">
        <v>10.66</v>
      </c>
      <c r="BC99" s="95">
        <v>10.6</v>
      </c>
      <c r="BD99" s="95">
        <v>11.16</v>
      </c>
      <c r="BE99" s="95">
        <v>10.61</v>
      </c>
      <c r="BF99" s="95">
        <v>9.15</v>
      </c>
      <c r="BG99" s="95">
        <v>10.15</v>
      </c>
      <c r="BH99" s="95">
        <v>11.14</v>
      </c>
      <c r="BI99" s="95">
        <v>12.54</v>
      </c>
      <c r="BJ99" s="95">
        <v>11.57</v>
      </c>
      <c r="BK99" s="95">
        <v>10.220000000000001</v>
      </c>
      <c r="BL99" s="95">
        <v>10.45</v>
      </c>
      <c r="BM99" s="95">
        <v>10.58</v>
      </c>
      <c r="BN99" s="95">
        <v>11.03</v>
      </c>
      <c r="BO99" s="95">
        <v>10.73</v>
      </c>
      <c r="BP99" s="95">
        <v>9.84</v>
      </c>
      <c r="BQ99" s="95">
        <v>8.9</v>
      </c>
      <c r="BR99" s="95">
        <v>10.58</v>
      </c>
      <c r="BS99" s="95">
        <v>9.92</v>
      </c>
      <c r="BT99" s="95">
        <v>9.7899999999999991</v>
      </c>
      <c r="BU99" s="95">
        <v>10.94</v>
      </c>
      <c r="BV99" s="95">
        <v>11.63</v>
      </c>
      <c r="BW99" s="95">
        <v>10.83</v>
      </c>
      <c r="BX99" s="95">
        <v>10.23</v>
      </c>
      <c r="BY99" s="95">
        <v>9.7200000000000006</v>
      </c>
      <c r="BZ99" s="95">
        <v>11.03</v>
      </c>
      <c r="CA99" s="95">
        <v>10.4</v>
      </c>
      <c r="CB99" s="95">
        <v>10.55</v>
      </c>
      <c r="CC99" s="95">
        <v>9.32</v>
      </c>
      <c r="CD99" s="95">
        <v>11.92</v>
      </c>
      <c r="CE99" s="95">
        <v>11.35</v>
      </c>
      <c r="CF99" s="95">
        <v>9.65</v>
      </c>
      <c r="CG99" s="95">
        <v>12.97</v>
      </c>
      <c r="CH99" s="95">
        <v>12.06</v>
      </c>
      <c r="CI99" s="95">
        <v>11.19</v>
      </c>
      <c r="CJ99" s="95">
        <v>11.58</v>
      </c>
      <c r="CK99" s="95">
        <v>11.01</v>
      </c>
      <c r="CL99" s="95">
        <v>11.54</v>
      </c>
      <c r="CM99" s="95">
        <v>10.99</v>
      </c>
      <c r="CN99" s="95">
        <v>12.78</v>
      </c>
      <c r="CO99" s="95">
        <v>11.54</v>
      </c>
      <c r="CP99" s="98">
        <f>SUM(Input_Raw[[#This Row],[P-01]:[P-56]])/1000</f>
        <v>1397.865</v>
      </c>
      <c r="CQ99" s="71">
        <f>IFERROR(AVERAGEIF(Input_Raw[[#This Row],[WS_P-01]:[WS_P-56]],"&lt;&gt;",Input_Raw[[#This Row],[WS_P-01]:[WS_P-56]]),"")</f>
        <v>10.836590909090908</v>
      </c>
      <c r="CR99" s="99">
        <f>MAX(Input_Raw[[#This Row],[WS_P-01]:[WS_P-56]])</f>
        <v>12.97</v>
      </c>
      <c r="CS99" s="99"/>
      <c r="CT99" s="70">
        <f>SUM(Input_Raw[[#This Row],[P-08]:[P-13]],Input_Raw[[#This Row],[P-25]:[P-28]])</f>
        <v>314474</v>
      </c>
      <c r="CU99" s="70"/>
      <c r="CV99" s="70">
        <f>SUM(Input_Raw[[#This Row],[P-04]],Input_Raw[[#This Row],[P-14]:[P-17]],Input_Raw[[#This Row],[P-19]:[P-20]],Input_Raw[[#This Row],[P-22]:[P-23]],Input_Raw[[#This Row],[P-34]],Input_Raw[[#This Row],[P-38]],Input_Raw[[#This Row],[P-43]])</f>
        <v>369079</v>
      </c>
      <c r="CW99" s="70"/>
      <c r="CX99" s="70">
        <f>SUM(Input_Raw[[#This Row],[P-05]:[P-06]],Input_Raw[[#This Row],[P-40]:[P-42]],Input_Raw[[#This Row],[P-45]],Input_Raw[[#This Row],[P-46]],Input_Raw[[#This Row],[P-47]:[P-48]])</f>
        <v>292962</v>
      </c>
      <c r="CY99" s="70"/>
      <c r="CZ99" s="70">
        <f>SUM(Input_Raw[[#This Row],[P-01]:[P-03]],Input_Raw[[#This Row],[P-07]],Input_Raw[[#This Row],[P-18]],Input_Raw[[#This Row],[P-31]:[P-32]],Input_Raw[[#This Row],[P-37]],Input_Raw[[#This Row],[P-50]:[P-56]])</f>
        <v>421350</v>
      </c>
      <c r="DA99" s="12"/>
      <c r="DB99" s="13">
        <f>Input_Raw[[#This Row],[33 kV_Wind_F1_Export reading]]/1000</f>
        <v>314.47399999999999</v>
      </c>
      <c r="DC99" s="13"/>
      <c r="DD99" s="13">
        <f>Input_Raw[[#This Row],[33 kV_Wind_F2_Export_reading]]/1000</f>
        <v>369.07900000000001</v>
      </c>
      <c r="DE99" s="13"/>
      <c r="DF99" s="13">
        <f>Input_Raw[[#This Row],[33 kV_Wind_F3_Export_Reading]]/1000</f>
        <v>292.96199999999999</v>
      </c>
      <c r="DG99" s="13"/>
      <c r="DH99" s="13">
        <f>Input_Raw[[#This Row],[33 kV_Wind_F4_Export Reading]]/1000</f>
        <v>421.35</v>
      </c>
      <c r="DI99" s="13"/>
      <c r="DJ99" s="13">
        <f>Input_Raw[[#This Row],[33 kV_F1_Total_Export (MWh)]]+Input_Raw[[#This Row],[33 kV_F2_Total_Export (MWh)2]]+Input_Raw[[#This Row],[33 kV_Wind_F3_Export (MWh)]]+Input_Raw[[#This Row],[33 kV_Wind_F4_Export (MWh)]]</f>
        <v>1397.865</v>
      </c>
      <c r="DK99" s="13">
        <f>Input_Raw[[#This Row],[33 kV_Wind_F1_Import (MWh)]]+Input_Raw[[#This Row],[33 kV_Wind_F2_Import (MWh)]]+Input_Raw[[#This Row],[33 kV_Wind_F3_Import (MWh)2]]+Input_Raw[[#This Row],[33 kV_Wind_F4_Import (MWh)2]]</f>
        <v>0</v>
      </c>
      <c r="DL99" s="100">
        <f>IFERROR(Input_Raw[[#This Row],[33 kV_Wind_Total_Export (MWh)]]/Input_Raw[[#This Row],[WTG Total Gneration (MWh)]]-1,"")</f>
        <v>0</v>
      </c>
      <c r="DM99" s="66"/>
      <c r="DN99" s="186">
        <v>93</v>
      </c>
      <c r="DO99" s="186">
        <v>8212</v>
      </c>
      <c r="DP99" s="102">
        <v>1440.43</v>
      </c>
      <c r="DQ99" s="66"/>
      <c r="DR99" s="181">
        <v>70.400000000000006</v>
      </c>
    </row>
    <row r="100" spans="1:122" ht="15">
      <c r="A100" s="92">
        <f t="shared" si="74"/>
        <v>45840</v>
      </c>
      <c r="B100" s="190">
        <f>YEAR(Input_Raw[[#This Row],[Date]])+IF(MONTH(Input_Raw[[#This Row],[Date]])&gt;=4,1,0)</f>
        <v>2026</v>
      </c>
      <c r="C100" s="190">
        <f>YEAR(Input_Raw[[#This Row],[Date]])</f>
        <v>2025</v>
      </c>
      <c r="D100" s="11">
        <f t="shared" ref="D100" si="150">A100-DAY(A100)+1</f>
        <v>45839</v>
      </c>
      <c r="E100" s="190">
        <f>DAY(EOMONTH(Input_Raw[[#This Row],[Date]],0))</f>
        <v>31</v>
      </c>
      <c r="F100" s="199">
        <v>37752</v>
      </c>
      <c r="G100" s="199">
        <v>35880</v>
      </c>
      <c r="H100" s="199">
        <v>35608</v>
      </c>
      <c r="I100" s="199">
        <v>32665.999999999996</v>
      </c>
      <c r="J100" s="199">
        <v>37248</v>
      </c>
      <c r="K100" s="199">
        <v>30976</v>
      </c>
      <c r="L100" s="199">
        <v>36232</v>
      </c>
      <c r="M100" s="199">
        <v>33730</v>
      </c>
      <c r="N100" s="199">
        <v>28294</v>
      </c>
      <c r="O100" s="199">
        <v>32806</v>
      </c>
      <c r="P100" s="199">
        <v>36482</v>
      </c>
      <c r="Q100" s="199">
        <v>37268</v>
      </c>
      <c r="R100" s="199">
        <v>36064</v>
      </c>
      <c r="S100" s="199">
        <v>32716</v>
      </c>
      <c r="T100" s="199">
        <v>29540</v>
      </c>
      <c r="U100" s="199">
        <v>33420</v>
      </c>
      <c r="V100" s="199">
        <v>33058</v>
      </c>
      <c r="W100" s="199">
        <v>35776</v>
      </c>
      <c r="X100" s="199">
        <v>31122</v>
      </c>
      <c r="Y100" s="199">
        <v>27519</v>
      </c>
      <c r="Z100" s="199">
        <v>32567.999999999996</v>
      </c>
      <c r="AA100" s="199">
        <v>30880</v>
      </c>
      <c r="AB100" s="199">
        <v>34340</v>
      </c>
      <c r="AC100" s="199">
        <v>35652</v>
      </c>
      <c r="AD100" s="199">
        <v>36896</v>
      </c>
      <c r="AE100" s="199">
        <v>35256</v>
      </c>
      <c r="AF100" s="199">
        <v>33378</v>
      </c>
      <c r="AG100" s="199">
        <v>32058</v>
      </c>
      <c r="AH100" s="199">
        <v>32908</v>
      </c>
      <c r="AI100" s="199">
        <v>34788</v>
      </c>
      <c r="AJ100" s="199">
        <v>32170</v>
      </c>
      <c r="AK100" s="199">
        <v>29172</v>
      </c>
      <c r="AL100" s="199">
        <v>36872</v>
      </c>
      <c r="AM100" s="199">
        <v>36464</v>
      </c>
      <c r="AN100" s="199">
        <v>30852</v>
      </c>
      <c r="AO100" s="199">
        <v>37840</v>
      </c>
      <c r="AP100" s="199">
        <v>37948</v>
      </c>
      <c r="AQ100" s="199">
        <v>37124</v>
      </c>
      <c r="AR100" s="199">
        <v>37508</v>
      </c>
      <c r="AS100" s="199">
        <v>36178</v>
      </c>
      <c r="AT100" s="199">
        <v>37008</v>
      </c>
      <c r="AU100" s="199">
        <v>36332</v>
      </c>
      <c r="AV100" s="199">
        <v>38268</v>
      </c>
      <c r="AW100" s="199">
        <v>37412</v>
      </c>
      <c r="AX100" s="95">
        <v>12.17</v>
      </c>
      <c r="AY100" s="95">
        <v>12.02</v>
      </c>
      <c r="AZ100" s="95">
        <v>11.83</v>
      </c>
      <c r="BA100" s="95">
        <v>11.79</v>
      </c>
      <c r="BB100" s="95">
        <v>11.99</v>
      </c>
      <c r="BC100" s="95">
        <v>11.59</v>
      </c>
      <c r="BD100" s="95">
        <v>11.82</v>
      </c>
      <c r="BE100" s="95">
        <v>11.53</v>
      </c>
      <c r="BF100" s="95">
        <v>10.14</v>
      </c>
      <c r="BG100" s="95">
        <v>11.31</v>
      </c>
      <c r="BH100" s="95">
        <v>13.05</v>
      </c>
      <c r="BI100" s="95">
        <v>13.57</v>
      </c>
      <c r="BJ100" s="95">
        <v>12.16</v>
      </c>
      <c r="BK100" s="95">
        <v>11.25</v>
      </c>
      <c r="BL100" s="95">
        <v>11.55</v>
      </c>
      <c r="BM100" s="95">
        <v>11.55</v>
      </c>
      <c r="BN100" s="95">
        <v>12.06</v>
      </c>
      <c r="BO100" s="95">
        <v>11.66</v>
      </c>
      <c r="BP100" s="95">
        <v>11.06</v>
      </c>
      <c r="BQ100" s="95">
        <v>10.08</v>
      </c>
      <c r="BR100" s="95">
        <v>11.3</v>
      </c>
      <c r="BS100" s="95">
        <v>11.07</v>
      </c>
      <c r="BT100" s="95">
        <v>10.77</v>
      </c>
      <c r="BU100" s="95">
        <v>12.37</v>
      </c>
      <c r="BV100" s="95">
        <v>12.85</v>
      </c>
      <c r="BW100" s="95">
        <v>11.68</v>
      </c>
      <c r="BX100" s="95">
        <v>10.93</v>
      </c>
      <c r="BY100" s="95">
        <v>10.33</v>
      </c>
      <c r="BZ100" s="95">
        <v>11.59</v>
      </c>
      <c r="CA100" s="95">
        <v>11.06</v>
      </c>
      <c r="CB100" s="95">
        <v>11.63</v>
      </c>
      <c r="CC100" s="95">
        <v>10.43</v>
      </c>
      <c r="CD100" s="95">
        <v>13.9</v>
      </c>
      <c r="CE100" s="95">
        <v>12.34</v>
      </c>
      <c r="CF100" s="95">
        <v>10.98</v>
      </c>
      <c r="CG100" s="95">
        <v>14.15</v>
      </c>
      <c r="CH100" s="95">
        <v>13.19</v>
      </c>
      <c r="CI100" s="95">
        <v>12.41</v>
      </c>
      <c r="CJ100" s="95">
        <v>12.64</v>
      </c>
      <c r="CK100" s="95">
        <v>11.95</v>
      </c>
      <c r="CL100" s="95">
        <v>12.29</v>
      </c>
      <c r="CM100" s="95">
        <v>11.63</v>
      </c>
      <c r="CN100" s="95">
        <v>13.63</v>
      </c>
      <c r="CO100" s="95">
        <v>12.35</v>
      </c>
      <c r="CP100" s="98">
        <f>SUM(Input_Raw[[#This Row],[P-01]:[P-56]])/1000</f>
        <v>1514.029</v>
      </c>
      <c r="CQ100" s="71">
        <f>IFERROR(AVERAGEIF(Input_Raw[[#This Row],[WS_P-01]:[WS_P-56]],"&lt;&gt;",Input_Raw[[#This Row],[WS_P-01]:[WS_P-56]]),"")</f>
        <v>11.855681818181818</v>
      </c>
      <c r="CR100" s="99">
        <f>MAX(Input_Raw[[#This Row],[WS_P-01]:[WS_P-56]])</f>
        <v>14.15</v>
      </c>
      <c r="CS100" s="99"/>
      <c r="CT100" s="70">
        <f>SUM(Input_Raw[[#This Row],[P-08]:[P-13]],Input_Raw[[#This Row],[P-25]:[P-28]])</f>
        <v>346788</v>
      </c>
      <c r="CU100" s="70"/>
      <c r="CV100" s="70">
        <f>SUM(Input_Raw[[#This Row],[P-04]],Input_Raw[[#This Row],[P-14]:[P-17]],Input_Raw[[#This Row],[P-19]:[P-20]],Input_Raw[[#This Row],[P-22]:[P-23]],Input_Raw[[#This Row],[P-34]],Input_Raw[[#This Row],[P-38]],Input_Raw[[#This Row],[P-43]])</f>
        <v>379419</v>
      </c>
      <c r="CW100" s="70"/>
      <c r="CX100" s="70">
        <f>SUM(Input_Raw[[#This Row],[P-05]:[P-06]],Input_Raw[[#This Row],[P-40]:[P-42]],Input_Raw[[#This Row],[P-45]],Input_Raw[[#This Row],[P-46]],Input_Raw[[#This Row],[P-47]:[P-48]])</f>
        <v>321152</v>
      </c>
      <c r="CY100" s="70"/>
      <c r="CZ100" s="70">
        <f>SUM(Input_Raw[[#This Row],[P-01]:[P-03]],Input_Raw[[#This Row],[P-07]],Input_Raw[[#This Row],[P-18]],Input_Raw[[#This Row],[P-31]:[P-32]],Input_Raw[[#This Row],[P-37]],Input_Raw[[#This Row],[P-50]:[P-56]])</f>
        <v>466670</v>
      </c>
      <c r="DA100" s="12"/>
      <c r="DB100" s="13">
        <f>Input_Raw[[#This Row],[33 kV_Wind_F1_Export reading]]/1000</f>
        <v>346.78800000000001</v>
      </c>
      <c r="DC100" s="13"/>
      <c r="DD100" s="13">
        <f>Input_Raw[[#This Row],[33 kV_Wind_F2_Export_reading]]/1000</f>
        <v>379.41899999999998</v>
      </c>
      <c r="DE100" s="13"/>
      <c r="DF100" s="13">
        <f>Input_Raw[[#This Row],[33 kV_Wind_F3_Export_Reading]]/1000</f>
        <v>321.15199999999999</v>
      </c>
      <c r="DG100" s="13"/>
      <c r="DH100" s="13">
        <f>Input_Raw[[#This Row],[33 kV_Wind_F4_Export Reading]]/1000</f>
        <v>466.67</v>
      </c>
      <c r="DI100" s="13"/>
      <c r="DJ100" s="13">
        <f>Input_Raw[[#This Row],[33 kV_F1_Total_Export (MWh)]]+Input_Raw[[#This Row],[33 kV_F2_Total_Export (MWh)2]]+Input_Raw[[#This Row],[33 kV_Wind_F3_Export (MWh)]]+Input_Raw[[#This Row],[33 kV_Wind_F4_Export (MWh)]]</f>
        <v>1514.029</v>
      </c>
      <c r="DK100" s="13">
        <f>Input_Raw[[#This Row],[33 kV_Wind_F1_Import (MWh)]]+Input_Raw[[#This Row],[33 kV_Wind_F2_Import (MWh)]]+Input_Raw[[#This Row],[33 kV_Wind_F3_Import (MWh)2]]+Input_Raw[[#This Row],[33 kV_Wind_F4_Import (MWh)2]]</f>
        <v>0</v>
      </c>
      <c r="DL100" s="100">
        <f>IFERROR(Input_Raw[[#This Row],[33 kV_Wind_Total_Export (MWh)]]/Input_Raw[[#This Row],[WTG Total Gneration (MWh)]]-1,"")</f>
        <v>0</v>
      </c>
      <c r="DM100" s="66"/>
      <c r="DN100" s="186">
        <v>93</v>
      </c>
      <c r="DO100" s="186">
        <v>3501</v>
      </c>
      <c r="DP100" s="102">
        <v>1569.18</v>
      </c>
      <c r="DQ100" s="66"/>
      <c r="DR100" s="181">
        <v>70.400000000000006</v>
      </c>
    </row>
    <row r="101" spans="1:122" ht="15">
      <c r="A101" s="92">
        <f t="shared" si="74"/>
        <v>45841</v>
      </c>
      <c r="B101" s="190">
        <f>YEAR(Input_Raw[[#This Row],[Date]])+IF(MONTH(Input_Raw[[#This Row],[Date]])&gt;=4,1,0)</f>
        <v>2026</v>
      </c>
      <c r="C101" s="190">
        <f>YEAR(Input_Raw[[#This Row],[Date]])</f>
        <v>2025</v>
      </c>
      <c r="D101" s="11">
        <f t="shared" ref="D101:D102" si="151">A101-DAY(A101)+1</f>
        <v>45839</v>
      </c>
      <c r="E101" s="190">
        <f>DAY(EOMONTH(Input_Raw[[#This Row],[Date]],0))</f>
        <v>31</v>
      </c>
      <c r="F101" s="199">
        <v>36900</v>
      </c>
      <c r="G101" s="199">
        <v>35500</v>
      </c>
      <c r="H101" s="199">
        <v>32824</v>
      </c>
      <c r="I101" s="199">
        <v>35192</v>
      </c>
      <c r="J101" s="199">
        <v>36888</v>
      </c>
      <c r="K101" s="199">
        <v>36628</v>
      </c>
      <c r="L101" s="199">
        <v>36700</v>
      </c>
      <c r="M101" s="199">
        <v>32998</v>
      </c>
      <c r="N101" s="199">
        <v>27708</v>
      </c>
      <c r="O101" s="199">
        <v>28078</v>
      </c>
      <c r="P101" s="199">
        <v>32450.000000000004</v>
      </c>
      <c r="Q101" s="199">
        <v>35944</v>
      </c>
      <c r="R101" s="199">
        <v>36484</v>
      </c>
      <c r="S101" s="199">
        <v>33964</v>
      </c>
      <c r="T101" s="199">
        <v>31570</v>
      </c>
      <c r="U101" s="199">
        <v>33798</v>
      </c>
      <c r="V101" s="199">
        <v>34116</v>
      </c>
      <c r="W101" s="199">
        <v>34504</v>
      </c>
      <c r="X101" s="199">
        <v>34416</v>
      </c>
      <c r="Y101" s="199">
        <v>31500</v>
      </c>
      <c r="Z101" s="199">
        <v>34492</v>
      </c>
      <c r="AA101" s="199">
        <v>32168</v>
      </c>
      <c r="AB101" s="199">
        <v>33228</v>
      </c>
      <c r="AC101" s="199">
        <v>34652</v>
      </c>
      <c r="AD101" s="199">
        <v>35172</v>
      </c>
      <c r="AE101" s="199">
        <v>34484</v>
      </c>
      <c r="AF101" s="199">
        <v>29288</v>
      </c>
      <c r="AG101" s="199">
        <v>31770</v>
      </c>
      <c r="AH101" s="199">
        <v>35160</v>
      </c>
      <c r="AI101" s="199">
        <v>34476</v>
      </c>
      <c r="AJ101" s="199">
        <v>32768</v>
      </c>
      <c r="AK101" s="199">
        <v>32644</v>
      </c>
      <c r="AL101" s="199">
        <v>35360</v>
      </c>
      <c r="AM101" s="199">
        <v>32924</v>
      </c>
      <c r="AN101" s="199">
        <v>31460</v>
      </c>
      <c r="AO101" s="199">
        <v>37928</v>
      </c>
      <c r="AP101" s="199">
        <v>37940</v>
      </c>
      <c r="AQ101" s="199">
        <v>35792</v>
      </c>
      <c r="AR101" s="199">
        <v>37348</v>
      </c>
      <c r="AS101" s="199">
        <v>33538</v>
      </c>
      <c r="AT101" s="199">
        <v>35384</v>
      </c>
      <c r="AU101" s="199">
        <v>36292</v>
      </c>
      <c r="AV101" s="199">
        <v>37992</v>
      </c>
      <c r="AW101" s="199">
        <v>37772</v>
      </c>
      <c r="AX101" s="95">
        <v>12.14</v>
      </c>
      <c r="AY101" s="95">
        <v>12.22</v>
      </c>
      <c r="AZ101" s="95">
        <v>11.04</v>
      </c>
      <c r="BA101" s="95">
        <v>11.93</v>
      </c>
      <c r="BB101" s="95">
        <v>12.19</v>
      </c>
      <c r="BC101" s="95">
        <v>12.92</v>
      </c>
      <c r="BD101" s="95">
        <v>12.53</v>
      </c>
      <c r="BE101" s="95">
        <v>11.35</v>
      </c>
      <c r="BF101" s="95">
        <v>10.01</v>
      </c>
      <c r="BG101" s="95">
        <v>10.38</v>
      </c>
      <c r="BH101" s="95">
        <v>11.73</v>
      </c>
      <c r="BI101" s="95">
        <v>13.2</v>
      </c>
      <c r="BJ101" s="95">
        <v>12.35</v>
      </c>
      <c r="BK101" s="95">
        <v>11.26</v>
      </c>
      <c r="BL101" s="95">
        <v>11.56</v>
      </c>
      <c r="BM101" s="95">
        <v>11.24</v>
      </c>
      <c r="BN101" s="95">
        <v>11.85</v>
      </c>
      <c r="BO101" s="95">
        <v>11.43</v>
      </c>
      <c r="BP101" s="95">
        <v>11.31</v>
      </c>
      <c r="BQ101" s="95">
        <v>10.15</v>
      </c>
      <c r="BR101" s="95">
        <v>11.26</v>
      </c>
      <c r="BS101" s="95">
        <v>10.57</v>
      </c>
      <c r="BT101" s="95">
        <v>10.5</v>
      </c>
      <c r="BU101" s="95">
        <v>12</v>
      </c>
      <c r="BV101" s="95">
        <v>12.17</v>
      </c>
      <c r="BW101" s="95">
        <v>11.45</v>
      </c>
      <c r="BX101" s="95">
        <v>9.9499999999999993</v>
      </c>
      <c r="BY101" s="95">
        <v>10.47</v>
      </c>
      <c r="BZ101" s="95">
        <v>11.63</v>
      </c>
      <c r="CA101" s="95">
        <v>11.17</v>
      </c>
      <c r="CB101" s="95">
        <v>11.33</v>
      </c>
      <c r="CC101" s="95">
        <v>11.18</v>
      </c>
      <c r="CD101" s="95">
        <v>12.42</v>
      </c>
      <c r="CE101" s="95">
        <v>12.48</v>
      </c>
      <c r="CF101" s="95">
        <v>10.36</v>
      </c>
      <c r="CG101" s="95">
        <v>14.58</v>
      </c>
      <c r="CH101" s="95">
        <v>13.38</v>
      </c>
      <c r="CI101" s="95">
        <v>12.17</v>
      </c>
      <c r="CJ101" s="95">
        <v>13.07</v>
      </c>
      <c r="CK101" s="95">
        <v>11.19</v>
      </c>
      <c r="CL101" s="95">
        <v>11.96</v>
      </c>
      <c r="CM101" s="95">
        <v>11.99</v>
      </c>
      <c r="CN101" s="95">
        <v>14.1</v>
      </c>
      <c r="CO101" s="95">
        <v>12.88</v>
      </c>
      <c r="CP101" s="98">
        <f>SUM(Input_Raw[[#This Row],[P-01]:[P-56]])/1000</f>
        <v>1508.194</v>
      </c>
      <c r="CQ101" s="71">
        <f>IFERROR(AVERAGEIF(Input_Raw[[#This Row],[WS_P-01]:[WS_P-56]],"&lt;&gt;",Input_Raw[[#This Row],[WS_P-01]:[WS_P-56]]),"")</f>
        <v>11.751136363636364</v>
      </c>
      <c r="CR101" s="99">
        <f>MAX(Input_Raw[[#This Row],[WS_P-01]:[WS_P-56]])</f>
        <v>14.58</v>
      </c>
      <c r="CS101" s="99"/>
      <c r="CT101" s="70">
        <f>SUM(Input_Raw[[#This Row],[P-08]:[P-13]],Input_Raw[[#This Row],[P-25]:[P-28]])</f>
        <v>331198</v>
      </c>
      <c r="CU101" s="70"/>
      <c r="CV101" s="70">
        <f>SUM(Input_Raw[[#This Row],[P-04]],Input_Raw[[#This Row],[P-14]:[P-17]],Input_Raw[[#This Row],[P-19]:[P-20]],Input_Raw[[#This Row],[P-22]:[P-23]],Input_Raw[[#This Row],[P-34]],Input_Raw[[#This Row],[P-38]],Input_Raw[[#This Row],[P-43]])</f>
        <v>400604</v>
      </c>
      <c r="CW101" s="70"/>
      <c r="CX101" s="70">
        <f>SUM(Input_Raw[[#This Row],[P-05]:[P-06]],Input_Raw[[#This Row],[P-40]:[P-42]],Input_Raw[[#This Row],[P-45]],Input_Raw[[#This Row],[P-46]],Input_Raw[[#This Row],[P-47]:[P-48]])</f>
        <v>323452</v>
      </c>
      <c r="CY101" s="70"/>
      <c r="CZ101" s="70">
        <f>SUM(Input_Raw[[#This Row],[P-01]:[P-03]],Input_Raw[[#This Row],[P-07]],Input_Raw[[#This Row],[P-18]],Input_Raw[[#This Row],[P-31]:[P-32]],Input_Raw[[#This Row],[P-37]],Input_Raw[[#This Row],[P-50]:[P-56]])</f>
        <v>452940</v>
      </c>
      <c r="DA101" s="12"/>
      <c r="DB101" s="13">
        <f>Input_Raw[[#This Row],[33 kV_Wind_F1_Export reading]]/1000</f>
        <v>331.19799999999998</v>
      </c>
      <c r="DC101" s="13"/>
      <c r="DD101" s="13">
        <f>Input_Raw[[#This Row],[33 kV_Wind_F2_Export_reading]]/1000</f>
        <v>400.60399999999998</v>
      </c>
      <c r="DE101" s="13"/>
      <c r="DF101" s="13">
        <f>Input_Raw[[#This Row],[33 kV_Wind_F3_Export_Reading]]/1000</f>
        <v>323.452</v>
      </c>
      <c r="DG101" s="13"/>
      <c r="DH101" s="13">
        <f>Input_Raw[[#This Row],[33 kV_Wind_F4_Export Reading]]/1000</f>
        <v>452.94</v>
      </c>
      <c r="DI101" s="13"/>
      <c r="DJ101" s="13">
        <f>Input_Raw[[#This Row],[33 kV_F1_Total_Export (MWh)]]+Input_Raw[[#This Row],[33 kV_F2_Total_Export (MWh)2]]+Input_Raw[[#This Row],[33 kV_Wind_F3_Export (MWh)]]+Input_Raw[[#This Row],[33 kV_Wind_F4_Export (MWh)]]</f>
        <v>1508.194</v>
      </c>
      <c r="DK101" s="13">
        <f>Input_Raw[[#This Row],[33 kV_Wind_F1_Import (MWh)]]+Input_Raw[[#This Row],[33 kV_Wind_F2_Import (MWh)]]+Input_Raw[[#This Row],[33 kV_Wind_F3_Import (MWh)2]]+Input_Raw[[#This Row],[33 kV_Wind_F4_Import (MWh)2]]</f>
        <v>0</v>
      </c>
      <c r="DL101" s="100">
        <f>IFERROR(Input_Raw[[#This Row],[33 kV_Wind_Total_Export (MWh)]]/Input_Raw[[#This Row],[WTG Total Gneration (MWh)]]-1,"")</f>
        <v>0</v>
      </c>
      <c r="DM101" s="66"/>
      <c r="DN101" s="186">
        <v>92</v>
      </c>
      <c r="DO101" s="186">
        <v>7937</v>
      </c>
      <c r="DP101" s="102">
        <v>1538.95</v>
      </c>
      <c r="DQ101" s="66"/>
      <c r="DR101" s="181">
        <v>70.400000000000006</v>
      </c>
    </row>
    <row r="102" spans="1:122" ht="15">
      <c r="A102" s="92">
        <f t="shared" si="74"/>
        <v>45842</v>
      </c>
      <c r="B102" s="190">
        <f>YEAR(Input_Raw[[#This Row],[Date]])+IF(MONTH(Input_Raw[[#This Row],[Date]])&gt;=4,1,0)</f>
        <v>2026</v>
      </c>
      <c r="C102" s="190">
        <f>YEAR(Input_Raw[[#This Row],[Date]])</f>
        <v>2025</v>
      </c>
      <c r="D102" s="11">
        <f t="shared" si="151"/>
        <v>45839</v>
      </c>
      <c r="E102" s="190">
        <f>DAY(EOMONTH(Input_Raw[[#This Row],[Date]],0))</f>
        <v>31</v>
      </c>
      <c r="F102" s="199">
        <v>35668</v>
      </c>
      <c r="G102" s="199">
        <v>34080</v>
      </c>
      <c r="H102" s="199">
        <v>29796</v>
      </c>
      <c r="I102" s="199">
        <v>34690</v>
      </c>
      <c r="J102" s="199">
        <v>36300</v>
      </c>
      <c r="K102" s="199">
        <v>34636</v>
      </c>
      <c r="L102" s="199">
        <v>36536</v>
      </c>
      <c r="M102" s="199">
        <v>31264</v>
      </c>
      <c r="N102" s="199">
        <v>26244</v>
      </c>
      <c r="O102" s="199">
        <v>26574</v>
      </c>
      <c r="P102" s="199">
        <v>31336</v>
      </c>
      <c r="Q102" s="199">
        <v>34816</v>
      </c>
      <c r="R102" s="199">
        <v>36120</v>
      </c>
      <c r="S102" s="199">
        <v>33580</v>
      </c>
      <c r="T102" s="199">
        <v>31088</v>
      </c>
      <c r="U102" s="199">
        <v>32796</v>
      </c>
      <c r="V102" s="199">
        <v>33334</v>
      </c>
      <c r="W102" s="199">
        <v>34052</v>
      </c>
      <c r="X102" s="199">
        <v>32735.999999999996</v>
      </c>
      <c r="Y102" s="199">
        <v>30267</v>
      </c>
      <c r="Z102" s="199">
        <v>33132</v>
      </c>
      <c r="AA102" s="199">
        <v>31676</v>
      </c>
      <c r="AB102" s="199">
        <v>31496</v>
      </c>
      <c r="AC102" s="199">
        <v>33464</v>
      </c>
      <c r="AD102" s="199">
        <v>33976</v>
      </c>
      <c r="AE102" s="199">
        <v>33116</v>
      </c>
      <c r="AF102" s="199">
        <v>29114</v>
      </c>
      <c r="AG102" s="199">
        <v>32112.000000000004</v>
      </c>
      <c r="AH102" s="199">
        <v>34696</v>
      </c>
      <c r="AI102" s="199">
        <v>34888</v>
      </c>
      <c r="AJ102" s="199">
        <v>32380.000000000004</v>
      </c>
      <c r="AK102" s="199">
        <v>30724</v>
      </c>
      <c r="AL102" s="199">
        <v>35604</v>
      </c>
      <c r="AM102" s="199">
        <v>36152</v>
      </c>
      <c r="AN102" s="199">
        <v>30126</v>
      </c>
      <c r="AO102" s="199">
        <v>37732</v>
      </c>
      <c r="AP102" s="199">
        <v>37400</v>
      </c>
      <c r="AQ102" s="199">
        <v>35632</v>
      </c>
      <c r="AR102" s="199">
        <v>37356</v>
      </c>
      <c r="AS102" s="199">
        <v>32910</v>
      </c>
      <c r="AT102" s="199">
        <v>35348</v>
      </c>
      <c r="AU102" s="199">
        <v>36208</v>
      </c>
      <c r="AV102" s="199">
        <v>37988</v>
      </c>
      <c r="AW102" s="199">
        <v>37624</v>
      </c>
      <c r="AX102" s="95">
        <v>12.21</v>
      </c>
      <c r="AY102" s="95">
        <v>12.58</v>
      </c>
      <c r="AZ102" s="95">
        <v>11.28</v>
      </c>
      <c r="BA102" s="95">
        <v>12.21</v>
      </c>
      <c r="BB102" s="95">
        <v>11.88</v>
      </c>
      <c r="BC102" s="95">
        <v>12.44</v>
      </c>
      <c r="BD102" s="95">
        <v>12.6</v>
      </c>
      <c r="BE102" s="95">
        <v>11.08</v>
      </c>
      <c r="BF102" s="95">
        <v>9.84</v>
      </c>
      <c r="BG102" s="95">
        <v>10.15</v>
      </c>
      <c r="BH102" s="95">
        <v>11.31</v>
      </c>
      <c r="BI102" s="95">
        <v>12.75</v>
      </c>
      <c r="BJ102" s="95">
        <v>12.19</v>
      </c>
      <c r="BK102" s="95">
        <v>11.27</v>
      </c>
      <c r="BL102" s="95">
        <v>11.32</v>
      </c>
      <c r="BM102" s="95">
        <v>11.09</v>
      </c>
      <c r="BN102" s="95">
        <v>11.56</v>
      </c>
      <c r="BO102" s="95">
        <v>11.51</v>
      </c>
      <c r="BP102" s="95">
        <v>11.07</v>
      </c>
      <c r="BQ102" s="95">
        <v>10.08</v>
      </c>
      <c r="BR102" s="95">
        <v>11.41</v>
      </c>
      <c r="BS102" s="95">
        <v>10.85</v>
      </c>
      <c r="BT102" s="95">
        <v>10.27</v>
      </c>
      <c r="BU102" s="95">
        <v>11.86</v>
      </c>
      <c r="BV102" s="95">
        <v>11.96</v>
      </c>
      <c r="BW102" s="95">
        <v>11.13</v>
      </c>
      <c r="BX102" s="95">
        <v>10.09</v>
      </c>
      <c r="BY102" s="95">
        <v>10.77</v>
      </c>
      <c r="BZ102" s="95">
        <v>11.87</v>
      </c>
      <c r="CA102" s="95">
        <v>11.44</v>
      </c>
      <c r="CB102" s="95">
        <v>11.11</v>
      </c>
      <c r="CC102" s="95">
        <v>10.86</v>
      </c>
      <c r="CD102" s="95">
        <v>9.93</v>
      </c>
      <c r="CE102" s="95">
        <v>12.41</v>
      </c>
      <c r="CF102" s="95">
        <v>10.32</v>
      </c>
      <c r="CG102" s="95">
        <v>14.66</v>
      </c>
      <c r="CH102" s="95">
        <v>13.31</v>
      </c>
      <c r="CI102" s="95">
        <v>12.12</v>
      </c>
      <c r="CJ102" s="95">
        <v>12.83</v>
      </c>
      <c r="CK102" s="95">
        <v>11.23</v>
      </c>
      <c r="CL102" s="95">
        <v>12.19</v>
      </c>
      <c r="CM102" s="95">
        <v>12.26</v>
      </c>
      <c r="CN102" s="95">
        <v>14.29</v>
      </c>
      <c r="CO102" s="95">
        <v>12.99</v>
      </c>
      <c r="CP102" s="345">
        <f>SUM(Input_Raw[[#This Row],[P-01]:[P-56]])/1000</f>
        <v>1476.7670000000001</v>
      </c>
      <c r="CQ102" s="346">
        <f>IFERROR(AVERAGEIF(Input_Raw[[#This Row],[WS_P-01]:[WS_P-56]],"&lt;&gt;",Input_Raw[[#This Row],[WS_P-01]:[WS_P-56]]),"")</f>
        <v>11.649545454545455</v>
      </c>
      <c r="CR102" s="347">
        <f>MAX(Input_Raw[[#This Row],[WS_P-01]:[WS_P-56]])</f>
        <v>14.66</v>
      </c>
      <c r="CS102" s="347"/>
      <c r="CT102" s="348">
        <f>SUM(Input_Raw[[#This Row],[P-08]:[P-13]],Input_Raw[[#This Row],[P-25]:[P-28]])</f>
        <v>318406</v>
      </c>
      <c r="CU102" s="348"/>
      <c r="CV102" s="348">
        <f>SUM(Input_Raw[[#This Row],[P-04]],Input_Raw[[#This Row],[P-14]:[P-17]],Input_Raw[[#This Row],[P-19]:[P-20]],Input_Raw[[#This Row],[P-22]:[P-23]],Input_Raw[[#This Row],[P-34]],Input_Raw[[#This Row],[P-38]],Input_Raw[[#This Row],[P-43]])</f>
        <v>390501</v>
      </c>
      <c r="CW102" s="348"/>
      <c r="CX102" s="348">
        <f>SUM(Input_Raw[[#This Row],[P-05]:[P-06]],Input_Raw[[#This Row],[P-40]:[P-42]],Input_Raw[[#This Row],[P-45]],Input_Raw[[#This Row],[P-46]],Input_Raw[[#This Row],[P-47]:[P-48]])</f>
        <v>321536</v>
      </c>
      <c r="CY102" s="348"/>
      <c r="CZ102" s="348">
        <f>SUM(Input_Raw[[#This Row],[P-01]:[P-03]],Input_Raw[[#This Row],[P-07]],Input_Raw[[#This Row],[P-18]],Input_Raw[[#This Row],[P-31]:[P-32]],Input_Raw[[#This Row],[P-37]],Input_Raw[[#This Row],[P-50]:[P-56]])</f>
        <v>446324</v>
      </c>
      <c r="DA102" s="349"/>
      <c r="DB102" s="350">
        <f>Input_Raw[[#This Row],[33 kV_Wind_F1_Export reading]]/1000</f>
        <v>318.40600000000001</v>
      </c>
      <c r="DC102" s="350"/>
      <c r="DD102" s="350">
        <f>Input_Raw[[#This Row],[33 kV_Wind_F2_Export_reading]]/1000</f>
        <v>390.50099999999998</v>
      </c>
      <c r="DE102" s="350"/>
      <c r="DF102" s="350">
        <f>Input_Raw[[#This Row],[33 kV_Wind_F3_Export_Reading]]/1000</f>
        <v>321.536</v>
      </c>
      <c r="DG102" s="350"/>
      <c r="DH102" s="350">
        <f>Input_Raw[[#This Row],[33 kV_Wind_F4_Export Reading]]/1000</f>
        <v>446.32400000000001</v>
      </c>
      <c r="DI102" s="350"/>
      <c r="DJ102" s="350">
        <f>Input_Raw[[#This Row],[33 kV_F1_Total_Export (MWh)]]+Input_Raw[[#This Row],[33 kV_F2_Total_Export (MWh)2]]+Input_Raw[[#This Row],[33 kV_Wind_F3_Export (MWh)]]+Input_Raw[[#This Row],[33 kV_Wind_F4_Export (MWh)]]</f>
        <v>1476.7670000000001</v>
      </c>
      <c r="DK102" s="350">
        <f>Input_Raw[[#This Row],[33 kV_Wind_F1_Import (MWh)]]+Input_Raw[[#This Row],[33 kV_Wind_F2_Import (MWh)]]+Input_Raw[[#This Row],[33 kV_Wind_F3_Import (MWh)2]]+Input_Raw[[#This Row],[33 kV_Wind_F4_Import (MWh)2]]</f>
        <v>0</v>
      </c>
      <c r="DL102" s="351">
        <f>IFERROR(Input_Raw[[#This Row],[33 kV_Wind_Total_Export (MWh)]]/Input_Raw[[#This Row],[WTG Total Gneration (MWh)]]-1,"")</f>
        <v>0</v>
      </c>
      <c r="DM102" s="352"/>
      <c r="DN102" s="186">
        <v>89</v>
      </c>
      <c r="DO102" s="186">
        <v>11143.38</v>
      </c>
      <c r="DP102" s="102">
        <v>1498.97</v>
      </c>
      <c r="DQ102" s="352"/>
      <c r="DR102" s="181">
        <v>70.400000000000006</v>
      </c>
    </row>
    <row r="103" spans="1:122" ht="15">
      <c r="A103" s="92">
        <f t="shared" si="74"/>
        <v>45843</v>
      </c>
      <c r="B103" s="190">
        <f>YEAR(Input_Raw[[#This Row],[Date]])+IF(MONTH(Input_Raw[[#This Row],[Date]])&gt;=4,1,0)</f>
        <v>2026</v>
      </c>
      <c r="C103" s="190">
        <f>YEAR(Input_Raw[[#This Row],[Date]])</f>
        <v>2025</v>
      </c>
      <c r="D103" s="11">
        <f t="shared" ref="D103" si="152">A103-DAY(A103)+1</f>
        <v>45839</v>
      </c>
      <c r="E103" s="190">
        <f>DAY(EOMONTH(Input_Raw[[#This Row],[Date]],0))</f>
        <v>31</v>
      </c>
      <c r="F103" s="199">
        <v>35240</v>
      </c>
      <c r="G103" s="199">
        <v>31268</v>
      </c>
      <c r="H103" s="199">
        <v>35336</v>
      </c>
      <c r="I103" s="199">
        <v>36748</v>
      </c>
      <c r="J103" s="199">
        <v>36860</v>
      </c>
      <c r="K103" s="199">
        <v>35860</v>
      </c>
      <c r="L103" s="199">
        <v>37536</v>
      </c>
      <c r="M103" s="199">
        <v>34158</v>
      </c>
      <c r="N103" s="199">
        <v>28976</v>
      </c>
      <c r="O103" s="199">
        <v>29254</v>
      </c>
      <c r="P103" s="199">
        <v>34244</v>
      </c>
      <c r="Q103" s="199">
        <v>37272</v>
      </c>
      <c r="R103" s="199">
        <v>37444</v>
      </c>
      <c r="S103" s="199">
        <v>35126</v>
      </c>
      <c r="T103" s="199">
        <v>34076</v>
      </c>
      <c r="U103" s="199">
        <v>34664</v>
      </c>
      <c r="V103" s="199">
        <v>36328</v>
      </c>
      <c r="W103" s="199">
        <v>36268</v>
      </c>
      <c r="X103" s="199">
        <v>34880</v>
      </c>
      <c r="Y103" s="199">
        <v>32845</v>
      </c>
      <c r="Z103" s="199">
        <v>36376</v>
      </c>
      <c r="AA103" s="199">
        <v>34140</v>
      </c>
      <c r="AB103" s="199">
        <v>34648</v>
      </c>
      <c r="AC103" s="199">
        <v>25228</v>
      </c>
      <c r="AD103" s="199">
        <v>36188</v>
      </c>
      <c r="AE103" s="199">
        <v>35576</v>
      </c>
      <c r="AF103" s="199">
        <v>32316.000000000004</v>
      </c>
      <c r="AG103" s="199">
        <v>34840</v>
      </c>
      <c r="AH103" s="199">
        <v>37060</v>
      </c>
      <c r="AI103" s="199">
        <v>36692</v>
      </c>
      <c r="AJ103" s="199">
        <v>35336</v>
      </c>
      <c r="AK103" s="199">
        <v>16802</v>
      </c>
      <c r="AL103" s="199">
        <v>37048</v>
      </c>
      <c r="AM103" s="199">
        <v>37400</v>
      </c>
      <c r="AN103" s="199">
        <v>33938</v>
      </c>
      <c r="AO103" s="199">
        <v>38260</v>
      </c>
      <c r="AP103" s="199">
        <v>38220</v>
      </c>
      <c r="AQ103" s="199">
        <v>37316</v>
      </c>
      <c r="AR103" s="199">
        <v>37952</v>
      </c>
      <c r="AS103" s="199">
        <v>35460</v>
      </c>
      <c r="AT103" s="199">
        <v>37612</v>
      </c>
      <c r="AU103" s="199">
        <v>37856</v>
      </c>
      <c r="AV103" s="199">
        <v>38620</v>
      </c>
      <c r="AW103" s="199">
        <v>38256</v>
      </c>
      <c r="AX103" s="96">
        <v>12.43</v>
      </c>
      <c r="AY103" s="96">
        <v>13.24</v>
      </c>
      <c r="AZ103" s="96">
        <v>12.05</v>
      </c>
      <c r="BA103" s="96">
        <v>13.09</v>
      </c>
      <c r="BB103" s="96">
        <v>12.15</v>
      </c>
      <c r="BC103" s="96">
        <v>13.33</v>
      </c>
      <c r="BD103" s="96">
        <v>13.26</v>
      </c>
      <c r="BE103" s="96">
        <v>11.88</v>
      </c>
      <c r="BF103" s="96">
        <v>10.48</v>
      </c>
      <c r="BG103" s="96">
        <v>10.73</v>
      </c>
      <c r="BH103" s="96">
        <v>12.49</v>
      </c>
      <c r="BI103" s="96">
        <v>13.96</v>
      </c>
      <c r="BJ103" s="96">
        <v>13.05</v>
      </c>
      <c r="BK103" s="96">
        <v>11.85</v>
      </c>
      <c r="BL103" s="96">
        <v>12.23</v>
      </c>
      <c r="BM103" s="96">
        <v>11.57</v>
      </c>
      <c r="BN103" s="96">
        <v>12.84</v>
      </c>
      <c r="BO103" s="96">
        <v>12.17</v>
      </c>
      <c r="BP103" s="96">
        <v>11.79</v>
      </c>
      <c r="BQ103" s="96">
        <v>10.61</v>
      </c>
      <c r="BR103" s="96">
        <v>12.31</v>
      </c>
      <c r="BS103" s="96">
        <v>11.72</v>
      </c>
      <c r="BT103" s="96">
        <v>11.08</v>
      </c>
      <c r="BU103" s="96">
        <v>12.43</v>
      </c>
      <c r="BV103" s="96">
        <v>12.8</v>
      </c>
      <c r="BW103" s="96">
        <v>11.93</v>
      </c>
      <c r="BX103" s="96">
        <v>10.76</v>
      </c>
      <c r="BY103" s="96">
        <v>11.48</v>
      </c>
      <c r="BZ103" s="96">
        <v>12.95</v>
      </c>
      <c r="CA103" s="96">
        <v>12.09</v>
      </c>
      <c r="CB103" s="96">
        <v>12.2</v>
      </c>
      <c r="CC103" s="96">
        <v>9.1999999999999993</v>
      </c>
      <c r="CD103" s="96">
        <v>10.55</v>
      </c>
      <c r="CE103" s="96">
        <v>13.38</v>
      </c>
      <c r="CF103" s="96">
        <v>11.3</v>
      </c>
      <c r="CG103" s="96">
        <v>15.35</v>
      </c>
      <c r="CH103" s="96">
        <v>14.01</v>
      </c>
      <c r="CI103" s="96">
        <v>12.95</v>
      </c>
      <c r="CJ103" s="96">
        <v>13.52</v>
      </c>
      <c r="CK103" s="96">
        <v>12.07</v>
      </c>
      <c r="CL103" s="96">
        <v>13.18</v>
      </c>
      <c r="CM103" s="96">
        <v>13.12</v>
      </c>
      <c r="CN103" s="96">
        <v>15.16</v>
      </c>
      <c r="CO103" s="96">
        <v>13.66</v>
      </c>
      <c r="CP103" s="345">
        <f>SUM(Input_Raw[[#This Row],[P-01]:[P-56]])/1000</f>
        <v>1537.5229999999999</v>
      </c>
      <c r="CQ103" s="346">
        <f>IFERROR(AVERAGEIF(Input_Raw[[#This Row],[WS_P-01]:[WS_P-56]],"&lt;&gt;",Input_Raw[[#This Row],[WS_P-01]:[WS_P-56]]),"")</f>
        <v>12.372727272727269</v>
      </c>
      <c r="CR103" s="347">
        <f>MAX(Input_Raw[[#This Row],[WS_P-01]:[WS_P-56]])</f>
        <v>15.35</v>
      </c>
      <c r="CS103" s="347"/>
      <c r="CT103" s="348">
        <f>SUM(Input_Raw[[#This Row],[P-08]:[P-13]],Input_Raw[[#This Row],[P-25]:[P-28]])</f>
        <v>332988</v>
      </c>
      <c r="CU103" s="348"/>
      <c r="CV103" s="348">
        <f>SUM(Input_Raw[[#This Row],[P-04]],Input_Raw[[#This Row],[P-14]:[P-17]],Input_Raw[[#This Row],[P-19]:[P-20]],Input_Raw[[#This Row],[P-22]:[P-23]],Input_Raw[[#This Row],[P-34]],Input_Raw[[#This Row],[P-38]],Input_Raw[[#This Row],[P-43]])</f>
        <v>421517</v>
      </c>
      <c r="CW103" s="348"/>
      <c r="CX103" s="348">
        <f>SUM(Input_Raw[[#This Row],[P-05]:[P-06]],Input_Raw[[#This Row],[P-40]:[P-42]],Input_Raw[[#This Row],[P-45]],Input_Raw[[#This Row],[P-46]],Input_Raw[[#This Row],[P-47]:[P-48]])</f>
        <v>315718</v>
      </c>
      <c r="CY103" s="348"/>
      <c r="CZ103" s="348">
        <f>SUM(Input_Raw[[#This Row],[P-01]:[P-03]],Input_Raw[[#This Row],[P-07]],Input_Raw[[#This Row],[P-18]],Input_Raw[[#This Row],[P-31]:[P-32]],Input_Raw[[#This Row],[P-37]],Input_Raw[[#This Row],[P-50]:[P-56]])</f>
        <v>467300</v>
      </c>
      <c r="DA103" s="349"/>
      <c r="DB103" s="350">
        <f>Input_Raw[[#This Row],[33 kV_Wind_F1_Export reading]]/1000</f>
        <v>332.988</v>
      </c>
      <c r="DC103" s="350"/>
      <c r="DD103" s="350">
        <f>Input_Raw[[#This Row],[33 kV_Wind_F2_Export_reading]]/1000</f>
        <v>421.517</v>
      </c>
      <c r="DE103" s="350"/>
      <c r="DF103" s="350">
        <f>Input_Raw[[#This Row],[33 kV_Wind_F3_Export_Reading]]/1000</f>
        <v>315.71800000000002</v>
      </c>
      <c r="DG103" s="350"/>
      <c r="DH103" s="350">
        <f>Input_Raw[[#This Row],[33 kV_Wind_F4_Export Reading]]/1000</f>
        <v>467.3</v>
      </c>
      <c r="DI103" s="350"/>
      <c r="DJ103" s="350">
        <f>Input_Raw[[#This Row],[33 kV_F1_Total_Export (MWh)]]+Input_Raw[[#This Row],[33 kV_F2_Total_Export (MWh)2]]+Input_Raw[[#This Row],[33 kV_Wind_F3_Export (MWh)]]+Input_Raw[[#This Row],[33 kV_Wind_F4_Export (MWh)]]</f>
        <v>1537.5229999999999</v>
      </c>
      <c r="DK103" s="350">
        <f>Input_Raw[[#This Row],[33 kV_Wind_F1_Import (MWh)]]+Input_Raw[[#This Row],[33 kV_Wind_F2_Import (MWh)]]+Input_Raw[[#This Row],[33 kV_Wind_F3_Import (MWh)2]]+Input_Raw[[#This Row],[33 kV_Wind_F4_Import (MWh)2]]</f>
        <v>0</v>
      </c>
      <c r="DL103" s="351">
        <f>IFERROR(Input_Raw[[#This Row],[33 kV_Wind_Total_Export (MWh)]]/Input_Raw[[#This Row],[WTG Total Gneration (MWh)]]-1,"")</f>
        <v>0</v>
      </c>
      <c r="DM103" s="352"/>
      <c r="DN103" s="186">
        <v>96</v>
      </c>
      <c r="DO103" s="186">
        <v>12441.25</v>
      </c>
      <c r="DP103" s="102">
        <v>1597.99</v>
      </c>
      <c r="DQ103" s="352"/>
      <c r="DR103" s="181">
        <v>70.400000000000006</v>
      </c>
    </row>
    <row r="104" spans="1:122" ht="15">
      <c r="A104" s="92">
        <f t="shared" si="74"/>
        <v>45844</v>
      </c>
      <c r="B104" s="190">
        <f>YEAR(Input_Raw[[#This Row],[Date]])+IF(MONTH(Input_Raw[[#This Row],[Date]])&gt;=4,1,0)</f>
        <v>2026</v>
      </c>
      <c r="C104" s="190">
        <f>YEAR(Input_Raw[[#This Row],[Date]])</f>
        <v>2025</v>
      </c>
      <c r="D104" s="11">
        <f t="shared" ref="D104" si="153">A104-DAY(A104)+1</f>
        <v>45839</v>
      </c>
      <c r="E104" s="190">
        <f>DAY(EOMONTH(Input_Raw[[#This Row],[Date]],0))</f>
        <v>31</v>
      </c>
      <c r="F104" s="199">
        <v>38572</v>
      </c>
      <c r="G104" s="199">
        <v>38044</v>
      </c>
      <c r="H104" s="199">
        <v>35844</v>
      </c>
      <c r="I104" s="199">
        <v>38248</v>
      </c>
      <c r="J104" s="199">
        <v>37784</v>
      </c>
      <c r="K104" s="199">
        <v>38200</v>
      </c>
      <c r="L104" s="199">
        <v>38456</v>
      </c>
      <c r="M104" s="199">
        <v>35070</v>
      </c>
      <c r="N104" s="199">
        <v>32299.999999999996</v>
      </c>
      <c r="O104" s="199">
        <v>32052</v>
      </c>
      <c r="P104" s="199">
        <v>36096</v>
      </c>
      <c r="Q104" s="199">
        <v>38136</v>
      </c>
      <c r="R104" s="199">
        <v>38480</v>
      </c>
      <c r="S104" s="199">
        <v>36866</v>
      </c>
      <c r="T104" s="199">
        <v>35136</v>
      </c>
      <c r="U104" s="199">
        <v>36824</v>
      </c>
      <c r="V104" s="199">
        <v>37512</v>
      </c>
      <c r="W104" s="199">
        <v>36952</v>
      </c>
      <c r="X104" s="199">
        <v>37628</v>
      </c>
      <c r="Y104" s="199">
        <v>36346</v>
      </c>
      <c r="Z104" s="199">
        <v>38068</v>
      </c>
      <c r="AA104" s="199">
        <v>37000</v>
      </c>
      <c r="AB104" s="199">
        <v>36700</v>
      </c>
      <c r="AC104" s="199">
        <v>37296</v>
      </c>
      <c r="AD104" s="199">
        <v>37636</v>
      </c>
      <c r="AE104" s="199">
        <v>37320</v>
      </c>
      <c r="AF104" s="199">
        <v>32080</v>
      </c>
      <c r="AG104" s="199">
        <v>37044</v>
      </c>
      <c r="AH104" s="199">
        <v>38244</v>
      </c>
      <c r="AI104" s="199">
        <v>38322</v>
      </c>
      <c r="AJ104" s="199">
        <v>37708</v>
      </c>
      <c r="AK104" s="199">
        <v>36106</v>
      </c>
      <c r="AL104" s="199">
        <v>37116</v>
      </c>
      <c r="AM104" s="199">
        <v>38204</v>
      </c>
      <c r="AN104" s="199">
        <v>35734</v>
      </c>
      <c r="AO104" s="199">
        <v>38748</v>
      </c>
      <c r="AP104" s="199">
        <v>38708</v>
      </c>
      <c r="AQ104" s="199">
        <v>38044</v>
      </c>
      <c r="AR104" s="199">
        <v>38576</v>
      </c>
      <c r="AS104" s="199">
        <v>36512</v>
      </c>
      <c r="AT104" s="199">
        <v>38370</v>
      </c>
      <c r="AU104" s="199">
        <v>38620</v>
      </c>
      <c r="AV104" s="199">
        <v>38836</v>
      </c>
      <c r="AW104" s="199">
        <v>38716</v>
      </c>
      <c r="AX104" s="96">
        <v>13.79</v>
      </c>
      <c r="AY104" s="96">
        <v>14.31</v>
      </c>
      <c r="AZ104" s="96">
        <v>12.18</v>
      </c>
      <c r="BA104" s="96">
        <v>14.39</v>
      </c>
      <c r="BB104" s="96">
        <v>13</v>
      </c>
      <c r="BC104" s="96">
        <v>14.21</v>
      </c>
      <c r="BD104" s="96">
        <v>14.09</v>
      </c>
      <c r="BE104" s="96">
        <v>12.75</v>
      </c>
      <c r="BF104" s="96">
        <v>11.37</v>
      </c>
      <c r="BG104" s="96">
        <v>11.52</v>
      </c>
      <c r="BH104" s="96">
        <v>13.74</v>
      </c>
      <c r="BI104" s="96">
        <v>15.17</v>
      </c>
      <c r="BJ104" s="96">
        <v>14.24</v>
      </c>
      <c r="BK104" s="96">
        <v>13.06</v>
      </c>
      <c r="BL104" s="96">
        <v>13.42</v>
      </c>
      <c r="BM104" s="96">
        <v>12.62</v>
      </c>
      <c r="BN104" s="96">
        <v>14.38</v>
      </c>
      <c r="BO104" s="96">
        <v>12.56</v>
      </c>
      <c r="BP104" s="96">
        <v>13.2</v>
      </c>
      <c r="BQ104" s="96">
        <v>11.8</v>
      </c>
      <c r="BR104" s="96">
        <v>13.44</v>
      </c>
      <c r="BS104" s="96">
        <v>12.96</v>
      </c>
      <c r="BT104" s="96">
        <v>12.06</v>
      </c>
      <c r="BU104" s="96">
        <v>14.18</v>
      </c>
      <c r="BV104" s="96">
        <v>13.83</v>
      </c>
      <c r="BW104" s="96">
        <v>12.77</v>
      </c>
      <c r="BX104" s="96">
        <v>10.66</v>
      </c>
      <c r="BY104" s="96">
        <v>12.42</v>
      </c>
      <c r="BZ104" s="96">
        <v>14.06</v>
      </c>
      <c r="CA104" s="96">
        <v>13.1</v>
      </c>
      <c r="CB104" s="96">
        <v>13.66</v>
      </c>
      <c r="CC104" s="96">
        <v>12.4</v>
      </c>
      <c r="CD104" s="96">
        <v>11.26</v>
      </c>
      <c r="CE104" s="96">
        <v>14</v>
      </c>
      <c r="CF104" s="96">
        <v>12.15</v>
      </c>
      <c r="CG104" s="96">
        <v>16.28</v>
      </c>
      <c r="CH104" s="96">
        <v>14.84</v>
      </c>
      <c r="CI104" s="96">
        <v>13.48</v>
      </c>
      <c r="CJ104" s="96">
        <v>14.2</v>
      </c>
      <c r="CK104" s="96">
        <v>12.47</v>
      </c>
      <c r="CL104" s="96">
        <v>13.97</v>
      </c>
      <c r="CM104" s="96">
        <v>14.22</v>
      </c>
      <c r="CN104" s="96">
        <v>16.02</v>
      </c>
      <c r="CO104" s="96">
        <v>14.38</v>
      </c>
      <c r="CP104" s="345">
        <f>SUM(Input_Raw[[#This Row],[P-01]:[P-56]])/1000</f>
        <v>1634.2539999999999</v>
      </c>
      <c r="CQ104" s="346">
        <f>IFERROR(AVERAGEIF(Input_Raw[[#This Row],[WS_P-01]:[WS_P-56]],"&lt;&gt;",Input_Raw[[#This Row],[WS_P-01]:[WS_P-56]]),"")</f>
        <v>13.3775</v>
      </c>
      <c r="CR104" s="347">
        <f>MAX(Input_Raw[[#This Row],[WS_P-01]:[WS_P-56]])</f>
        <v>16.28</v>
      </c>
      <c r="CS104" s="347"/>
      <c r="CT104" s="348">
        <f>SUM(Input_Raw[[#This Row],[P-08]:[P-13]],Input_Raw[[#This Row],[P-25]:[P-28]])</f>
        <v>361086</v>
      </c>
      <c r="CU104" s="348"/>
      <c r="CV104" s="348">
        <f>SUM(Input_Raw[[#This Row],[P-04]],Input_Raw[[#This Row],[P-14]:[P-17]],Input_Raw[[#This Row],[P-19]:[P-20]],Input_Raw[[#This Row],[P-22]:[P-23]],Input_Raw[[#This Row],[P-34]],Input_Raw[[#This Row],[P-38]],Input_Raw[[#This Row],[P-43]])</f>
        <v>445314</v>
      </c>
      <c r="CW104" s="348"/>
      <c r="CX104" s="348">
        <f>SUM(Input_Raw[[#This Row],[P-05]:[P-06]],Input_Raw[[#This Row],[P-40]:[P-42]],Input_Raw[[#This Row],[P-45]],Input_Raw[[#This Row],[P-46]],Input_Raw[[#This Row],[P-47]:[P-48]])</f>
        <v>341486</v>
      </c>
      <c r="CY104" s="348"/>
      <c r="CZ104" s="348">
        <f>SUM(Input_Raw[[#This Row],[P-01]:[P-03]],Input_Raw[[#This Row],[P-07]],Input_Raw[[#This Row],[P-18]],Input_Raw[[#This Row],[P-31]:[P-32]],Input_Raw[[#This Row],[P-37]],Input_Raw[[#This Row],[P-50]:[P-56]])</f>
        <v>486368</v>
      </c>
      <c r="DA104" s="349"/>
      <c r="DB104" s="350">
        <f>Input_Raw[[#This Row],[33 kV_Wind_F1_Export reading]]/1000</f>
        <v>361.08600000000001</v>
      </c>
      <c r="DC104" s="350"/>
      <c r="DD104" s="350">
        <f>Input_Raw[[#This Row],[33 kV_Wind_F2_Export_reading]]/1000</f>
        <v>445.31400000000002</v>
      </c>
      <c r="DE104" s="350"/>
      <c r="DF104" s="350">
        <f>Input_Raw[[#This Row],[33 kV_Wind_F3_Export_Reading]]/1000</f>
        <v>341.48599999999999</v>
      </c>
      <c r="DG104" s="350"/>
      <c r="DH104" s="350">
        <f>Input_Raw[[#This Row],[33 kV_Wind_F4_Export Reading]]/1000</f>
        <v>486.36799999999999</v>
      </c>
      <c r="DI104" s="350"/>
      <c r="DJ104" s="350">
        <f>Input_Raw[[#This Row],[33 kV_F1_Total_Export (MWh)]]+Input_Raw[[#This Row],[33 kV_F2_Total_Export (MWh)2]]+Input_Raw[[#This Row],[33 kV_Wind_F3_Export (MWh)]]+Input_Raw[[#This Row],[33 kV_Wind_F4_Export (MWh)]]</f>
        <v>1634.2539999999999</v>
      </c>
      <c r="DK104" s="350">
        <f>Input_Raw[[#This Row],[33 kV_Wind_F1_Import (MWh)]]+Input_Raw[[#This Row],[33 kV_Wind_F2_Import (MWh)]]+Input_Raw[[#This Row],[33 kV_Wind_F3_Import (MWh)2]]+Input_Raw[[#This Row],[33 kV_Wind_F4_Import (MWh)2]]</f>
        <v>0</v>
      </c>
      <c r="DL104" s="351">
        <f>IFERROR(Input_Raw[[#This Row],[33 kV_Wind_Total_Export (MWh)]]/Input_Raw[[#This Row],[WTG Total Gneration (MWh)]]-1,"")</f>
        <v>0</v>
      </c>
      <c r="DM104" s="352"/>
      <c r="DN104" s="186">
        <v>79</v>
      </c>
      <c r="DO104" s="186">
        <v>0</v>
      </c>
      <c r="DP104" s="102">
        <v>1671.39</v>
      </c>
      <c r="DQ104" s="352"/>
      <c r="DR104" s="181">
        <v>70.400000000000006</v>
      </c>
    </row>
    <row r="105" spans="1:122" ht="15">
      <c r="A105" s="92">
        <f t="shared" si="74"/>
        <v>45845</v>
      </c>
      <c r="B105" s="190">
        <f>YEAR(Input_Raw[[#This Row],[Date]])+IF(MONTH(Input_Raw[[#This Row],[Date]])&gt;=4,1,0)</f>
        <v>2026</v>
      </c>
      <c r="C105" s="190">
        <f>YEAR(Input_Raw[[#This Row],[Date]])</f>
        <v>2025</v>
      </c>
      <c r="D105" s="11">
        <f t="shared" ref="D105" si="154">A105-DAY(A105)+1</f>
        <v>45839</v>
      </c>
      <c r="E105" s="190">
        <f>DAY(EOMONTH(Input_Raw[[#This Row],[Date]],0))</f>
        <v>31</v>
      </c>
      <c r="F105" s="199">
        <v>34760</v>
      </c>
      <c r="G105" s="199">
        <v>36072</v>
      </c>
      <c r="H105" s="199">
        <v>33548</v>
      </c>
      <c r="I105" s="199">
        <v>34498</v>
      </c>
      <c r="J105" s="199">
        <v>35272</v>
      </c>
      <c r="K105" s="199">
        <v>35316</v>
      </c>
      <c r="L105" s="199">
        <v>36888</v>
      </c>
      <c r="M105" s="199">
        <v>33674</v>
      </c>
      <c r="N105" s="199">
        <v>29816</v>
      </c>
      <c r="O105" s="199">
        <v>30748</v>
      </c>
      <c r="P105" s="199">
        <v>35518</v>
      </c>
      <c r="Q105" s="199">
        <v>37360</v>
      </c>
      <c r="R105" s="199">
        <v>37844</v>
      </c>
      <c r="S105" s="199">
        <v>35166</v>
      </c>
      <c r="T105" s="199">
        <v>33328</v>
      </c>
      <c r="U105" s="199">
        <v>34546</v>
      </c>
      <c r="V105" s="199">
        <v>35680</v>
      </c>
      <c r="W105" s="199">
        <v>34836</v>
      </c>
      <c r="X105" s="199">
        <v>34536</v>
      </c>
      <c r="Y105" s="199">
        <v>31975</v>
      </c>
      <c r="Z105" s="199">
        <v>36468</v>
      </c>
      <c r="AA105" s="199">
        <v>33784</v>
      </c>
      <c r="AB105" s="199">
        <v>34752</v>
      </c>
      <c r="AC105" s="199">
        <v>36100</v>
      </c>
      <c r="AD105" s="199">
        <v>36252</v>
      </c>
      <c r="AE105" s="199">
        <v>36036</v>
      </c>
      <c r="AF105" s="199">
        <v>30314</v>
      </c>
      <c r="AG105" s="199">
        <v>33144</v>
      </c>
      <c r="AH105" s="199">
        <v>34600</v>
      </c>
      <c r="AI105" s="199">
        <v>35380</v>
      </c>
      <c r="AJ105" s="199">
        <v>34818</v>
      </c>
      <c r="AK105" s="199">
        <v>30664</v>
      </c>
      <c r="AL105" s="199">
        <v>34752</v>
      </c>
      <c r="AM105" s="199">
        <v>34328</v>
      </c>
      <c r="AN105" s="199">
        <v>30854</v>
      </c>
      <c r="AO105" s="199">
        <v>37868</v>
      </c>
      <c r="AP105" s="199">
        <v>36180</v>
      </c>
      <c r="AQ105" s="199">
        <v>36376</v>
      </c>
      <c r="AR105" s="199">
        <v>36000</v>
      </c>
      <c r="AS105" s="199">
        <v>34140</v>
      </c>
      <c r="AT105" s="199">
        <v>36402</v>
      </c>
      <c r="AU105" s="199">
        <v>37172</v>
      </c>
      <c r="AV105" s="199">
        <v>35716</v>
      </c>
      <c r="AW105" s="199">
        <v>37576</v>
      </c>
      <c r="AX105" s="96">
        <v>12.41</v>
      </c>
      <c r="AY105" s="96">
        <v>12.59</v>
      </c>
      <c r="AZ105" s="96">
        <v>11.48</v>
      </c>
      <c r="BA105" s="96">
        <v>12.87</v>
      </c>
      <c r="BB105" s="96">
        <v>12.07</v>
      </c>
      <c r="BC105" s="96">
        <v>12.75</v>
      </c>
      <c r="BD105" s="96">
        <v>12.82</v>
      </c>
      <c r="BE105" s="96">
        <v>12.02</v>
      </c>
      <c r="BF105" s="96">
        <v>10.69</v>
      </c>
      <c r="BG105" s="96">
        <v>11.13</v>
      </c>
      <c r="BH105" s="96">
        <v>13.58</v>
      </c>
      <c r="BI105" s="96">
        <v>14.56</v>
      </c>
      <c r="BJ105" s="96">
        <v>13.57</v>
      </c>
      <c r="BK105" s="96">
        <v>11.84</v>
      </c>
      <c r="BL105" s="96">
        <v>12.25</v>
      </c>
      <c r="BM105" s="96">
        <v>11.66</v>
      </c>
      <c r="BN105" s="96">
        <v>13.05</v>
      </c>
      <c r="BO105" s="96">
        <v>11.67</v>
      </c>
      <c r="BP105" s="96">
        <v>11.56</v>
      </c>
      <c r="BQ105" s="96">
        <v>10.38</v>
      </c>
      <c r="BR105" s="96">
        <v>12.21</v>
      </c>
      <c r="BS105" s="96">
        <v>11.34</v>
      </c>
      <c r="BT105" s="96">
        <v>11.14</v>
      </c>
      <c r="BU105" s="96">
        <v>12.89</v>
      </c>
      <c r="BV105" s="96">
        <v>13.05</v>
      </c>
      <c r="BW105" s="96">
        <v>12.26</v>
      </c>
      <c r="BX105" s="96">
        <v>10.24</v>
      </c>
      <c r="BY105" s="96">
        <v>10.94</v>
      </c>
      <c r="BZ105" s="96">
        <v>12.37</v>
      </c>
      <c r="CA105" s="96">
        <v>11.6</v>
      </c>
      <c r="CB105" s="96">
        <v>12.28</v>
      </c>
      <c r="CC105" s="96">
        <v>11.07</v>
      </c>
      <c r="CD105" s="96">
        <v>10.220000000000001</v>
      </c>
      <c r="CE105" s="96">
        <v>12.94</v>
      </c>
      <c r="CF105" s="96">
        <v>10.94</v>
      </c>
      <c r="CG105" s="96">
        <v>14.69</v>
      </c>
      <c r="CH105" s="96">
        <v>13.6</v>
      </c>
      <c r="CI105" s="96">
        <v>12.47</v>
      </c>
      <c r="CJ105" s="96">
        <v>13.27</v>
      </c>
      <c r="CK105" s="96">
        <v>11.58</v>
      </c>
      <c r="CL105" s="96">
        <v>12.62</v>
      </c>
      <c r="CM105" s="96">
        <v>12.6</v>
      </c>
      <c r="CN105" s="96">
        <v>14.41</v>
      </c>
      <c r="CO105" s="96">
        <v>13.02</v>
      </c>
      <c r="CP105" s="345">
        <f>SUM(Input_Raw[[#This Row],[P-01]:[P-56]])/1000</f>
        <v>1531.057</v>
      </c>
      <c r="CQ105" s="346">
        <f>IFERROR(AVERAGEIF(Input_Raw[[#This Row],[WS_P-01]:[WS_P-56]],"&lt;&gt;",Input_Raw[[#This Row],[WS_P-01]:[WS_P-56]]),"")</f>
        <v>12.243181818181817</v>
      </c>
      <c r="CR105" s="347">
        <f>MAX(Input_Raw[[#This Row],[WS_P-01]:[WS_P-56]])</f>
        <v>14.69</v>
      </c>
      <c r="CS105" s="347"/>
      <c r="CT105" s="348">
        <f>SUM(Input_Raw[[#This Row],[P-08]:[P-13]],Input_Raw[[#This Row],[P-25]:[P-28]])</f>
        <v>348100</v>
      </c>
      <c r="CU105" s="348"/>
      <c r="CV105" s="348">
        <f>SUM(Input_Raw[[#This Row],[P-04]],Input_Raw[[#This Row],[P-14]:[P-17]],Input_Raw[[#This Row],[P-19]:[P-20]],Input_Raw[[#This Row],[P-22]:[P-23]],Input_Raw[[#This Row],[P-34]],Input_Raw[[#This Row],[P-38]],Input_Raw[[#This Row],[P-43]])</f>
        <v>410253</v>
      </c>
      <c r="CW105" s="348"/>
      <c r="CX105" s="348">
        <f>SUM(Input_Raw[[#This Row],[P-05]:[P-06]],Input_Raw[[#This Row],[P-40]:[P-42]],Input_Raw[[#This Row],[P-45]],Input_Raw[[#This Row],[P-46]],Input_Raw[[#This Row],[P-47]:[P-48]])</f>
        <v>316756</v>
      </c>
      <c r="CY105" s="348"/>
      <c r="CZ105" s="348">
        <f>SUM(Input_Raw[[#This Row],[P-01]:[P-03]],Input_Raw[[#This Row],[P-07]],Input_Raw[[#This Row],[P-18]],Input_Raw[[#This Row],[P-31]:[P-32]],Input_Raw[[#This Row],[P-37]],Input_Raw[[#This Row],[P-50]:[P-56]])</f>
        <v>455948</v>
      </c>
      <c r="DA105" s="349"/>
      <c r="DB105" s="350">
        <f>Input_Raw[[#This Row],[33 kV_Wind_F1_Export reading]]/1000</f>
        <v>348.1</v>
      </c>
      <c r="DC105" s="350"/>
      <c r="DD105" s="350">
        <f>Input_Raw[[#This Row],[33 kV_Wind_F2_Export_reading]]/1000</f>
        <v>410.25299999999999</v>
      </c>
      <c r="DE105" s="350"/>
      <c r="DF105" s="350">
        <f>Input_Raw[[#This Row],[33 kV_Wind_F3_Export_Reading]]/1000</f>
        <v>316.75599999999997</v>
      </c>
      <c r="DG105" s="350"/>
      <c r="DH105" s="350">
        <f>Input_Raw[[#This Row],[33 kV_Wind_F4_Export Reading]]/1000</f>
        <v>455.94799999999998</v>
      </c>
      <c r="DI105" s="350"/>
      <c r="DJ105" s="350">
        <f>Input_Raw[[#This Row],[33 kV_F1_Total_Export (MWh)]]+Input_Raw[[#This Row],[33 kV_F2_Total_Export (MWh)2]]+Input_Raw[[#This Row],[33 kV_Wind_F3_Export (MWh)]]+Input_Raw[[#This Row],[33 kV_Wind_F4_Export (MWh)]]</f>
        <v>1531.0569999999998</v>
      </c>
      <c r="DK105" s="350">
        <f>Input_Raw[[#This Row],[33 kV_Wind_F1_Import (MWh)]]+Input_Raw[[#This Row],[33 kV_Wind_F2_Import (MWh)]]+Input_Raw[[#This Row],[33 kV_Wind_F3_Import (MWh)2]]+Input_Raw[[#This Row],[33 kV_Wind_F4_Import (MWh)2]]</f>
        <v>0</v>
      </c>
      <c r="DL105" s="351">
        <f>IFERROR(Input_Raw[[#This Row],[33 kV_Wind_Total_Export (MWh)]]/Input_Raw[[#This Row],[WTG Total Gneration (MWh)]]-1,"")</f>
        <v>-1.1102230246251565E-16</v>
      </c>
      <c r="DM105" s="352"/>
      <c r="DN105" s="186">
        <v>83</v>
      </c>
      <c r="DO105" s="186">
        <v>14574.75</v>
      </c>
      <c r="DP105" s="102">
        <v>1571.27</v>
      </c>
      <c r="DQ105" s="352"/>
      <c r="DR105" s="181">
        <v>70.400000000000006</v>
      </c>
    </row>
    <row r="106" spans="1:122" ht="15">
      <c r="A106" s="92">
        <f t="shared" si="74"/>
        <v>45846</v>
      </c>
      <c r="B106" s="190">
        <f>YEAR(Input_Raw[[#This Row],[Date]])+IF(MONTH(Input_Raw[[#This Row],[Date]])&gt;=4,1,0)</f>
        <v>2026</v>
      </c>
      <c r="C106" s="190">
        <f>YEAR(Input_Raw[[#This Row],[Date]])</f>
        <v>2025</v>
      </c>
      <c r="D106" s="11">
        <f t="shared" ref="D106" si="155">A106-DAY(A106)+1</f>
        <v>45839</v>
      </c>
      <c r="E106" s="190">
        <f>DAY(EOMONTH(Input_Raw[[#This Row],[Date]],0))</f>
        <v>31</v>
      </c>
      <c r="F106" s="199">
        <v>33664</v>
      </c>
      <c r="G106" s="199">
        <v>34328</v>
      </c>
      <c r="H106" s="199">
        <v>33636</v>
      </c>
      <c r="I106" s="199">
        <v>34274</v>
      </c>
      <c r="J106" s="199">
        <v>35412</v>
      </c>
      <c r="K106" s="199">
        <v>32012</v>
      </c>
      <c r="L106" s="199">
        <v>35722</v>
      </c>
      <c r="M106" s="199">
        <v>32494</v>
      </c>
      <c r="N106" s="199">
        <v>24894</v>
      </c>
      <c r="O106" s="199">
        <v>28828</v>
      </c>
      <c r="P106" s="199">
        <v>29606</v>
      </c>
      <c r="Q106" s="199">
        <v>36808</v>
      </c>
      <c r="R106" s="199">
        <v>36428</v>
      </c>
      <c r="S106" s="199">
        <v>31630</v>
      </c>
      <c r="T106" s="199">
        <v>30410</v>
      </c>
      <c r="U106" s="199">
        <v>33298</v>
      </c>
      <c r="V106" s="199">
        <v>34596</v>
      </c>
      <c r="W106" s="199">
        <v>34296</v>
      </c>
      <c r="X106" s="199">
        <v>30608</v>
      </c>
      <c r="Y106" s="199">
        <v>28090</v>
      </c>
      <c r="Z106" s="199">
        <v>34332</v>
      </c>
      <c r="AA106" s="199">
        <v>30928</v>
      </c>
      <c r="AB106" s="199">
        <v>31704</v>
      </c>
      <c r="AC106" s="199">
        <v>33188</v>
      </c>
      <c r="AD106" s="199">
        <v>34940</v>
      </c>
      <c r="AE106" s="199">
        <v>34812</v>
      </c>
      <c r="AF106" s="199">
        <v>30536</v>
      </c>
      <c r="AG106" s="199">
        <v>30956</v>
      </c>
      <c r="AH106" s="199">
        <v>35252</v>
      </c>
      <c r="AI106" s="199">
        <v>33404</v>
      </c>
      <c r="AJ106" s="199">
        <v>33740</v>
      </c>
      <c r="AK106" s="199">
        <v>27316</v>
      </c>
      <c r="AL106" s="199">
        <v>34904</v>
      </c>
      <c r="AM106" s="199">
        <v>33244</v>
      </c>
      <c r="AN106" s="199">
        <v>29276</v>
      </c>
      <c r="AO106" s="199">
        <v>36868</v>
      </c>
      <c r="AP106" s="199">
        <v>37208</v>
      </c>
      <c r="AQ106" s="199">
        <v>35888</v>
      </c>
      <c r="AR106" s="199">
        <v>36632</v>
      </c>
      <c r="AS106" s="199">
        <v>34974</v>
      </c>
      <c r="AT106" s="199">
        <v>36544</v>
      </c>
      <c r="AU106" s="199">
        <v>36100</v>
      </c>
      <c r="AV106" s="199">
        <v>35768</v>
      </c>
      <c r="AW106" s="199">
        <v>37156</v>
      </c>
      <c r="AX106" s="96">
        <v>11.2</v>
      </c>
      <c r="AY106" s="96">
        <v>11.24</v>
      </c>
      <c r="AZ106" s="96">
        <v>11.05</v>
      </c>
      <c r="BA106" s="96">
        <v>11.58</v>
      </c>
      <c r="BB106" s="96">
        <v>11.05</v>
      </c>
      <c r="BC106" s="96">
        <v>11.32</v>
      </c>
      <c r="BD106" s="96">
        <v>11.55</v>
      </c>
      <c r="BE106" s="96">
        <v>10.99</v>
      </c>
      <c r="BF106" s="96">
        <v>9.43</v>
      </c>
      <c r="BG106" s="96">
        <v>10.47</v>
      </c>
      <c r="BH106" s="96">
        <v>12.49</v>
      </c>
      <c r="BI106" s="96">
        <v>13.22</v>
      </c>
      <c r="BJ106" s="96">
        <v>12.19</v>
      </c>
      <c r="BK106" s="96">
        <v>10.5</v>
      </c>
      <c r="BL106" s="96">
        <v>10.96</v>
      </c>
      <c r="BM106" s="96">
        <v>10.99</v>
      </c>
      <c r="BN106" s="96">
        <v>11.76</v>
      </c>
      <c r="BO106" s="96">
        <v>11</v>
      </c>
      <c r="BP106" s="96">
        <v>10.24</v>
      </c>
      <c r="BQ106" s="96">
        <v>9.36</v>
      </c>
      <c r="BR106" s="96">
        <v>11.1</v>
      </c>
      <c r="BS106" s="96">
        <v>10.25</v>
      </c>
      <c r="BT106" s="96">
        <v>9.99</v>
      </c>
      <c r="BU106" s="96">
        <v>11.28</v>
      </c>
      <c r="BV106" s="96">
        <v>11.97</v>
      </c>
      <c r="BW106" s="96">
        <v>11.42</v>
      </c>
      <c r="BX106" s="96">
        <v>10.09</v>
      </c>
      <c r="BY106" s="96">
        <v>10.09</v>
      </c>
      <c r="BZ106" s="96">
        <v>11.46</v>
      </c>
      <c r="CA106" s="96">
        <v>10.64</v>
      </c>
      <c r="CB106" s="96">
        <v>11.19</v>
      </c>
      <c r="CC106" s="96">
        <v>9.84</v>
      </c>
      <c r="CD106" s="96">
        <v>9.33</v>
      </c>
      <c r="CE106" s="96">
        <v>11.92</v>
      </c>
      <c r="CF106" s="96">
        <v>9.8699999999999992</v>
      </c>
      <c r="CG106" s="96">
        <v>13.29</v>
      </c>
      <c r="CH106" s="96">
        <v>12.53</v>
      </c>
      <c r="CI106" s="96">
        <v>11.74</v>
      </c>
      <c r="CJ106" s="96">
        <v>12.15</v>
      </c>
      <c r="CK106" s="96">
        <v>11.34</v>
      </c>
      <c r="CL106" s="96">
        <v>11.98</v>
      </c>
      <c r="CM106" s="96">
        <v>11.51</v>
      </c>
      <c r="CN106" s="96">
        <v>13.18</v>
      </c>
      <c r="CO106" s="96">
        <v>11.94</v>
      </c>
      <c r="CP106" s="345">
        <f>SUM(Input_Raw[[#This Row],[P-01]:[P-56]])/1000</f>
        <v>1466.704</v>
      </c>
      <c r="CQ106" s="346">
        <f>IFERROR(AVERAGEIF(Input_Raw[[#This Row],[WS_P-01]:[WS_P-56]],"&lt;&gt;",Input_Raw[[#This Row],[WS_P-01]:[WS_P-56]]),"")</f>
        <v>11.197499999999998</v>
      </c>
      <c r="CR106" s="347">
        <f>MAX(Input_Raw[[#This Row],[WS_P-01]:[WS_P-56]])</f>
        <v>13.29</v>
      </c>
      <c r="CS106" s="347"/>
      <c r="CT106" s="348">
        <f>SUM(Input_Raw[[#This Row],[P-08]:[P-13]],Input_Raw[[#This Row],[P-25]:[P-28]])</f>
        <v>323702</v>
      </c>
      <c r="CU106" s="348"/>
      <c r="CV106" s="348">
        <f>SUM(Input_Raw[[#This Row],[P-04]],Input_Raw[[#This Row],[P-14]:[P-17]],Input_Raw[[#This Row],[P-19]:[P-20]],Input_Raw[[#This Row],[P-22]:[P-23]],Input_Raw[[#This Row],[P-34]],Input_Raw[[#This Row],[P-38]],Input_Raw[[#This Row],[P-43]])</f>
        <v>386434</v>
      </c>
      <c r="CW106" s="348"/>
      <c r="CX106" s="348">
        <f>SUM(Input_Raw[[#This Row],[P-05]:[P-06]],Input_Raw[[#This Row],[P-40]:[P-42]],Input_Raw[[#This Row],[P-45]],Input_Raw[[#This Row],[P-46]],Input_Raw[[#This Row],[P-47]:[P-48]])</f>
        <v>309484</v>
      </c>
      <c r="CY106" s="348"/>
      <c r="CZ106" s="348">
        <f>SUM(Input_Raw[[#This Row],[P-01]:[P-03]],Input_Raw[[#This Row],[P-07]],Input_Raw[[#This Row],[P-18]],Input_Raw[[#This Row],[P-31]:[P-32]],Input_Raw[[#This Row],[P-37]],Input_Raw[[#This Row],[P-50]:[P-56]])</f>
        <v>447084</v>
      </c>
      <c r="DA106" s="349"/>
      <c r="DB106" s="350">
        <f>Input_Raw[[#This Row],[33 kV_Wind_F1_Export reading]]/1000</f>
        <v>323.702</v>
      </c>
      <c r="DC106" s="350"/>
      <c r="DD106" s="350">
        <f>Input_Raw[[#This Row],[33 kV_Wind_F2_Export_reading]]/1000</f>
        <v>386.43400000000003</v>
      </c>
      <c r="DE106" s="350"/>
      <c r="DF106" s="350">
        <f>Input_Raw[[#This Row],[33 kV_Wind_F3_Export_Reading]]/1000</f>
        <v>309.48399999999998</v>
      </c>
      <c r="DG106" s="350"/>
      <c r="DH106" s="350">
        <f>Input_Raw[[#This Row],[33 kV_Wind_F4_Export Reading]]/1000</f>
        <v>447.084</v>
      </c>
      <c r="DI106" s="350"/>
      <c r="DJ106" s="350">
        <f>Input_Raw[[#This Row],[33 kV_F1_Total_Export (MWh)]]+Input_Raw[[#This Row],[33 kV_F2_Total_Export (MWh)2]]+Input_Raw[[#This Row],[33 kV_Wind_F3_Export (MWh)]]+Input_Raw[[#This Row],[33 kV_Wind_F4_Export (MWh)]]</f>
        <v>1466.704</v>
      </c>
      <c r="DK106" s="350">
        <f>Input_Raw[[#This Row],[33 kV_Wind_F1_Import (MWh)]]+Input_Raw[[#This Row],[33 kV_Wind_F2_Import (MWh)]]+Input_Raw[[#This Row],[33 kV_Wind_F3_Import (MWh)2]]+Input_Raw[[#This Row],[33 kV_Wind_F4_Import (MWh)2]]</f>
        <v>0</v>
      </c>
      <c r="DL106" s="351">
        <f>IFERROR(Input_Raw[[#This Row],[33 kV_Wind_Total_Export (MWh)]]/Input_Raw[[#This Row],[WTG Total Gneration (MWh)]]-1,"")</f>
        <v>0</v>
      </c>
      <c r="DM106" s="352"/>
      <c r="DN106" s="186">
        <v>89</v>
      </c>
      <c r="DO106" s="186">
        <v>8665.25</v>
      </c>
      <c r="DP106" s="102">
        <v>1492.04</v>
      </c>
      <c r="DQ106" s="352"/>
      <c r="DR106" s="181">
        <v>70.400000000000006</v>
      </c>
    </row>
    <row r="107" spans="1:122" ht="15">
      <c r="A107" s="92">
        <f t="shared" si="74"/>
        <v>45847</v>
      </c>
      <c r="B107" s="190">
        <f>YEAR(Input_Raw[[#This Row],[Date]])+IF(MONTH(Input_Raw[[#This Row],[Date]])&gt;=4,1,0)</f>
        <v>2026</v>
      </c>
      <c r="C107" s="190">
        <f>YEAR(Input_Raw[[#This Row],[Date]])</f>
        <v>2025</v>
      </c>
      <c r="D107" s="11">
        <f t="shared" ref="D107" si="156">A107-DAY(A107)+1</f>
        <v>45839</v>
      </c>
      <c r="E107" s="190">
        <f>DAY(EOMONTH(Input_Raw[[#This Row],[Date]],0))</f>
        <v>31</v>
      </c>
      <c r="F107" s="199">
        <v>32055.999999999996</v>
      </c>
      <c r="G107" s="199">
        <v>26880</v>
      </c>
      <c r="H107" s="199">
        <v>24968</v>
      </c>
      <c r="I107" s="199">
        <v>30346</v>
      </c>
      <c r="J107" s="199">
        <v>30424</v>
      </c>
      <c r="K107" s="199">
        <v>27432</v>
      </c>
      <c r="L107" s="199">
        <v>29414</v>
      </c>
      <c r="M107" s="199">
        <v>27312</v>
      </c>
      <c r="N107" s="199">
        <v>20554</v>
      </c>
      <c r="O107" s="199">
        <v>23132</v>
      </c>
      <c r="P107" s="199">
        <v>28634</v>
      </c>
      <c r="Q107" s="199">
        <v>31568</v>
      </c>
      <c r="R107" s="199">
        <v>31952</v>
      </c>
      <c r="S107" s="199">
        <v>26464</v>
      </c>
      <c r="T107" s="199">
        <v>24450</v>
      </c>
      <c r="U107" s="199">
        <v>26524</v>
      </c>
      <c r="V107" s="199">
        <v>28090</v>
      </c>
      <c r="W107" s="199">
        <v>26060</v>
      </c>
      <c r="X107" s="199">
        <v>24436</v>
      </c>
      <c r="Y107" s="199">
        <v>21465</v>
      </c>
      <c r="Z107" s="199">
        <v>29680</v>
      </c>
      <c r="AA107" s="199">
        <v>24400</v>
      </c>
      <c r="AB107" s="199">
        <v>25652</v>
      </c>
      <c r="AC107" s="199">
        <v>27828</v>
      </c>
      <c r="AD107" s="199">
        <v>28724</v>
      </c>
      <c r="AE107" s="199">
        <v>27848</v>
      </c>
      <c r="AF107" s="199">
        <v>21658</v>
      </c>
      <c r="AG107" s="199">
        <v>23732</v>
      </c>
      <c r="AH107" s="199">
        <v>31096</v>
      </c>
      <c r="AI107" s="199">
        <v>27602</v>
      </c>
      <c r="AJ107" s="199">
        <v>26896</v>
      </c>
      <c r="AK107" s="199">
        <v>21152</v>
      </c>
      <c r="AL107" s="199">
        <v>29364</v>
      </c>
      <c r="AM107" s="199">
        <v>30580</v>
      </c>
      <c r="AN107" s="199">
        <v>23994</v>
      </c>
      <c r="AO107" s="199">
        <v>33704</v>
      </c>
      <c r="AP107" s="199">
        <v>33400</v>
      </c>
      <c r="AQ107" s="199">
        <v>29660</v>
      </c>
      <c r="AR107" s="199">
        <v>32272</v>
      </c>
      <c r="AS107" s="199">
        <v>26908</v>
      </c>
      <c r="AT107" s="199">
        <v>30544</v>
      </c>
      <c r="AU107" s="199">
        <v>30296</v>
      </c>
      <c r="AV107" s="199">
        <v>34268</v>
      </c>
      <c r="AW107" s="199">
        <v>32744</v>
      </c>
      <c r="AX107" s="96">
        <v>10.16</v>
      </c>
      <c r="AY107" s="96">
        <v>9.34</v>
      </c>
      <c r="AZ107" s="96">
        <v>9.1300000000000008</v>
      </c>
      <c r="BA107" s="96">
        <v>10.52</v>
      </c>
      <c r="BB107" s="96">
        <v>9.91</v>
      </c>
      <c r="BC107" s="96">
        <v>10.119999999999999</v>
      </c>
      <c r="BD107" s="96">
        <v>10.02</v>
      </c>
      <c r="BE107" s="96">
        <v>9.9700000000000006</v>
      </c>
      <c r="BF107" s="96">
        <v>8.64</v>
      </c>
      <c r="BG107" s="96">
        <v>9.4</v>
      </c>
      <c r="BH107" s="96">
        <v>9.6</v>
      </c>
      <c r="BI107" s="96">
        <v>11.5</v>
      </c>
      <c r="BJ107" s="96">
        <v>10.98</v>
      </c>
      <c r="BK107" s="96">
        <v>9.5</v>
      </c>
      <c r="BL107" s="96">
        <v>9.6999999999999993</v>
      </c>
      <c r="BM107" s="96">
        <v>9.83</v>
      </c>
      <c r="BN107" s="96">
        <v>10.119999999999999</v>
      </c>
      <c r="BO107" s="96">
        <v>9.2100000000000009</v>
      </c>
      <c r="BP107" s="96">
        <v>9.14</v>
      </c>
      <c r="BQ107" s="96">
        <v>8.3000000000000007</v>
      </c>
      <c r="BR107" s="96">
        <v>10.06</v>
      </c>
      <c r="BS107" s="96">
        <v>9.02</v>
      </c>
      <c r="BT107" s="96">
        <v>8.93</v>
      </c>
      <c r="BU107" s="96">
        <v>10.27</v>
      </c>
      <c r="BV107" s="96">
        <v>10.6</v>
      </c>
      <c r="BW107" s="96">
        <v>10</v>
      </c>
      <c r="BX107" s="96">
        <v>8.18</v>
      </c>
      <c r="BY107" s="96">
        <v>8.82</v>
      </c>
      <c r="BZ107" s="96">
        <v>10.36</v>
      </c>
      <c r="CA107" s="96">
        <v>9.4700000000000006</v>
      </c>
      <c r="CB107" s="96">
        <v>9.6999999999999993</v>
      </c>
      <c r="CC107" s="96">
        <v>8.7200000000000006</v>
      </c>
      <c r="CD107" s="96">
        <v>8.2200000000000006</v>
      </c>
      <c r="CE107" s="96">
        <v>10.210000000000001</v>
      </c>
      <c r="CF107" s="96">
        <v>8.9</v>
      </c>
      <c r="CG107" s="96">
        <v>12.01</v>
      </c>
      <c r="CH107" s="96">
        <v>11.11</v>
      </c>
      <c r="CI107" s="96">
        <v>9.9600000000000009</v>
      </c>
      <c r="CJ107" s="96">
        <v>10.67</v>
      </c>
      <c r="CK107" s="96">
        <v>9.5500000000000007</v>
      </c>
      <c r="CL107" s="96">
        <v>10.38</v>
      </c>
      <c r="CM107" s="96">
        <v>10.050000000000001</v>
      </c>
      <c r="CN107" s="96">
        <v>11.51</v>
      </c>
      <c r="CO107" s="96">
        <v>10.62</v>
      </c>
      <c r="CP107" s="345">
        <f>SUM(Input_Raw[[#This Row],[P-01]:[P-56]])/1000</f>
        <v>1226.163</v>
      </c>
      <c r="CQ107" s="346">
        <f>IFERROR(AVERAGEIF(Input_Raw[[#This Row],[WS_P-01]:[WS_P-56]],"&lt;&gt;",Input_Raw[[#This Row],[WS_P-01]:[WS_P-56]]),"")</f>
        <v>9.8275000000000023</v>
      </c>
      <c r="CR107" s="347">
        <f>MAX(Input_Raw[[#This Row],[WS_P-01]:[WS_P-56]])</f>
        <v>12.01</v>
      </c>
      <c r="CS107" s="347"/>
      <c r="CT107" s="348">
        <f>SUM(Input_Raw[[#This Row],[P-08]:[P-13]],Input_Raw[[#This Row],[P-25]:[P-28]])</f>
        <v>273204</v>
      </c>
      <c r="CU107" s="348"/>
      <c r="CV107" s="348">
        <f>SUM(Input_Raw[[#This Row],[P-04]],Input_Raw[[#This Row],[P-14]:[P-17]],Input_Raw[[#This Row],[P-19]:[P-20]],Input_Raw[[#This Row],[P-22]:[P-23]],Input_Raw[[#This Row],[P-34]],Input_Raw[[#This Row],[P-38]],Input_Raw[[#This Row],[P-43]])</f>
        <v>317841</v>
      </c>
      <c r="CW107" s="348"/>
      <c r="CX107" s="348">
        <f>SUM(Input_Raw[[#This Row],[P-05]:[P-06]],Input_Raw[[#This Row],[P-40]:[P-42]],Input_Raw[[#This Row],[P-45]],Input_Raw[[#This Row],[P-46]],Input_Raw[[#This Row],[P-47]:[P-48]])</f>
        <v>267988</v>
      </c>
      <c r="CY107" s="348"/>
      <c r="CZ107" s="348">
        <f>SUM(Input_Raw[[#This Row],[P-01]:[P-03]],Input_Raw[[#This Row],[P-07]],Input_Raw[[#This Row],[P-18]],Input_Raw[[#This Row],[P-31]:[P-32]],Input_Raw[[#This Row],[P-37]],Input_Raw[[#This Row],[P-50]:[P-56]])</f>
        <v>367130</v>
      </c>
      <c r="DA107" s="349"/>
      <c r="DB107" s="350">
        <f>Input_Raw[[#This Row],[33 kV_Wind_F1_Export reading]]/1000</f>
        <v>273.20400000000001</v>
      </c>
      <c r="DC107" s="350"/>
      <c r="DD107" s="350">
        <f>Input_Raw[[#This Row],[33 kV_Wind_F2_Export_reading]]/1000</f>
        <v>317.84100000000001</v>
      </c>
      <c r="DE107" s="350"/>
      <c r="DF107" s="350">
        <f>Input_Raw[[#This Row],[33 kV_Wind_F3_Export_Reading]]/1000</f>
        <v>267.988</v>
      </c>
      <c r="DG107" s="350"/>
      <c r="DH107" s="350">
        <f>Input_Raw[[#This Row],[33 kV_Wind_F4_Export Reading]]/1000</f>
        <v>367.13</v>
      </c>
      <c r="DI107" s="350"/>
      <c r="DJ107" s="350">
        <f>Input_Raw[[#This Row],[33 kV_F1_Total_Export (MWh)]]+Input_Raw[[#This Row],[33 kV_F2_Total_Export (MWh)2]]+Input_Raw[[#This Row],[33 kV_Wind_F3_Export (MWh)]]+Input_Raw[[#This Row],[33 kV_Wind_F4_Export (MWh)]]</f>
        <v>1226.163</v>
      </c>
      <c r="DK107" s="350">
        <f>Input_Raw[[#This Row],[33 kV_Wind_F1_Import (MWh)]]+Input_Raw[[#This Row],[33 kV_Wind_F2_Import (MWh)]]+Input_Raw[[#This Row],[33 kV_Wind_F3_Import (MWh)2]]+Input_Raw[[#This Row],[33 kV_Wind_F4_Import (MWh)2]]</f>
        <v>0</v>
      </c>
      <c r="DL107" s="351">
        <f>IFERROR(Input_Raw[[#This Row],[33 kV_Wind_Total_Export (MWh)]]/Input_Raw[[#This Row],[WTG Total Gneration (MWh)]]-1,"")</f>
        <v>0</v>
      </c>
      <c r="DM107" s="352"/>
      <c r="DN107" s="186">
        <v>88</v>
      </c>
      <c r="DO107" s="186">
        <v>10687.5</v>
      </c>
      <c r="DP107" s="102">
        <v>1190.71</v>
      </c>
      <c r="DQ107" s="352"/>
      <c r="DR107" s="181">
        <v>70.400000000000006</v>
      </c>
    </row>
    <row r="108" spans="1:122">
      <c r="F108" s="199"/>
      <c r="G108" s="199"/>
      <c r="H108" s="199"/>
      <c r="I108" s="199"/>
      <c r="J108" s="199"/>
      <c r="K108" s="199"/>
      <c r="L108" s="199"/>
      <c r="M108" s="199"/>
      <c r="N108" s="199"/>
      <c r="O108" s="199"/>
      <c r="P108" s="199"/>
      <c r="Q108" s="199"/>
      <c r="R108" s="199"/>
      <c r="S108" s="199"/>
      <c r="T108" s="199"/>
      <c r="U108" s="199"/>
      <c r="V108" s="199"/>
      <c r="W108" s="199"/>
      <c r="X108" s="199"/>
      <c r="Y108" s="199"/>
      <c r="Z108" s="199"/>
      <c r="AA108" s="199"/>
      <c r="AB108" s="199"/>
      <c r="AC108" s="199"/>
      <c r="AD108" s="199"/>
      <c r="AE108" s="199"/>
      <c r="AF108" s="199"/>
      <c r="AG108" s="199"/>
      <c r="AH108" s="199"/>
      <c r="AI108" s="199"/>
      <c r="AJ108" s="199"/>
      <c r="AK108" s="199"/>
      <c r="AL108" s="199"/>
      <c r="AM108" s="199"/>
      <c r="AN108" s="199"/>
      <c r="AO108" s="199"/>
      <c r="AP108" s="199"/>
      <c r="AQ108" s="199"/>
      <c r="AR108" s="199"/>
      <c r="AS108" s="199"/>
      <c r="AT108" s="199"/>
      <c r="AU108" s="199"/>
      <c r="AV108" s="199"/>
      <c r="AW108" s="199"/>
      <c r="AX108" s="199"/>
      <c r="AY108" s="199"/>
      <c r="AZ108" s="199"/>
    </row>
    <row r="109" spans="1:122">
      <c r="F109" s="199"/>
      <c r="G109" s="199"/>
      <c r="H109" s="199"/>
      <c r="I109" s="199"/>
      <c r="J109" s="199"/>
      <c r="K109" s="199"/>
      <c r="L109" s="199"/>
      <c r="M109" s="199"/>
      <c r="N109" s="199"/>
      <c r="O109" s="199"/>
      <c r="P109" s="199"/>
      <c r="Q109" s="199"/>
      <c r="R109" s="199"/>
      <c r="S109" s="199"/>
      <c r="T109" s="199"/>
      <c r="U109" s="199"/>
      <c r="V109" s="199"/>
      <c r="W109" s="199"/>
      <c r="X109" s="199"/>
      <c r="Y109" s="199"/>
      <c r="Z109" s="199"/>
      <c r="AA109" s="199"/>
      <c r="AB109" s="199"/>
      <c r="AC109" s="199"/>
      <c r="AD109" s="199"/>
      <c r="AE109" s="199"/>
      <c r="AF109" s="199"/>
      <c r="AG109" s="199"/>
      <c r="AH109" s="199"/>
      <c r="AI109" s="199"/>
      <c r="AJ109" s="199"/>
      <c r="AK109" s="199"/>
      <c r="AL109" s="199"/>
      <c r="AM109" s="199"/>
      <c r="AN109" s="199"/>
      <c r="AO109" s="199"/>
      <c r="AP109" s="199"/>
      <c r="AQ109" s="199"/>
      <c r="AR109" s="199"/>
      <c r="AS109" s="199"/>
      <c r="AT109" s="199"/>
      <c r="AU109" s="199"/>
      <c r="AV109" s="199"/>
      <c r="AW109" s="199"/>
      <c r="AX109" s="199"/>
      <c r="AY109" s="199"/>
      <c r="AZ109" s="199"/>
    </row>
    <row r="110" spans="1:122">
      <c r="F110" s="211"/>
      <c r="G110" s="211"/>
      <c r="H110" s="211"/>
      <c r="I110" s="211"/>
      <c r="J110" s="211"/>
      <c r="K110" s="211"/>
      <c r="L110" s="211"/>
      <c r="M110" s="211"/>
      <c r="N110" s="211"/>
      <c r="O110" s="211"/>
      <c r="P110" s="211"/>
      <c r="Q110" s="211"/>
      <c r="R110" s="211"/>
      <c r="S110" s="211"/>
      <c r="T110" s="211"/>
      <c r="U110" s="211"/>
      <c r="V110" s="211"/>
      <c r="W110" s="211"/>
      <c r="X110" s="211"/>
      <c r="Y110" s="211"/>
      <c r="Z110" s="211"/>
      <c r="AA110" s="211"/>
      <c r="AB110" s="211"/>
      <c r="AC110" s="211"/>
      <c r="AD110" s="211"/>
      <c r="AE110" s="211"/>
      <c r="AF110" s="211"/>
      <c r="AG110" s="211"/>
      <c r="AH110" s="211"/>
      <c r="AI110" s="211"/>
      <c r="AJ110" s="211"/>
      <c r="AK110" s="211"/>
      <c r="AL110" s="211"/>
      <c r="AM110" s="211"/>
      <c r="AN110" s="211"/>
      <c r="AO110" s="211"/>
      <c r="AP110" s="211"/>
      <c r="AQ110" s="211"/>
      <c r="AR110" s="211"/>
      <c r="AS110" s="211"/>
      <c r="AT110" s="211"/>
      <c r="AU110" s="211"/>
      <c r="AV110" s="211"/>
      <c r="AW110" s="211"/>
      <c r="AX110" s="211"/>
    </row>
    <row r="111" spans="1:122">
      <c r="F111" s="211"/>
      <c r="G111" s="211"/>
      <c r="H111" s="211"/>
      <c r="I111" s="211"/>
      <c r="J111" s="211"/>
      <c r="K111" s="211"/>
      <c r="L111" s="211"/>
      <c r="M111" s="211"/>
      <c r="N111" s="211"/>
      <c r="O111" s="211"/>
      <c r="P111" s="211"/>
      <c r="Q111" s="211"/>
      <c r="R111" s="211"/>
      <c r="S111" s="211"/>
      <c r="T111" s="211"/>
      <c r="U111" s="211"/>
      <c r="V111" s="211"/>
      <c r="W111" s="211"/>
      <c r="X111" s="211"/>
      <c r="Y111" s="211"/>
      <c r="Z111" s="211"/>
      <c r="AA111" s="211"/>
      <c r="AB111" s="211"/>
      <c r="AC111" s="211"/>
      <c r="AD111" s="211"/>
      <c r="AE111" s="211"/>
      <c r="AF111" s="211"/>
      <c r="AG111" s="211"/>
      <c r="AH111" s="211"/>
      <c r="AI111" s="211"/>
      <c r="AJ111" s="211"/>
      <c r="AK111" s="211"/>
      <c r="AL111" s="211"/>
      <c r="AM111" s="211"/>
      <c r="AN111" s="211"/>
      <c r="AO111" s="211"/>
      <c r="AP111" s="211"/>
      <c r="AQ111" s="211"/>
      <c r="AR111" s="211"/>
      <c r="AS111" s="211"/>
      <c r="AT111" s="211"/>
      <c r="AU111" s="211"/>
      <c r="AV111" s="211"/>
      <c r="AW111" s="211"/>
      <c r="AX111" s="211"/>
    </row>
    <row r="112" spans="1:122">
      <c r="F112" s="211"/>
      <c r="G112" s="211"/>
      <c r="H112" s="211"/>
      <c r="I112" s="211"/>
      <c r="J112" s="211"/>
      <c r="K112" s="211"/>
      <c r="L112" s="211"/>
      <c r="M112" s="211"/>
      <c r="N112" s="211"/>
      <c r="O112" s="211"/>
      <c r="P112" s="211"/>
      <c r="Q112" s="211"/>
      <c r="R112" s="211"/>
      <c r="S112" s="211"/>
      <c r="T112" s="211"/>
      <c r="U112" s="211"/>
      <c r="V112" s="211"/>
      <c r="W112" s="211"/>
      <c r="X112" s="211"/>
      <c r="Y112" s="211"/>
      <c r="Z112" s="211"/>
      <c r="AA112" s="211"/>
      <c r="AB112" s="211"/>
      <c r="AC112" s="211"/>
      <c r="AD112" s="211"/>
      <c r="AE112" s="211"/>
      <c r="AF112" s="211"/>
      <c r="AG112" s="211"/>
      <c r="AH112" s="211"/>
      <c r="AI112" s="211"/>
      <c r="AJ112" s="211"/>
      <c r="AK112" s="211"/>
      <c r="AL112" s="211"/>
      <c r="AM112" s="211"/>
      <c r="AN112" s="211"/>
      <c r="AO112" s="211"/>
      <c r="AP112" s="211"/>
      <c r="AQ112" s="211"/>
      <c r="AR112" s="211"/>
      <c r="AS112" s="211"/>
      <c r="AT112" s="211"/>
      <c r="AU112" s="211"/>
      <c r="AV112" s="211"/>
      <c r="AW112" s="211"/>
      <c r="AX112" s="211"/>
    </row>
    <row r="113" spans="6:49">
      <c r="F113" s="211"/>
      <c r="G113" s="211"/>
      <c r="H113" s="211"/>
      <c r="I113" s="211"/>
      <c r="J113" s="211"/>
      <c r="K113" s="211"/>
      <c r="L113" s="211"/>
      <c r="M113" s="211"/>
      <c r="N113" s="211"/>
      <c r="O113" s="211"/>
      <c r="P113" s="211"/>
      <c r="Q113" s="211"/>
      <c r="R113" s="211"/>
      <c r="S113" s="211"/>
      <c r="T113" s="211"/>
      <c r="U113" s="211"/>
      <c r="V113" s="211"/>
      <c r="W113" s="211"/>
      <c r="X113" s="211"/>
      <c r="Y113" s="211"/>
      <c r="Z113" s="211"/>
      <c r="AA113" s="211"/>
      <c r="AB113" s="211"/>
      <c r="AC113" s="211"/>
      <c r="AD113" s="211"/>
      <c r="AE113" s="211"/>
      <c r="AF113" s="211"/>
      <c r="AG113" s="211"/>
      <c r="AH113" s="211"/>
      <c r="AI113" s="211"/>
      <c r="AJ113" s="211"/>
      <c r="AK113" s="211"/>
      <c r="AL113" s="211"/>
      <c r="AM113" s="211"/>
      <c r="AN113" s="211"/>
      <c r="AO113" s="211"/>
      <c r="AP113" s="211"/>
      <c r="AQ113" s="211"/>
      <c r="AR113" s="211"/>
      <c r="AS113" s="211"/>
      <c r="AT113" s="211"/>
      <c r="AU113" s="211"/>
      <c r="AV113" s="211"/>
      <c r="AW113" s="211"/>
    </row>
  </sheetData>
  <phoneticPr fontId="9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355"/>
  <sheetViews>
    <sheetView workbookViewId="0">
      <pane xSplit="6" ySplit="1" topLeftCell="G319" activePane="bottomRight" state="frozen"/>
      <selection pane="topRight" activeCell="G1" sqref="G1"/>
      <selection pane="bottomLeft" activeCell="A2" sqref="A2"/>
      <selection pane="bottomRight" activeCell="J341" sqref="J341"/>
    </sheetView>
  </sheetViews>
  <sheetFormatPr defaultRowHeight="14.4"/>
  <cols>
    <col min="2" max="2" width="8.44140625" customWidth="1"/>
    <col min="3" max="3" width="9.6640625" customWidth="1"/>
    <col min="4" max="4" width="10.6640625" customWidth="1"/>
    <col min="6" max="6" width="11.33203125" customWidth="1"/>
    <col min="7" max="7" width="12.44140625" style="1" customWidth="1"/>
    <col min="9" max="9" width="9.88671875" customWidth="1"/>
    <col min="10" max="10" width="17" customWidth="1"/>
    <col min="11" max="11" width="10.109375" customWidth="1"/>
    <col min="12" max="12" width="30.44140625" customWidth="1"/>
    <col min="13" max="13" width="51.33203125" bestFit="1" customWidth="1"/>
    <col min="14" max="14" width="13.109375" customWidth="1"/>
    <col min="15" max="15" width="18" style="1" customWidth="1"/>
    <col min="16" max="16" width="18.44140625" customWidth="1"/>
    <col min="17" max="17" width="16.6640625" customWidth="1"/>
    <col min="18" max="18" width="13.109375" style="1" customWidth="1"/>
    <col min="19" max="19" width="13.88671875" customWidth="1"/>
    <col min="20" max="20" width="14.44140625" customWidth="1"/>
    <col min="21" max="21" width="50" customWidth="1"/>
    <col min="23" max="23" width="13.5546875" style="1" customWidth="1"/>
    <col min="24" max="24" width="29.33203125" customWidth="1"/>
    <col min="25" max="25" width="15.109375" customWidth="1"/>
    <col min="26" max="26" width="14.88671875" customWidth="1"/>
    <col min="27" max="27" width="15.44140625" customWidth="1"/>
    <col min="28" max="28" width="10" customWidth="1"/>
    <col min="29" max="29" width="8.88671875" customWidth="1"/>
    <col min="30" max="30" width="13.44140625" customWidth="1"/>
  </cols>
  <sheetData>
    <row r="1" spans="1:30" s="23" customFormat="1" ht="63" customHeight="1">
      <c r="A1" s="279" t="s">
        <v>8</v>
      </c>
      <c r="B1" s="279" t="s">
        <v>3</v>
      </c>
      <c r="C1" s="279" t="s">
        <v>198</v>
      </c>
      <c r="D1" s="279" t="s">
        <v>318</v>
      </c>
      <c r="E1" s="279" t="s">
        <v>317</v>
      </c>
      <c r="F1" s="280" t="s">
        <v>197</v>
      </c>
      <c r="G1" s="279" t="s">
        <v>319</v>
      </c>
      <c r="H1" s="279" t="s">
        <v>320</v>
      </c>
      <c r="I1" s="279" t="s">
        <v>497</v>
      </c>
      <c r="J1" s="279" t="s">
        <v>321</v>
      </c>
      <c r="K1" s="279" t="s">
        <v>322</v>
      </c>
      <c r="L1" s="279" t="s">
        <v>323</v>
      </c>
      <c r="M1" s="279" t="s">
        <v>324</v>
      </c>
      <c r="N1" s="279" t="s">
        <v>919</v>
      </c>
      <c r="O1" s="279" t="s">
        <v>325</v>
      </c>
      <c r="P1" s="279" t="s">
        <v>326</v>
      </c>
      <c r="Q1" s="279" t="s">
        <v>327</v>
      </c>
      <c r="R1" s="279" t="s">
        <v>328</v>
      </c>
      <c r="S1" s="279" t="s">
        <v>329</v>
      </c>
      <c r="T1" s="279" t="s">
        <v>330</v>
      </c>
      <c r="U1" s="279" t="s">
        <v>331</v>
      </c>
      <c r="V1" s="279" t="s">
        <v>332</v>
      </c>
      <c r="W1" s="281" t="s">
        <v>333</v>
      </c>
      <c r="X1" s="281" t="s">
        <v>879</v>
      </c>
      <c r="Y1" s="279" t="s">
        <v>334</v>
      </c>
      <c r="Z1" s="282" t="s">
        <v>920</v>
      </c>
      <c r="AA1" s="282" t="s">
        <v>921</v>
      </c>
      <c r="AB1" s="282" t="s">
        <v>922</v>
      </c>
      <c r="AC1" s="282" t="s">
        <v>923</v>
      </c>
      <c r="AD1" s="23" t="s">
        <v>924</v>
      </c>
    </row>
    <row r="2" spans="1:30" s="23" customFormat="1">
      <c r="A2" s="79">
        <v>1</v>
      </c>
      <c r="B2" s="283">
        <f>YEAR(Table5[[#This Row],[Date]])+IF(MONTH(Table5[[#This Row],[Date]])&gt;=4,1,0)</f>
        <v>2025</v>
      </c>
      <c r="C2" s="79">
        <f>YEAR(Table5[[#This Row],[Date]])</f>
        <v>2025</v>
      </c>
      <c r="D2" s="79" t="s">
        <v>335</v>
      </c>
      <c r="E2" s="284">
        <f>Table5[[#This Row],[Date]]-DAY(Table5[[#This Row],[Date]])+1</f>
        <v>45717</v>
      </c>
      <c r="F2" s="285">
        <v>45745</v>
      </c>
      <c r="G2" s="79" t="s">
        <v>116</v>
      </c>
      <c r="H2" s="23" t="str">
        <f>IFERROR(_xlfn.XLOOKUP(Table5[[#This Row],[Affected WTG]],'Basic Data'!$A:$A,'Basic Data'!$B:$B),"")</f>
        <v>PWEPL</v>
      </c>
      <c r="I2" s="23" t="str">
        <f>IFERROR(_xlfn.XLOOKUP(Table5[[#This Row],[Affected WTG]],'Basic Data'!$A:$A,'Basic Data'!$C:$C),"")</f>
        <v>MSEDCL</v>
      </c>
      <c r="J2" s="286">
        <f>IFERROR(_xlfn.XLOOKUP(Table5[[#This Row],[Affected WTG]],'Basic Data'!$A:$A,'Basic Data'!$E:$E),"")</f>
        <v>2.2727272727272728E-2</v>
      </c>
      <c r="K2" s="79" t="s">
        <v>336</v>
      </c>
      <c r="L2" s="23" t="str">
        <f>IFERROR(_xlfn.XLOOKUP(Table5[[#This Row],[Error Code]],'Basic Data'!$W:$W,'Basic Data'!$X:$X),"Incorrect Error Code")</f>
        <v>Manual Stop - Preventive Maintenance Activity</v>
      </c>
      <c r="M2" s="23" t="s">
        <v>337</v>
      </c>
      <c r="O2" s="287">
        <v>0.41111111111111115</v>
      </c>
      <c r="P2" s="287">
        <v>0.41111111111111115</v>
      </c>
      <c r="Q2" s="287">
        <v>0.73958333333333337</v>
      </c>
      <c r="R2" s="91">
        <f t="shared" ref="R2:R65" si="0">Q2-O2</f>
        <v>0.32847222222222222</v>
      </c>
      <c r="S2" s="91">
        <f>(Table5[[#This Row],[Fault Clearance time]]-Table5[[#This Row],[Work Start TimeStamp]])*24</f>
        <v>7.8833333333333329</v>
      </c>
      <c r="T2" s="91">
        <f>(Table5[[#This Row],[Fault Clearance time]]-Table5[[#This Row],[Fault Start TimeStamp]])*24</f>
        <v>7.8833333333333329</v>
      </c>
      <c r="U2" s="23" t="s">
        <v>338</v>
      </c>
      <c r="V2" s="288" t="s">
        <v>339</v>
      </c>
      <c r="W2" s="289">
        <f>IFERROR(Table5[[#This Row],[Breakdown Time]]*Table5[[#This Row],[Plant Equivalent Weightage]],"")</f>
        <v>0.17916666666666667</v>
      </c>
      <c r="X2" s="289" t="s">
        <v>340</v>
      </c>
      <c r="Y2" s="290" t="s">
        <v>117</v>
      </c>
      <c r="Z2" s="79"/>
      <c r="AA2" s="283">
        <v>750</v>
      </c>
      <c r="AB2" s="79"/>
    </row>
    <row r="3" spans="1:30">
      <c r="A3" s="79">
        <f>A2+1</f>
        <v>2</v>
      </c>
      <c r="B3" s="283">
        <f>YEAR(Table5[[#This Row],[Date]])+IF(MONTH(Table5[[#This Row],[Date]])&gt;=4,1,0)</f>
        <v>2025</v>
      </c>
      <c r="C3" s="79">
        <f>YEAR(Table5[[#This Row],[Date]])</f>
        <v>2025</v>
      </c>
      <c r="D3" s="79" t="s">
        <v>335</v>
      </c>
      <c r="E3" s="284">
        <f>Table5[[#This Row],[Date]]-DAY(Table5[[#This Row],[Date]])+1</f>
        <v>45717</v>
      </c>
      <c r="F3" s="285">
        <v>45745</v>
      </c>
      <c r="G3" s="79" t="s">
        <v>119</v>
      </c>
      <c r="H3" s="23" t="str">
        <f>IFERROR(_xlfn.XLOOKUP(Table5[[#This Row],[Affected WTG]],'Basic Data'!$A:$A,'Basic Data'!$B:$B),"")</f>
        <v>PWEPL</v>
      </c>
      <c r="I3" s="23" t="str">
        <f>IFERROR(_xlfn.XLOOKUP(Table5[[#This Row],[Affected WTG]],'Basic Data'!$A:$A,'Basic Data'!$C:$C),"")</f>
        <v>MSEDCL</v>
      </c>
      <c r="J3" s="286">
        <f>IFERROR(_xlfn.XLOOKUP(Table5[[#This Row],[Affected WTG]],'Basic Data'!$A:$A,'Basic Data'!$E:$E),"")</f>
        <v>2.2727272727272728E-2</v>
      </c>
      <c r="K3" s="79">
        <v>86</v>
      </c>
      <c r="L3" s="23" t="str">
        <f>IFERROR(_xlfn.XLOOKUP(Table5[[#This Row],[Error Code]],'Basic Data'!$W:$W,'Basic Data'!$X:$X),"Incorrect Error Code")</f>
        <v>Braking pad of secondary brake worn out</v>
      </c>
      <c r="M3" s="23" t="s">
        <v>341</v>
      </c>
      <c r="N3" s="23"/>
      <c r="O3" s="287">
        <v>0.69027777777777777</v>
      </c>
      <c r="P3" s="287">
        <v>0.69027777777777777</v>
      </c>
      <c r="Q3" s="287">
        <v>0.80069444444444438</v>
      </c>
      <c r="R3" s="91">
        <f t="shared" si="0"/>
        <v>0.11041666666666661</v>
      </c>
      <c r="S3" s="91">
        <f>(Table5[[#This Row],[Fault Clearance time]]-Table5[[#This Row],[Work Start TimeStamp]])*24</f>
        <v>2.6499999999999986</v>
      </c>
      <c r="T3" s="91">
        <f>(Table5[[#This Row],[Fault Clearance time]]-Table5[[#This Row],[Fault Start TimeStamp]])*24</f>
        <v>2.6499999999999986</v>
      </c>
      <c r="U3" s="23" t="s">
        <v>342</v>
      </c>
      <c r="V3" s="79" t="s">
        <v>339</v>
      </c>
      <c r="W3" s="289">
        <f>IFERROR(Table5[[#This Row],[Breakdown Time]]*Table5[[#This Row],[Plant Equivalent Weightage]],"")</f>
        <v>6.0227272727272699E-2</v>
      </c>
      <c r="X3" s="289" t="s">
        <v>343</v>
      </c>
      <c r="Y3" s="290" t="s">
        <v>119</v>
      </c>
      <c r="Z3" s="79"/>
      <c r="AA3" s="283">
        <v>388</v>
      </c>
      <c r="AB3" s="79"/>
      <c r="AC3" s="23"/>
      <c r="AD3" s="23"/>
    </row>
    <row r="4" spans="1:30">
      <c r="A4" s="79">
        <f t="shared" ref="A4:A67" si="1">A3+1</f>
        <v>3</v>
      </c>
      <c r="B4" s="283">
        <f>YEAR(Table5[[#This Row],[Date]])+IF(MONTH(Table5[[#This Row],[Date]])&gt;=4,1,0)</f>
        <v>2025</v>
      </c>
      <c r="C4" s="79">
        <f>YEAR(Table5[[#This Row],[Date]])</f>
        <v>2025</v>
      </c>
      <c r="D4" s="79" t="s">
        <v>335</v>
      </c>
      <c r="E4" s="284">
        <f>Table5[[#This Row],[Date]]-DAY(Table5[[#This Row],[Date]])+1</f>
        <v>45717</v>
      </c>
      <c r="F4" s="285">
        <v>45747</v>
      </c>
      <c r="G4" s="79" t="s">
        <v>117</v>
      </c>
      <c r="H4" s="23" t="str">
        <f>IFERROR(_xlfn.XLOOKUP(Table5[[#This Row],[Affected WTG]],'Basic Data'!$A:$A,'Basic Data'!$B:$B),"")</f>
        <v>PWEPL</v>
      </c>
      <c r="I4" s="23" t="str">
        <f>IFERROR(_xlfn.XLOOKUP(Table5[[#This Row],[Affected WTG]],'Basic Data'!$A:$A,'Basic Data'!$C:$C),"")</f>
        <v>MSEDCL</v>
      </c>
      <c r="J4" s="286">
        <f>IFERROR(_xlfn.XLOOKUP(Table5[[#This Row],[Affected WTG]],'Basic Data'!$A:$A,'Basic Data'!$E:$E),"")</f>
        <v>2.2727272727272728E-2</v>
      </c>
      <c r="K4" s="79" t="s">
        <v>336</v>
      </c>
      <c r="L4" s="23" t="str">
        <f>IFERROR(_xlfn.XLOOKUP(Table5[[#This Row],[Error Code]],'Basic Data'!$W:$W,'Basic Data'!$X:$X),"Incorrect Error Code")</f>
        <v>Manual Stop - Preventive Maintenance Activity</v>
      </c>
      <c r="M4" s="23" t="s">
        <v>337</v>
      </c>
      <c r="N4" s="23"/>
      <c r="O4" s="287">
        <v>0.4055555555555555</v>
      </c>
      <c r="P4" s="287">
        <v>0.4055555555555555</v>
      </c>
      <c r="Q4" s="287">
        <v>0.75486111111111109</v>
      </c>
      <c r="R4" s="91">
        <f t="shared" si="0"/>
        <v>0.34930555555555559</v>
      </c>
      <c r="S4" s="91">
        <f>(Table5[[#This Row],[Fault Clearance time]]-Table5[[#This Row],[Work Start TimeStamp]])*24</f>
        <v>8.3833333333333346</v>
      </c>
      <c r="T4" s="91">
        <f>(Table5[[#This Row],[Fault Clearance time]]-Table5[[#This Row],[Fault Start TimeStamp]])*24</f>
        <v>8.3833333333333346</v>
      </c>
      <c r="U4" s="23" t="s">
        <v>338</v>
      </c>
      <c r="V4" s="79" t="s">
        <v>339</v>
      </c>
      <c r="W4" s="289">
        <f>IFERROR(Table5[[#This Row],[Breakdown Time]]*Table5[[#This Row],[Plant Equivalent Weightage]],"")</f>
        <v>0.19053030303030308</v>
      </c>
      <c r="X4" s="289" t="s">
        <v>340</v>
      </c>
      <c r="Y4" s="290" t="s">
        <v>116</v>
      </c>
      <c r="Z4" s="79"/>
      <c r="AA4" s="283">
        <v>357</v>
      </c>
      <c r="AB4" s="79"/>
      <c r="AC4" s="23"/>
      <c r="AD4" s="23"/>
    </row>
    <row r="5" spans="1:30">
      <c r="A5" s="79">
        <f t="shared" si="1"/>
        <v>4</v>
      </c>
      <c r="B5" s="283">
        <f>YEAR(Table5[[#This Row],[Date]])+IF(MONTH(Table5[[#This Row],[Date]])&gt;=4,1,0)</f>
        <v>2026</v>
      </c>
      <c r="C5" s="79">
        <f>YEAR(Table5[[#This Row],[Date]])</f>
        <v>2025</v>
      </c>
      <c r="D5" s="79" t="s">
        <v>344</v>
      </c>
      <c r="E5" s="284">
        <f>Table5[[#This Row],[Date]]-DAY(Table5[[#This Row],[Date]])+1</f>
        <v>45748</v>
      </c>
      <c r="F5" s="285">
        <v>45748</v>
      </c>
      <c r="G5" s="79" t="s">
        <v>84</v>
      </c>
      <c r="H5" s="23" t="str">
        <f>IFERROR(_xlfn.XLOOKUP(Table5[[#This Row],[Affected WTG]],'Basic Data'!$A:$A,'Basic Data'!$B:$B),"")</f>
        <v>PWEPL</v>
      </c>
      <c r="I5" s="23" t="str">
        <f>IFERROR(_xlfn.XLOOKUP(Table5[[#This Row],[Affected WTG]],'Basic Data'!$A:$A,'Basic Data'!$C:$C),"")</f>
        <v>MSEDCL</v>
      </c>
      <c r="J5" s="286">
        <f>IFERROR(_xlfn.XLOOKUP(Table5[[#This Row],[Affected WTG]],'Basic Data'!$A:$A,'Basic Data'!$E:$E),"")</f>
        <v>2.2727272727272728E-2</v>
      </c>
      <c r="K5" s="79">
        <v>77</v>
      </c>
      <c r="L5" s="23" t="str">
        <f>IFERROR(_xlfn.XLOOKUP(Table5[[#This Row],[Error Code]],'Basic Data'!$W:$W,'Basic Data'!$X:$X),"Incorrect Error Code")</f>
        <v>Gearbox oil overtemperature</v>
      </c>
      <c r="M5" s="23" t="s">
        <v>345</v>
      </c>
      <c r="N5" s="23"/>
      <c r="O5" s="287">
        <v>0.97569444444444442</v>
      </c>
      <c r="P5" s="287">
        <v>0.97569444444444442</v>
      </c>
      <c r="Q5" s="287">
        <v>0.99930555555555556</v>
      </c>
      <c r="R5" s="91">
        <f t="shared" si="0"/>
        <v>2.3611111111111138E-2</v>
      </c>
      <c r="S5" s="91">
        <f>(Table5[[#This Row],[Fault Clearance time]]-Table5[[#This Row],[Work Start TimeStamp]])*24</f>
        <v>0.56666666666666732</v>
      </c>
      <c r="T5" s="91">
        <f>(Table5[[#This Row],[Fault Clearance time]]-Table5[[#This Row],[Fault Start TimeStamp]])*24</f>
        <v>0.56666666666666732</v>
      </c>
      <c r="U5" s="23" t="s">
        <v>346</v>
      </c>
      <c r="V5" s="79" t="s">
        <v>339</v>
      </c>
      <c r="W5" s="289">
        <f>IFERROR(Table5[[#This Row],[Breakdown Time]]*Table5[[#This Row],[Plant Equivalent Weightage]],"")</f>
        <v>1.2878787878787894E-2</v>
      </c>
      <c r="X5" s="289" t="s">
        <v>343</v>
      </c>
      <c r="Y5" s="290" t="s">
        <v>347</v>
      </c>
      <c r="Z5" s="79"/>
      <c r="AA5" s="283">
        <v>397</v>
      </c>
      <c r="AB5" s="79"/>
      <c r="AC5" s="23"/>
      <c r="AD5" s="23"/>
    </row>
    <row r="6" spans="1:30">
      <c r="A6" s="79">
        <f t="shared" si="1"/>
        <v>5</v>
      </c>
      <c r="B6" s="283">
        <f>YEAR(Table5[[#This Row],[Date]])+IF(MONTH(Table5[[#This Row],[Date]])&gt;=4,1,0)</f>
        <v>2026</v>
      </c>
      <c r="C6" s="79">
        <f>YEAR(Table5[[#This Row],[Date]])</f>
        <v>2025</v>
      </c>
      <c r="D6" s="79" t="s">
        <v>344</v>
      </c>
      <c r="E6" s="284">
        <f>Table5[[#This Row],[Date]]-DAY(Table5[[#This Row],[Date]])+1</f>
        <v>45748</v>
      </c>
      <c r="F6" s="285">
        <v>45748</v>
      </c>
      <c r="G6" s="79" t="s">
        <v>100</v>
      </c>
      <c r="H6" s="23" t="str">
        <f>IFERROR(_xlfn.XLOOKUP(Table5[[#This Row],[Affected WTG]],'Basic Data'!$A:$A,'Basic Data'!$B:$B),"")</f>
        <v>PWEPL</v>
      </c>
      <c r="I6" s="23" t="str">
        <f>IFERROR(_xlfn.XLOOKUP(Table5[[#This Row],[Affected WTG]],'Basic Data'!$A:$A,'Basic Data'!$C:$C),"")</f>
        <v>MSEDCL</v>
      </c>
      <c r="J6" s="286">
        <f>IFERROR(_xlfn.XLOOKUP(Table5[[#This Row],[Affected WTG]],'Basic Data'!$A:$A,'Basic Data'!$E:$E),"")</f>
        <v>2.2727272727272728E-2</v>
      </c>
      <c r="K6" s="79">
        <v>269</v>
      </c>
      <c r="L6" s="23" t="str">
        <f>IFERROR(_xlfn.XLOOKUP(Table5[[#This Row],[Error Code]],'Basic Data'!$W:$W,'Basic Data'!$X:$X),"Incorrect Error Code")</f>
        <v>Reboot PLC</v>
      </c>
      <c r="M6" s="23" t="s">
        <v>348</v>
      </c>
      <c r="N6" s="23"/>
      <c r="O6" s="287">
        <v>0.84236111111111112</v>
      </c>
      <c r="P6" s="287">
        <v>0.84236111111111112</v>
      </c>
      <c r="Q6" s="287">
        <v>0.92569444444444449</v>
      </c>
      <c r="R6" s="91">
        <f t="shared" si="0"/>
        <v>8.333333333333337E-2</v>
      </c>
      <c r="S6" s="91">
        <f>(Table5[[#This Row],[Fault Clearance time]]-Table5[[#This Row],[Work Start TimeStamp]])*24</f>
        <v>2.0000000000000009</v>
      </c>
      <c r="T6" s="91">
        <f>(Table5[[#This Row],[Fault Clearance time]]-Table5[[#This Row],[Fault Start TimeStamp]])*24</f>
        <v>2.0000000000000009</v>
      </c>
      <c r="U6" s="23" t="s">
        <v>349</v>
      </c>
      <c r="V6" s="79" t="s">
        <v>339</v>
      </c>
      <c r="W6" s="289">
        <f>IFERROR(Table5[[#This Row],[Breakdown Time]]*Table5[[#This Row],[Plant Equivalent Weightage]],"")</f>
        <v>4.5454545454545477E-2</v>
      </c>
      <c r="X6" s="289" t="s">
        <v>343</v>
      </c>
      <c r="Y6" s="290" t="s">
        <v>101</v>
      </c>
      <c r="Z6" s="79"/>
      <c r="AA6" s="283">
        <v>3065</v>
      </c>
      <c r="AB6" s="79"/>
      <c r="AC6" s="23"/>
      <c r="AD6" s="23"/>
    </row>
    <row r="7" spans="1:30">
      <c r="A7" s="79">
        <f t="shared" si="1"/>
        <v>6</v>
      </c>
      <c r="B7" s="283">
        <f>YEAR(Table5[[#This Row],[Date]])+IF(MONTH(Table5[[#This Row],[Date]])&gt;=4,1,0)</f>
        <v>2026</v>
      </c>
      <c r="C7" s="79">
        <f>YEAR(Table5[[#This Row],[Date]])</f>
        <v>2025</v>
      </c>
      <c r="D7" s="79" t="s">
        <v>344</v>
      </c>
      <c r="E7" s="284">
        <f>Table5[[#This Row],[Date]]-DAY(Table5[[#This Row],[Date]])+1</f>
        <v>45748</v>
      </c>
      <c r="F7" s="285">
        <v>45748</v>
      </c>
      <c r="G7" s="79" t="s">
        <v>103</v>
      </c>
      <c r="H7" s="23" t="str">
        <f>IFERROR(_xlfn.XLOOKUP(Table5[[#This Row],[Affected WTG]],'Basic Data'!$A:$A,'Basic Data'!$B:$B),"")</f>
        <v>PWEPL</v>
      </c>
      <c r="I7" s="23" t="str">
        <f>IFERROR(_xlfn.XLOOKUP(Table5[[#This Row],[Affected WTG]],'Basic Data'!$A:$A,'Basic Data'!$C:$C),"")</f>
        <v>MSEDCL</v>
      </c>
      <c r="J7" s="286">
        <f>IFERROR(_xlfn.XLOOKUP(Table5[[#This Row],[Affected WTG]],'Basic Data'!$A:$A,'Basic Data'!$E:$E),"")</f>
        <v>2.2727272727272728E-2</v>
      </c>
      <c r="K7" s="79" t="s">
        <v>336</v>
      </c>
      <c r="L7" s="23" t="str">
        <f>IFERROR(_xlfn.XLOOKUP(Table5[[#This Row],[Error Code]],'Basic Data'!$W:$W,'Basic Data'!$X:$X),"Incorrect Error Code")</f>
        <v>Manual Stop - Preventive Maintenance Activity</v>
      </c>
      <c r="M7" s="23" t="s">
        <v>350</v>
      </c>
      <c r="N7" s="23"/>
      <c r="O7" s="287">
        <v>0.65486111111111112</v>
      </c>
      <c r="P7" s="287">
        <v>0.65486111111111112</v>
      </c>
      <c r="Q7" s="287">
        <v>0.69305555555555554</v>
      </c>
      <c r="R7" s="91">
        <f t="shared" si="0"/>
        <v>3.819444444444442E-2</v>
      </c>
      <c r="S7" s="91">
        <f>(Table5[[#This Row],[Fault Clearance time]]-Table5[[#This Row],[Work Start TimeStamp]])*24</f>
        <v>0.91666666666666607</v>
      </c>
      <c r="T7" s="91">
        <f>(Table5[[#This Row],[Fault Clearance time]]-Table5[[#This Row],[Fault Start TimeStamp]])*24</f>
        <v>0.91666666666666607</v>
      </c>
      <c r="U7" s="23" t="s">
        <v>351</v>
      </c>
      <c r="V7" s="79" t="s">
        <v>339</v>
      </c>
      <c r="W7" s="289">
        <f>IFERROR(Table5[[#This Row],[Breakdown Time]]*Table5[[#This Row],[Plant Equivalent Weightage]],"")</f>
        <v>2.0833333333333322E-2</v>
      </c>
      <c r="X7" s="289" t="s">
        <v>340</v>
      </c>
      <c r="Y7" s="290" t="s">
        <v>105</v>
      </c>
      <c r="Z7" s="79"/>
      <c r="AA7" s="283">
        <v>66</v>
      </c>
      <c r="AB7" s="79"/>
      <c r="AC7" s="23"/>
      <c r="AD7" s="23"/>
    </row>
    <row r="8" spans="1:30">
      <c r="A8" s="79">
        <f t="shared" si="1"/>
        <v>7</v>
      </c>
      <c r="B8" s="283">
        <f>YEAR(Table5[[#This Row],[Date]])+IF(MONTH(Table5[[#This Row],[Date]])&gt;=4,1,0)</f>
        <v>2026</v>
      </c>
      <c r="C8" s="79">
        <f>YEAR(Table5[[#This Row],[Date]])</f>
        <v>2025</v>
      </c>
      <c r="D8" s="79" t="s">
        <v>344</v>
      </c>
      <c r="E8" s="284">
        <f>Table5[[#This Row],[Date]]-DAY(Table5[[#This Row],[Date]])+1</f>
        <v>45748</v>
      </c>
      <c r="F8" s="285">
        <v>45748</v>
      </c>
      <c r="G8" s="79" t="s">
        <v>105</v>
      </c>
      <c r="H8" s="23" t="str">
        <f>IFERROR(_xlfn.XLOOKUP(Table5[[#This Row],[Affected WTG]],'Basic Data'!$A:$A,'Basic Data'!$B:$B),"")</f>
        <v>PWEPL</v>
      </c>
      <c r="I8" s="23" t="str">
        <f>IFERROR(_xlfn.XLOOKUP(Table5[[#This Row],[Affected WTG]],'Basic Data'!$A:$A,'Basic Data'!$C:$C),"")</f>
        <v>MSEDCL</v>
      </c>
      <c r="J8" s="286">
        <f>IFERROR(_xlfn.XLOOKUP(Table5[[#This Row],[Affected WTG]],'Basic Data'!$A:$A,'Basic Data'!$E:$E),"")</f>
        <v>2.2727272727272728E-2</v>
      </c>
      <c r="K8" s="79" t="s">
        <v>336</v>
      </c>
      <c r="L8" s="23" t="str">
        <f>IFERROR(_xlfn.XLOOKUP(Table5[[#This Row],[Error Code]],'Basic Data'!$W:$W,'Basic Data'!$X:$X),"Incorrect Error Code")</f>
        <v>Manual Stop - Preventive Maintenance Activity</v>
      </c>
      <c r="M8" s="23" t="s">
        <v>350</v>
      </c>
      <c r="N8" s="23"/>
      <c r="O8" s="287">
        <v>0.60416666666666663</v>
      </c>
      <c r="P8" s="287">
        <v>0.60416666666666663</v>
      </c>
      <c r="Q8" s="287">
        <v>0.6479166666666667</v>
      </c>
      <c r="R8" s="91">
        <f t="shared" si="0"/>
        <v>4.3750000000000067E-2</v>
      </c>
      <c r="S8" s="91">
        <f>(Table5[[#This Row],[Fault Clearance time]]-Table5[[#This Row],[Work Start TimeStamp]])*24</f>
        <v>1.0500000000000016</v>
      </c>
      <c r="T8" s="91">
        <f>(Table5[[#This Row],[Fault Clearance time]]-Table5[[#This Row],[Fault Start TimeStamp]])*24</f>
        <v>1.0500000000000016</v>
      </c>
      <c r="U8" s="23" t="s">
        <v>351</v>
      </c>
      <c r="V8" s="79" t="s">
        <v>339</v>
      </c>
      <c r="W8" s="289">
        <f>IFERROR(Table5[[#This Row],[Breakdown Time]]*Table5[[#This Row],[Plant Equivalent Weightage]],"")</f>
        <v>2.3863636363636399E-2</v>
      </c>
      <c r="X8" s="289" t="s">
        <v>340</v>
      </c>
      <c r="Y8" s="290" t="s">
        <v>103</v>
      </c>
      <c r="Z8" s="79"/>
      <c r="AA8" s="283">
        <v>54</v>
      </c>
      <c r="AB8" s="79"/>
      <c r="AC8" s="23"/>
      <c r="AD8" s="23"/>
    </row>
    <row r="9" spans="1:30">
      <c r="A9" s="79">
        <f t="shared" si="1"/>
        <v>8</v>
      </c>
      <c r="B9" s="283">
        <f>YEAR(Table5[[#This Row],[Date]])+IF(MONTH(Table5[[#This Row],[Date]])&gt;=4,1,0)</f>
        <v>2026</v>
      </c>
      <c r="C9" s="79">
        <f>YEAR(Table5[[#This Row],[Date]])</f>
        <v>2025</v>
      </c>
      <c r="D9" s="79" t="s">
        <v>344</v>
      </c>
      <c r="E9" s="284">
        <f>Table5[[#This Row],[Date]]-DAY(Table5[[#This Row],[Date]])+1</f>
        <v>45748</v>
      </c>
      <c r="F9" s="285">
        <v>45748</v>
      </c>
      <c r="G9" s="79" t="s">
        <v>116</v>
      </c>
      <c r="H9" s="23" t="str">
        <f>IFERROR(_xlfn.XLOOKUP(Table5[[#This Row],[Affected WTG]],'Basic Data'!$A:$A,'Basic Data'!$B:$B),"")</f>
        <v>PWEPL</v>
      </c>
      <c r="I9" s="23" t="str">
        <f>IFERROR(_xlfn.XLOOKUP(Table5[[#This Row],[Affected WTG]],'Basic Data'!$A:$A,'Basic Data'!$C:$C),"")</f>
        <v>MSEDCL</v>
      </c>
      <c r="J9" s="286">
        <f>IFERROR(_xlfn.XLOOKUP(Table5[[#This Row],[Affected WTG]],'Basic Data'!$A:$A,'Basic Data'!$E:$E),"")</f>
        <v>2.2727272727272728E-2</v>
      </c>
      <c r="K9" s="79" t="s">
        <v>336</v>
      </c>
      <c r="L9" s="23" t="str">
        <f>IFERROR(_xlfn.XLOOKUP(Table5[[#This Row],[Error Code]],'Basic Data'!$W:$W,'Basic Data'!$X:$X),"Incorrect Error Code")</f>
        <v>Manual Stop - Preventive Maintenance Activity</v>
      </c>
      <c r="M9" s="23" t="s">
        <v>350</v>
      </c>
      <c r="N9" s="23"/>
      <c r="O9" s="287">
        <v>0.58333333333333337</v>
      </c>
      <c r="P9" s="287">
        <v>0.58333333333333337</v>
      </c>
      <c r="Q9" s="287">
        <v>0.62222222222222223</v>
      </c>
      <c r="R9" s="91">
        <f t="shared" si="0"/>
        <v>3.8888888888888862E-2</v>
      </c>
      <c r="S9" s="91">
        <f>(Table5[[#This Row],[Fault Clearance time]]-Table5[[#This Row],[Work Start TimeStamp]])*24</f>
        <v>0.93333333333333268</v>
      </c>
      <c r="T9" s="91">
        <f>(Table5[[#This Row],[Fault Clearance time]]-Table5[[#This Row],[Fault Start TimeStamp]])*24</f>
        <v>0.93333333333333268</v>
      </c>
      <c r="U9" s="23" t="s">
        <v>351</v>
      </c>
      <c r="V9" s="79" t="s">
        <v>339</v>
      </c>
      <c r="W9" s="289">
        <f>IFERROR(Table5[[#This Row],[Breakdown Time]]*Table5[[#This Row],[Plant Equivalent Weightage]],"")</f>
        <v>2.12121212121212E-2</v>
      </c>
      <c r="X9" s="289" t="s">
        <v>340</v>
      </c>
      <c r="Y9" s="290" t="s">
        <v>117</v>
      </c>
      <c r="Z9" s="79"/>
      <c r="AA9" s="283">
        <v>0</v>
      </c>
      <c r="AB9" s="79"/>
      <c r="AC9" s="23"/>
      <c r="AD9" s="23"/>
    </row>
    <row r="10" spans="1:30">
      <c r="A10" s="79">
        <f t="shared" si="1"/>
        <v>9</v>
      </c>
      <c r="B10" s="283">
        <f>YEAR(Table5[[#This Row],[Date]])+IF(MONTH(Table5[[#This Row],[Date]])&gt;=4,1,0)</f>
        <v>2026</v>
      </c>
      <c r="C10" s="79">
        <f>YEAR(Table5[[#This Row],[Date]])</f>
        <v>2025</v>
      </c>
      <c r="D10" s="79" t="s">
        <v>344</v>
      </c>
      <c r="E10" s="284">
        <f>Table5[[#This Row],[Date]]-DAY(Table5[[#This Row],[Date]])+1</f>
        <v>45748</v>
      </c>
      <c r="F10" s="285">
        <v>45748</v>
      </c>
      <c r="G10" s="79" t="s">
        <v>117</v>
      </c>
      <c r="H10" s="23" t="str">
        <f>IFERROR(_xlfn.XLOOKUP(Table5[[#This Row],[Affected WTG]],'Basic Data'!$A:$A,'Basic Data'!$B:$B),"")</f>
        <v>PWEPL</v>
      </c>
      <c r="I10" s="23" t="str">
        <f>IFERROR(_xlfn.XLOOKUP(Table5[[#This Row],[Affected WTG]],'Basic Data'!$A:$A,'Basic Data'!$C:$C),"")</f>
        <v>MSEDCL</v>
      </c>
      <c r="J10" s="286">
        <f>IFERROR(_xlfn.XLOOKUP(Table5[[#This Row],[Affected WTG]],'Basic Data'!$A:$A,'Basic Data'!$E:$E),"")</f>
        <v>2.2727272727272728E-2</v>
      </c>
      <c r="K10" s="79" t="s">
        <v>336</v>
      </c>
      <c r="L10" s="23" t="str">
        <f>IFERROR(_xlfn.XLOOKUP(Table5[[#This Row],[Error Code]],'Basic Data'!$W:$W,'Basic Data'!$X:$X),"Incorrect Error Code")</f>
        <v>Manual Stop - Preventive Maintenance Activity</v>
      </c>
      <c r="M10" s="23" t="s">
        <v>350</v>
      </c>
      <c r="N10" s="23"/>
      <c r="O10" s="287">
        <v>0.54166666666666663</v>
      </c>
      <c r="P10" s="287">
        <v>0.54166666666666663</v>
      </c>
      <c r="Q10" s="287">
        <v>0.57361111111111107</v>
      </c>
      <c r="R10" s="91">
        <f t="shared" si="0"/>
        <v>3.1944444444444442E-2</v>
      </c>
      <c r="S10" s="91">
        <f>(Table5[[#This Row],[Fault Clearance time]]-Table5[[#This Row],[Work Start TimeStamp]])*24</f>
        <v>0.76666666666666661</v>
      </c>
      <c r="T10" s="91">
        <f>(Table5[[#This Row],[Fault Clearance time]]-Table5[[#This Row],[Fault Start TimeStamp]])*24</f>
        <v>0.76666666666666661</v>
      </c>
      <c r="U10" s="23" t="s">
        <v>351</v>
      </c>
      <c r="V10" s="79" t="s">
        <v>339</v>
      </c>
      <c r="W10" s="289">
        <f>IFERROR(Table5[[#This Row],[Breakdown Time]]*Table5[[#This Row],[Plant Equivalent Weightage]],"")</f>
        <v>1.7424242424242422E-2</v>
      </c>
      <c r="X10" s="289" t="s">
        <v>340</v>
      </c>
      <c r="Y10" s="290" t="s">
        <v>115</v>
      </c>
      <c r="Z10" s="79"/>
      <c r="AA10" s="283">
        <v>0</v>
      </c>
      <c r="AB10" s="79"/>
      <c r="AC10" s="23"/>
      <c r="AD10" s="23"/>
    </row>
    <row r="11" spans="1:30">
      <c r="A11" s="79">
        <f t="shared" si="1"/>
        <v>10</v>
      </c>
      <c r="B11" s="283">
        <f>YEAR(Table5[[#This Row],[Date]])+IF(MONTH(Table5[[#This Row],[Date]])&gt;=4,1,0)</f>
        <v>2026</v>
      </c>
      <c r="C11" s="79">
        <f>YEAR(Table5[[#This Row],[Date]])</f>
        <v>2025</v>
      </c>
      <c r="D11" s="79" t="s">
        <v>344</v>
      </c>
      <c r="E11" s="284">
        <f>Table5[[#This Row],[Date]]-DAY(Table5[[#This Row],[Date]])+1</f>
        <v>45748</v>
      </c>
      <c r="F11" s="285">
        <v>45749</v>
      </c>
      <c r="G11" s="79" t="s">
        <v>84</v>
      </c>
      <c r="H11" s="23" t="str">
        <f>IFERROR(_xlfn.XLOOKUP(Table5[[#This Row],[Affected WTG]],'Basic Data'!$A:$A,'Basic Data'!$B:$B),"")</f>
        <v>PWEPL</v>
      </c>
      <c r="I11" s="23" t="str">
        <f>IFERROR(_xlfn.XLOOKUP(Table5[[#This Row],[Affected WTG]],'Basic Data'!$A:$A,'Basic Data'!$C:$C),"")</f>
        <v>MSEDCL</v>
      </c>
      <c r="J11" s="286">
        <f>IFERROR(_xlfn.XLOOKUP(Table5[[#This Row],[Affected WTG]],'Basic Data'!$A:$A,'Basic Data'!$E:$E),"")</f>
        <v>2.2727272727272728E-2</v>
      </c>
      <c r="K11" s="79">
        <v>77</v>
      </c>
      <c r="L11" s="23" t="str">
        <f>IFERROR(_xlfn.XLOOKUP(Table5[[#This Row],[Error Code]],'Basic Data'!$W:$W,'Basic Data'!$X:$X),"Incorrect Error Code")</f>
        <v>Gearbox oil overtemperature</v>
      </c>
      <c r="M11" s="23" t="s">
        <v>345</v>
      </c>
      <c r="N11" s="23"/>
      <c r="O11" s="287">
        <v>4.6527777777777779E-2</v>
      </c>
      <c r="P11" s="287">
        <v>4.6527777777777779E-2</v>
      </c>
      <c r="Q11" s="287">
        <v>0.25972222222222224</v>
      </c>
      <c r="R11" s="91">
        <f t="shared" si="0"/>
        <v>0.21319444444444446</v>
      </c>
      <c r="S11" s="91">
        <f>(Table5[[#This Row],[Fault Clearance time]]-Table5[[#This Row],[Work Start TimeStamp]])*24</f>
        <v>5.1166666666666671</v>
      </c>
      <c r="T11" s="91">
        <f>(Table5[[#This Row],[Fault Clearance time]]-Table5[[#This Row],[Fault Start TimeStamp]])*24</f>
        <v>5.1166666666666671</v>
      </c>
      <c r="U11" s="23" t="s">
        <v>352</v>
      </c>
      <c r="V11" s="79" t="s">
        <v>339</v>
      </c>
      <c r="W11" s="289">
        <f>IFERROR(Table5[[#This Row],[Breakdown Time]]*Table5[[#This Row],[Plant Equivalent Weightage]],"")</f>
        <v>0.1162878787878788</v>
      </c>
      <c r="X11" s="289" t="s">
        <v>343</v>
      </c>
      <c r="Y11" s="290" t="s">
        <v>83</v>
      </c>
      <c r="Z11" s="79"/>
      <c r="AA11" s="283">
        <v>932</v>
      </c>
      <c r="AB11" s="79"/>
      <c r="AC11" s="23"/>
      <c r="AD11" s="23"/>
    </row>
    <row r="12" spans="1:30">
      <c r="A12" s="79">
        <f t="shared" si="1"/>
        <v>11</v>
      </c>
      <c r="B12" s="283">
        <f>YEAR(Table5[[#This Row],[Date]])+IF(MONTH(Table5[[#This Row],[Date]])&gt;=4,1,0)</f>
        <v>2026</v>
      </c>
      <c r="C12" s="79">
        <f>YEAR(Table5[[#This Row],[Date]])</f>
        <v>2025</v>
      </c>
      <c r="D12" s="79" t="s">
        <v>344</v>
      </c>
      <c r="E12" s="284">
        <f>Table5[[#This Row],[Date]]-DAY(Table5[[#This Row],[Date]])+1</f>
        <v>45748</v>
      </c>
      <c r="F12" s="285">
        <v>45749</v>
      </c>
      <c r="G12" s="79" t="s">
        <v>112</v>
      </c>
      <c r="H12" s="23" t="str">
        <f>IFERROR(_xlfn.XLOOKUP(Table5[[#This Row],[Affected WTG]],'Basic Data'!$A:$A,'Basic Data'!$B:$B),"")</f>
        <v>PWEPL</v>
      </c>
      <c r="I12" s="23" t="str">
        <f>IFERROR(_xlfn.XLOOKUP(Table5[[#This Row],[Affected WTG]],'Basic Data'!$A:$A,'Basic Data'!$C:$C),"")</f>
        <v>MSEDCL</v>
      </c>
      <c r="J12" s="286">
        <f>IFERROR(_xlfn.XLOOKUP(Table5[[#This Row],[Affected WTG]],'Basic Data'!$A:$A,'Basic Data'!$E:$E),"")</f>
        <v>2.2727272727272728E-2</v>
      </c>
      <c r="K12" s="79">
        <v>269</v>
      </c>
      <c r="L12" s="23" t="str">
        <f>IFERROR(_xlfn.XLOOKUP(Table5[[#This Row],[Error Code]],'Basic Data'!$W:$W,'Basic Data'!$X:$X),"Incorrect Error Code")</f>
        <v>Reboot PLC</v>
      </c>
      <c r="M12" s="23" t="s">
        <v>348</v>
      </c>
      <c r="N12" s="23"/>
      <c r="O12" s="287">
        <v>9.0972222222222218E-2</v>
      </c>
      <c r="P12" s="287">
        <v>9.0972222222222218E-2</v>
      </c>
      <c r="Q12" s="287">
        <v>0.15069444444444444</v>
      </c>
      <c r="R12" s="91">
        <f t="shared" si="0"/>
        <v>5.9722222222222218E-2</v>
      </c>
      <c r="S12" s="91">
        <f>(Table5[[#This Row],[Fault Clearance time]]-Table5[[#This Row],[Work Start TimeStamp]])*24</f>
        <v>1.4333333333333331</v>
      </c>
      <c r="T12" s="91">
        <f>(Table5[[#This Row],[Fault Clearance time]]-Table5[[#This Row],[Fault Start TimeStamp]])*24</f>
        <v>1.4333333333333331</v>
      </c>
      <c r="U12" s="23" t="s">
        <v>353</v>
      </c>
      <c r="V12" s="79" t="s">
        <v>339</v>
      </c>
      <c r="W12" s="289">
        <f>IFERROR(Table5[[#This Row],[Breakdown Time]]*Table5[[#This Row],[Plant Equivalent Weightage]],"")</f>
        <v>3.257575757575757E-2</v>
      </c>
      <c r="X12" s="289" t="s">
        <v>343</v>
      </c>
      <c r="Y12" s="290" t="s">
        <v>113</v>
      </c>
      <c r="Z12" s="79"/>
      <c r="AA12" s="283">
        <v>163</v>
      </c>
      <c r="AB12" s="79"/>
      <c r="AC12" s="23"/>
      <c r="AD12" s="23"/>
    </row>
    <row r="13" spans="1:30">
      <c r="A13" s="79">
        <f t="shared" si="1"/>
        <v>12</v>
      </c>
      <c r="B13" s="283">
        <f>YEAR(Table5[[#This Row],[Date]])+IF(MONTH(Table5[[#This Row],[Date]])&gt;=4,1,0)</f>
        <v>2026</v>
      </c>
      <c r="C13" s="79">
        <f>YEAR(Table5[[#This Row],[Date]])</f>
        <v>2025</v>
      </c>
      <c r="D13" s="79" t="s">
        <v>344</v>
      </c>
      <c r="E13" s="284">
        <f>Table5[[#This Row],[Date]]-DAY(Table5[[#This Row],[Date]])+1</f>
        <v>45748</v>
      </c>
      <c r="F13" s="285">
        <v>45749</v>
      </c>
      <c r="G13" s="79" t="s">
        <v>112</v>
      </c>
      <c r="H13" s="23" t="str">
        <f>IFERROR(_xlfn.XLOOKUP(Table5[[#This Row],[Affected WTG]],'Basic Data'!$A:$A,'Basic Data'!$B:$B),"")</f>
        <v>PWEPL</v>
      </c>
      <c r="I13" s="23" t="str">
        <f>IFERROR(_xlfn.XLOOKUP(Table5[[#This Row],[Affected WTG]],'Basic Data'!$A:$A,'Basic Data'!$C:$C),"")</f>
        <v>MSEDCL</v>
      </c>
      <c r="J13" s="286">
        <f>IFERROR(_xlfn.XLOOKUP(Table5[[#This Row],[Affected WTG]],'Basic Data'!$A:$A,'Basic Data'!$E:$E),"")</f>
        <v>2.2727272727272728E-2</v>
      </c>
      <c r="K13" s="79">
        <v>352</v>
      </c>
      <c r="L13" s="23" t="str">
        <f>IFERROR(_xlfn.XLOOKUP(Table5[[#This Row],[Error Code]],'Basic Data'!$W:$W,'Basic Data'!$X:$X),"Incorrect Error Code")</f>
        <v>Communication fault wind measurement device</v>
      </c>
      <c r="M13" s="23" t="s">
        <v>354</v>
      </c>
      <c r="N13" s="23"/>
      <c r="O13" s="287">
        <v>0.17152777777777775</v>
      </c>
      <c r="P13" s="287">
        <v>0.17152777777777775</v>
      </c>
      <c r="Q13" s="287">
        <v>0.33819444444444446</v>
      </c>
      <c r="R13" s="91">
        <f t="shared" si="0"/>
        <v>0.16666666666666671</v>
      </c>
      <c r="S13" s="91">
        <f>(Table5[[#This Row],[Fault Clearance time]]-Table5[[#This Row],[Work Start TimeStamp]])*24</f>
        <v>4.0000000000000009</v>
      </c>
      <c r="T13" s="91">
        <f>(Table5[[#This Row],[Fault Clearance time]]-Table5[[#This Row],[Fault Start TimeStamp]])*24</f>
        <v>4.0000000000000009</v>
      </c>
      <c r="U13" s="23" t="s">
        <v>355</v>
      </c>
      <c r="V13" s="79" t="s">
        <v>339</v>
      </c>
      <c r="W13" s="289">
        <f>IFERROR(Table5[[#This Row],[Breakdown Time]]*Table5[[#This Row],[Plant Equivalent Weightage]],"")</f>
        <v>9.0909090909090925E-2</v>
      </c>
      <c r="X13" s="289" t="s">
        <v>343</v>
      </c>
      <c r="Y13" s="290" t="s">
        <v>113</v>
      </c>
      <c r="Z13" s="79"/>
      <c r="AA13" s="283">
        <v>1720</v>
      </c>
      <c r="AB13" s="79"/>
      <c r="AC13" s="23"/>
      <c r="AD13" s="23"/>
    </row>
    <row r="14" spans="1:30">
      <c r="A14" s="79">
        <f t="shared" si="1"/>
        <v>13</v>
      </c>
      <c r="B14" s="283">
        <f>YEAR(Table5[[#This Row],[Date]])+IF(MONTH(Table5[[#This Row],[Date]])&gt;=4,1,0)</f>
        <v>2026</v>
      </c>
      <c r="C14" s="79">
        <f>YEAR(Table5[[#This Row],[Date]])</f>
        <v>2025</v>
      </c>
      <c r="D14" s="79" t="s">
        <v>344</v>
      </c>
      <c r="E14" s="284">
        <f>Table5[[#This Row],[Date]]-DAY(Table5[[#This Row],[Date]])+1</f>
        <v>45748</v>
      </c>
      <c r="F14" s="285">
        <v>45750</v>
      </c>
      <c r="G14" s="79" t="s">
        <v>102</v>
      </c>
      <c r="H14" s="23" t="str">
        <f>IFERROR(_xlfn.XLOOKUP(Table5[[#This Row],[Affected WTG]],'Basic Data'!$A:$A,'Basic Data'!$B:$B),"")</f>
        <v>PWEPL</v>
      </c>
      <c r="I14" s="23" t="str">
        <f>IFERROR(_xlfn.XLOOKUP(Table5[[#This Row],[Affected WTG]],'Basic Data'!$A:$A,'Basic Data'!$C:$C),"")</f>
        <v>MSEDCL</v>
      </c>
      <c r="J14" s="286">
        <f>IFERROR(_xlfn.XLOOKUP(Table5[[#This Row],[Affected WTG]],'Basic Data'!$A:$A,'Basic Data'!$E:$E),"")</f>
        <v>2.2727272727272728E-2</v>
      </c>
      <c r="K14" s="79" t="s">
        <v>336</v>
      </c>
      <c r="L14" s="23" t="str">
        <f>IFERROR(_xlfn.XLOOKUP(Table5[[#This Row],[Error Code]],'Basic Data'!$W:$W,'Basic Data'!$X:$X),"Incorrect Error Code")</f>
        <v>Manual Stop - Preventive Maintenance Activity</v>
      </c>
      <c r="M14" s="23" t="s">
        <v>337</v>
      </c>
      <c r="N14" s="23"/>
      <c r="O14" s="287">
        <v>0.46249999999999997</v>
      </c>
      <c r="P14" s="287">
        <v>0.46249999999999997</v>
      </c>
      <c r="Q14" s="287">
        <v>0.72986111111111107</v>
      </c>
      <c r="R14" s="91">
        <f t="shared" si="0"/>
        <v>0.2673611111111111</v>
      </c>
      <c r="S14" s="91">
        <f>(Table5[[#This Row],[Fault Clearance time]]-Table5[[#This Row],[Work Start TimeStamp]])*24</f>
        <v>6.4166666666666661</v>
      </c>
      <c r="T14" s="91">
        <f>(Table5[[#This Row],[Fault Clearance time]]-Table5[[#This Row],[Fault Start TimeStamp]])*24</f>
        <v>6.4166666666666661</v>
      </c>
      <c r="U14" s="23" t="s">
        <v>356</v>
      </c>
      <c r="V14" s="79" t="s">
        <v>339</v>
      </c>
      <c r="W14" s="289">
        <f>IFERROR(Table5[[#This Row],[Breakdown Time]]*Table5[[#This Row],[Plant Equivalent Weightage]],"")</f>
        <v>0.14583333333333331</v>
      </c>
      <c r="X14" s="289" t="s">
        <v>340</v>
      </c>
      <c r="Y14" s="290" t="s">
        <v>78</v>
      </c>
      <c r="Z14" s="79"/>
      <c r="AA14" s="283">
        <v>1202</v>
      </c>
      <c r="AB14" s="79"/>
      <c r="AC14" s="23"/>
      <c r="AD14" s="23"/>
    </row>
    <row r="15" spans="1:30">
      <c r="A15" s="79">
        <f t="shared" si="1"/>
        <v>14</v>
      </c>
      <c r="B15" s="283">
        <f>YEAR(Table5[[#This Row],[Date]])+IF(MONTH(Table5[[#This Row],[Date]])&gt;=4,1,0)</f>
        <v>2026</v>
      </c>
      <c r="C15" s="79">
        <f>YEAR(Table5[[#This Row],[Date]])</f>
        <v>2025</v>
      </c>
      <c r="D15" s="79" t="s">
        <v>344</v>
      </c>
      <c r="E15" s="284">
        <f>Table5[[#This Row],[Date]]-DAY(Table5[[#This Row],[Date]])+1</f>
        <v>45748</v>
      </c>
      <c r="F15" s="285">
        <v>45750</v>
      </c>
      <c r="G15" s="79" t="s">
        <v>116</v>
      </c>
      <c r="H15" s="23" t="str">
        <f>IFERROR(_xlfn.XLOOKUP(Table5[[#This Row],[Affected WTG]],'Basic Data'!$A:$A,'Basic Data'!$B:$B),"")</f>
        <v>PWEPL</v>
      </c>
      <c r="I15" s="23" t="str">
        <f>IFERROR(_xlfn.XLOOKUP(Table5[[#This Row],[Affected WTG]],'Basic Data'!$A:$A,'Basic Data'!$C:$C),"")</f>
        <v>MSEDCL</v>
      </c>
      <c r="J15" s="286">
        <f>IFERROR(_xlfn.XLOOKUP(Table5[[#This Row],[Affected WTG]],'Basic Data'!$A:$A,'Basic Data'!$E:$E),"")</f>
        <v>2.2727272727272728E-2</v>
      </c>
      <c r="K15" s="79">
        <v>60</v>
      </c>
      <c r="L15" s="23" t="str">
        <f>IFERROR(_xlfn.XLOOKUP(Table5[[#This Row],[Error Code]],'Basic Data'!$W:$W,'Basic Data'!$X:$X),"Incorrect Error Code")</f>
        <v>Yaw limit switch activated</v>
      </c>
      <c r="M15" s="23" t="s">
        <v>357</v>
      </c>
      <c r="N15" s="23"/>
      <c r="O15" s="287">
        <v>0.89513888888888893</v>
      </c>
      <c r="P15" s="287">
        <v>0.89513888888888893</v>
      </c>
      <c r="Q15" s="287">
        <v>0.96666666666666667</v>
      </c>
      <c r="R15" s="91">
        <f t="shared" si="0"/>
        <v>7.1527777777777746E-2</v>
      </c>
      <c r="S15" s="91">
        <f>(Table5[[#This Row],[Fault Clearance time]]-Table5[[#This Row],[Work Start TimeStamp]])*24</f>
        <v>1.7166666666666659</v>
      </c>
      <c r="T15" s="91">
        <f>(Table5[[#This Row],[Fault Clearance time]]-Table5[[#This Row],[Fault Start TimeStamp]])*24</f>
        <v>1.7166666666666659</v>
      </c>
      <c r="U15" s="23" t="s">
        <v>358</v>
      </c>
      <c r="V15" s="79" t="s">
        <v>339</v>
      </c>
      <c r="W15" s="289">
        <f>IFERROR(Table5[[#This Row],[Breakdown Time]]*Table5[[#This Row],[Plant Equivalent Weightage]],"")</f>
        <v>3.9015151515151496E-2</v>
      </c>
      <c r="X15" s="289" t="s">
        <v>343</v>
      </c>
      <c r="Y15" s="290" t="s">
        <v>117</v>
      </c>
      <c r="Z15" s="79"/>
      <c r="AA15" s="283">
        <v>44</v>
      </c>
      <c r="AB15" s="79"/>
      <c r="AC15" s="23"/>
      <c r="AD15" s="23"/>
    </row>
    <row r="16" spans="1:30">
      <c r="A16" s="79">
        <f t="shared" si="1"/>
        <v>15</v>
      </c>
      <c r="B16" s="283">
        <f>YEAR(Table5[[#This Row],[Date]])+IF(MONTH(Table5[[#This Row],[Date]])&gt;=4,1,0)</f>
        <v>2026</v>
      </c>
      <c r="C16" s="79">
        <f>YEAR(Table5[[#This Row],[Date]])</f>
        <v>2025</v>
      </c>
      <c r="D16" s="79" t="s">
        <v>344</v>
      </c>
      <c r="E16" s="284">
        <f>Table5[[#This Row],[Date]]-DAY(Table5[[#This Row],[Date]])+1</f>
        <v>45748</v>
      </c>
      <c r="F16" s="285">
        <v>45751</v>
      </c>
      <c r="G16" s="79" t="s">
        <v>80</v>
      </c>
      <c r="H16" s="23" t="str">
        <f>IFERROR(_xlfn.XLOOKUP(Table5[[#This Row],[Affected WTG]],'Basic Data'!$A:$A,'Basic Data'!$B:$B),"")</f>
        <v>PWEPL</v>
      </c>
      <c r="I16" s="23" t="str">
        <f>IFERROR(_xlfn.XLOOKUP(Table5[[#This Row],[Affected WTG]],'Basic Data'!$A:$A,'Basic Data'!$C:$C),"")</f>
        <v>MSEDCL</v>
      </c>
      <c r="J16" s="286">
        <f>IFERROR(_xlfn.XLOOKUP(Table5[[#This Row],[Affected WTG]],'Basic Data'!$A:$A,'Basic Data'!$E:$E),"")</f>
        <v>2.2727272727272728E-2</v>
      </c>
      <c r="K16" s="79">
        <v>3</v>
      </c>
      <c r="L16" s="23" t="str">
        <f>IFERROR(_xlfn.XLOOKUP(Table5[[#This Row],[Error Code]],'Basic Data'!$W:$W,'Basic Data'!$X:$X),"Incorrect Error Code")</f>
        <v>Manual Stop</v>
      </c>
      <c r="M16" s="23" t="s">
        <v>360</v>
      </c>
      <c r="N16" s="23"/>
      <c r="O16" s="287">
        <v>0.45694444444444443</v>
      </c>
      <c r="P16" s="287">
        <v>0.45694444444444443</v>
      </c>
      <c r="Q16" s="287">
        <v>0.48472222222222222</v>
      </c>
      <c r="R16" s="91">
        <f t="shared" si="0"/>
        <v>2.777777777777779E-2</v>
      </c>
      <c r="S16" s="91">
        <f>(Table5[[#This Row],[Fault Clearance time]]-Table5[[#This Row],[Work Start TimeStamp]])*24</f>
        <v>0.66666666666666696</v>
      </c>
      <c r="T16" s="91">
        <f>(Table5[[#This Row],[Fault Clearance time]]-Table5[[#This Row],[Fault Start TimeStamp]])*24</f>
        <v>0.66666666666666696</v>
      </c>
      <c r="U16" s="23" t="s">
        <v>361</v>
      </c>
      <c r="V16" s="79" t="s">
        <v>339</v>
      </c>
      <c r="W16" s="289">
        <f>IFERROR(Table5[[#This Row],[Breakdown Time]]*Table5[[#This Row],[Plant Equivalent Weightage]],"")</f>
        <v>1.5151515151515159E-2</v>
      </c>
      <c r="X16" s="289" t="s">
        <v>340</v>
      </c>
      <c r="Y16" s="290" t="s">
        <v>108</v>
      </c>
      <c r="Z16" s="79"/>
      <c r="AA16" s="283">
        <v>2</v>
      </c>
      <c r="AB16" s="79"/>
      <c r="AC16" s="23"/>
      <c r="AD16" s="23"/>
    </row>
    <row r="17" spans="1:30">
      <c r="A17" s="79">
        <f t="shared" si="1"/>
        <v>16</v>
      </c>
      <c r="B17" s="283">
        <f>YEAR(Table5[[#This Row],[Date]])+IF(MONTH(Table5[[#This Row],[Date]])&gt;=4,1,0)</f>
        <v>2026</v>
      </c>
      <c r="C17" s="79">
        <f>YEAR(Table5[[#This Row],[Date]])</f>
        <v>2025</v>
      </c>
      <c r="D17" s="79" t="s">
        <v>344</v>
      </c>
      <c r="E17" s="284">
        <f>Table5[[#This Row],[Date]]-DAY(Table5[[#This Row],[Date]])+1</f>
        <v>45748</v>
      </c>
      <c r="F17" s="285">
        <v>45751</v>
      </c>
      <c r="G17" s="79" t="s">
        <v>81</v>
      </c>
      <c r="H17" s="23" t="str">
        <f>IFERROR(_xlfn.XLOOKUP(Table5[[#This Row],[Affected WTG]],'Basic Data'!$A:$A,'Basic Data'!$B:$B),"")</f>
        <v>PWEPL</v>
      </c>
      <c r="I17" s="23" t="str">
        <f>IFERROR(_xlfn.XLOOKUP(Table5[[#This Row],[Affected WTG]],'Basic Data'!$A:$A,'Basic Data'!$C:$C),"")</f>
        <v>MSEDCL</v>
      </c>
      <c r="J17" s="286">
        <f>IFERROR(_xlfn.XLOOKUP(Table5[[#This Row],[Affected WTG]],'Basic Data'!$A:$A,'Basic Data'!$E:$E),"")</f>
        <v>2.2727272727272728E-2</v>
      </c>
      <c r="K17" s="79">
        <v>3</v>
      </c>
      <c r="L17" s="23" t="str">
        <f>IFERROR(_xlfn.XLOOKUP(Table5[[#This Row],[Error Code]],'Basic Data'!$W:$W,'Basic Data'!$X:$X),"Incorrect Error Code")</f>
        <v>Manual Stop</v>
      </c>
      <c r="M17" s="23" t="s">
        <v>360</v>
      </c>
      <c r="N17" s="23"/>
      <c r="O17" s="287">
        <v>0.53611111111111109</v>
      </c>
      <c r="P17" s="287">
        <v>0.53611111111111109</v>
      </c>
      <c r="Q17" s="287">
        <v>0.56805555555555554</v>
      </c>
      <c r="R17" s="91">
        <f t="shared" si="0"/>
        <v>3.1944444444444442E-2</v>
      </c>
      <c r="S17" s="91">
        <f>(Table5[[#This Row],[Fault Clearance time]]-Table5[[#This Row],[Work Start TimeStamp]])*24</f>
        <v>0.76666666666666661</v>
      </c>
      <c r="T17" s="91">
        <f>(Table5[[#This Row],[Fault Clearance time]]-Table5[[#This Row],[Fault Start TimeStamp]])*24</f>
        <v>0.76666666666666661</v>
      </c>
      <c r="U17" s="23" t="s">
        <v>361</v>
      </c>
      <c r="V17" s="79" t="s">
        <v>339</v>
      </c>
      <c r="W17" s="289">
        <f>IFERROR(Table5[[#This Row],[Breakdown Time]]*Table5[[#This Row],[Plant Equivalent Weightage]],"")</f>
        <v>1.7424242424242422E-2</v>
      </c>
      <c r="X17" s="289" t="s">
        <v>340</v>
      </c>
      <c r="Y17" s="290" t="s">
        <v>108</v>
      </c>
      <c r="Z17" s="79"/>
      <c r="AA17" s="283">
        <v>0</v>
      </c>
      <c r="AB17" s="79"/>
      <c r="AC17" s="23"/>
      <c r="AD17" s="23"/>
    </row>
    <row r="18" spans="1:30">
      <c r="A18" s="79">
        <f t="shared" si="1"/>
        <v>17</v>
      </c>
      <c r="B18" s="283">
        <f>YEAR(Table5[[#This Row],[Date]])+IF(MONTH(Table5[[#This Row],[Date]])&gt;=4,1,0)</f>
        <v>2026</v>
      </c>
      <c r="C18" s="79">
        <f>YEAR(Table5[[#This Row],[Date]])</f>
        <v>2025</v>
      </c>
      <c r="D18" s="79" t="s">
        <v>344</v>
      </c>
      <c r="E18" s="284">
        <f>Table5[[#This Row],[Date]]-DAY(Table5[[#This Row],[Date]])+1</f>
        <v>45748</v>
      </c>
      <c r="F18" s="285">
        <v>45751</v>
      </c>
      <c r="G18" s="79" t="s">
        <v>107</v>
      </c>
      <c r="H18" s="23" t="str">
        <f>IFERROR(_xlfn.XLOOKUP(Table5[[#This Row],[Affected WTG]],'Basic Data'!$A:$A,'Basic Data'!$B:$B),"")</f>
        <v>PWEPL</v>
      </c>
      <c r="I18" s="23" t="str">
        <f>IFERROR(_xlfn.XLOOKUP(Table5[[#This Row],[Affected WTG]],'Basic Data'!$A:$A,'Basic Data'!$C:$C),"")</f>
        <v>MSEDCL</v>
      </c>
      <c r="J18" s="286">
        <f>IFERROR(_xlfn.XLOOKUP(Table5[[#This Row],[Affected WTG]],'Basic Data'!$A:$A,'Basic Data'!$E:$E),"")</f>
        <v>2.2727272727272728E-2</v>
      </c>
      <c r="K18" s="79">
        <v>3</v>
      </c>
      <c r="L18" s="23" t="str">
        <f>IFERROR(_xlfn.XLOOKUP(Table5[[#This Row],[Error Code]],'Basic Data'!$W:$W,'Basic Data'!$X:$X),"Incorrect Error Code")</f>
        <v>Manual Stop</v>
      </c>
      <c r="M18" s="23" t="s">
        <v>360</v>
      </c>
      <c r="N18" s="23"/>
      <c r="O18" s="287">
        <v>0.47013888888888888</v>
      </c>
      <c r="P18" s="287">
        <v>0.47013888888888888</v>
      </c>
      <c r="Q18" s="287">
        <v>0.51250000000000007</v>
      </c>
      <c r="R18" s="91">
        <f t="shared" si="0"/>
        <v>4.2361111111111183E-2</v>
      </c>
      <c r="S18" s="91">
        <f>(Table5[[#This Row],[Fault Clearance time]]-Table5[[#This Row],[Work Start TimeStamp]])*24</f>
        <v>1.0166666666666684</v>
      </c>
      <c r="T18" s="91">
        <f>(Table5[[#This Row],[Fault Clearance time]]-Table5[[#This Row],[Fault Start TimeStamp]])*24</f>
        <v>1.0166666666666684</v>
      </c>
      <c r="U18" s="23" t="s">
        <v>361</v>
      </c>
      <c r="V18" s="79" t="s">
        <v>339</v>
      </c>
      <c r="W18" s="289">
        <f>IFERROR(Table5[[#This Row],[Breakdown Time]]*Table5[[#This Row],[Plant Equivalent Weightage]],"")</f>
        <v>2.3106060606060647E-2</v>
      </c>
      <c r="X18" s="289" t="s">
        <v>340</v>
      </c>
      <c r="Y18" s="290" t="s">
        <v>112</v>
      </c>
      <c r="Z18" s="79"/>
      <c r="AA18" s="283">
        <v>0</v>
      </c>
      <c r="AB18" s="79"/>
      <c r="AC18" s="23"/>
      <c r="AD18" s="23"/>
    </row>
    <row r="19" spans="1:30">
      <c r="A19" s="79">
        <f t="shared" si="1"/>
        <v>18</v>
      </c>
      <c r="B19" s="283">
        <f>YEAR(Table5[[#This Row],[Date]])+IF(MONTH(Table5[[#This Row],[Date]])&gt;=4,1,0)</f>
        <v>2026</v>
      </c>
      <c r="C19" s="79">
        <f>YEAR(Table5[[#This Row],[Date]])</f>
        <v>2025</v>
      </c>
      <c r="D19" s="79" t="s">
        <v>344</v>
      </c>
      <c r="E19" s="284">
        <f>Table5[[#This Row],[Date]]-DAY(Table5[[#This Row],[Date]])+1</f>
        <v>45748</v>
      </c>
      <c r="F19" s="285">
        <v>45751</v>
      </c>
      <c r="G19" s="79" t="s">
        <v>108</v>
      </c>
      <c r="H19" s="23" t="str">
        <f>IFERROR(_xlfn.XLOOKUP(Table5[[#This Row],[Affected WTG]],'Basic Data'!$A:$A,'Basic Data'!$B:$B),"")</f>
        <v>PWEPL</v>
      </c>
      <c r="I19" s="23" t="str">
        <f>IFERROR(_xlfn.XLOOKUP(Table5[[#This Row],[Affected WTG]],'Basic Data'!$A:$A,'Basic Data'!$C:$C),"")</f>
        <v>MSEDCL</v>
      </c>
      <c r="J19" s="286">
        <f>IFERROR(_xlfn.XLOOKUP(Table5[[#This Row],[Affected WTG]],'Basic Data'!$A:$A,'Basic Data'!$E:$E),"")</f>
        <v>2.2727272727272728E-2</v>
      </c>
      <c r="K19" s="79">
        <v>3</v>
      </c>
      <c r="L19" s="23" t="str">
        <f>IFERROR(_xlfn.XLOOKUP(Table5[[#This Row],[Error Code]],'Basic Data'!$W:$W,'Basic Data'!$X:$X),"Incorrect Error Code")</f>
        <v>Manual Stop</v>
      </c>
      <c r="M19" s="23" t="s">
        <v>360</v>
      </c>
      <c r="N19" s="23"/>
      <c r="O19" s="287">
        <v>0.52986111111111112</v>
      </c>
      <c r="P19" s="287">
        <v>0.52986111111111112</v>
      </c>
      <c r="Q19" s="287">
        <v>0.55694444444444446</v>
      </c>
      <c r="R19" s="91">
        <f t="shared" si="0"/>
        <v>2.7083333333333348E-2</v>
      </c>
      <c r="S19" s="91">
        <f>(Table5[[#This Row],[Fault Clearance time]]-Table5[[#This Row],[Work Start TimeStamp]])*24</f>
        <v>0.65000000000000036</v>
      </c>
      <c r="T19" s="91">
        <f>(Table5[[#This Row],[Fault Clearance time]]-Table5[[#This Row],[Fault Start TimeStamp]])*24</f>
        <v>0.65000000000000036</v>
      </c>
      <c r="U19" s="23" t="s">
        <v>361</v>
      </c>
      <c r="V19" s="79" t="s">
        <v>339</v>
      </c>
      <c r="W19" s="289">
        <f>IFERROR(Table5[[#This Row],[Breakdown Time]]*Table5[[#This Row],[Plant Equivalent Weightage]],"")</f>
        <v>1.4772727272727281E-2</v>
      </c>
      <c r="X19" s="289" t="s">
        <v>340</v>
      </c>
      <c r="Y19" s="290" t="s">
        <v>80</v>
      </c>
      <c r="Z19" s="79"/>
      <c r="AA19" s="283">
        <v>0</v>
      </c>
      <c r="AB19" s="79"/>
      <c r="AC19" s="23"/>
      <c r="AD19" s="23"/>
    </row>
    <row r="20" spans="1:30">
      <c r="A20" s="79">
        <f t="shared" si="1"/>
        <v>19</v>
      </c>
      <c r="B20" s="283">
        <f>YEAR(Table5[[#This Row],[Date]])+IF(MONTH(Table5[[#This Row],[Date]])&gt;=4,1,0)</f>
        <v>2026</v>
      </c>
      <c r="C20" s="79">
        <f>YEAR(Table5[[#This Row],[Date]])</f>
        <v>2025</v>
      </c>
      <c r="D20" s="79" t="s">
        <v>344</v>
      </c>
      <c r="E20" s="284">
        <f>Table5[[#This Row],[Date]]-DAY(Table5[[#This Row],[Date]])+1</f>
        <v>45748</v>
      </c>
      <c r="F20" s="285">
        <v>45751</v>
      </c>
      <c r="G20" s="79" t="s">
        <v>109</v>
      </c>
      <c r="H20" s="23" t="str">
        <f>IFERROR(_xlfn.XLOOKUP(Table5[[#This Row],[Affected WTG]],'Basic Data'!$A:$A,'Basic Data'!$B:$B),"")</f>
        <v>PWEPL</v>
      </c>
      <c r="I20" s="23" t="str">
        <f>IFERROR(_xlfn.XLOOKUP(Table5[[#This Row],[Affected WTG]],'Basic Data'!$A:$A,'Basic Data'!$C:$C),"")</f>
        <v>MSEDCL</v>
      </c>
      <c r="J20" s="286">
        <f>IFERROR(_xlfn.XLOOKUP(Table5[[#This Row],[Affected WTG]],'Basic Data'!$A:$A,'Basic Data'!$E:$E),"")</f>
        <v>2.2727272727272728E-2</v>
      </c>
      <c r="K20" s="79">
        <v>3</v>
      </c>
      <c r="L20" s="23" t="str">
        <f>IFERROR(_xlfn.XLOOKUP(Table5[[#This Row],[Error Code]],'Basic Data'!$W:$W,'Basic Data'!$X:$X),"Incorrect Error Code")</f>
        <v>Manual Stop</v>
      </c>
      <c r="M20" s="23" t="s">
        <v>360</v>
      </c>
      <c r="N20" s="23"/>
      <c r="O20" s="287">
        <v>0.64513888888888882</v>
      </c>
      <c r="P20" s="287">
        <v>0.64513888888888882</v>
      </c>
      <c r="Q20" s="287">
        <v>0.68541666666666667</v>
      </c>
      <c r="R20" s="91">
        <f t="shared" si="0"/>
        <v>4.0277777777777857E-2</v>
      </c>
      <c r="S20" s="91">
        <f>(Table5[[#This Row],[Fault Clearance time]]-Table5[[#This Row],[Work Start TimeStamp]])*24</f>
        <v>0.96666666666666856</v>
      </c>
      <c r="T20" s="91">
        <f>(Table5[[#This Row],[Fault Clearance time]]-Table5[[#This Row],[Fault Start TimeStamp]])*24</f>
        <v>0.96666666666666856</v>
      </c>
      <c r="U20" s="23" t="s">
        <v>361</v>
      </c>
      <c r="V20" s="79" t="s">
        <v>339</v>
      </c>
      <c r="W20" s="289">
        <f>IFERROR(Table5[[#This Row],[Breakdown Time]]*Table5[[#This Row],[Plant Equivalent Weightage]],"")</f>
        <v>2.1969696969697014E-2</v>
      </c>
      <c r="X20" s="289" t="s">
        <v>340</v>
      </c>
      <c r="Y20" s="290" t="s">
        <v>87</v>
      </c>
      <c r="Z20" s="79"/>
      <c r="AA20" s="283">
        <v>12</v>
      </c>
      <c r="AB20" s="79"/>
      <c r="AC20" s="23"/>
      <c r="AD20" s="23"/>
    </row>
    <row r="21" spans="1:30">
      <c r="A21" s="79">
        <f t="shared" si="1"/>
        <v>20</v>
      </c>
      <c r="B21" s="283">
        <f>YEAR(Table5[[#This Row],[Date]])+IF(MONTH(Table5[[#This Row],[Date]])&gt;=4,1,0)</f>
        <v>2026</v>
      </c>
      <c r="C21" s="79">
        <f>YEAR(Table5[[#This Row],[Date]])</f>
        <v>2025</v>
      </c>
      <c r="D21" s="79" t="s">
        <v>344</v>
      </c>
      <c r="E21" s="284">
        <f>Table5[[#This Row],[Date]]-DAY(Table5[[#This Row],[Date]])+1</f>
        <v>45748</v>
      </c>
      <c r="F21" s="285">
        <v>45751</v>
      </c>
      <c r="G21" s="79" t="s">
        <v>114</v>
      </c>
      <c r="H21" s="23" t="str">
        <f>IFERROR(_xlfn.XLOOKUP(Table5[[#This Row],[Affected WTG]],'Basic Data'!$A:$A,'Basic Data'!$B:$B),"")</f>
        <v>PWEPL</v>
      </c>
      <c r="I21" s="23" t="str">
        <f>IFERROR(_xlfn.XLOOKUP(Table5[[#This Row],[Affected WTG]],'Basic Data'!$A:$A,'Basic Data'!$C:$C),"")</f>
        <v>MSEDCL</v>
      </c>
      <c r="J21" s="286">
        <f>IFERROR(_xlfn.XLOOKUP(Table5[[#This Row],[Affected WTG]],'Basic Data'!$A:$A,'Basic Data'!$E:$E),"")</f>
        <v>2.2727272727272728E-2</v>
      </c>
      <c r="K21" s="79">
        <v>3</v>
      </c>
      <c r="L21" s="23" t="str">
        <f>IFERROR(_xlfn.XLOOKUP(Table5[[#This Row],[Error Code]],'Basic Data'!$W:$W,'Basic Data'!$X:$X),"Incorrect Error Code")</f>
        <v>Manual Stop</v>
      </c>
      <c r="M21" s="23" t="s">
        <v>360</v>
      </c>
      <c r="N21" s="23"/>
      <c r="O21" s="287">
        <v>0.63541666666666663</v>
      </c>
      <c r="P21" s="287">
        <v>0.63541666666666663</v>
      </c>
      <c r="Q21" s="287">
        <v>0.66249999999999998</v>
      </c>
      <c r="R21" s="91">
        <f t="shared" si="0"/>
        <v>2.7083333333333348E-2</v>
      </c>
      <c r="S21" s="91">
        <f>(Table5[[#This Row],[Fault Clearance time]]-Table5[[#This Row],[Work Start TimeStamp]])*24</f>
        <v>0.65000000000000036</v>
      </c>
      <c r="T21" s="91">
        <f>(Table5[[#This Row],[Fault Clearance time]]-Table5[[#This Row],[Fault Start TimeStamp]])*24</f>
        <v>0.65000000000000036</v>
      </c>
      <c r="U21" s="23" t="s">
        <v>361</v>
      </c>
      <c r="V21" s="79" t="s">
        <v>339</v>
      </c>
      <c r="W21" s="289">
        <f>IFERROR(Table5[[#This Row],[Breakdown Time]]*Table5[[#This Row],[Plant Equivalent Weightage]],"")</f>
        <v>1.4772727272727281E-2</v>
      </c>
      <c r="X21" s="289" t="s">
        <v>340</v>
      </c>
      <c r="Y21" s="290" t="s">
        <v>113</v>
      </c>
      <c r="Z21" s="79"/>
      <c r="AA21" s="283">
        <v>14</v>
      </c>
      <c r="AB21" s="79"/>
      <c r="AC21" s="23"/>
      <c r="AD21" s="23"/>
    </row>
    <row r="22" spans="1:30">
      <c r="A22" s="79">
        <f t="shared" si="1"/>
        <v>21</v>
      </c>
      <c r="B22" s="283">
        <f>YEAR(Table5[[#This Row],[Date]])+IF(MONTH(Table5[[#This Row],[Date]])&gt;=4,1,0)</f>
        <v>2026</v>
      </c>
      <c r="C22" s="79">
        <f>YEAR(Table5[[#This Row],[Date]])</f>
        <v>2025</v>
      </c>
      <c r="D22" s="79" t="s">
        <v>344</v>
      </c>
      <c r="E22" s="284">
        <f>Table5[[#This Row],[Date]]-DAY(Table5[[#This Row],[Date]])+1</f>
        <v>45748</v>
      </c>
      <c r="F22" s="285">
        <v>45752</v>
      </c>
      <c r="G22" s="79" t="s">
        <v>102</v>
      </c>
      <c r="H22" s="23" t="str">
        <f>IFERROR(_xlfn.XLOOKUP(Table5[[#This Row],[Affected WTG]],'Basic Data'!$A:$A,'Basic Data'!$B:$B),"")</f>
        <v>PWEPL</v>
      </c>
      <c r="I22" s="23" t="str">
        <f>IFERROR(_xlfn.XLOOKUP(Table5[[#This Row],[Affected WTG]],'Basic Data'!$A:$A,'Basic Data'!$C:$C),"")</f>
        <v>MSEDCL</v>
      </c>
      <c r="J22" s="286">
        <f>IFERROR(_xlfn.XLOOKUP(Table5[[#This Row],[Affected WTG]],'Basic Data'!$A:$A,'Basic Data'!$E:$E),"")</f>
        <v>2.2727272727272728E-2</v>
      </c>
      <c r="K22" s="79" t="s">
        <v>336</v>
      </c>
      <c r="L22" s="23" t="str">
        <f>IFERROR(_xlfn.XLOOKUP(Table5[[#This Row],[Error Code]],'Basic Data'!$W:$W,'Basic Data'!$X:$X),"Incorrect Error Code")</f>
        <v>Manual Stop - Preventive Maintenance Activity</v>
      </c>
      <c r="M22" s="23" t="s">
        <v>337</v>
      </c>
      <c r="N22" s="23"/>
      <c r="O22" s="287">
        <v>0.41250000000000003</v>
      </c>
      <c r="P22" s="287">
        <v>0.41250000000000003</v>
      </c>
      <c r="Q22" s="287">
        <v>0.72083333333333333</v>
      </c>
      <c r="R22" s="91">
        <f t="shared" si="0"/>
        <v>0.30833333333333329</v>
      </c>
      <c r="S22" s="91">
        <f>(Table5[[#This Row],[Fault Clearance time]]-Table5[[#This Row],[Work Start TimeStamp]])*24</f>
        <v>7.3999999999999986</v>
      </c>
      <c r="T22" s="91">
        <f>(Table5[[#This Row],[Fault Clearance time]]-Table5[[#This Row],[Fault Start TimeStamp]])*24</f>
        <v>7.3999999999999986</v>
      </c>
      <c r="U22" s="23" t="s">
        <v>362</v>
      </c>
      <c r="V22" s="79" t="s">
        <v>339</v>
      </c>
      <c r="W22" s="289">
        <f>IFERROR(Table5[[#This Row],[Breakdown Time]]*Table5[[#This Row],[Plant Equivalent Weightage]],"")</f>
        <v>0.16818181818181815</v>
      </c>
      <c r="X22" s="289" t="s">
        <v>340</v>
      </c>
      <c r="Y22" s="290" t="s">
        <v>363</v>
      </c>
      <c r="Z22" s="79"/>
      <c r="AA22" s="283">
        <v>5340</v>
      </c>
      <c r="AB22" s="79"/>
      <c r="AC22" s="23"/>
      <c r="AD22" s="23"/>
    </row>
    <row r="23" spans="1:30">
      <c r="A23" s="79">
        <f t="shared" si="1"/>
        <v>22</v>
      </c>
      <c r="B23" s="283">
        <f>YEAR(Table5[[#This Row],[Date]])+IF(MONTH(Table5[[#This Row],[Date]])&gt;=4,1,0)</f>
        <v>2026</v>
      </c>
      <c r="C23" s="79">
        <f>YEAR(Table5[[#This Row],[Date]])</f>
        <v>2025</v>
      </c>
      <c r="D23" s="79" t="s">
        <v>344</v>
      </c>
      <c r="E23" s="284">
        <f>Table5[[#This Row],[Date]]-DAY(Table5[[#This Row],[Date]])+1</f>
        <v>45748</v>
      </c>
      <c r="F23" s="285">
        <v>45752</v>
      </c>
      <c r="G23" s="79" t="s">
        <v>119</v>
      </c>
      <c r="H23" s="23" t="str">
        <f>IFERROR(_xlfn.XLOOKUP(Table5[[#This Row],[Affected WTG]],'Basic Data'!$A:$A,'Basic Data'!$B:$B),"")</f>
        <v>PWEPL</v>
      </c>
      <c r="I23" s="23" t="str">
        <f>IFERROR(_xlfn.XLOOKUP(Table5[[#This Row],[Affected WTG]],'Basic Data'!$A:$A,'Basic Data'!$C:$C),"")</f>
        <v>MSEDCL</v>
      </c>
      <c r="J23" s="286">
        <f>IFERROR(_xlfn.XLOOKUP(Table5[[#This Row],[Affected WTG]],'Basic Data'!$A:$A,'Basic Data'!$E:$E),"")</f>
        <v>2.2727272727272728E-2</v>
      </c>
      <c r="K23" s="79">
        <v>134</v>
      </c>
      <c r="L23" s="23" t="str">
        <f>IFERROR(_xlfn.XLOOKUP(Table5[[#This Row],[Error Code]],'Basic Data'!$W:$W,'Basic Data'!$X:$X),"Incorrect Error Code")</f>
        <v>Battery charging voltage not OK</v>
      </c>
      <c r="M23" s="23" t="s">
        <v>364</v>
      </c>
      <c r="N23" s="23"/>
      <c r="O23" s="287">
        <v>0.87083333333333324</v>
      </c>
      <c r="P23" s="287">
        <v>0.87083333333333324</v>
      </c>
      <c r="Q23" s="287">
        <v>0.96666666666666667</v>
      </c>
      <c r="R23" s="91">
        <f t="shared" si="0"/>
        <v>9.5833333333333437E-2</v>
      </c>
      <c r="S23" s="91">
        <f>(Table5[[#This Row],[Fault Clearance time]]-Table5[[#This Row],[Work Start TimeStamp]])*24</f>
        <v>2.3000000000000025</v>
      </c>
      <c r="T23" s="91">
        <f>(Table5[[#This Row],[Fault Clearance time]]-Table5[[#This Row],[Fault Start TimeStamp]])*24</f>
        <v>2.3000000000000025</v>
      </c>
      <c r="U23" s="23" t="s">
        <v>365</v>
      </c>
      <c r="V23" s="79" t="s">
        <v>339</v>
      </c>
      <c r="W23" s="289">
        <f>IFERROR(Table5[[#This Row],[Breakdown Time]]*Table5[[#This Row],[Plant Equivalent Weightage]],"")</f>
        <v>5.2272727272727332E-2</v>
      </c>
      <c r="X23" s="289" t="s">
        <v>343</v>
      </c>
      <c r="Y23" s="290" t="s">
        <v>118</v>
      </c>
      <c r="Z23" s="79"/>
      <c r="AA23" s="283">
        <v>904</v>
      </c>
      <c r="AB23" s="79"/>
      <c r="AC23" s="23"/>
      <c r="AD23" s="23"/>
    </row>
    <row r="24" spans="1:30">
      <c r="A24" s="79">
        <f t="shared" si="1"/>
        <v>23</v>
      </c>
      <c r="B24" s="283">
        <f>YEAR(Table5[[#This Row],[Date]])+IF(MONTH(Table5[[#This Row],[Date]])&gt;=4,1,0)</f>
        <v>2026</v>
      </c>
      <c r="C24" s="79">
        <f>YEAR(Table5[[#This Row],[Date]])</f>
        <v>2025</v>
      </c>
      <c r="D24" s="79" t="s">
        <v>344</v>
      </c>
      <c r="E24" s="284">
        <f>Table5[[#This Row],[Date]]-DAY(Table5[[#This Row],[Date]])+1</f>
        <v>45748</v>
      </c>
      <c r="F24" s="285">
        <v>45752</v>
      </c>
      <c r="G24" s="79" t="s">
        <v>100</v>
      </c>
      <c r="H24" s="23" t="str">
        <f>IFERROR(_xlfn.XLOOKUP(Table5[[#This Row],[Affected WTG]],'Basic Data'!$A:$A,'Basic Data'!$B:$B),"")</f>
        <v>PWEPL</v>
      </c>
      <c r="I24" s="23" t="str">
        <f>IFERROR(_xlfn.XLOOKUP(Table5[[#This Row],[Affected WTG]],'Basic Data'!$A:$A,'Basic Data'!$C:$C),"")</f>
        <v>MSEDCL</v>
      </c>
      <c r="J24" s="286">
        <f>IFERROR(_xlfn.XLOOKUP(Table5[[#This Row],[Affected WTG]],'Basic Data'!$A:$A,'Basic Data'!$E:$E),"")</f>
        <v>2.2727272727272728E-2</v>
      </c>
      <c r="K24" s="79">
        <v>201</v>
      </c>
      <c r="L24" s="23" t="str">
        <f>IFERROR(_xlfn.XLOOKUP(Table5[[#This Row],[Error Code]],'Basic Data'!$W:$W,'Basic Data'!$X:$X),"Incorrect Error Code")</f>
        <v xml:space="preserve"> PLC fault 24V Supply</v>
      </c>
      <c r="M24" s="23" t="s">
        <v>367</v>
      </c>
      <c r="N24" s="23"/>
      <c r="O24" s="287">
        <v>0.85138888888888886</v>
      </c>
      <c r="P24" s="287">
        <v>0.85138888888888886</v>
      </c>
      <c r="Q24" s="287">
        <v>0.99930555555555556</v>
      </c>
      <c r="R24" s="91">
        <f t="shared" si="0"/>
        <v>0.1479166666666667</v>
      </c>
      <c r="S24" s="91">
        <f>(Table5[[#This Row],[Fault Clearance time]]-Table5[[#This Row],[Work Start TimeStamp]])*24</f>
        <v>3.5500000000000007</v>
      </c>
      <c r="T24" s="91">
        <f>(Table5[[#This Row],[Fault Clearance time]]-Table5[[#This Row],[Fault Start TimeStamp]])*24</f>
        <v>3.5500000000000007</v>
      </c>
      <c r="U24" s="23" t="s">
        <v>368</v>
      </c>
      <c r="V24" s="79" t="s">
        <v>339</v>
      </c>
      <c r="W24" s="289">
        <f>IFERROR(Table5[[#This Row],[Breakdown Time]]*Table5[[#This Row],[Plant Equivalent Weightage]],"")</f>
        <v>8.0681818181818202E-2</v>
      </c>
      <c r="X24" s="289" t="s">
        <v>343</v>
      </c>
      <c r="Y24" s="290" t="s">
        <v>101</v>
      </c>
      <c r="Z24" s="79"/>
      <c r="AA24" s="283">
        <v>476</v>
      </c>
      <c r="AB24" s="79"/>
      <c r="AC24" s="23"/>
      <c r="AD24" s="23"/>
    </row>
    <row r="25" spans="1:30">
      <c r="A25" s="79">
        <f t="shared" si="1"/>
        <v>24</v>
      </c>
      <c r="B25" s="283">
        <f>YEAR(Table5[[#This Row],[Date]])+IF(MONTH(Table5[[#This Row],[Date]])&gt;=4,1,0)</f>
        <v>2026</v>
      </c>
      <c r="C25" s="79">
        <f>YEAR(Table5[[#This Row],[Date]])</f>
        <v>2025</v>
      </c>
      <c r="D25" s="79" t="s">
        <v>344</v>
      </c>
      <c r="E25" s="284">
        <f>Table5[[#This Row],[Date]]-DAY(Table5[[#This Row],[Date]])+1</f>
        <v>45748</v>
      </c>
      <c r="F25" s="285">
        <v>45753</v>
      </c>
      <c r="G25" s="79" t="s">
        <v>99</v>
      </c>
      <c r="H25" s="23" t="str">
        <f>IFERROR(_xlfn.XLOOKUP(Table5[[#This Row],[Affected WTG]],'Basic Data'!$A:$A,'Basic Data'!$B:$B),"")</f>
        <v>PWEPL</v>
      </c>
      <c r="I25" s="23" t="str">
        <f>IFERROR(_xlfn.XLOOKUP(Table5[[#This Row],[Affected WTG]],'Basic Data'!$A:$A,'Basic Data'!$C:$C),"")</f>
        <v>MSEDCL</v>
      </c>
      <c r="J25" s="286">
        <f>IFERROR(_xlfn.XLOOKUP(Table5[[#This Row],[Affected WTG]],'Basic Data'!$A:$A,'Basic Data'!$E:$E),"")</f>
        <v>2.2727272727272728E-2</v>
      </c>
      <c r="K25" s="79">
        <v>60</v>
      </c>
      <c r="L25" s="23" t="str">
        <f>IFERROR(_xlfn.XLOOKUP(Table5[[#This Row],[Error Code]],'Basic Data'!$W:$W,'Basic Data'!$X:$X),"Incorrect Error Code")</f>
        <v>Yaw limit switch activated</v>
      </c>
      <c r="M25" s="23" t="s">
        <v>357</v>
      </c>
      <c r="N25" s="23"/>
      <c r="O25" s="287">
        <v>0.63402777777777775</v>
      </c>
      <c r="P25" s="287">
        <v>0.63402777777777775</v>
      </c>
      <c r="Q25" s="287">
        <v>0.68402777777777779</v>
      </c>
      <c r="R25" s="91">
        <f t="shared" si="0"/>
        <v>5.0000000000000044E-2</v>
      </c>
      <c r="S25" s="91">
        <f>(Table5[[#This Row],[Fault Clearance time]]-Table5[[#This Row],[Work Start TimeStamp]])*24</f>
        <v>1.2000000000000011</v>
      </c>
      <c r="T25" s="91">
        <f>(Table5[[#This Row],[Fault Clearance time]]-Table5[[#This Row],[Fault Start TimeStamp]])*24</f>
        <v>1.2000000000000011</v>
      </c>
      <c r="U25" s="23" t="s">
        <v>358</v>
      </c>
      <c r="V25" s="79" t="s">
        <v>339</v>
      </c>
      <c r="W25" s="289">
        <f>IFERROR(Table5[[#This Row],[Breakdown Time]]*Table5[[#This Row],[Plant Equivalent Weightage]],"")</f>
        <v>2.7272727272727299E-2</v>
      </c>
      <c r="X25" s="289" t="s">
        <v>343</v>
      </c>
      <c r="Y25" s="290" t="s">
        <v>98</v>
      </c>
      <c r="Z25" s="79"/>
      <c r="AA25" s="283">
        <v>58</v>
      </c>
      <c r="AB25" s="79"/>
      <c r="AC25" s="23"/>
      <c r="AD25" s="23"/>
    </row>
    <row r="26" spans="1:30">
      <c r="A26" s="79">
        <f t="shared" si="1"/>
        <v>25</v>
      </c>
      <c r="B26" s="283">
        <f>YEAR(Table5[[#This Row],[Date]])+IF(MONTH(Table5[[#This Row],[Date]])&gt;=4,1,0)</f>
        <v>2026</v>
      </c>
      <c r="C26" s="79">
        <f>YEAR(Table5[[#This Row],[Date]])</f>
        <v>2025</v>
      </c>
      <c r="D26" s="79" t="s">
        <v>344</v>
      </c>
      <c r="E26" s="284">
        <f>Table5[[#This Row],[Date]]-DAY(Table5[[#This Row],[Date]])+1</f>
        <v>45748</v>
      </c>
      <c r="F26" s="285">
        <v>45753</v>
      </c>
      <c r="G26" s="79" t="s">
        <v>113</v>
      </c>
      <c r="H26" s="23" t="str">
        <f>IFERROR(_xlfn.XLOOKUP(Table5[[#This Row],[Affected WTG]],'Basic Data'!$A:$A,'Basic Data'!$B:$B),"")</f>
        <v>PWEPL</v>
      </c>
      <c r="I26" s="23" t="str">
        <f>IFERROR(_xlfn.XLOOKUP(Table5[[#This Row],[Affected WTG]],'Basic Data'!$A:$A,'Basic Data'!$C:$C),"")</f>
        <v>MSEDCL</v>
      </c>
      <c r="J26" s="286">
        <f>IFERROR(_xlfn.XLOOKUP(Table5[[#This Row],[Affected WTG]],'Basic Data'!$A:$A,'Basic Data'!$E:$E),"")</f>
        <v>2.2727272727272728E-2</v>
      </c>
      <c r="K26" s="79">
        <v>3</v>
      </c>
      <c r="L26" s="23" t="str">
        <f>IFERROR(_xlfn.XLOOKUP(Table5[[#This Row],[Error Code]],'Basic Data'!$W:$W,'Basic Data'!$X:$X),"Incorrect Error Code")</f>
        <v>Manual Stop</v>
      </c>
      <c r="M26" s="23" t="s">
        <v>360</v>
      </c>
      <c r="N26" s="23"/>
      <c r="O26" s="287">
        <v>0.89027777777777783</v>
      </c>
      <c r="P26" s="287">
        <v>0.89027777777777783</v>
      </c>
      <c r="Q26" s="287">
        <v>0.9243055555555556</v>
      </c>
      <c r="R26" s="91">
        <f t="shared" si="0"/>
        <v>3.4027777777777768E-2</v>
      </c>
      <c r="S26" s="91">
        <f>(Table5[[#This Row],[Fault Clearance time]]-Table5[[#This Row],[Work Start TimeStamp]])*24</f>
        <v>0.81666666666666643</v>
      </c>
      <c r="T26" s="91">
        <f>(Table5[[#This Row],[Fault Clearance time]]-Table5[[#This Row],[Fault Start TimeStamp]])*24</f>
        <v>0.81666666666666643</v>
      </c>
      <c r="U26" s="23" t="s">
        <v>361</v>
      </c>
      <c r="V26" s="79" t="s">
        <v>339</v>
      </c>
      <c r="W26" s="289">
        <f>IFERROR(Table5[[#This Row],[Breakdown Time]]*Table5[[#This Row],[Plant Equivalent Weightage]],"")</f>
        <v>1.8560606060606055E-2</v>
      </c>
      <c r="X26" s="289" t="s">
        <v>343</v>
      </c>
      <c r="Y26" s="290" t="s">
        <v>114</v>
      </c>
      <c r="Z26" s="79"/>
      <c r="AA26" s="283">
        <v>72</v>
      </c>
      <c r="AB26" s="79"/>
      <c r="AC26" s="23"/>
      <c r="AD26" s="23"/>
    </row>
    <row r="27" spans="1:30">
      <c r="A27" s="79">
        <f t="shared" si="1"/>
        <v>26</v>
      </c>
      <c r="B27" s="283">
        <f>YEAR(Table5[[#This Row],[Date]])+IF(MONTH(Table5[[#This Row],[Date]])&gt;=4,1,0)</f>
        <v>2026</v>
      </c>
      <c r="C27" s="79">
        <f>YEAR(Table5[[#This Row],[Date]])</f>
        <v>2025</v>
      </c>
      <c r="D27" s="79" t="s">
        <v>344</v>
      </c>
      <c r="E27" s="284">
        <f>Table5[[#This Row],[Date]]-DAY(Table5[[#This Row],[Date]])+1</f>
        <v>45748</v>
      </c>
      <c r="F27" s="285">
        <v>45754</v>
      </c>
      <c r="G27" s="79" t="s">
        <v>78</v>
      </c>
      <c r="H27" s="23" t="str">
        <f>IFERROR(_xlfn.XLOOKUP(Table5[[#This Row],[Affected WTG]],'Basic Data'!$A:$A,'Basic Data'!$B:$B),"")</f>
        <v>PWEPL</v>
      </c>
      <c r="I27" s="23" t="str">
        <f>IFERROR(_xlfn.XLOOKUP(Table5[[#This Row],[Affected WTG]],'Basic Data'!$A:$A,'Basic Data'!$C:$C),"")</f>
        <v>MSEDCL</v>
      </c>
      <c r="J27" s="286">
        <f>IFERROR(_xlfn.XLOOKUP(Table5[[#This Row],[Affected WTG]],'Basic Data'!$A:$A,'Basic Data'!$E:$E),"")</f>
        <v>2.2727272727272728E-2</v>
      </c>
      <c r="K27" s="79" t="s">
        <v>336</v>
      </c>
      <c r="L27" s="23" t="str">
        <f>IFERROR(_xlfn.XLOOKUP(Table5[[#This Row],[Error Code]],'Basic Data'!$W:$W,'Basic Data'!$X:$X),"Incorrect Error Code")</f>
        <v>Manual Stop - Preventive Maintenance Activity</v>
      </c>
      <c r="M27" s="23" t="s">
        <v>337</v>
      </c>
      <c r="N27" s="23"/>
      <c r="O27" s="287">
        <v>0.3972222222222222</v>
      </c>
      <c r="P27" s="287">
        <v>0.3972222222222222</v>
      </c>
      <c r="Q27" s="287">
        <v>0.71527777777777779</v>
      </c>
      <c r="R27" s="91">
        <f t="shared" si="0"/>
        <v>0.31805555555555559</v>
      </c>
      <c r="S27" s="91">
        <f>(Table5[[#This Row],[Fault Clearance time]]-Table5[[#This Row],[Work Start TimeStamp]])*24</f>
        <v>7.6333333333333346</v>
      </c>
      <c r="T27" s="91">
        <f>(Table5[[#This Row],[Fault Clearance time]]-Table5[[#This Row],[Fault Start TimeStamp]])*24</f>
        <v>7.6333333333333346</v>
      </c>
      <c r="U27" s="23" t="s">
        <v>338</v>
      </c>
      <c r="V27" s="79" t="s">
        <v>339</v>
      </c>
      <c r="W27" s="289">
        <f>IFERROR(Table5[[#This Row],[Breakdown Time]]*Table5[[#This Row],[Plant Equivalent Weightage]],"")</f>
        <v>0.17348484848484852</v>
      </c>
      <c r="X27" s="289" t="s">
        <v>340</v>
      </c>
      <c r="Y27" s="290" t="s">
        <v>77</v>
      </c>
      <c r="Z27" s="79"/>
      <c r="AA27" s="283">
        <v>905</v>
      </c>
      <c r="AB27" s="79"/>
      <c r="AC27" s="23"/>
      <c r="AD27" s="23"/>
    </row>
    <row r="28" spans="1:30">
      <c r="A28" s="79">
        <f t="shared" si="1"/>
        <v>27</v>
      </c>
      <c r="B28" s="283">
        <f>YEAR(Table5[[#This Row],[Date]])+IF(MONTH(Table5[[#This Row],[Date]])&gt;=4,1,0)</f>
        <v>2026</v>
      </c>
      <c r="C28" s="79">
        <f>YEAR(Table5[[#This Row],[Date]])</f>
        <v>2025</v>
      </c>
      <c r="D28" s="79" t="s">
        <v>344</v>
      </c>
      <c r="E28" s="284">
        <f>Table5[[#This Row],[Date]]-DAY(Table5[[#This Row],[Date]])+1</f>
        <v>45748</v>
      </c>
      <c r="F28" s="285">
        <v>45754</v>
      </c>
      <c r="G28" s="79" t="s">
        <v>82</v>
      </c>
      <c r="H28" s="23" t="str">
        <f>IFERROR(_xlfn.XLOOKUP(Table5[[#This Row],[Affected WTG]],'Basic Data'!$A:$A,'Basic Data'!$B:$B),"")</f>
        <v>PWEPL</v>
      </c>
      <c r="I28" s="23" t="str">
        <f>IFERROR(_xlfn.XLOOKUP(Table5[[#This Row],[Affected WTG]],'Basic Data'!$A:$A,'Basic Data'!$C:$C),"")</f>
        <v>MSEDCL</v>
      </c>
      <c r="J28" s="286">
        <f>IFERROR(_xlfn.XLOOKUP(Table5[[#This Row],[Affected WTG]],'Basic Data'!$A:$A,'Basic Data'!$E:$E),"")</f>
        <v>2.2727272727272728E-2</v>
      </c>
      <c r="K28" s="79">
        <v>81</v>
      </c>
      <c r="L28" s="23" t="str">
        <f>IFERROR(_xlfn.XLOOKUP(Table5[[#This Row],[Error Code]],'Basic Data'!$W:$W,'Basic Data'!$X:$X),"Incorrect Error Code")</f>
        <v>Shaft bearing overtemperature</v>
      </c>
      <c r="M28" s="23" t="s">
        <v>369</v>
      </c>
      <c r="N28" s="23"/>
      <c r="O28" s="287">
        <v>0.63750000000000007</v>
      </c>
      <c r="P28" s="287">
        <v>0.63750000000000007</v>
      </c>
      <c r="Q28" s="287">
        <v>0.76736111111111116</v>
      </c>
      <c r="R28" s="91">
        <f t="shared" si="0"/>
        <v>0.12986111111111109</v>
      </c>
      <c r="S28" s="91">
        <f>(Table5[[#This Row],[Fault Clearance time]]-Table5[[#This Row],[Work Start TimeStamp]])*24</f>
        <v>3.1166666666666663</v>
      </c>
      <c r="T28" s="91">
        <f>(Table5[[#This Row],[Fault Clearance time]]-Table5[[#This Row],[Fault Start TimeStamp]])*24</f>
        <v>3.1166666666666663</v>
      </c>
      <c r="U28" s="23" t="s">
        <v>370</v>
      </c>
      <c r="V28" s="79" t="s">
        <v>339</v>
      </c>
      <c r="W28" s="289">
        <f>IFERROR(Table5[[#This Row],[Breakdown Time]]*Table5[[#This Row],[Plant Equivalent Weightage]],"")</f>
        <v>7.0833333333333331E-2</v>
      </c>
      <c r="X28" s="289" t="s">
        <v>343</v>
      </c>
      <c r="Y28" s="290" t="s">
        <v>93</v>
      </c>
      <c r="Z28" s="79"/>
      <c r="AA28" s="283">
        <v>474</v>
      </c>
      <c r="AB28" s="79"/>
      <c r="AC28" s="23"/>
      <c r="AD28" s="23"/>
    </row>
    <row r="29" spans="1:30">
      <c r="A29" s="79">
        <f t="shared" si="1"/>
        <v>28</v>
      </c>
      <c r="B29" s="283">
        <f>YEAR(Table5[[#This Row],[Date]])+IF(MONTH(Table5[[#This Row],[Date]])&gt;=4,1,0)</f>
        <v>2026</v>
      </c>
      <c r="C29" s="79">
        <f>YEAR(Table5[[#This Row],[Date]])</f>
        <v>2025</v>
      </c>
      <c r="D29" s="79" t="s">
        <v>344</v>
      </c>
      <c r="E29" s="284">
        <f>Table5[[#This Row],[Date]]-DAY(Table5[[#This Row],[Date]])+1</f>
        <v>45748</v>
      </c>
      <c r="F29" s="285">
        <v>45755</v>
      </c>
      <c r="G29" s="79" t="s">
        <v>77</v>
      </c>
      <c r="H29" s="23" t="str">
        <f>IFERROR(_xlfn.XLOOKUP(Table5[[#This Row],[Affected WTG]],'Basic Data'!$A:$A,'Basic Data'!$B:$B),"")</f>
        <v>PWEPL</v>
      </c>
      <c r="I29" s="23" t="str">
        <f>IFERROR(_xlfn.XLOOKUP(Table5[[#This Row],[Affected WTG]],'Basic Data'!$A:$A,'Basic Data'!$C:$C),"")</f>
        <v>MSEDCL</v>
      </c>
      <c r="J29" s="286">
        <f>IFERROR(_xlfn.XLOOKUP(Table5[[#This Row],[Affected WTG]],'Basic Data'!$A:$A,'Basic Data'!$E:$E),"")</f>
        <v>2.2727272727272728E-2</v>
      </c>
      <c r="K29" s="79" t="s">
        <v>336</v>
      </c>
      <c r="L29" s="23" t="str">
        <f>IFERROR(_xlfn.XLOOKUP(Table5[[#This Row],[Error Code]],'Basic Data'!$W:$W,'Basic Data'!$X:$X),"Incorrect Error Code")</f>
        <v>Manual Stop - Preventive Maintenance Activity</v>
      </c>
      <c r="M29" s="23" t="s">
        <v>337</v>
      </c>
      <c r="N29" s="23"/>
      <c r="O29" s="287">
        <v>0.38472222222222219</v>
      </c>
      <c r="P29" s="287">
        <v>0.38472222222222219</v>
      </c>
      <c r="Q29" s="287">
        <v>0.71250000000000002</v>
      </c>
      <c r="R29" s="91">
        <f t="shared" si="0"/>
        <v>0.32777777777777783</v>
      </c>
      <c r="S29" s="91">
        <f>(Table5[[#This Row],[Fault Clearance time]]-Table5[[#This Row],[Work Start TimeStamp]])*24</f>
        <v>7.866666666666668</v>
      </c>
      <c r="T29" s="91">
        <f>(Table5[[#This Row],[Fault Clearance time]]-Table5[[#This Row],[Fault Start TimeStamp]])*24</f>
        <v>7.866666666666668</v>
      </c>
      <c r="U29" s="23" t="s">
        <v>338</v>
      </c>
      <c r="V29" s="79" t="s">
        <v>339</v>
      </c>
      <c r="W29" s="289">
        <f>IFERROR(Table5[[#This Row],[Breakdown Time]]*Table5[[#This Row],[Plant Equivalent Weightage]],"")</f>
        <v>0.17878787878787883</v>
      </c>
      <c r="X29" s="289" t="s">
        <v>340</v>
      </c>
      <c r="Y29" s="290" t="s">
        <v>93</v>
      </c>
      <c r="Z29" s="79"/>
      <c r="AA29" s="283">
        <v>668</v>
      </c>
      <c r="AB29" s="79"/>
      <c r="AC29" s="23"/>
      <c r="AD29" s="23"/>
    </row>
    <row r="30" spans="1:30">
      <c r="A30" s="79">
        <f t="shared" si="1"/>
        <v>29</v>
      </c>
      <c r="B30" s="283">
        <f>YEAR(Table5[[#This Row],[Date]])+IF(MONTH(Table5[[#This Row],[Date]])&gt;=4,1,0)</f>
        <v>2026</v>
      </c>
      <c r="C30" s="79">
        <f>YEAR(Table5[[#This Row],[Date]])</f>
        <v>2025</v>
      </c>
      <c r="D30" s="79" t="s">
        <v>344</v>
      </c>
      <c r="E30" s="284">
        <f>Table5[[#This Row],[Date]]-DAY(Table5[[#This Row],[Date]])+1</f>
        <v>45748</v>
      </c>
      <c r="F30" s="285">
        <v>45755</v>
      </c>
      <c r="G30" s="79" t="s">
        <v>77</v>
      </c>
      <c r="H30" s="23" t="str">
        <f>IFERROR(_xlfn.XLOOKUP(Table5[[#This Row],[Affected WTG]],'Basic Data'!$A:$A,'Basic Data'!$B:$B),"")</f>
        <v>PWEPL</v>
      </c>
      <c r="I30" s="23" t="str">
        <f>IFERROR(_xlfn.XLOOKUP(Table5[[#This Row],[Affected WTG]],'Basic Data'!$A:$A,'Basic Data'!$C:$C),"")</f>
        <v>MSEDCL</v>
      </c>
      <c r="J30" s="286">
        <f>IFERROR(_xlfn.XLOOKUP(Table5[[#This Row],[Affected WTG]],'Basic Data'!$A:$A,'Basic Data'!$E:$E),"")</f>
        <v>2.2727272727272728E-2</v>
      </c>
      <c r="K30" s="79">
        <v>86</v>
      </c>
      <c r="L30" s="23" t="str">
        <f>IFERROR(_xlfn.XLOOKUP(Table5[[#This Row],[Error Code]],'Basic Data'!$W:$W,'Basic Data'!$X:$X),"Incorrect Error Code")</f>
        <v>Braking pad of secondary brake worn out</v>
      </c>
      <c r="M30" s="23" t="s">
        <v>559</v>
      </c>
      <c r="N30" s="23"/>
      <c r="O30" s="287">
        <v>0.85625000000000007</v>
      </c>
      <c r="P30" s="287">
        <v>0.85625000000000007</v>
      </c>
      <c r="Q30" s="287">
        <v>0.99930555555555556</v>
      </c>
      <c r="R30" s="91">
        <f t="shared" si="0"/>
        <v>0.14305555555555549</v>
      </c>
      <c r="S30" s="91">
        <f>(Table5[[#This Row],[Fault Clearance time]]-Table5[[#This Row],[Work Start TimeStamp]])*24</f>
        <v>3.4333333333333318</v>
      </c>
      <c r="T30" s="91">
        <f>(Table5[[#This Row],[Fault Clearance time]]-Table5[[#This Row],[Fault Start TimeStamp]])*24</f>
        <v>3.4333333333333318</v>
      </c>
      <c r="U30" s="23" t="s">
        <v>371</v>
      </c>
      <c r="V30" s="79" t="s">
        <v>339</v>
      </c>
      <c r="W30" s="289">
        <f>IFERROR(Table5[[#This Row],[Breakdown Time]]*Table5[[#This Row],[Plant Equivalent Weightage]],"")</f>
        <v>7.8030303030302992E-2</v>
      </c>
      <c r="X30" s="289" t="s">
        <v>343</v>
      </c>
      <c r="Y30" s="290" t="s">
        <v>93</v>
      </c>
      <c r="Z30" s="79"/>
      <c r="AA30" s="283">
        <v>1305</v>
      </c>
      <c r="AB30" s="79"/>
      <c r="AC30" s="23"/>
      <c r="AD30" s="23"/>
    </row>
    <row r="31" spans="1:30">
      <c r="A31" s="79">
        <f t="shared" si="1"/>
        <v>30</v>
      </c>
      <c r="B31" s="283">
        <f>YEAR(Table5[[#This Row],[Date]])+IF(MONTH(Table5[[#This Row],[Date]])&gt;=4,1,0)</f>
        <v>2026</v>
      </c>
      <c r="C31" s="79">
        <f>YEAR(Table5[[#This Row],[Date]])</f>
        <v>2025</v>
      </c>
      <c r="D31" s="79" t="s">
        <v>344</v>
      </c>
      <c r="E31" s="284">
        <f>Table5[[#This Row],[Date]]-DAY(Table5[[#This Row],[Date]])+1</f>
        <v>45748</v>
      </c>
      <c r="F31" s="285">
        <v>45755</v>
      </c>
      <c r="G31" s="79" t="s">
        <v>81</v>
      </c>
      <c r="H31" s="23" t="str">
        <f>IFERROR(_xlfn.XLOOKUP(Table5[[#This Row],[Affected WTG]],'Basic Data'!$A:$A,'Basic Data'!$B:$B),"")</f>
        <v>PWEPL</v>
      </c>
      <c r="I31" s="23" t="str">
        <f>IFERROR(_xlfn.XLOOKUP(Table5[[#This Row],[Affected WTG]],'Basic Data'!$A:$A,'Basic Data'!$C:$C),"")</f>
        <v>MSEDCL</v>
      </c>
      <c r="J31" s="286">
        <f>IFERROR(_xlfn.XLOOKUP(Table5[[#This Row],[Affected WTG]],'Basic Data'!$A:$A,'Basic Data'!$E:$E),"")</f>
        <v>2.2727272727272728E-2</v>
      </c>
      <c r="K31" s="79">
        <v>430</v>
      </c>
      <c r="L31" s="23" t="str">
        <f>IFERROR(_xlfn.XLOOKUP(Table5[[#This Row],[Error Code]],'Basic Data'!$W:$W,'Basic Data'!$X:$X),"Incorrect Error Code")</f>
        <v xml:space="preserve">Yaw tooth sensor 1 timeout </v>
      </c>
      <c r="M31" s="23" t="s">
        <v>154</v>
      </c>
      <c r="N31" s="23"/>
      <c r="O31" s="287">
        <v>0.83958333333333324</v>
      </c>
      <c r="P31" s="287">
        <v>0.83958333333333324</v>
      </c>
      <c r="Q31" s="287">
        <v>0.88888888888888884</v>
      </c>
      <c r="R31" s="91">
        <f t="shared" si="0"/>
        <v>4.9305555555555602E-2</v>
      </c>
      <c r="S31" s="91">
        <f>(Table5[[#This Row],[Fault Clearance time]]-Table5[[#This Row],[Work Start TimeStamp]])*24</f>
        <v>1.1833333333333345</v>
      </c>
      <c r="T31" s="91">
        <f>(Table5[[#This Row],[Fault Clearance time]]-Table5[[#This Row],[Fault Start TimeStamp]])*24</f>
        <v>1.1833333333333345</v>
      </c>
      <c r="U31" s="23" t="s">
        <v>353</v>
      </c>
      <c r="V31" s="79" t="s">
        <v>339</v>
      </c>
      <c r="W31" s="289">
        <f>IFERROR(Table5[[#This Row],[Breakdown Time]]*Table5[[#This Row],[Plant Equivalent Weightage]],"")</f>
        <v>2.6893939393939421E-2</v>
      </c>
      <c r="X31" s="289" t="s">
        <v>343</v>
      </c>
      <c r="Y31" s="290" t="s">
        <v>108</v>
      </c>
      <c r="Z31" s="79"/>
      <c r="AA31" s="283">
        <v>53</v>
      </c>
      <c r="AB31" s="79"/>
      <c r="AC31" s="23"/>
      <c r="AD31" s="23"/>
    </row>
    <row r="32" spans="1:30">
      <c r="A32" s="79">
        <f t="shared" si="1"/>
        <v>31</v>
      </c>
      <c r="B32" s="283">
        <f>YEAR(Table5[[#This Row],[Date]])+IF(MONTH(Table5[[#This Row],[Date]])&gt;=4,1,0)</f>
        <v>2026</v>
      </c>
      <c r="C32" s="79">
        <f>YEAR(Table5[[#This Row],[Date]])</f>
        <v>2025</v>
      </c>
      <c r="D32" s="79" t="s">
        <v>344</v>
      </c>
      <c r="E32" s="284">
        <f>Table5[[#This Row],[Date]]-DAY(Table5[[#This Row],[Date]])+1</f>
        <v>45748</v>
      </c>
      <c r="F32" s="285">
        <v>45756</v>
      </c>
      <c r="G32" s="79" t="s">
        <v>81</v>
      </c>
      <c r="H32" s="23" t="str">
        <f>IFERROR(_xlfn.XLOOKUP(Table5[[#This Row],[Affected WTG]],'Basic Data'!$A:$A,'Basic Data'!$B:$B),"")</f>
        <v>PWEPL</v>
      </c>
      <c r="I32" s="23" t="str">
        <f>IFERROR(_xlfn.XLOOKUP(Table5[[#This Row],[Affected WTG]],'Basic Data'!$A:$A,'Basic Data'!$C:$C),"")</f>
        <v>MSEDCL</v>
      </c>
      <c r="J32" s="286">
        <f>IFERROR(_xlfn.XLOOKUP(Table5[[#This Row],[Affected WTG]],'Basic Data'!$A:$A,'Basic Data'!$E:$E),"")</f>
        <v>2.2727272727272728E-2</v>
      </c>
      <c r="K32" s="79">
        <v>86</v>
      </c>
      <c r="L32" s="23" t="str">
        <f>IFERROR(_xlfn.XLOOKUP(Table5[[#This Row],[Error Code]],'Basic Data'!$W:$W,'Basic Data'!$X:$X),"Incorrect Error Code")</f>
        <v>Braking pad of secondary brake worn out</v>
      </c>
      <c r="M32" s="23" t="s">
        <v>559</v>
      </c>
      <c r="N32" s="23"/>
      <c r="O32" s="287">
        <v>4.1666666666666666E-3</v>
      </c>
      <c r="P32" s="287">
        <v>4.1666666666666666E-3</v>
      </c>
      <c r="Q32" s="287">
        <v>5.2777777777777778E-2</v>
      </c>
      <c r="R32" s="91">
        <f t="shared" si="0"/>
        <v>4.8611111111111112E-2</v>
      </c>
      <c r="S32" s="91">
        <f>(Table5[[#This Row],[Fault Clearance time]]-Table5[[#This Row],[Work Start TimeStamp]])*24</f>
        <v>1.1666666666666667</v>
      </c>
      <c r="T32" s="91">
        <f>(Table5[[#This Row],[Fault Clearance time]]-Table5[[#This Row],[Fault Start TimeStamp]])*24</f>
        <v>1.1666666666666667</v>
      </c>
      <c r="U32" s="23" t="s">
        <v>371</v>
      </c>
      <c r="V32" s="79" t="s">
        <v>339</v>
      </c>
      <c r="W32" s="289">
        <f>IFERROR(Table5[[#This Row],[Breakdown Time]]*Table5[[#This Row],[Plant Equivalent Weightage]],"")</f>
        <v>2.6515151515151516E-2</v>
      </c>
      <c r="X32" s="289" t="s">
        <v>343</v>
      </c>
      <c r="Y32" s="290" t="s">
        <v>93</v>
      </c>
      <c r="Z32" s="79"/>
      <c r="AA32" s="283">
        <v>490</v>
      </c>
      <c r="AB32" s="79"/>
      <c r="AC32" s="23"/>
      <c r="AD32" s="23"/>
    </row>
    <row r="33" spans="1:30">
      <c r="A33" s="79">
        <f t="shared" si="1"/>
        <v>32</v>
      </c>
      <c r="B33" s="283">
        <f>YEAR(Table5[[#This Row],[Date]])+IF(MONTH(Table5[[#This Row],[Date]])&gt;=4,1,0)</f>
        <v>2026</v>
      </c>
      <c r="C33" s="79">
        <f>YEAR(Table5[[#This Row],[Date]])</f>
        <v>2025</v>
      </c>
      <c r="D33" s="79" t="s">
        <v>344</v>
      </c>
      <c r="E33" s="284">
        <f>Table5[[#This Row],[Date]]-DAY(Table5[[#This Row],[Date]])+1</f>
        <v>45748</v>
      </c>
      <c r="F33" s="285">
        <v>45756</v>
      </c>
      <c r="G33" s="79" t="s">
        <v>77</v>
      </c>
      <c r="H33" s="23" t="str">
        <f>IFERROR(_xlfn.XLOOKUP(Table5[[#This Row],[Affected WTG]],'Basic Data'!$A:$A,'Basic Data'!$B:$B),"")</f>
        <v>PWEPL</v>
      </c>
      <c r="I33" s="23" t="str">
        <f>IFERROR(_xlfn.XLOOKUP(Table5[[#This Row],[Affected WTG]],'Basic Data'!$A:$A,'Basic Data'!$C:$C),"")</f>
        <v>MSEDCL</v>
      </c>
      <c r="J33" s="286">
        <f>IFERROR(_xlfn.XLOOKUP(Table5[[#This Row],[Affected WTG]],'Basic Data'!$A:$A,'Basic Data'!$E:$E),"")</f>
        <v>2.2727272727272728E-2</v>
      </c>
      <c r="K33" s="79">
        <v>430</v>
      </c>
      <c r="L33" s="23" t="str">
        <f>IFERROR(_xlfn.XLOOKUP(Table5[[#This Row],[Error Code]],'Basic Data'!$W:$W,'Basic Data'!$X:$X),"Incorrect Error Code")</f>
        <v xml:space="preserve">Yaw tooth sensor 1 timeout </v>
      </c>
      <c r="M33" s="23" t="s">
        <v>154</v>
      </c>
      <c r="N33" s="23"/>
      <c r="O33" s="287">
        <v>0</v>
      </c>
      <c r="P33" s="287">
        <v>0</v>
      </c>
      <c r="Q33" s="287">
        <v>0.11527777777777777</v>
      </c>
      <c r="R33" s="91">
        <f t="shared" si="0"/>
        <v>0.11527777777777777</v>
      </c>
      <c r="S33" s="91">
        <f>(Table5[[#This Row],[Fault Clearance time]]-Table5[[#This Row],[Work Start TimeStamp]])*24</f>
        <v>2.7666666666666666</v>
      </c>
      <c r="T33" s="91">
        <f>(Table5[[#This Row],[Fault Clearance time]]-Table5[[#This Row],[Fault Start TimeStamp]])*24</f>
        <v>2.7666666666666666</v>
      </c>
      <c r="U33" s="23" t="s">
        <v>372</v>
      </c>
      <c r="V33" s="79" t="s">
        <v>339</v>
      </c>
      <c r="W33" s="289">
        <f>IFERROR(Table5[[#This Row],[Breakdown Time]]*Table5[[#This Row],[Plant Equivalent Weightage]],"")</f>
        <v>6.2878787878787881E-2</v>
      </c>
      <c r="X33" s="289" t="s">
        <v>343</v>
      </c>
      <c r="Y33" s="290" t="s">
        <v>108</v>
      </c>
      <c r="Z33" s="79"/>
      <c r="AA33" s="283">
        <v>117</v>
      </c>
      <c r="AB33" s="79"/>
      <c r="AC33" s="23"/>
      <c r="AD33" s="23"/>
    </row>
    <row r="34" spans="1:30">
      <c r="A34" s="79">
        <f t="shared" si="1"/>
        <v>33</v>
      </c>
      <c r="B34" s="283">
        <f>YEAR(Table5[[#This Row],[Date]])+IF(MONTH(Table5[[#This Row],[Date]])&gt;=4,1,0)</f>
        <v>2026</v>
      </c>
      <c r="C34" s="79">
        <f>YEAR(Table5[[#This Row],[Date]])</f>
        <v>2025</v>
      </c>
      <c r="D34" s="79" t="s">
        <v>344</v>
      </c>
      <c r="E34" s="284">
        <f>Table5[[#This Row],[Date]]-DAY(Table5[[#This Row],[Date]])+1</f>
        <v>45748</v>
      </c>
      <c r="F34" s="285">
        <v>45756</v>
      </c>
      <c r="G34" s="79" t="s">
        <v>93</v>
      </c>
      <c r="H34" s="23" t="str">
        <f>IFERROR(_xlfn.XLOOKUP(Table5[[#This Row],[Affected WTG]],'Basic Data'!$A:$A,'Basic Data'!$B:$B),"")</f>
        <v>PWEPL</v>
      </c>
      <c r="I34" s="23" t="str">
        <f>IFERROR(_xlfn.XLOOKUP(Table5[[#This Row],[Affected WTG]],'Basic Data'!$A:$A,'Basic Data'!$C:$C),"")</f>
        <v>MSEDCL</v>
      </c>
      <c r="J34" s="286">
        <f>IFERROR(_xlfn.XLOOKUP(Table5[[#This Row],[Affected WTG]],'Basic Data'!$A:$A,'Basic Data'!$E:$E),"")</f>
        <v>2.2727272727272728E-2</v>
      </c>
      <c r="K34" s="79" t="s">
        <v>336</v>
      </c>
      <c r="L34" s="23" t="str">
        <f>IFERROR(_xlfn.XLOOKUP(Table5[[#This Row],[Error Code]],'Basic Data'!$W:$W,'Basic Data'!$X:$X),"Incorrect Error Code")</f>
        <v>Manual Stop - Preventive Maintenance Activity</v>
      </c>
      <c r="M34" s="23" t="s">
        <v>337</v>
      </c>
      <c r="N34" s="23"/>
      <c r="O34" s="287">
        <v>0.40486111111111112</v>
      </c>
      <c r="P34" s="287">
        <v>0.40486111111111112</v>
      </c>
      <c r="Q34" s="287">
        <v>0.71666666666666667</v>
      </c>
      <c r="R34" s="91">
        <f t="shared" si="0"/>
        <v>0.31180555555555556</v>
      </c>
      <c r="S34" s="91">
        <f>(Table5[[#This Row],[Fault Clearance time]]-Table5[[#This Row],[Work Start TimeStamp]])*24</f>
        <v>7.4833333333333334</v>
      </c>
      <c r="T34" s="91">
        <f>(Table5[[#This Row],[Fault Clearance time]]-Table5[[#This Row],[Fault Start TimeStamp]])*24</f>
        <v>7.4833333333333334</v>
      </c>
      <c r="U34" s="23" t="s">
        <v>338</v>
      </c>
      <c r="V34" s="79" t="s">
        <v>339</v>
      </c>
      <c r="W34" s="289">
        <f>IFERROR(Table5[[#This Row],[Breakdown Time]]*Table5[[#This Row],[Plant Equivalent Weightage]],"")</f>
        <v>0.17007575757575757</v>
      </c>
      <c r="X34" s="289" t="s">
        <v>340</v>
      </c>
      <c r="Y34" s="290" t="s">
        <v>82</v>
      </c>
      <c r="Z34" s="79"/>
      <c r="AA34" s="283">
        <v>824</v>
      </c>
      <c r="AB34" s="79"/>
      <c r="AC34" s="23"/>
      <c r="AD34" s="23"/>
    </row>
    <row r="35" spans="1:30">
      <c r="A35" s="79">
        <f t="shared" si="1"/>
        <v>34</v>
      </c>
      <c r="B35" s="283">
        <f>YEAR(Table5[[#This Row],[Date]])+IF(MONTH(Table5[[#This Row],[Date]])&gt;=4,1,0)</f>
        <v>2026</v>
      </c>
      <c r="C35" s="79">
        <f>YEAR(Table5[[#This Row],[Date]])</f>
        <v>2025</v>
      </c>
      <c r="D35" s="79" t="s">
        <v>344</v>
      </c>
      <c r="E35" s="284">
        <f>Table5[[#This Row],[Date]]-DAY(Table5[[#This Row],[Date]])+1</f>
        <v>45748</v>
      </c>
      <c r="F35" s="285">
        <v>45756</v>
      </c>
      <c r="G35" s="79" t="s">
        <v>86</v>
      </c>
      <c r="H35" s="23" t="str">
        <f>IFERROR(_xlfn.XLOOKUP(Table5[[#This Row],[Affected WTG]],'Basic Data'!$A:$A,'Basic Data'!$B:$B),"")</f>
        <v>PWEPL</v>
      </c>
      <c r="I35" s="23" t="str">
        <f>IFERROR(_xlfn.XLOOKUP(Table5[[#This Row],[Affected WTG]],'Basic Data'!$A:$A,'Basic Data'!$C:$C),"")</f>
        <v>MSEDCL</v>
      </c>
      <c r="J35" s="286">
        <f>IFERROR(_xlfn.XLOOKUP(Table5[[#This Row],[Affected WTG]],'Basic Data'!$A:$A,'Basic Data'!$E:$E),"")</f>
        <v>2.2727272727272728E-2</v>
      </c>
      <c r="K35" s="79">
        <v>275</v>
      </c>
      <c r="L35" s="23" t="str">
        <f>IFERROR(_xlfn.XLOOKUP(Table5[[#This Row],[Error Code]],'Basic Data'!$W:$W,'Basic Data'!$X:$X),"Incorrect Error Code")</f>
        <v>Pitch thyristor 2 fault</v>
      </c>
      <c r="M35" s="23" t="s">
        <v>162</v>
      </c>
      <c r="N35" s="23"/>
      <c r="O35" s="287">
        <v>0.11666666666666665</v>
      </c>
      <c r="P35" s="287">
        <v>0.11666666666666665</v>
      </c>
      <c r="Q35" s="287">
        <v>0.16527777777777777</v>
      </c>
      <c r="R35" s="91">
        <f t="shared" si="0"/>
        <v>4.8611111111111119E-2</v>
      </c>
      <c r="S35" s="91">
        <f>(Table5[[#This Row],[Fault Clearance time]]-Table5[[#This Row],[Work Start TimeStamp]])*24</f>
        <v>1.166666666666667</v>
      </c>
      <c r="T35" s="91">
        <f>(Table5[[#This Row],[Fault Clearance time]]-Table5[[#This Row],[Fault Start TimeStamp]])*24</f>
        <v>1.166666666666667</v>
      </c>
      <c r="U35" s="23" t="s">
        <v>349</v>
      </c>
      <c r="V35" s="79" t="s">
        <v>339</v>
      </c>
      <c r="W35" s="289">
        <f>IFERROR(Table5[[#This Row],[Breakdown Time]]*Table5[[#This Row],[Plant Equivalent Weightage]],"")</f>
        <v>2.6515151515151523E-2</v>
      </c>
      <c r="X35" s="289" t="s">
        <v>343</v>
      </c>
      <c r="Y35" s="290" t="s">
        <v>85</v>
      </c>
      <c r="Z35" s="79"/>
      <c r="AA35" s="283">
        <v>21</v>
      </c>
      <c r="AB35" s="79"/>
      <c r="AC35" s="23"/>
      <c r="AD35" s="23"/>
    </row>
    <row r="36" spans="1:30">
      <c r="A36" s="79">
        <f t="shared" si="1"/>
        <v>35</v>
      </c>
      <c r="B36" s="283">
        <f>YEAR(Table5[[#This Row],[Date]])+IF(MONTH(Table5[[#This Row],[Date]])&gt;=4,1,0)</f>
        <v>2026</v>
      </c>
      <c r="C36" s="79">
        <f>YEAR(Table5[[#This Row],[Date]])</f>
        <v>2025</v>
      </c>
      <c r="D36" s="79" t="s">
        <v>344</v>
      </c>
      <c r="E36" s="284">
        <f>Table5[[#This Row],[Date]]-DAY(Table5[[#This Row],[Date]])+1</f>
        <v>45748</v>
      </c>
      <c r="F36" s="285">
        <v>45756</v>
      </c>
      <c r="G36" s="79" t="s">
        <v>88</v>
      </c>
      <c r="H36" s="23" t="str">
        <f>IFERROR(_xlfn.XLOOKUP(Table5[[#This Row],[Affected WTG]],'Basic Data'!$A:$A,'Basic Data'!$B:$B),"")</f>
        <v>PWEPL</v>
      </c>
      <c r="I36" s="23" t="str">
        <f>IFERROR(_xlfn.XLOOKUP(Table5[[#This Row],[Affected WTG]],'Basic Data'!$A:$A,'Basic Data'!$C:$C),"")</f>
        <v>MSEDCL</v>
      </c>
      <c r="J36" s="286">
        <f>IFERROR(_xlfn.XLOOKUP(Table5[[#This Row],[Affected WTG]],'Basic Data'!$A:$A,'Basic Data'!$E:$E),"")</f>
        <v>2.2727272727272728E-2</v>
      </c>
      <c r="K36" s="79">
        <v>142</v>
      </c>
      <c r="L36" s="23" t="str">
        <f>IFERROR(_xlfn.XLOOKUP(Table5[[#This Row],[Error Code]],'Basic Data'!$W:$W,'Basic Data'!$X:$X),"Incorrect Error Code")</f>
        <v>Line CCU collective faults</v>
      </c>
      <c r="M36" s="23" t="s">
        <v>373</v>
      </c>
      <c r="N36" s="23"/>
      <c r="O36" s="287">
        <v>0.11666666666666665</v>
      </c>
      <c r="P36" s="287">
        <v>0.11666666666666665</v>
      </c>
      <c r="Q36" s="287">
        <v>0.22361111111111109</v>
      </c>
      <c r="R36" s="91">
        <f t="shared" si="0"/>
        <v>0.10694444444444444</v>
      </c>
      <c r="S36" s="91">
        <f>(Table5[[#This Row],[Fault Clearance time]]-Table5[[#This Row],[Work Start TimeStamp]])*24</f>
        <v>2.5666666666666664</v>
      </c>
      <c r="T36" s="91">
        <f>(Table5[[#This Row],[Fault Clearance time]]-Table5[[#This Row],[Fault Start TimeStamp]])*24</f>
        <v>2.5666666666666664</v>
      </c>
      <c r="U36" s="23" t="s">
        <v>374</v>
      </c>
      <c r="V36" s="79" t="s">
        <v>339</v>
      </c>
      <c r="W36" s="289">
        <f>IFERROR(Table5[[#This Row],[Breakdown Time]]*Table5[[#This Row],[Plant Equivalent Weightage]],"")</f>
        <v>5.8333333333333327E-2</v>
      </c>
      <c r="X36" s="289" t="s">
        <v>343</v>
      </c>
      <c r="Y36" s="290" t="s">
        <v>87</v>
      </c>
      <c r="Z36" s="79"/>
      <c r="AA36" s="283">
        <v>32</v>
      </c>
      <c r="AB36" s="79"/>
      <c r="AC36" s="23"/>
      <c r="AD36" s="23"/>
    </row>
    <row r="37" spans="1:30">
      <c r="A37" s="79">
        <f t="shared" si="1"/>
        <v>36</v>
      </c>
      <c r="B37" s="283">
        <f>YEAR(Table5[[#This Row],[Date]])+IF(MONTH(Table5[[#This Row],[Date]])&gt;=4,1,0)</f>
        <v>2026</v>
      </c>
      <c r="C37" s="79">
        <f>YEAR(Table5[[#This Row],[Date]])</f>
        <v>2025</v>
      </c>
      <c r="D37" s="79" t="s">
        <v>344</v>
      </c>
      <c r="E37" s="284">
        <f>Table5[[#This Row],[Date]]-DAY(Table5[[#This Row],[Date]])+1</f>
        <v>45748</v>
      </c>
      <c r="F37" s="285">
        <v>45756</v>
      </c>
      <c r="G37" s="79" t="s">
        <v>112</v>
      </c>
      <c r="H37" s="23" t="str">
        <f>IFERROR(_xlfn.XLOOKUP(Table5[[#This Row],[Affected WTG]],'Basic Data'!$A:$A,'Basic Data'!$B:$B),"")</f>
        <v>PWEPL</v>
      </c>
      <c r="I37" s="23" t="str">
        <f>IFERROR(_xlfn.XLOOKUP(Table5[[#This Row],[Affected WTG]],'Basic Data'!$A:$A,'Basic Data'!$C:$C),"")</f>
        <v>MSEDCL</v>
      </c>
      <c r="J37" s="286">
        <f>IFERROR(_xlfn.XLOOKUP(Table5[[#This Row],[Affected WTG]],'Basic Data'!$A:$A,'Basic Data'!$E:$E),"")</f>
        <v>2.2727272727272728E-2</v>
      </c>
      <c r="K37" s="79">
        <v>3</v>
      </c>
      <c r="L37" s="23" t="str">
        <f>IFERROR(_xlfn.XLOOKUP(Table5[[#This Row],[Error Code]],'Basic Data'!$W:$W,'Basic Data'!$X:$X),"Incorrect Error Code")</f>
        <v>Manual Stop</v>
      </c>
      <c r="M37" s="23" t="s">
        <v>360</v>
      </c>
      <c r="N37" s="23"/>
      <c r="O37" s="287">
        <v>0.80902777777777779</v>
      </c>
      <c r="P37" s="287">
        <v>0.80902777777777779</v>
      </c>
      <c r="Q37" s="287">
        <v>0.83333333333333337</v>
      </c>
      <c r="R37" s="91">
        <f t="shared" si="0"/>
        <v>2.430555555555558E-2</v>
      </c>
      <c r="S37" s="91">
        <f>(Table5[[#This Row],[Fault Clearance time]]-Table5[[#This Row],[Work Start TimeStamp]])*24</f>
        <v>0.58333333333333393</v>
      </c>
      <c r="T37" s="91">
        <f>(Table5[[#This Row],[Fault Clearance time]]-Table5[[#This Row],[Fault Start TimeStamp]])*24</f>
        <v>0.58333333333333393</v>
      </c>
      <c r="U37" s="23" t="s">
        <v>361</v>
      </c>
      <c r="V37" s="79" t="s">
        <v>339</v>
      </c>
      <c r="W37" s="289">
        <f>IFERROR(Table5[[#This Row],[Breakdown Time]]*Table5[[#This Row],[Plant Equivalent Weightage]],"")</f>
        <v>1.3257575757575772E-2</v>
      </c>
      <c r="X37" s="289" t="s">
        <v>340</v>
      </c>
      <c r="Y37" s="290" t="s">
        <v>111</v>
      </c>
      <c r="Z37" s="79"/>
      <c r="AA37" s="283">
        <v>193</v>
      </c>
      <c r="AB37" s="79"/>
      <c r="AC37" s="23"/>
      <c r="AD37" s="23"/>
    </row>
    <row r="38" spans="1:30">
      <c r="A38" s="79">
        <f t="shared" si="1"/>
        <v>37</v>
      </c>
      <c r="B38" s="283">
        <f>YEAR(Table5[[#This Row],[Date]])+IF(MONTH(Table5[[#This Row],[Date]])&gt;=4,1,0)</f>
        <v>2026</v>
      </c>
      <c r="C38" s="79">
        <f>YEAR(Table5[[#This Row],[Date]])</f>
        <v>2025</v>
      </c>
      <c r="D38" s="79" t="s">
        <v>344</v>
      </c>
      <c r="E38" s="284">
        <f>Table5[[#This Row],[Date]]-DAY(Table5[[#This Row],[Date]])+1</f>
        <v>45748</v>
      </c>
      <c r="F38" s="285">
        <v>45757</v>
      </c>
      <c r="G38" s="79" t="s">
        <v>76</v>
      </c>
      <c r="H38" s="23" t="str">
        <f>IFERROR(_xlfn.XLOOKUP(Table5[[#This Row],[Affected WTG]],'Basic Data'!$A:$A,'Basic Data'!$B:$B),"")</f>
        <v>PWEPL</v>
      </c>
      <c r="I38" s="23" t="str">
        <f>IFERROR(_xlfn.XLOOKUP(Table5[[#This Row],[Affected WTG]],'Basic Data'!$A:$A,'Basic Data'!$C:$C),"")</f>
        <v>MSEDCL</v>
      </c>
      <c r="J38" s="286">
        <f>IFERROR(_xlfn.XLOOKUP(Table5[[#This Row],[Affected WTG]],'Basic Data'!$A:$A,'Basic Data'!$E:$E),"")</f>
        <v>2.2727272727272728E-2</v>
      </c>
      <c r="K38" s="79" t="s">
        <v>336</v>
      </c>
      <c r="L38" s="23" t="str">
        <f>IFERROR(_xlfn.XLOOKUP(Table5[[#This Row],[Error Code]],'Basic Data'!$W:$W,'Basic Data'!$X:$X),"Incorrect Error Code")</f>
        <v>Manual Stop - Preventive Maintenance Activity</v>
      </c>
      <c r="M38" s="23" t="s">
        <v>337</v>
      </c>
      <c r="N38" s="23"/>
      <c r="O38" s="287">
        <v>0.375</v>
      </c>
      <c r="P38" s="287">
        <v>0.375</v>
      </c>
      <c r="Q38" s="287">
        <v>0.7090277777777777</v>
      </c>
      <c r="R38" s="91">
        <f t="shared" si="0"/>
        <v>0.3340277777777777</v>
      </c>
      <c r="S38" s="91">
        <f>(Table5[[#This Row],[Fault Clearance time]]-Table5[[#This Row],[Work Start TimeStamp]])*24</f>
        <v>8.0166666666666657</v>
      </c>
      <c r="T38" s="91">
        <f>(Table5[[#This Row],[Fault Clearance time]]-Table5[[#This Row],[Fault Start TimeStamp]])*24</f>
        <v>8.0166666666666657</v>
      </c>
      <c r="U38" s="23" t="s">
        <v>338</v>
      </c>
      <c r="V38" s="79" t="s">
        <v>339</v>
      </c>
      <c r="W38" s="289">
        <f>IFERROR(Table5[[#This Row],[Breakdown Time]]*Table5[[#This Row],[Plant Equivalent Weightage]],"")</f>
        <v>0.18219696969696969</v>
      </c>
      <c r="X38" s="289" t="s">
        <v>340</v>
      </c>
      <c r="Y38" s="290" t="s">
        <v>82</v>
      </c>
      <c r="Z38" s="79"/>
      <c r="AA38" s="283">
        <v>1327</v>
      </c>
      <c r="AB38" s="79"/>
      <c r="AC38" s="23"/>
      <c r="AD38" s="23"/>
    </row>
    <row r="39" spans="1:30">
      <c r="A39" s="79">
        <f t="shared" si="1"/>
        <v>38</v>
      </c>
      <c r="B39" s="283">
        <f>YEAR(Table5[[#This Row],[Date]])+IF(MONTH(Table5[[#This Row],[Date]])&gt;=4,1,0)</f>
        <v>2026</v>
      </c>
      <c r="C39" s="79">
        <f>YEAR(Table5[[#This Row],[Date]])</f>
        <v>2025</v>
      </c>
      <c r="D39" s="79" t="s">
        <v>344</v>
      </c>
      <c r="E39" s="284">
        <f>Table5[[#This Row],[Date]]-DAY(Table5[[#This Row],[Date]])+1</f>
        <v>45748</v>
      </c>
      <c r="F39" s="285">
        <v>45758</v>
      </c>
      <c r="G39" s="79" t="s">
        <v>82</v>
      </c>
      <c r="H39" s="23" t="str">
        <f>IFERROR(_xlfn.XLOOKUP(Table5[[#This Row],[Affected WTG]],'Basic Data'!$A:$A,'Basic Data'!$B:$B),"")</f>
        <v>PWEPL</v>
      </c>
      <c r="I39" s="23" t="str">
        <f>IFERROR(_xlfn.XLOOKUP(Table5[[#This Row],[Affected WTG]],'Basic Data'!$A:$A,'Basic Data'!$C:$C),"")</f>
        <v>MSEDCL</v>
      </c>
      <c r="J39" s="286">
        <f>IFERROR(_xlfn.XLOOKUP(Table5[[#This Row],[Affected WTG]],'Basic Data'!$A:$A,'Basic Data'!$E:$E),"")</f>
        <v>2.2727272727272728E-2</v>
      </c>
      <c r="K39" s="79" t="s">
        <v>336</v>
      </c>
      <c r="L39" s="23" t="str">
        <f>IFERROR(_xlfn.XLOOKUP(Table5[[#This Row],[Error Code]],'Basic Data'!$W:$W,'Basic Data'!$X:$X),"Incorrect Error Code")</f>
        <v>Manual Stop - Preventive Maintenance Activity</v>
      </c>
      <c r="M39" s="23" t="s">
        <v>337</v>
      </c>
      <c r="N39" s="23"/>
      <c r="O39" s="287">
        <v>0.40625</v>
      </c>
      <c r="P39" s="287">
        <v>0.40625</v>
      </c>
      <c r="Q39" s="287">
        <v>0.77777777777777779</v>
      </c>
      <c r="R39" s="91">
        <f t="shared" si="0"/>
        <v>0.37152777777777779</v>
      </c>
      <c r="S39" s="91">
        <f>(Table5[[#This Row],[Fault Clearance time]]-Table5[[#This Row],[Work Start TimeStamp]])*24</f>
        <v>8.9166666666666679</v>
      </c>
      <c r="T39" s="91">
        <f>(Table5[[#This Row],[Fault Clearance time]]-Table5[[#This Row],[Fault Start TimeStamp]])*24</f>
        <v>8.9166666666666679</v>
      </c>
      <c r="U39" s="23" t="s">
        <v>338</v>
      </c>
      <c r="V39" s="79" t="s">
        <v>339</v>
      </c>
      <c r="W39" s="289">
        <f>IFERROR(Table5[[#This Row],[Breakdown Time]]*Table5[[#This Row],[Plant Equivalent Weightage]],"")</f>
        <v>0.20265151515151519</v>
      </c>
      <c r="X39" s="289" t="s">
        <v>340</v>
      </c>
      <c r="Y39" s="290" t="s">
        <v>93</v>
      </c>
      <c r="Z39" s="79"/>
      <c r="AA39" s="283">
        <v>2709</v>
      </c>
      <c r="AB39" s="79"/>
      <c r="AC39" s="23"/>
      <c r="AD39" s="23"/>
    </row>
    <row r="40" spans="1:30">
      <c r="A40" s="79">
        <f t="shared" si="1"/>
        <v>39</v>
      </c>
      <c r="B40" s="283">
        <f>YEAR(Table5[[#This Row],[Date]])+IF(MONTH(Table5[[#This Row],[Date]])&gt;=4,1,0)</f>
        <v>2026</v>
      </c>
      <c r="C40" s="79">
        <f>YEAR(Table5[[#This Row],[Date]])</f>
        <v>2025</v>
      </c>
      <c r="D40" s="79" t="s">
        <v>344</v>
      </c>
      <c r="E40" s="284">
        <f>Table5[[#This Row],[Date]]-DAY(Table5[[#This Row],[Date]])+1</f>
        <v>45748</v>
      </c>
      <c r="F40" s="285">
        <v>45758</v>
      </c>
      <c r="G40" s="79" t="s">
        <v>86</v>
      </c>
      <c r="H40" s="23" t="str">
        <f>IFERROR(_xlfn.XLOOKUP(Table5[[#This Row],[Affected WTG]],'Basic Data'!$A:$A,'Basic Data'!$B:$B),"")</f>
        <v>PWEPL</v>
      </c>
      <c r="I40" s="23" t="str">
        <f>IFERROR(_xlfn.XLOOKUP(Table5[[#This Row],[Affected WTG]],'Basic Data'!$A:$A,'Basic Data'!$C:$C),"")</f>
        <v>MSEDCL</v>
      </c>
      <c r="J40" s="286">
        <f>IFERROR(_xlfn.XLOOKUP(Table5[[#This Row],[Affected WTG]],'Basic Data'!$A:$A,'Basic Data'!$E:$E),"")</f>
        <v>2.2727272727272728E-2</v>
      </c>
      <c r="K40" s="79">
        <v>60</v>
      </c>
      <c r="L40" s="23" t="str">
        <f>IFERROR(_xlfn.XLOOKUP(Table5[[#This Row],[Error Code]],'Basic Data'!$W:$W,'Basic Data'!$X:$X),"Incorrect Error Code")</f>
        <v>Yaw limit switch activated</v>
      </c>
      <c r="M40" s="23" t="s">
        <v>357</v>
      </c>
      <c r="N40" s="23"/>
      <c r="O40" s="287">
        <v>0.66041666666666665</v>
      </c>
      <c r="P40" s="287">
        <v>0.66041666666666665</v>
      </c>
      <c r="Q40" s="287">
        <v>0.68402777777777779</v>
      </c>
      <c r="R40" s="91">
        <f t="shared" si="0"/>
        <v>2.3611111111111138E-2</v>
      </c>
      <c r="S40" s="91">
        <f>(Table5[[#This Row],[Fault Clearance time]]-Table5[[#This Row],[Work Start TimeStamp]])*24</f>
        <v>0.56666666666666732</v>
      </c>
      <c r="T40" s="91">
        <f>(Table5[[#This Row],[Fault Clearance time]]-Table5[[#This Row],[Fault Start TimeStamp]])*24</f>
        <v>0.56666666666666732</v>
      </c>
      <c r="U40" s="23" t="s">
        <v>358</v>
      </c>
      <c r="V40" s="79" t="s">
        <v>339</v>
      </c>
      <c r="W40" s="289">
        <f>IFERROR(Table5[[#This Row],[Breakdown Time]]*Table5[[#This Row],[Plant Equivalent Weightage]],"")</f>
        <v>1.2878787878787894E-2</v>
      </c>
      <c r="X40" s="289" t="s">
        <v>343</v>
      </c>
      <c r="Y40" s="290" t="s">
        <v>85</v>
      </c>
      <c r="Z40" s="79"/>
      <c r="AA40" s="283">
        <v>245</v>
      </c>
      <c r="AB40" s="79"/>
      <c r="AC40" s="23"/>
      <c r="AD40" s="23"/>
    </row>
    <row r="41" spans="1:30">
      <c r="A41" s="79">
        <f t="shared" si="1"/>
        <v>40</v>
      </c>
      <c r="B41" s="283">
        <f>YEAR(Table5[[#This Row],[Date]])+IF(MONTH(Table5[[#This Row],[Date]])&gt;=4,1,0)</f>
        <v>2026</v>
      </c>
      <c r="C41" s="79">
        <f>YEAR(Table5[[#This Row],[Date]])</f>
        <v>2025</v>
      </c>
      <c r="D41" s="79" t="s">
        <v>344</v>
      </c>
      <c r="E41" s="284">
        <f>Table5[[#This Row],[Date]]-DAY(Table5[[#This Row],[Date]])+1</f>
        <v>45748</v>
      </c>
      <c r="F41" s="285">
        <v>45759</v>
      </c>
      <c r="G41" s="79" t="s">
        <v>76</v>
      </c>
      <c r="H41" s="23" t="str">
        <f>IFERROR(_xlfn.XLOOKUP(Table5[[#This Row],[Affected WTG]],'Basic Data'!$A:$A,'Basic Data'!$B:$B),"")</f>
        <v>PWEPL</v>
      </c>
      <c r="I41" s="23" t="str">
        <f>IFERROR(_xlfn.XLOOKUP(Table5[[#This Row],[Affected WTG]],'Basic Data'!$A:$A,'Basic Data'!$C:$C),"")</f>
        <v>MSEDCL</v>
      </c>
      <c r="J41" s="286">
        <f>IFERROR(_xlfn.XLOOKUP(Table5[[#This Row],[Affected WTG]],'Basic Data'!$A:$A,'Basic Data'!$E:$E),"")</f>
        <v>2.2727272727272728E-2</v>
      </c>
      <c r="K41" s="79" t="s">
        <v>336</v>
      </c>
      <c r="L41" s="23" t="str">
        <f>IFERROR(_xlfn.XLOOKUP(Table5[[#This Row],[Error Code]],'Basic Data'!$W:$W,'Basic Data'!$X:$X),"Incorrect Error Code")</f>
        <v>Manual Stop - Preventive Maintenance Activity</v>
      </c>
      <c r="M41" s="23" t="s">
        <v>337</v>
      </c>
      <c r="N41" s="23"/>
      <c r="O41" s="287">
        <v>0.75347222222222221</v>
      </c>
      <c r="P41" s="287">
        <v>0.75347222222222221</v>
      </c>
      <c r="Q41" s="287">
        <v>0.76874999999999993</v>
      </c>
      <c r="R41" s="91">
        <f t="shared" si="0"/>
        <v>1.5277777777777724E-2</v>
      </c>
      <c r="S41" s="91">
        <f>(Table5[[#This Row],[Fault Clearance time]]-Table5[[#This Row],[Work Start TimeStamp]])*24</f>
        <v>0.36666666666666536</v>
      </c>
      <c r="T41" s="91">
        <f>(Table5[[#This Row],[Fault Clearance time]]-Table5[[#This Row],[Fault Start TimeStamp]])*24</f>
        <v>0.36666666666666536</v>
      </c>
      <c r="U41" s="23" t="s">
        <v>351</v>
      </c>
      <c r="V41" s="79" t="s">
        <v>339</v>
      </c>
      <c r="W41" s="289">
        <f>IFERROR(Table5[[#This Row],[Breakdown Time]]*Table5[[#This Row],[Plant Equivalent Weightage]],"")</f>
        <v>8.3333333333333037E-3</v>
      </c>
      <c r="X41" s="289" t="s">
        <v>340</v>
      </c>
      <c r="Y41" s="290" t="s">
        <v>82</v>
      </c>
      <c r="Z41" s="79"/>
      <c r="AA41" s="283">
        <v>240</v>
      </c>
      <c r="AB41" s="79"/>
      <c r="AC41" s="23"/>
      <c r="AD41" s="23"/>
    </row>
    <row r="42" spans="1:30">
      <c r="A42" s="79">
        <f t="shared" si="1"/>
        <v>41</v>
      </c>
      <c r="B42" s="283">
        <f>YEAR(Table5[[#This Row],[Date]])+IF(MONTH(Table5[[#This Row],[Date]])&gt;=4,1,0)</f>
        <v>2026</v>
      </c>
      <c r="C42" s="79">
        <f>YEAR(Table5[[#This Row],[Date]])</f>
        <v>2025</v>
      </c>
      <c r="D42" s="79" t="s">
        <v>344</v>
      </c>
      <c r="E42" s="284">
        <f>Table5[[#This Row],[Date]]-DAY(Table5[[#This Row],[Date]])+1</f>
        <v>45748</v>
      </c>
      <c r="F42" s="285">
        <v>45759</v>
      </c>
      <c r="G42" s="79" t="s">
        <v>77</v>
      </c>
      <c r="H42" s="23" t="str">
        <f>IFERROR(_xlfn.XLOOKUP(Table5[[#This Row],[Affected WTG]],'Basic Data'!$A:$A,'Basic Data'!$B:$B),"")</f>
        <v>PWEPL</v>
      </c>
      <c r="I42" s="23" t="str">
        <f>IFERROR(_xlfn.XLOOKUP(Table5[[#This Row],[Affected WTG]],'Basic Data'!$A:$A,'Basic Data'!$C:$C),"")</f>
        <v>MSEDCL</v>
      </c>
      <c r="J42" s="286">
        <f>IFERROR(_xlfn.XLOOKUP(Table5[[#This Row],[Affected WTG]],'Basic Data'!$A:$A,'Basic Data'!$E:$E),"")</f>
        <v>2.2727272727272728E-2</v>
      </c>
      <c r="K42" s="79" t="s">
        <v>336</v>
      </c>
      <c r="L42" s="23" t="str">
        <f>IFERROR(_xlfn.XLOOKUP(Table5[[#This Row],[Error Code]],'Basic Data'!$W:$W,'Basic Data'!$X:$X),"Incorrect Error Code")</f>
        <v>Manual Stop - Preventive Maintenance Activity</v>
      </c>
      <c r="M42" s="23" t="s">
        <v>337</v>
      </c>
      <c r="N42" s="23"/>
      <c r="O42" s="287">
        <v>0.53611111111111109</v>
      </c>
      <c r="P42" s="287">
        <v>0.53611111111111109</v>
      </c>
      <c r="Q42" s="287">
        <v>0.60069444444444442</v>
      </c>
      <c r="R42" s="91">
        <f t="shared" si="0"/>
        <v>6.4583333333333326E-2</v>
      </c>
      <c r="S42" s="91">
        <f>(Table5[[#This Row],[Fault Clearance time]]-Table5[[#This Row],[Work Start TimeStamp]])*24</f>
        <v>1.5499999999999998</v>
      </c>
      <c r="T42" s="91">
        <f>(Table5[[#This Row],[Fault Clearance time]]-Table5[[#This Row],[Fault Start TimeStamp]])*24</f>
        <v>1.5499999999999998</v>
      </c>
      <c r="U42" s="23" t="s">
        <v>351</v>
      </c>
      <c r="V42" s="79" t="s">
        <v>339</v>
      </c>
      <c r="W42" s="289">
        <f>IFERROR(Table5[[#This Row],[Breakdown Time]]*Table5[[#This Row],[Plant Equivalent Weightage]],"")</f>
        <v>3.5227272727272725E-2</v>
      </c>
      <c r="X42" s="289" t="s">
        <v>340</v>
      </c>
      <c r="Y42" s="290" t="s">
        <v>93</v>
      </c>
      <c r="Z42" s="79"/>
      <c r="AA42" s="283">
        <v>393</v>
      </c>
      <c r="AB42" s="79"/>
      <c r="AC42" s="23"/>
      <c r="AD42" s="23"/>
    </row>
    <row r="43" spans="1:30">
      <c r="A43" s="79">
        <f t="shared" si="1"/>
        <v>42</v>
      </c>
      <c r="B43" s="283">
        <f>YEAR(Table5[[#This Row],[Date]])+IF(MONTH(Table5[[#This Row],[Date]])&gt;=4,1,0)</f>
        <v>2026</v>
      </c>
      <c r="C43" s="79">
        <f>YEAR(Table5[[#This Row],[Date]])</f>
        <v>2025</v>
      </c>
      <c r="D43" s="79" t="s">
        <v>344</v>
      </c>
      <c r="E43" s="284">
        <f>Table5[[#This Row],[Date]]-DAY(Table5[[#This Row],[Date]])+1</f>
        <v>45748</v>
      </c>
      <c r="F43" s="285">
        <v>45759</v>
      </c>
      <c r="G43" s="79" t="s">
        <v>78</v>
      </c>
      <c r="H43" s="23" t="str">
        <f>IFERROR(_xlfn.XLOOKUP(Table5[[#This Row],[Affected WTG]],'Basic Data'!$A:$A,'Basic Data'!$B:$B),"")</f>
        <v>PWEPL</v>
      </c>
      <c r="I43" s="23" t="str">
        <f>IFERROR(_xlfn.XLOOKUP(Table5[[#This Row],[Affected WTG]],'Basic Data'!$A:$A,'Basic Data'!$C:$C),"")</f>
        <v>MSEDCL</v>
      </c>
      <c r="J43" s="286">
        <f>IFERROR(_xlfn.XLOOKUP(Table5[[#This Row],[Affected WTG]],'Basic Data'!$A:$A,'Basic Data'!$E:$E),"")</f>
        <v>2.2727272727272728E-2</v>
      </c>
      <c r="K43" s="79" t="s">
        <v>336</v>
      </c>
      <c r="L43" s="23" t="str">
        <f>IFERROR(_xlfn.XLOOKUP(Table5[[#This Row],[Error Code]],'Basic Data'!$W:$W,'Basic Data'!$X:$X),"Incorrect Error Code")</f>
        <v>Manual Stop - Preventive Maintenance Activity</v>
      </c>
      <c r="M43" s="23" t="s">
        <v>337</v>
      </c>
      <c r="N43" s="23"/>
      <c r="O43" s="287">
        <v>0.72291666666666676</v>
      </c>
      <c r="P43" s="287">
        <v>0.72291666666666676</v>
      </c>
      <c r="Q43" s="287">
        <v>0.74513888888888891</v>
      </c>
      <c r="R43" s="91">
        <f t="shared" si="0"/>
        <v>2.2222222222222143E-2</v>
      </c>
      <c r="S43" s="91">
        <f>(Table5[[#This Row],[Fault Clearance time]]-Table5[[#This Row],[Work Start TimeStamp]])*24</f>
        <v>0.53333333333333144</v>
      </c>
      <c r="T43" s="91">
        <f>(Table5[[#This Row],[Fault Clearance time]]-Table5[[#This Row],[Fault Start TimeStamp]])*24</f>
        <v>0.53333333333333144</v>
      </c>
      <c r="U43" s="23" t="s">
        <v>351</v>
      </c>
      <c r="V43" s="79" t="s">
        <v>339</v>
      </c>
      <c r="W43" s="289">
        <f>IFERROR(Table5[[#This Row],[Breakdown Time]]*Table5[[#This Row],[Plant Equivalent Weightage]],"")</f>
        <v>1.2121212121212078E-2</v>
      </c>
      <c r="X43" s="289" t="s">
        <v>340</v>
      </c>
      <c r="Y43" s="290" t="s">
        <v>77</v>
      </c>
      <c r="Z43" s="79"/>
      <c r="AA43" s="283">
        <v>261</v>
      </c>
      <c r="AB43" s="79"/>
      <c r="AC43" s="23"/>
      <c r="AD43" s="23"/>
    </row>
    <row r="44" spans="1:30">
      <c r="A44" s="79">
        <f t="shared" si="1"/>
        <v>43</v>
      </c>
      <c r="B44" s="283">
        <f>YEAR(Table5[[#This Row],[Date]])+IF(MONTH(Table5[[#This Row],[Date]])&gt;=4,1,0)</f>
        <v>2026</v>
      </c>
      <c r="C44" s="79">
        <f>YEAR(Table5[[#This Row],[Date]])</f>
        <v>2025</v>
      </c>
      <c r="D44" s="79" t="s">
        <v>344</v>
      </c>
      <c r="E44" s="284">
        <f>Table5[[#This Row],[Date]]-DAY(Table5[[#This Row],[Date]])+1</f>
        <v>45748</v>
      </c>
      <c r="F44" s="285">
        <v>45759</v>
      </c>
      <c r="G44" s="79" t="s">
        <v>93</v>
      </c>
      <c r="H44" s="23" t="str">
        <f>IFERROR(_xlfn.XLOOKUP(Table5[[#This Row],[Affected WTG]],'Basic Data'!$A:$A,'Basic Data'!$B:$B),"")</f>
        <v>PWEPL</v>
      </c>
      <c r="I44" s="23" t="str">
        <f>IFERROR(_xlfn.XLOOKUP(Table5[[#This Row],[Affected WTG]],'Basic Data'!$A:$A,'Basic Data'!$C:$C),"")</f>
        <v>MSEDCL</v>
      </c>
      <c r="J44" s="286">
        <f>IFERROR(_xlfn.XLOOKUP(Table5[[#This Row],[Affected WTG]],'Basic Data'!$A:$A,'Basic Data'!$E:$E),"")</f>
        <v>2.2727272727272728E-2</v>
      </c>
      <c r="K44" s="79" t="s">
        <v>336</v>
      </c>
      <c r="L44" s="23" t="str">
        <f>IFERROR(_xlfn.XLOOKUP(Table5[[#This Row],[Error Code]],'Basic Data'!$W:$W,'Basic Data'!$X:$X),"Incorrect Error Code")</f>
        <v>Manual Stop - Preventive Maintenance Activity</v>
      </c>
      <c r="M44" s="23" t="s">
        <v>337</v>
      </c>
      <c r="N44" s="23"/>
      <c r="O44" s="287">
        <v>0.63402777777777775</v>
      </c>
      <c r="P44" s="287">
        <v>0.63402777777777775</v>
      </c>
      <c r="Q44" s="287">
        <v>0.66875000000000007</v>
      </c>
      <c r="R44" s="91">
        <f t="shared" si="0"/>
        <v>3.4722222222222321E-2</v>
      </c>
      <c r="S44" s="91">
        <f>(Table5[[#This Row],[Fault Clearance time]]-Table5[[#This Row],[Work Start TimeStamp]])*24</f>
        <v>0.8333333333333357</v>
      </c>
      <c r="T44" s="91">
        <f>(Table5[[#This Row],[Fault Clearance time]]-Table5[[#This Row],[Fault Start TimeStamp]])*24</f>
        <v>0.8333333333333357</v>
      </c>
      <c r="U44" s="23" t="s">
        <v>351</v>
      </c>
      <c r="V44" s="79" t="s">
        <v>339</v>
      </c>
      <c r="W44" s="289">
        <f>IFERROR(Table5[[#This Row],[Breakdown Time]]*Table5[[#This Row],[Plant Equivalent Weightage]],"")</f>
        <v>1.8939393939393995E-2</v>
      </c>
      <c r="X44" s="289" t="s">
        <v>340</v>
      </c>
      <c r="Y44" s="290" t="s">
        <v>82</v>
      </c>
      <c r="Z44" s="79"/>
      <c r="AA44" s="283">
        <v>377</v>
      </c>
      <c r="AB44" s="79"/>
      <c r="AC44" s="23"/>
      <c r="AD44" s="23"/>
    </row>
    <row r="45" spans="1:30">
      <c r="A45" s="79">
        <f t="shared" si="1"/>
        <v>44</v>
      </c>
      <c r="B45" s="283">
        <f>YEAR(Table5[[#This Row],[Date]])+IF(MONTH(Table5[[#This Row],[Date]])&gt;=4,1,0)</f>
        <v>2026</v>
      </c>
      <c r="C45" s="79">
        <f>YEAR(Table5[[#This Row],[Date]])</f>
        <v>2025</v>
      </c>
      <c r="D45" s="79" t="s">
        <v>344</v>
      </c>
      <c r="E45" s="284">
        <f>Table5[[#This Row],[Date]]-DAY(Table5[[#This Row],[Date]])+1</f>
        <v>45748</v>
      </c>
      <c r="F45" s="285">
        <v>45759</v>
      </c>
      <c r="G45" s="79" t="s">
        <v>116</v>
      </c>
      <c r="H45" s="23" t="str">
        <f>IFERROR(_xlfn.XLOOKUP(Table5[[#This Row],[Affected WTG]],'Basic Data'!$A:$A,'Basic Data'!$B:$B),"")</f>
        <v>PWEPL</v>
      </c>
      <c r="I45" s="23" t="str">
        <f>IFERROR(_xlfn.XLOOKUP(Table5[[#This Row],[Affected WTG]],'Basic Data'!$A:$A,'Basic Data'!$C:$C),"")</f>
        <v>MSEDCL</v>
      </c>
      <c r="J45" s="286">
        <f>IFERROR(_xlfn.XLOOKUP(Table5[[#This Row],[Affected WTG]],'Basic Data'!$A:$A,'Basic Data'!$E:$E),"")</f>
        <v>2.2727272727272728E-2</v>
      </c>
      <c r="K45" s="79">
        <v>60</v>
      </c>
      <c r="L45" s="23" t="str">
        <f>IFERROR(_xlfn.XLOOKUP(Table5[[#This Row],[Error Code]],'Basic Data'!$W:$W,'Basic Data'!$X:$X),"Incorrect Error Code")</f>
        <v>Yaw limit switch activated</v>
      </c>
      <c r="M45" s="23" t="s">
        <v>357</v>
      </c>
      <c r="N45" s="23"/>
      <c r="O45" s="287">
        <v>0.69444444444444453</v>
      </c>
      <c r="P45" s="287">
        <v>0.69444444444444453</v>
      </c>
      <c r="Q45" s="287">
        <v>0.82638888888888884</v>
      </c>
      <c r="R45" s="91">
        <f t="shared" si="0"/>
        <v>0.13194444444444431</v>
      </c>
      <c r="S45" s="91">
        <f>(Table5[[#This Row],[Fault Clearance time]]-Table5[[#This Row],[Work Start TimeStamp]])*24</f>
        <v>3.1666666666666634</v>
      </c>
      <c r="T45" s="91">
        <f>(Table5[[#This Row],[Fault Clearance time]]-Table5[[#This Row],[Fault Start TimeStamp]])*24</f>
        <v>3.1666666666666634</v>
      </c>
      <c r="U45" s="23" t="s">
        <v>358</v>
      </c>
      <c r="V45" s="79" t="s">
        <v>339</v>
      </c>
      <c r="W45" s="289">
        <f>IFERROR(Table5[[#This Row],[Breakdown Time]]*Table5[[#This Row],[Plant Equivalent Weightage]],"")</f>
        <v>7.1969696969696892E-2</v>
      </c>
      <c r="X45" s="289" t="s">
        <v>343</v>
      </c>
      <c r="Y45" s="290" t="s">
        <v>117</v>
      </c>
      <c r="Z45" s="79"/>
      <c r="AA45" s="283">
        <v>1092</v>
      </c>
      <c r="AB45" s="79"/>
      <c r="AC45" s="23"/>
      <c r="AD45" s="23"/>
    </row>
    <row r="46" spans="1:30">
      <c r="A46" s="79">
        <f t="shared" si="1"/>
        <v>45</v>
      </c>
      <c r="B46" s="283">
        <f>YEAR(Table5[[#This Row],[Date]])+IF(MONTH(Table5[[#This Row],[Date]])&gt;=4,1,0)</f>
        <v>2026</v>
      </c>
      <c r="C46" s="79">
        <f>YEAR(Table5[[#This Row],[Date]])</f>
        <v>2025</v>
      </c>
      <c r="D46" s="79" t="s">
        <v>344</v>
      </c>
      <c r="E46" s="284">
        <f>Table5[[#This Row],[Date]]-DAY(Table5[[#This Row],[Date]])+1</f>
        <v>45748</v>
      </c>
      <c r="F46" s="285">
        <v>45761</v>
      </c>
      <c r="G46" s="79" t="s">
        <v>118</v>
      </c>
      <c r="H46" s="23" t="str">
        <f>IFERROR(_xlfn.XLOOKUP(Table5[[#This Row],[Affected WTG]],'Basic Data'!$A:$A,'Basic Data'!$B:$B),"")</f>
        <v>PWEPL</v>
      </c>
      <c r="I46" s="23" t="str">
        <f>IFERROR(_xlfn.XLOOKUP(Table5[[#This Row],[Affected WTG]],'Basic Data'!$A:$A,'Basic Data'!$C:$C),"")</f>
        <v>MSEDCL</v>
      </c>
      <c r="J46" s="286">
        <f>IFERROR(_xlfn.XLOOKUP(Table5[[#This Row],[Affected WTG]],'Basic Data'!$A:$A,'Basic Data'!$E:$E),"")</f>
        <v>2.2727272727272728E-2</v>
      </c>
      <c r="K46" s="79">
        <v>3</v>
      </c>
      <c r="L46" s="23" t="str">
        <f>IFERROR(_xlfn.XLOOKUP(Table5[[#This Row],[Error Code]],'Basic Data'!$W:$W,'Basic Data'!$X:$X),"Incorrect Error Code")</f>
        <v>Manual Stop</v>
      </c>
      <c r="M46" s="23" t="s">
        <v>360</v>
      </c>
      <c r="N46" s="23"/>
      <c r="O46" s="287">
        <v>0.43888888888888888</v>
      </c>
      <c r="P46" s="287">
        <v>0.43888888888888888</v>
      </c>
      <c r="Q46" s="287">
        <v>0.50555555555555554</v>
      </c>
      <c r="R46" s="91">
        <f t="shared" si="0"/>
        <v>6.6666666666666652E-2</v>
      </c>
      <c r="S46" s="91">
        <f>(Table5[[#This Row],[Fault Clearance time]]-Table5[[#This Row],[Work Start TimeStamp]])*24</f>
        <v>1.5999999999999996</v>
      </c>
      <c r="T46" s="91">
        <f>(Table5[[#This Row],[Fault Clearance time]]-Table5[[#This Row],[Fault Start TimeStamp]])*24</f>
        <v>1.5999999999999996</v>
      </c>
      <c r="U46" s="23" t="s">
        <v>361</v>
      </c>
      <c r="V46" s="79" t="s">
        <v>339</v>
      </c>
      <c r="W46" s="289">
        <f>IFERROR(Table5[[#This Row],[Breakdown Time]]*Table5[[#This Row],[Plant Equivalent Weightage]],"")</f>
        <v>3.6363636363636355E-2</v>
      </c>
      <c r="X46" s="289" t="s">
        <v>340</v>
      </c>
      <c r="Y46" s="290" t="s">
        <v>119</v>
      </c>
      <c r="Z46" s="79"/>
      <c r="AA46" s="283">
        <v>14</v>
      </c>
      <c r="AB46" s="79"/>
      <c r="AC46" s="23"/>
      <c r="AD46" s="23"/>
    </row>
    <row r="47" spans="1:30">
      <c r="A47" s="79">
        <f t="shared" si="1"/>
        <v>46</v>
      </c>
      <c r="B47" s="283">
        <f>YEAR(Table5[[#This Row],[Date]])+IF(MONTH(Table5[[#This Row],[Date]])&gt;=4,1,0)</f>
        <v>2026</v>
      </c>
      <c r="C47" s="79">
        <f>YEAR(Table5[[#This Row],[Date]])</f>
        <v>2025</v>
      </c>
      <c r="D47" s="79" t="s">
        <v>344</v>
      </c>
      <c r="E47" s="284">
        <f>Table5[[#This Row],[Date]]-DAY(Table5[[#This Row],[Date]])+1</f>
        <v>45748</v>
      </c>
      <c r="F47" s="285">
        <v>45761</v>
      </c>
      <c r="G47" s="79" t="s">
        <v>111</v>
      </c>
      <c r="H47" s="23" t="str">
        <f>IFERROR(_xlfn.XLOOKUP(Table5[[#This Row],[Affected WTG]],'Basic Data'!$A:$A,'Basic Data'!$B:$B),"")</f>
        <v>PWEPL</v>
      </c>
      <c r="I47" s="23" t="str">
        <f>IFERROR(_xlfn.XLOOKUP(Table5[[#This Row],[Affected WTG]],'Basic Data'!$A:$A,'Basic Data'!$C:$C),"")</f>
        <v>MSEDCL</v>
      </c>
      <c r="J47" s="286">
        <f>IFERROR(_xlfn.XLOOKUP(Table5[[#This Row],[Affected WTG]],'Basic Data'!$A:$A,'Basic Data'!$E:$E),"")</f>
        <v>2.2727272727272728E-2</v>
      </c>
      <c r="K47" s="79">
        <v>3</v>
      </c>
      <c r="L47" s="23" t="str">
        <f>IFERROR(_xlfn.XLOOKUP(Table5[[#This Row],[Error Code]],'Basic Data'!$W:$W,'Basic Data'!$X:$X),"Incorrect Error Code")</f>
        <v>Manual Stop</v>
      </c>
      <c r="M47" s="23" t="s">
        <v>360</v>
      </c>
      <c r="N47" s="23"/>
      <c r="O47" s="287">
        <v>0.56388888888888888</v>
      </c>
      <c r="P47" s="287">
        <v>0.56388888888888888</v>
      </c>
      <c r="Q47" s="287">
        <v>0.60833333333333328</v>
      </c>
      <c r="R47" s="91">
        <f t="shared" si="0"/>
        <v>4.4444444444444398E-2</v>
      </c>
      <c r="S47" s="91">
        <f>(Table5[[#This Row],[Fault Clearance time]]-Table5[[#This Row],[Work Start TimeStamp]])*24</f>
        <v>1.0666666666666655</v>
      </c>
      <c r="T47" s="91">
        <f>(Table5[[#This Row],[Fault Clearance time]]-Table5[[#This Row],[Fault Start TimeStamp]])*24</f>
        <v>1.0666666666666655</v>
      </c>
      <c r="U47" s="23" t="s">
        <v>361</v>
      </c>
      <c r="V47" s="79" t="s">
        <v>339</v>
      </c>
      <c r="W47" s="289">
        <f>IFERROR(Table5[[#This Row],[Breakdown Time]]*Table5[[#This Row],[Plant Equivalent Weightage]],"")</f>
        <v>2.4242424242424218E-2</v>
      </c>
      <c r="X47" s="289" t="s">
        <v>340</v>
      </c>
      <c r="Y47" s="290" t="s">
        <v>112</v>
      </c>
      <c r="Z47" s="79"/>
      <c r="AA47" s="283">
        <v>232</v>
      </c>
      <c r="AB47" s="79"/>
      <c r="AC47" s="23"/>
      <c r="AD47" s="23"/>
    </row>
    <row r="48" spans="1:30">
      <c r="A48" s="79">
        <f t="shared" si="1"/>
        <v>47</v>
      </c>
      <c r="B48" s="283">
        <f>YEAR(Table5[[#This Row],[Date]])+IF(MONTH(Table5[[#This Row],[Date]])&gt;=4,1,0)</f>
        <v>2026</v>
      </c>
      <c r="C48" s="79">
        <f>YEAR(Table5[[#This Row],[Date]])</f>
        <v>2025</v>
      </c>
      <c r="D48" s="79" t="s">
        <v>344</v>
      </c>
      <c r="E48" s="284">
        <f>Table5[[#This Row],[Date]]-DAY(Table5[[#This Row],[Date]])+1</f>
        <v>45748</v>
      </c>
      <c r="F48" s="285">
        <v>45762</v>
      </c>
      <c r="G48" s="79" t="s">
        <v>119</v>
      </c>
      <c r="H48" s="23" t="str">
        <f>IFERROR(_xlfn.XLOOKUP(Table5[[#This Row],[Affected WTG]],'Basic Data'!$A:$A,'Basic Data'!$B:$B),"")</f>
        <v>PWEPL</v>
      </c>
      <c r="I48" s="23" t="str">
        <f>IFERROR(_xlfn.XLOOKUP(Table5[[#This Row],[Affected WTG]],'Basic Data'!$A:$A,'Basic Data'!$C:$C),"")</f>
        <v>MSEDCL</v>
      </c>
      <c r="J48" s="286">
        <f>IFERROR(_xlfn.XLOOKUP(Table5[[#This Row],[Affected WTG]],'Basic Data'!$A:$A,'Basic Data'!$E:$E),"")</f>
        <v>2.2727272727272728E-2</v>
      </c>
      <c r="K48" s="79" t="s">
        <v>336</v>
      </c>
      <c r="L48" s="23" t="str">
        <f>IFERROR(_xlfn.XLOOKUP(Table5[[#This Row],[Error Code]],'Basic Data'!$W:$W,'Basic Data'!$X:$X),"Incorrect Error Code")</f>
        <v>Manual Stop - Preventive Maintenance Activity</v>
      </c>
      <c r="M48" s="23" t="s">
        <v>337</v>
      </c>
      <c r="N48" s="23"/>
      <c r="O48" s="287">
        <v>0.42291666666666666</v>
      </c>
      <c r="P48" s="287">
        <v>0.42291666666666666</v>
      </c>
      <c r="Q48" s="287">
        <v>0.73611111111111116</v>
      </c>
      <c r="R48" s="91">
        <f t="shared" si="0"/>
        <v>0.3131944444444445</v>
      </c>
      <c r="S48" s="91">
        <f>(Table5[[#This Row],[Fault Clearance time]]-Table5[[#This Row],[Work Start TimeStamp]])*24</f>
        <v>7.5166666666666675</v>
      </c>
      <c r="T48" s="91">
        <f>(Table5[[#This Row],[Fault Clearance time]]-Table5[[#This Row],[Fault Start TimeStamp]])*24</f>
        <v>7.5166666666666675</v>
      </c>
      <c r="U48" s="23" t="s">
        <v>356</v>
      </c>
      <c r="V48" s="79" t="s">
        <v>339</v>
      </c>
      <c r="W48" s="289">
        <f>IFERROR(Table5[[#This Row],[Breakdown Time]]*Table5[[#This Row],[Plant Equivalent Weightage]],"")</f>
        <v>0.17083333333333336</v>
      </c>
      <c r="X48" s="289" t="s">
        <v>340</v>
      </c>
      <c r="Y48" s="290" t="s">
        <v>118</v>
      </c>
      <c r="Z48" s="79"/>
      <c r="AA48" s="283">
        <v>1493</v>
      </c>
      <c r="AB48" s="79"/>
      <c r="AC48" s="23"/>
      <c r="AD48" s="23"/>
    </row>
    <row r="49" spans="1:30">
      <c r="A49" s="79">
        <f t="shared" si="1"/>
        <v>48</v>
      </c>
      <c r="B49" s="283">
        <f>YEAR(Table5[[#This Row],[Date]])+IF(MONTH(Table5[[#This Row],[Date]])&gt;=4,1,0)</f>
        <v>2026</v>
      </c>
      <c r="C49" s="79">
        <f>YEAR(Table5[[#This Row],[Date]])</f>
        <v>2025</v>
      </c>
      <c r="D49" s="79" t="s">
        <v>344</v>
      </c>
      <c r="E49" s="284">
        <f>Table5[[#This Row],[Date]]-DAY(Table5[[#This Row],[Date]])+1</f>
        <v>45748</v>
      </c>
      <c r="F49" s="285">
        <v>45762</v>
      </c>
      <c r="G49" s="79" t="s">
        <v>110</v>
      </c>
      <c r="H49" s="23" t="str">
        <f>IFERROR(_xlfn.XLOOKUP(Table5[[#This Row],[Affected WTG]],'Basic Data'!$A:$A,'Basic Data'!$B:$B),"")</f>
        <v>PWEPL</v>
      </c>
      <c r="I49" s="23" t="str">
        <f>IFERROR(_xlfn.XLOOKUP(Table5[[#This Row],[Affected WTG]],'Basic Data'!$A:$A,'Basic Data'!$C:$C),"")</f>
        <v>MSEDCL</v>
      </c>
      <c r="J49" s="286">
        <f>IFERROR(_xlfn.XLOOKUP(Table5[[#This Row],[Affected WTG]],'Basic Data'!$A:$A,'Basic Data'!$E:$E),"")</f>
        <v>2.2727272727272728E-2</v>
      </c>
      <c r="K49" s="79">
        <v>3</v>
      </c>
      <c r="L49" s="23" t="str">
        <f>IFERROR(_xlfn.XLOOKUP(Table5[[#This Row],[Error Code]],'Basic Data'!$W:$W,'Basic Data'!$X:$X),"Incorrect Error Code")</f>
        <v>Manual Stop</v>
      </c>
      <c r="M49" s="23" t="s">
        <v>375</v>
      </c>
      <c r="N49" s="23"/>
      <c r="O49" s="287">
        <v>0.69374999999999998</v>
      </c>
      <c r="P49" s="287">
        <v>0.69374999999999998</v>
      </c>
      <c r="Q49" s="287">
        <v>0.71736111111111101</v>
      </c>
      <c r="R49" s="91">
        <f t="shared" si="0"/>
        <v>2.3611111111111027E-2</v>
      </c>
      <c r="S49" s="91">
        <f>(Table5[[#This Row],[Fault Clearance time]]-Table5[[#This Row],[Work Start TimeStamp]])*24</f>
        <v>0.56666666666666465</v>
      </c>
      <c r="T49" s="91">
        <f>(Table5[[#This Row],[Fault Clearance time]]-Table5[[#This Row],[Fault Start TimeStamp]])*24</f>
        <v>0.56666666666666465</v>
      </c>
      <c r="U49" s="23" t="s">
        <v>376</v>
      </c>
      <c r="V49" s="79" t="s">
        <v>339</v>
      </c>
      <c r="W49" s="289">
        <f>IFERROR(Table5[[#This Row],[Breakdown Time]]*Table5[[#This Row],[Plant Equivalent Weightage]],"")</f>
        <v>1.2878787878787833E-2</v>
      </c>
      <c r="X49" s="289" t="s">
        <v>343</v>
      </c>
      <c r="Y49" s="290" t="s">
        <v>100</v>
      </c>
      <c r="Z49" s="79"/>
      <c r="AA49" s="283">
        <v>137</v>
      </c>
      <c r="AB49" s="79"/>
      <c r="AC49" s="23"/>
      <c r="AD49" s="23"/>
    </row>
    <row r="50" spans="1:30">
      <c r="A50" s="79">
        <f t="shared" si="1"/>
        <v>49</v>
      </c>
      <c r="B50" s="283">
        <f>YEAR(Table5[[#This Row],[Date]])+IF(MONTH(Table5[[#This Row],[Date]])&gt;=4,1,0)</f>
        <v>2026</v>
      </c>
      <c r="C50" s="79">
        <f>YEAR(Table5[[#This Row],[Date]])</f>
        <v>2025</v>
      </c>
      <c r="D50" s="79" t="s">
        <v>344</v>
      </c>
      <c r="E50" s="284">
        <f>Table5[[#This Row],[Date]]-DAY(Table5[[#This Row],[Date]])+1</f>
        <v>45748</v>
      </c>
      <c r="F50" s="285">
        <v>45762</v>
      </c>
      <c r="G50" s="79" t="s">
        <v>82</v>
      </c>
      <c r="H50" s="23" t="str">
        <f>IFERROR(_xlfn.XLOOKUP(Table5[[#This Row],[Affected WTG]],'Basic Data'!$A:$A,'Basic Data'!$B:$B),"")</f>
        <v>PWEPL</v>
      </c>
      <c r="I50" s="23" t="str">
        <f>IFERROR(_xlfn.XLOOKUP(Table5[[#This Row],[Affected WTG]],'Basic Data'!$A:$A,'Basic Data'!$C:$C),"")</f>
        <v>MSEDCL</v>
      </c>
      <c r="J50" s="286">
        <f>IFERROR(_xlfn.XLOOKUP(Table5[[#This Row],[Affected WTG]],'Basic Data'!$A:$A,'Basic Data'!$E:$E),"")</f>
        <v>2.2727272727272728E-2</v>
      </c>
      <c r="K50" s="79">
        <v>430</v>
      </c>
      <c r="L50" s="23" t="str">
        <f>IFERROR(_xlfn.XLOOKUP(Table5[[#This Row],[Error Code]],'Basic Data'!$W:$W,'Basic Data'!$X:$X),"Incorrect Error Code")</f>
        <v xml:space="preserve">Yaw tooth sensor 1 timeout </v>
      </c>
      <c r="M50" s="23" t="s">
        <v>377</v>
      </c>
      <c r="N50" s="23"/>
      <c r="O50" s="287">
        <v>0.73819444444444438</v>
      </c>
      <c r="P50" s="287">
        <v>0.73819444444444438</v>
      </c>
      <c r="Q50" s="287">
        <v>0.77083333333333337</v>
      </c>
      <c r="R50" s="91">
        <f t="shared" si="0"/>
        <v>3.2638888888888995E-2</v>
      </c>
      <c r="S50" s="91">
        <f>(Table5[[#This Row],[Fault Clearance time]]-Table5[[#This Row],[Work Start TimeStamp]])*24</f>
        <v>0.78333333333333588</v>
      </c>
      <c r="T50" s="91">
        <f>(Table5[[#This Row],[Fault Clearance time]]-Table5[[#This Row],[Fault Start TimeStamp]])*24</f>
        <v>0.78333333333333588</v>
      </c>
      <c r="U50" s="23" t="s">
        <v>372</v>
      </c>
      <c r="V50" s="79" t="s">
        <v>339</v>
      </c>
      <c r="W50" s="289">
        <f>IFERROR(Table5[[#This Row],[Breakdown Time]]*Table5[[#This Row],[Plant Equivalent Weightage]],"")</f>
        <v>1.7803030303030362E-2</v>
      </c>
      <c r="X50" s="289" t="s">
        <v>343</v>
      </c>
      <c r="Y50" s="290" t="s">
        <v>93</v>
      </c>
      <c r="Z50" s="79"/>
      <c r="AA50" s="283">
        <v>565</v>
      </c>
      <c r="AB50" s="79"/>
      <c r="AC50" s="23"/>
      <c r="AD50" s="23"/>
    </row>
    <row r="51" spans="1:30">
      <c r="A51" s="79">
        <f t="shared" si="1"/>
        <v>50</v>
      </c>
      <c r="B51" s="283">
        <f>YEAR(Table5[[#This Row],[Date]])+IF(MONTH(Table5[[#This Row],[Date]])&gt;=4,1,0)</f>
        <v>2026</v>
      </c>
      <c r="C51" s="79">
        <f>YEAR(Table5[[#This Row],[Date]])</f>
        <v>2025</v>
      </c>
      <c r="D51" s="79" t="s">
        <v>344</v>
      </c>
      <c r="E51" s="284">
        <f>Table5[[#This Row],[Date]]-DAY(Table5[[#This Row],[Date]])+1</f>
        <v>45748</v>
      </c>
      <c r="F51" s="285">
        <v>45763</v>
      </c>
      <c r="G51" s="79" t="s">
        <v>119</v>
      </c>
      <c r="H51" s="23" t="str">
        <f>IFERROR(_xlfn.XLOOKUP(Table5[[#This Row],[Affected WTG]],'Basic Data'!$A:$A,'Basic Data'!$B:$B),"")</f>
        <v>PWEPL</v>
      </c>
      <c r="I51" s="23" t="str">
        <f>IFERROR(_xlfn.XLOOKUP(Table5[[#This Row],[Affected WTG]],'Basic Data'!$A:$A,'Basic Data'!$C:$C),"")</f>
        <v>MSEDCL</v>
      </c>
      <c r="J51" s="286">
        <f>IFERROR(_xlfn.XLOOKUP(Table5[[#This Row],[Affected WTG]],'Basic Data'!$A:$A,'Basic Data'!$E:$E),"")</f>
        <v>2.2727272727272728E-2</v>
      </c>
      <c r="K51" s="79" t="s">
        <v>336</v>
      </c>
      <c r="L51" s="23" t="str">
        <f>IFERROR(_xlfn.XLOOKUP(Table5[[#This Row],[Error Code]],'Basic Data'!$W:$W,'Basic Data'!$X:$X),"Incorrect Error Code")</f>
        <v>Manual Stop - Preventive Maintenance Activity</v>
      </c>
      <c r="M51" s="23" t="s">
        <v>337</v>
      </c>
      <c r="N51" s="23"/>
      <c r="O51" s="287">
        <v>0.4375</v>
      </c>
      <c r="P51" s="287">
        <v>0.4375</v>
      </c>
      <c r="Q51" s="287">
        <v>0.74375000000000002</v>
      </c>
      <c r="R51" s="91">
        <f t="shared" si="0"/>
        <v>0.30625000000000002</v>
      </c>
      <c r="S51" s="91">
        <f>(Table5[[#This Row],[Fault Clearance time]]-Table5[[#This Row],[Work Start TimeStamp]])*24</f>
        <v>7.3500000000000005</v>
      </c>
      <c r="T51" s="91">
        <f>(Table5[[#This Row],[Fault Clearance time]]-Table5[[#This Row],[Fault Start TimeStamp]])*24</f>
        <v>7.3500000000000005</v>
      </c>
      <c r="U51" s="23" t="s">
        <v>362</v>
      </c>
      <c r="V51" s="79" t="s">
        <v>339</v>
      </c>
      <c r="W51" s="289">
        <f>IFERROR(Table5[[#This Row],[Breakdown Time]]*Table5[[#This Row],[Plant Equivalent Weightage]],"")</f>
        <v>0.16704545454545455</v>
      </c>
      <c r="X51" s="289" t="s">
        <v>340</v>
      </c>
      <c r="Y51" s="290" t="s">
        <v>118</v>
      </c>
      <c r="Z51" s="79"/>
      <c r="AA51" s="283">
        <v>2179</v>
      </c>
      <c r="AB51" s="79"/>
      <c r="AC51" s="23"/>
      <c r="AD51" s="23"/>
    </row>
    <row r="52" spans="1:30">
      <c r="A52" s="79">
        <f t="shared" si="1"/>
        <v>51</v>
      </c>
      <c r="B52" s="283">
        <f>YEAR(Table5[[#This Row],[Date]])+IF(MONTH(Table5[[#This Row],[Date]])&gt;=4,1,0)</f>
        <v>2026</v>
      </c>
      <c r="C52" s="79">
        <f>YEAR(Table5[[#This Row],[Date]])</f>
        <v>2025</v>
      </c>
      <c r="D52" s="79" t="s">
        <v>344</v>
      </c>
      <c r="E52" s="284">
        <f>Table5[[#This Row],[Date]]-DAY(Table5[[#This Row],[Date]])+1</f>
        <v>45748</v>
      </c>
      <c r="F52" s="285">
        <v>45763</v>
      </c>
      <c r="G52" s="79" t="s">
        <v>106</v>
      </c>
      <c r="H52" s="23" t="str">
        <f>IFERROR(_xlfn.XLOOKUP(Table5[[#This Row],[Affected WTG]],'Basic Data'!$A:$A,'Basic Data'!$B:$B),"")</f>
        <v>PWEPL</v>
      </c>
      <c r="I52" s="23" t="str">
        <f>IFERROR(_xlfn.XLOOKUP(Table5[[#This Row],[Affected WTG]],'Basic Data'!$A:$A,'Basic Data'!$C:$C),"")</f>
        <v>MSEDCL</v>
      </c>
      <c r="J52" s="286">
        <f>IFERROR(_xlfn.XLOOKUP(Table5[[#This Row],[Affected WTG]],'Basic Data'!$A:$A,'Basic Data'!$E:$E),"")</f>
        <v>2.2727272727272728E-2</v>
      </c>
      <c r="K52" s="79">
        <v>280</v>
      </c>
      <c r="L52" s="23" t="str">
        <f>IFERROR(_xlfn.XLOOKUP(Table5[[#This Row],[Error Code]],'Basic Data'!$W:$W,'Basic Data'!$X:$X),"Incorrect Error Code")</f>
        <v>Prepressure error, active brake</v>
      </c>
      <c r="M52" s="23" t="s">
        <v>378</v>
      </c>
      <c r="N52" s="23"/>
      <c r="O52" s="287">
        <v>0.77777777777777779</v>
      </c>
      <c r="P52" s="287">
        <v>0.77777777777777779</v>
      </c>
      <c r="Q52" s="287">
        <v>0.79305555555555562</v>
      </c>
      <c r="R52" s="91">
        <f t="shared" si="0"/>
        <v>1.5277777777777835E-2</v>
      </c>
      <c r="S52" s="91">
        <f>(Table5[[#This Row],[Fault Clearance time]]-Table5[[#This Row],[Work Start TimeStamp]])*24</f>
        <v>0.36666666666666803</v>
      </c>
      <c r="T52" s="91">
        <f>(Table5[[#This Row],[Fault Clearance time]]-Table5[[#This Row],[Fault Start TimeStamp]])*24</f>
        <v>0.36666666666666803</v>
      </c>
      <c r="U52" s="23" t="s">
        <v>379</v>
      </c>
      <c r="V52" s="79" t="s">
        <v>339</v>
      </c>
      <c r="W52" s="289">
        <f>IFERROR(Table5[[#This Row],[Breakdown Time]]*Table5[[#This Row],[Plant Equivalent Weightage]],"")</f>
        <v>8.3333333333333644E-3</v>
      </c>
      <c r="X52" s="289" t="s">
        <v>343</v>
      </c>
      <c r="Y52" s="290" t="s">
        <v>92</v>
      </c>
      <c r="Z52" s="79"/>
      <c r="AA52" s="283">
        <v>338</v>
      </c>
      <c r="AB52" s="79"/>
      <c r="AC52" s="23"/>
      <c r="AD52" s="23"/>
    </row>
    <row r="53" spans="1:30">
      <c r="A53" s="79">
        <f t="shared" si="1"/>
        <v>52</v>
      </c>
      <c r="B53" s="283">
        <f>YEAR(Table5[[#This Row],[Date]])+IF(MONTH(Table5[[#This Row],[Date]])&gt;=4,1,0)</f>
        <v>2026</v>
      </c>
      <c r="C53" s="79">
        <f>YEAR(Table5[[#This Row],[Date]])</f>
        <v>2025</v>
      </c>
      <c r="D53" s="79" t="s">
        <v>344</v>
      </c>
      <c r="E53" s="284">
        <f>Table5[[#This Row],[Date]]-DAY(Table5[[#This Row],[Date]])+1</f>
        <v>45748</v>
      </c>
      <c r="F53" s="285">
        <v>45764</v>
      </c>
      <c r="G53" s="79" t="s">
        <v>118</v>
      </c>
      <c r="H53" s="23" t="str">
        <f>IFERROR(_xlfn.XLOOKUP(Table5[[#This Row],[Affected WTG]],'Basic Data'!$A:$A,'Basic Data'!$B:$B),"")</f>
        <v>PWEPL</v>
      </c>
      <c r="I53" s="23" t="str">
        <f>IFERROR(_xlfn.XLOOKUP(Table5[[#This Row],[Affected WTG]],'Basic Data'!$A:$A,'Basic Data'!$C:$C),"")</f>
        <v>MSEDCL</v>
      </c>
      <c r="J53" s="286">
        <f>IFERROR(_xlfn.XLOOKUP(Table5[[#This Row],[Affected WTG]],'Basic Data'!$A:$A,'Basic Data'!$E:$E),"")</f>
        <v>2.2727272727272728E-2</v>
      </c>
      <c r="K53" s="79" t="s">
        <v>336</v>
      </c>
      <c r="L53" s="23" t="str">
        <f>IFERROR(_xlfn.XLOOKUP(Table5[[#This Row],[Error Code]],'Basic Data'!$W:$W,'Basic Data'!$X:$X),"Incorrect Error Code")</f>
        <v>Manual Stop - Preventive Maintenance Activity</v>
      </c>
      <c r="M53" s="23" t="s">
        <v>337</v>
      </c>
      <c r="N53" s="23"/>
      <c r="O53" s="287">
        <v>0.4236111111111111</v>
      </c>
      <c r="P53" s="287">
        <v>0.4236111111111111</v>
      </c>
      <c r="Q53" s="287">
        <v>0.81666666666666676</v>
      </c>
      <c r="R53" s="91">
        <f t="shared" si="0"/>
        <v>0.39305555555555566</v>
      </c>
      <c r="S53" s="91">
        <f>(Table5[[#This Row],[Fault Clearance time]]-Table5[[#This Row],[Work Start TimeStamp]])*24</f>
        <v>9.4333333333333353</v>
      </c>
      <c r="T53" s="91">
        <f>(Table5[[#This Row],[Fault Clearance time]]-Table5[[#This Row],[Fault Start TimeStamp]])*24</f>
        <v>9.4333333333333353</v>
      </c>
      <c r="U53" s="23" t="s">
        <v>338</v>
      </c>
      <c r="V53" s="79" t="s">
        <v>339</v>
      </c>
      <c r="W53" s="289">
        <f>IFERROR(Table5[[#This Row],[Breakdown Time]]*Table5[[#This Row],[Plant Equivalent Weightage]],"")</f>
        <v>0.21439393939393944</v>
      </c>
      <c r="X53" s="289" t="s">
        <v>340</v>
      </c>
      <c r="Y53" s="290" t="s">
        <v>119</v>
      </c>
      <c r="Z53" s="79"/>
      <c r="AA53" s="283">
        <v>3485</v>
      </c>
      <c r="AB53" s="79"/>
      <c r="AC53" s="23"/>
      <c r="AD53" s="23"/>
    </row>
    <row r="54" spans="1:30">
      <c r="A54" s="79">
        <f t="shared" si="1"/>
        <v>53</v>
      </c>
      <c r="B54" s="283">
        <f>YEAR(Table5[[#This Row],[Date]])+IF(MONTH(Table5[[#This Row],[Date]])&gt;=4,1,0)</f>
        <v>2026</v>
      </c>
      <c r="C54" s="79">
        <f>YEAR(Table5[[#This Row],[Date]])</f>
        <v>2025</v>
      </c>
      <c r="D54" s="79" t="s">
        <v>344</v>
      </c>
      <c r="E54" s="284">
        <f>Table5[[#This Row],[Date]]-DAY(Table5[[#This Row],[Date]])+1</f>
        <v>45748</v>
      </c>
      <c r="F54" s="285">
        <v>45764</v>
      </c>
      <c r="G54" s="79" t="s">
        <v>99</v>
      </c>
      <c r="H54" s="23" t="str">
        <f>IFERROR(_xlfn.XLOOKUP(Table5[[#This Row],[Affected WTG]],'Basic Data'!$A:$A,'Basic Data'!$B:$B),"")</f>
        <v>PWEPL</v>
      </c>
      <c r="I54" s="23" t="str">
        <f>IFERROR(_xlfn.XLOOKUP(Table5[[#This Row],[Affected WTG]],'Basic Data'!$A:$A,'Basic Data'!$C:$C),"")</f>
        <v>MSEDCL</v>
      </c>
      <c r="J54" s="286">
        <f>IFERROR(_xlfn.XLOOKUP(Table5[[#This Row],[Affected WTG]],'Basic Data'!$A:$A,'Basic Data'!$E:$E),"")</f>
        <v>2.2727272727272728E-2</v>
      </c>
      <c r="K54" s="79">
        <v>123</v>
      </c>
      <c r="L54" s="23" t="str">
        <f>IFERROR(_xlfn.XLOOKUP(Table5[[#This Row],[Error Code]],'Basic Data'!$W:$W,'Basic Data'!$X:$X),"Incorrect Error Code")</f>
        <v>Generator carbon brush warn</v>
      </c>
      <c r="M54" s="23" t="s">
        <v>380</v>
      </c>
      <c r="N54" s="23"/>
      <c r="O54" s="287">
        <v>0.70208333333333339</v>
      </c>
      <c r="P54" s="287">
        <v>0.70208333333333339</v>
      </c>
      <c r="Q54" s="287">
        <v>0.73819444444444438</v>
      </c>
      <c r="R54" s="91">
        <f t="shared" si="0"/>
        <v>3.6111111111110983E-2</v>
      </c>
      <c r="S54" s="91">
        <f>(Table5[[#This Row],[Fault Clearance time]]-Table5[[#This Row],[Work Start TimeStamp]])*24</f>
        <v>0.86666666666666359</v>
      </c>
      <c r="T54" s="91">
        <f>(Table5[[#This Row],[Fault Clearance time]]-Table5[[#This Row],[Fault Start TimeStamp]])*24</f>
        <v>0.86666666666666359</v>
      </c>
      <c r="U54" s="23" t="s">
        <v>381</v>
      </c>
      <c r="V54" s="79" t="s">
        <v>339</v>
      </c>
      <c r="W54" s="289">
        <f>IFERROR(Table5[[#This Row],[Breakdown Time]]*Table5[[#This Row],[Plant Equivalent Weightage]],"")</f>
        <v>1.9696969696969626E-2</v>
      </c>
      <c r="X54" s="289" t="s">
        <v>343</v>
      </c>
      <c r="Y54" s="290" t="s">
        <v>98</v>
      </c>
      <c r="Z54" s="79"/>
      <c r="AA54" s="283">
        <v>280</v>
      </c>
      <c r="AB54" s="79"/>
      <c r="AC54" s="23"/>
      <c r="AD54" s="23"/>
    </row>
    <row r="55" spans="1:30">
      <c r="A55" s="79">
        <f t="shared" si="1"/>
        <v>54</v>
      </c>
      <c r="B55" s="283">
        <f>YEAR(Table5[[#This Row],[Date]])+IF(MONTH(Table5[[#This Row],[Date]])&gt;=4,1,0)</f>
        <v>2026</v>
      </c>
      <c r="C55" s="79">
        <f>YEAR(Table5[[#This Row],[Date]])</f>
        <v>2025</v>
      </c>
      <c r="D55" s="79" t="s">
        <v>344</v>
      </c>
      <c r="E55" s="284">
        <f>Table5[[#This Row],[Date]]-DAY(Table5[[#This Row],[Date]])+1</f>
        <v>45748</v>
      </c>
      <c r="F55" s="285">
        <v>45765</v>
      </c>
      <c r="G55" s="79" t="s">
        <v>111</v>
      </c>
      <c r="H55" s="23" t="str">
        <f>IFERROR(_xlfn.XLOOKUP(Table5[[#This Row],[Affected WTG]],'Basic Data'!$A:$A,'Basic Data'!$B:$B),"")</f>
        <v>PWEPL</v>
      </c>
      <c r="I55" s="23" t="str">
        <f>IFERROR(_xlfn.XLOOKUP(Table5[[#This Row],[Affected WTG]],'Basic Data'!$A:$A,'Basic Data'!$C:$C),"")</f>
        <v>MSEDCL</v>
      </c>
      <c r="J55" s="286">
        <f>IFERROR(_xlfn.XLOOKUP(Table5[[#This Row],[Affected WTG]],'Basic Data'!$A:$A,'Basic Data'!$E:$E),"")</f>
        <v>2.2727272727272728E-2</v>
      </c>
      <c r="K55" s="79" t="s">
        <v>336</v>
      </c>
      <c r="L55" s="23" t="str">
        <f>IFERROR(_xlfn.XLOOKUP(Table5[[#This Row],[Error Code]],'Basic Data'!$W:$W,'Basic Data'!$X:$X),"Incorrect Error Code")</f>
        <v>Manual Stop - Preventive Maintenance Activity</v>
      </c>
      <c r="M55" s="23" t="s">
        <v>337</v>
      </c>
      <c r="N55" s="23"/>
      <c r="O55" s="287">
        <v>0.42291666666666666</v>
      </c>
      <c r="P55" s="287">
        <v>0.42291666666666666</v>
      </c>
      <c r="Q55" s="287">
        <v>0.79583333333333339</v>
      </c>
      <c r="R55" s="91">
        <f t="shared" si="0"/>
        <v>0.37291666666666673</v>
      </c>
      <c r="S55" s="91">
        <f>(Table5[[#This Row],[Fault Clearance time]]-Table5[[#This Row],[Work Start TimeStamp]])*24</f>
        <v>8.9500000000000011</v>
      </c>
      <c r="T55" s="91">
        <f>(Table5[[#This Row],[Fault Clearance time]]-Table5[[#This Row],[Fault Start TimeStamp]])*24</f>
        <v>8.9500000000000011</v>
      </c>
      <c r="U55" s="23" t="s">
        <v>338</v>
      </c>
      <c r="V55" s="79" t="s">
        <v>339</v>
      </c>
      <c r="W55" s="289">
        <f>IFERROR(Table5[[#This Row],[Breakdown Time]]*Table5[[#This Row],[Plant Equivalent Weightage]],"")</f>
        <v>0.20340909090909093</v>
      </c>
      <c r="X55" s="289" t="s">
        <v>340</v>
      </c>
      <c r="Y55" s="290" t="s">
        <v>112</v>
      </c>
      <c r="Z55" s="79"/>
      <c r="AA55" s="283">
        <v>3194</v>
      </c>
      <c r="AB55" s="79"/>
      <c r="AC55" s="23"/>
      <c r="AD55" s="23"/>
    </row>
    <row r="56" spans="1:30">
      <c r="A56" s="79">
        <f t="shared" si="1"/>
        <v>55</v>
      </c>
      <c r="B56" s="283">
        <f>YEAR(Table5[[#This Row],[Date]])+IF(MONTH(Table5[[#This Row],[Date]])&gt;=4,1,0)</f>
        <v>2026</v>
      </c>
      <c r="C56" s="79">
        <f>YEAR(Table5[[#This Row],[Date]])</f>
        <v>2025</v>
      </c>
      <c r="D56" s="79" t="s">
        <v>344</v>
      </c>
      <c r="E56" s="284">
        <f>Table5[[#This Row],[Date]]-DAY(Table5[[#This Row],[Date]])+1</f>
        <v>45748</v>
      </c>
      <c r="F56" s="285">
        <v>45765</v>
      </c>
      <c r="G56" s="79" t="s">
        <v>116</v>
      </c>
      <c r="H56" s="23" t="str">
        <f>IFERROR(_xlfn.XLOOKUP(Table5[[#This Row],[Affected WTG]],'Basic Data'!$A:$A,'Basic Data'!$B:$B),"")</f>
        <v>PWEPL</v>
      </c>
      <c r="I56" s="23" t="str">
        <f>IFERROR(_xlfn.XLOOKUP(Table5[[#This Row],[Affected WTG]],'Basic Data'!$A:$A,'Basic Data'!$C:$C),"")</f>
        <v>MSEDCL</v>
      </c>
      <c r="J56" s="286">
        <f>IFERROR(_xlfn.XLOOKUP(Table5[[#This Row],[Affected WTG]],'Basic Data'!$A:$A,'Basic Data'!$E:$E),"")</f>
        <v>2.2727272727272728E-2</v>
      </c>
      <c r="K56" s="79">
        <v>60</v>
      </c>
      <c r="L56" s="23" t="str">
        <f>IFERROR(_xlfn.XLOOKUP(Table5[[#This Row],[Error Code]],'Basic Data'!$W:$W,'Basic Data'!$X:$X),"Incorrect Error Code")</f>
        <v>Yaw limit switch activated</v>
      </c>
      <c r="M56" s="23" t="s">
        <v>357</v>
      </c>
      <c r="N56" s="23"/>
      <c r="O56" s="287">
        <v>0.4465277777777778</v>
      </c>
      <c r="P56" s="287">
        <v>0.4465277777777778</v>
      </c>
      <c r="Q56" s="287">
        <v>0.55486111111111114</v>
      </c>
      <c r="R56" s="91">
        <f t="shared" si="0"/>
        <v>0.10833333333333334</v>
      </c>
      <c r="S56" s="91">
        <f>(Table5[[#This Row],[Fault Clearance time]]-Table5[[#This Row],[Work Start TimeStamp]])*24</f>
        <v>2.6</v>
      </c>
      <c r="T56" s="91">
        <f>(Table5[[#This Row],[Fault Clearance time]]-Table5[[#This Row],[Fault Start TimeStamp]])*24</f>
        <v>2.6</v>
      </c>
      <c r="U56" s="23" t="s">
        <v>358</v>
      </c>
      <c r="V56" s="79" t="s">
        <v>339</v>
      </c>
      <c r="W56" s="289">
        <f>IFERROR(Table5[[#This Row],[Breakdown Time]]*Table5[[#This Row],[Plant Equivalent Weightage]],"")</f>
        <v>5.9090909090909097E-2</v>
      </c>
      <c r="X56" s="289" t="s">
        <v>343</v>
      </c>
      <c r="Y56" s="290" t="s">
        <v>117</v>
      </c>
      <c r="Z56" s="79"/>
      <c r="AA56" s="283">
        <v>81</v>
      </c>
      <c r="AB56" s="79"/>
      <c r="AC56" s="23"/>
      <c r="AD56" s="23"/>
    </row>
    <row r="57" spans="1:30">
      <c r="A57" s="79">
        <f t="shared" si="1"/>
        <v>56</v>
      </c>
      <c r="B57" s="283">
        <f>YEAR(Table5[[#This Row],[Date]])+IF(MONTH(Table5[[#This Row],[Date]])&gt;=4,1,0)</f>
        <v>2026</v>
      </c>
      <c r="C57" s="79">
        <f>YEAR(Table5[[#This Row],[Date]])</f>
        <v>2025</v>
      </c>
      <c r="D57" s="79" t="s">
        <v>344</v>
      </c>
      <c r="E57" s="284">
        <f>Table5[[#This Row],[Date]]-DAY(Table5[[#This Row],[Date]])+1</f>
        <v>45748</v>
      </c>
      <c r="F57" s="285">
        <v>45765</v>
      </c>
      <c r="G57" s="79" t="s">
        <v>97</v>
      </c>
      <c r="H57" s="23" t="str">
        <f>IFERROR(_xlfn.XLOOKUP(Table5[[#This Row],[Affected WTG]],'Basic Data'!$A:$A,'Basic Data'!$B:$B),"")</f>
        <v>PWEPL</v>
      </c>
      <c r="I57" s="23" t="str">
        <f>IFERROR(_xlfn.XLOOKUP(Table5[[#This Row],[Affected WTG]],'Basic Data'!$A:$A,'Basic Data'!$C:$C),"")</f>
        <v>MSEDCL</v>
      </c>
      <c r="J57" s="286">
        <f>IFERROR(_xlfn.XLOOKUP(Table5[[#This Row],[Affected WTG]],'Basic Data'!$A:$A,'Basic Data'!$E:$E),"")</f>
        <v>2.2727272727272728E-2</v>
      </c>
      <c r="K57" s="79" t="s">
        <v>382</v>
      </c>
      <c r="L57" s="23" t="str">
        <f>IFERROR(_xlfn.XLOOKUP(Table5[[#This Row],[Error Code]],'Basic Data'!$W:$W,'Basic Data'!$X:$X),"Incorrect Error Code")</f>
        <v>UPS breakdown</v>
      </c>
      <c r="M57" s="23" t="s">
        <v>383</v>
      </c>
      <c r="N57" s="23"/>
      <c r="O57" s="287">
        <v>0.70208333333333339</v>
      </c>
      <c r="P57" s="287">
        <v>0.70208333333333339</v>
      </c>
      <c r="Q57" s="287">
        <v>0.70833333333333337</v>
      </c>
      <c r="R57" s="91">
        <f t="shared" si="0"/>
        <v>6.2499999999999778E-3</v>
      </c>
      <c r="S57" s="91">
        <f>(Table5[[#This Row],[Fault Clearance time]]-Table5[[#This Row],[Work Start TimeStamp]])*24</f>
        <v>0.14999999999999947</v>
      </c>
      <c r="T57" s="91">
        <f>(Table5[[#This Row],[Fault Clearance time]]-Table5[[#This Row],[Fault Start TimeStamp]])*24</f>
        <v>0.14999999999999947</v>
      </c>
      <c r="U57" s="23" t="s">
        <v>384</v>
      </c>
      <c r="V57" s="79" t="s">
        <v>339</v>
      </c>
      <c r="W57" s="289">
        <f>IFERROR(Table5[[#This Row],[Breakdown Time]]*Table5[[#This Row],[Plant Equivalent Weightage]],"")</f>
        <v>3.4090909090908972E-3</v>
      </c>
      <c r="X57" s="289" t="s">
        <v>343</v>
      </c>
      <c r="Y57" s="290" t="s">
        <v>96</v>
      </c>
      <c r="Z57" s="79"/>
      <c r="AA57" s="283">
        <v>164</v>
      </c>
      <c r="AB57" s="79"/>
      <c r="AC57" s="23"/>
      <c r="AD57" s="23"/>
    </row>
    <row r="58" spans="1:30">
      <c r="A58" s="79">
        <f t="shared" si="1"/>
        <v>57</v>
      </c>
      <c r="B58" s="283">
        <f>YEAR(Table5[[#This Row],[Date]])+IF(MONTH(Table5[[#This Row],[Date]])&gt;=4,1,0)</f>
        <v>2026</v>
      </c>
      <c r="C58" s="79">
        <f>YEAR(Table5[[#This Row],[Date]])</f>
        <v>2025</v>
      </c>
      <c r="D58" s="79" t="s">
        <v>344</v>
      </c>
      <c r="E58" s="284">
        <f>Table5[[#This Row],[Date]]-DAY(Table5[[#This Row],[Date]])+1</f>
        <v>45748</v>
      </c>
      <c r="F58" s="285">
        <v>45766</v>
      </c>
      <c r="G58" s="79" t="s">
        <v>112</v>
      </c>
      <c r="H58" s="23" t="str">
        <f>IFERROR(_xlfn.XLOOKUP(Table5[[#This Row],[Affected WTG]],'Basic Data'!$A:$A,'Basic Data'!$B:$B),"")</f>
        <v>PWEPL</v>
      </c>
      <c r="I58" s="23" t="str">
        <f>IFERROR(_xlfn.XLOOKUP(Table5[[#This Row],[Affected WTG]],'Basic Data'!$A:$A,'Basic Data'!$C:$C),"")</f>
        <v>MSEDCL</v>
      </c>
      <c r="J58" s="286">
        <f>IFERROR(_xlfn.XLOOKUP(Table5[[#This Row],[Affected WTG]],'Basic Data'!$A:$A,'Basic Data'!$E:$E),"")</f>
        <v>2.2727272727272728E-2</v>
      </c>
      <c r="K58" s="79" t="s">
        <v>336</v>
      </c>
      <c r="L58" s="23" t="str">
        <f>IFERROR(_xlfn.XLOOKUP(Table5[[#This Row],[Error Code]],'Basic Data'!$W:$W,'Basic Data'!$X:$X),"Incorrect Error Code")</f>
        <v>Manual Stop - Preventive Maintenance Activity</v>
      </c>
      <c r="M58" s="23" t="s">
        <v>337</v>
      </c>
      <c r="N58" s="23"/>
      <c r="O58" s="287">
        <v>0.40833333333333338</v>
      </c>
      <c r="P58" s="287">
        <v>0.40833333333333338</v>
      </c>
      <c r="Q58" s="287">
        <v>0.76388888888888884</v>
      </c>
      <c r="R58" s="91">
        <f t="shared" si="0"/>
        <v>0.35555555555555546</v>
      </c>
      <c r="S58" s="91">
        <f>(Table5[[#This Row],[Fault Clearance time]]-Table5[[#This Row],[Work Start TimeStamp]])*24</f>
        <v>8.5333333333333314</v>
      </c>
      <c r="T58" s="91">
        <f>(Table5[[#This Row],[Fault Clearance time]]-Table5[[#This Row],[Fault Start TimeStamp]])*24</f>
        <v>8.5333333333333314</v>
      </c>
      <c r="U58" s="23" t="s">
        <v>338</v>
      </c>
      <c r="V58" s="79" t="s">
        <v>339</v>
      </c>
      <c r="W58" s="289">
        <f>IFERROR(Table5[[#This Row],[Breakdown Time]]*Table5[[#This Row],[Plant Equivalent Weightage]],"")</f>
        <v>0.19393939393939391</v>
      </c>
      <c r="X58" s="289" t="s">
        <v>340</v>
      </c>
      <c r="Y58" s="290" t="s">
        <v>111</v>
      </c>
      <c r="Z58" s="79"/>
      <c r="AA58" s="283">
        <v>2942</v>
      </c>
      <c r="AB58" s="79"/>
      <c r="AC58" s="23"/>
      <c r="AD58" s="23"/>
    </row>
    <row r="59" spans="1:30">
      <c r="A59" s="79">
        <f t="shared" si="1"/>
        <v>58</v>
      </c>
      <c r="B59" s="283">
        <f>YEAR(Table5[[#This Row],[Date]])+IF(MONTH(Table5[[#This Row],[Date]])&gt;=4,1,0)</f>
        <v>2026</v>
      </c>
      <c r="C59" s="79">
        <f>YEAR(Table5[[#This Row],[Date]])</f>
        <v>2025</v>
      </c>
      <c r="D59" s="79" t="s">
        <v>344</v>
      </c>
      <c r="E59" s="284">
        <f>Table5[[#This Row],[Date]]-DAY(Table5[[#This Row],[Date]])+1</f>
        <v>45748</v>
      </c>
      <c r="F59" s="285">
        <v>45767</v>
      </c>
      <c r="G59" s="79" t="s">
        <v>117</v>
      </c>
      <c r="H59" s="23" t="str">
        <f>IFERROR(_xlfn.XLOOKUP(Table5[[#This Row],[Affected WTG]],'Basic Data'!$A:$A,'Basic Data'!$B:$B),"")</f>
        <v>PWEPL</v>
      </c>
      <c r="I59" s="23" t="str">
        <f>IFERROR(_xlfn.XLOOKUP(Table5[[#This Row],[Affected WTG]],'Basic Data'!$A:$A,'Basic Data'!$C:$C),"")</f>
        <v>MSEDCL</v>
      </c>
      <c r="J59" s="286">
        <f>IFERROR(_xlfn.XLOOKUP(Table5[[#This Row],[Affected WTG]],'Basic Data'!$A:$A,'Basic Data'!$E:$E),"")</f>
        <v>2.2727272727272728E-2</v>
      </c>
      <c r="K59" s="79">
        <v>201</v>
      </c>
      <c r="L59" s="23" t="str">
        <f>IFERROR(_xlfn.XLOOKUP(Table5[[#This Row],[Error Code]],'Basic Data'!$W:$W,'Basic Data'!$X:$X),"Incorrect Error Code")</f>
        <v xml:space="preserve"> PLC fault 24V Supply</v>
      </c>
      <c r="M59" s="23" t="s">
        <v>366</v>
      </c>
      <c r="N59" s="23"/>
      <c r="O59" s="287">
        <v>0.39861111111111108</v>
      </c>
      <c r="P59" s="287">
        <v>0.39861111111111108</v>
      </c>
      <c r="Q59" s="287">
        <v>0.41736111111111113</v>
      </c>
      <c r="R59" s="91">
        <f t="shared" si="0"/>
        <v>1.8750000000000044E-2</v>
      </c>
      <c r="S59" s="91">
        <f>(Table5[[#This Row],[Fault Clearance time]]-Table5[[#This Row],[Work Start TimeStamp]])*24</f>
        <v>0.45000000000000107</v>
      </c>
      <c r="T59" s="91">
        <f>(Table5[[#This Row],[Fault Clearance time]]-Table5[[#This Row],[Fault Start TimeStamp]])*24</f>
        <v>0.45000000000000107</v>
      </c>
      <c r="U59" s="23" t="s">
        <v>353</v>
      </c>
      <c r="V59" s="79" t="s">
        <v>339</v>
      </c>
      <c r="W59" s="289">
        <f>IFERROR(Table5[[#This Row],[Breakdown Time]]*Table5[[#This Row],[Plant Equivalent Weightage]],"")</f>
        <v>1.0227272727272751E-2</v>
      </c>
      <c r="X59" s="289" t="s">
        <v>343</v>
      </c>
      <c r="Y59" s="290" t="s">
        <v>116</v>
      </c>
      <c r="Z59" s="79"/>
      <c r="AA59" s="283">
        <v>0</v>
      </c>
      <c r="AB59" s="79"/>
      <c r="AC59" s="23"/>
      <c r="AD59" s="23"/>
    </row>
    <row r="60" spans="1:30">
      <c r="A60" s="79">
        <f t="shared" si="1"/>
        <v>59</v>
      </c>
      <c r="B60" s="283">
        <f>YEAR(Table5[[#This Row],[Date]])+IF(MONTH(Table5[[#This Row],[Date]])&gt;=4,1,0)</f>
        <v>2026</v>
      </c>
      <c r="C60" s="79">
        <f>YEAR(Table5[[#This Row],[Date]])</f>
        <v>2025</v>
      </c>
      <c r="D60" s="79" t="s">
        <v>344</v>
      </c>
      <c r="E60" s="284">
        <f>Table5[[#This Row],[Date]]-DAY(Table5[[#This Row],[Date]])+1</f>
        <v>45748</v>
      </c>
      <c r="F60" s="285">
        <v>45768</v>
      </c>
      <c r="G60" s="79" t="s">
        <v>85</v>
      </c>
      <c r="H60" s="23" t="str">
        <f>IFERROR(_xlfn.XLOOKUP(Table5[[#This Row],[Affected WTG]],'Basic Data'!$A:$A,'Basic Data'!$B:$B),"")</f>
        <v>PWEPL</v>
      </c>
      <c r="I60" s="23" t="str">
        <f>IFERROR(_xlfn.XLOOKUP(Table5[[#This Row],[Affected WTG]],'Basic Data'!$A:$A,'Basic Data'!$C:$C),"")</f>
        <v>MSEDCL</v>
      </c>
      <c r="J60" s="286">
        <f>IFERROR(_xlfn.XLOOKUP(Table5[[#This Row],[Affected WTG]],'Basic Data'!$A:$A,'Basic Data'!$E:$E),"")</f>
        <v>2.2727272727272728E-2</v>
      </c>
      <c r="K60" s="79">
        <v>430</v>
      </c>
      <c r="L60" s="23" t="str">
        <f>IFERROR(_xlfn.XLOOKUP(Table5[[#This Row],[Error Code]],'Basic Data'!$W:$W,'Basic Data'!$X:$X),"Incorrect Error Code")</f>
        <v xml:space="preserve">Yaw tooth sensor 1 timeout </v>
      </c>
      <c r="M60" s="23" t="s">
        <v>154</v>
      </c>
      <c r="N60" s="23"/>
      <c r="O60" s="287">
        <v>0.52916666666666667</v>
      </c>
      <c r="P60" s="287">
        <v>0.52916666666666667</v>
      </c>
      <c r="Q60" s="287">
        <v>0.53263888888888888</v>
      </c>
      <c r="R60" s="91">
        <f t="shared" si="0"/>
        <v>3.4722222222222099E-3</v>
      </c>
      <c r="S60" s="91">
        <f>(Table5[[#This Row],[Fault Clearance time]]-Table5[[#This Row],[Work Start TimeStamp]])*24</f>
        <v>8.3333333333333037E-2</v>
      </c>
      <c r="T60" s="91">
        <f>(Table5[[#This Row],[Fault Clearance time]]-Table5[[#This Row],[Fault Start TimeStamp]])*24</f>
        <v>8.3333333333333037E-2</v>
      </c>
      <c r="U60" s="23" t="s">
        <v>353</v>
      </c>
      <c r="V60" s="79" t="s">
        <v>339</v>
      </c>
      <c r="W60" s="289">
        <f>IFERROR(Table5[[#This Row],[Breakdown Time]]*Table5[[#This Row],[Plant Equivalent Weightage]],"")</f>
        <v>1.8939393939393873E-3</v>
      </c>
      <c r="X60" s="289" t="s">
        <v>343</v>
      </c>
      <c r="Y60" s="290" t="s">
        <v>84</v>
      </c>
      <c r="Z60" s="79"/>
      <c r="AA60" s="283">
        <v>7</v>
      </c>
      <c r="AB60" s="79"/>
      <c r="AC60" s="23"/>
      <c r="AD60" s="23"/>
    </row>
    <row r="61" spans="1:30">
      <c r="A61" s="79">
        <f t="shared" si="1"/>
        <v>60</v>
      </c>
      <c r="B61" s="283">
        <f>YEAR(Table5[[#This Row],[Date]])+IF(MONTH(Table5[[#This Row],[Date]])&gt;=4,1,0)</f>
        <v>2026</v>
      </c>
      <c r="C61" s="79">
        <f>YEAR(Table5[[#This Row],[Date]])</f>
        <v>2025</v>
      </c>
      <c r="D61" s="79" t="s">
        <v>344</v>
      </c>
      <c r="E61" s="284">
        <f>Table5[[#This Row],[Date]]-DAY(Table5[[#This Row],[Date]])+1</f>
        <v>45748</v>
      </c>
      <c r="F61" s="285">
        <v>45769</v>
      </c>
      <c r="G61" s="79" t="s">
        <v>113</v>
      </c>
      <c r="H61" s="23" t="str">
        <f>IFERROR(_xlfn.XLOOKUP(Table5[[#This Row],[Affected WTG]],'Basic Data'!$A:$A,'Basic Data'!$B:$B),"")</f>
        <v>PWEPL</v>
      </c>
      <c r="I61" s="23" t="str">
        <f>IFERROR(_xlfn.XLOOKUP(Table5[[#This Row],[Affected WTG]],'Basic Data'!$A:$A,'Basic Data'!$C:$C),"")</f>
        <v>MSEDCL</v>
      </c>
      <c r="J61" s="286">
        <f>IFERROR(_xlfn.XLOOKUP(Table5[[#This Row],[Affected WTG]],'Basic Data'!$A:$A,'Basic Data'!$E:$E),"")</f>
        <v>2.2727272727272728E-2</v>
      </c>
      <c r="K61" s="79">
        <v>430</v>
      </c>
      <c r="L61" s="23" t="str">
        <f>IFERROR(_xlfn.XLOOKUP(Table5[[#This Row],[Error Code]],'Basic Data'!$W:$W,'Basic Data'!$X:$X),"Incorrect Error Code")</f>
        <v xml:space="preserve">Yaw tooth sensor 1 timeout </v>
      </c>
      <c r="M61" s="23" t="s">
        <v>385</v>
      </c>
      <c r="N61" s="23"/>
      <c r="O61" s="287">
        <v>0.34236111111111112</v>
      </c>
      <c r="P61" s="287">
        <v>0.34236111111111112</v>
      </c>
      <c r="Q61" s="287">
        <v>0.36180555555555555</v>
      </c>
      <c r="R61" s="91">
        <f t="shared" si="0"/>
        <v>1.9444444444444431E-2</v>
      </c>
      <c r="S61" s="91">
        <f>(Table5[[#This Row],[Fault Clearance time]]-Table5[[#This Row],[Work Start TimeStamp]])*24</f>
        <v>0.46666666666666634</v>
      </c>
      <c r="T61" s="91">
        <f>(Table5[[#This Row],[Fault Clearance time]]-Table5[[#This Row],[Fault Start TimeStamp]])*24</f>
        <v>0.46666666666666634</v>
      </c>
      <c r="U61" s="23" t="s">
        <v>372</v>
      </c>
      <c r="V61" s="79" t="s">
        <v>339</v>
      </c>
      <c r="W61" s="289">
        <f>IFERROR(Table5[[#This Row],[Breakdown Time]]*Table5[[#This Row],[Plant Equivalent Weightage]],"")</f>
        <v>1.06060606060606E-2</v>
      </c>
      <c r="X61" s="289" t="s">
        <v>343</v>
      </c>
      <c r="Y61" s="290" t="s">
        <v>114</v>
      </c>
      <c r="Z61" s="79"/>
      <c r="AA61" s="283">
        <v>39</v>
      </c>
      <c r="AB61" s="79"/>
      <c r="AC61" s="23"/>
      <c r="AD61" s="23"/>
    </row>
    <row r="62" spans="1:30">
      <c r="A62" s="79">
        <f t="shared" si="1"/>
        <v>61</v>
      </c>
      <c r="B62" s="283">
        <f>YEAR(Table5[[#This Row],[Date]])+IF(MONTH(Table5[[#This Row],[Date]])&gt;=4,1,0)</f>
        <v>2026</v>
      </c>
      <c r="C62" s="79">
        <f>YEAR(Table5[[#This Row],[Date]])</f>
        <v>2025</v>
      </c>
      <c r="D62" s="79" t="s">
        <v>344</v>
      </c>
      <c r="E62" s="284">
        <f>Table5[[#This Row],[Date]]-DAY(Table5[[#This Row],[Date]])+1</f>
        <v>45748</v>
      </c>
      <c r="F62" s="285">
        <v>45769</v>
      </c>
      <c r="G62" s="79" t="s">
        <v>85</v>
      </c>
      <c r="H62" s="23" t="str">
        <f>IFERROR(_xlfn.XLOOKUP(Table5[[#This Row],[Affected WTG]],'Basic Data'!$A:$A,'Basic Data'!$B:$B),"")</f>
        <v>PWEPL</v>
      </c>
      <c r="I62" s="23" t="str">
        <f>IFERROR(_xlfn.XLOOKUP(Table5[[#This Row],[Affected WTG]],'Basic Data'!$A:$A,'Basic Data'!$C:$C),"")</f>
        <v>MSEDCL</v>
      </c>
      <c r="J62" s="286">
        <f>IFERROR(_xlfn.XLOOKUP(Table5[[#This Row],[Affected WTG]],'Basic Data'!$A:$A,'Basic Data'!$E:$E),"")</f>
        <v>2.2727272727272728E-2</v>
      </c>
      <c r="K62" s="79">
        <v>430</v>
      </c>
      <c r="L62" s="23" t="str">
        <f>IFERROR(_xlfn.XLOOKUP(Table5[[#This Row],[Error Code]],'Basic Data'!$W:$W,'Basic Data'!$X:$X),"Incorrect Error Code")</f>
        <v xml:space="preserve">Yaw tooth sensor 1 timeout </v>
      </c>
      <c r="M62" s="23" t="s">
        <v>385</v>
      </c>
      <c r="N62" s="23"/>
      <c r="O62" s="287">
        <v>0.64861111111111114</v>
      </c>
      <c r="P62" s="287">
        <v>0.64861111111111114</v>
      </c>
      <c r="Q62" s="287">
        <v>0.68680555555555556</v>
      </c>
      <c r="R62" s="91">
        <f t="shared" si="0"/>
        <v>3.819444444444442E-2</v>
      </c>
      <c r="S62" s="91">
        <f>(Table5[[#This Row],[Fault Clearance time]]-Table5[[#This Row],[Work Start TimeStamp]])*24</f>
        <v>0.91666666666666607</v>
      </c>
      <c r="T62" s="91">
        <f>(Table5[[#This Row],[Fault Clearance time]]-Table5[[#This Row],[Fault Start TimeStamp]])*24</f>
        <v>0.91666666666666607</v>
      </c>
      <c r="U62" s="23" t="s">
        <v>372</v>
      </c>
      <c r="V62" s="79" t="s">
        <v>339</v>
      </c>
      <c r="W62" s="289">
        <f>IFERROR(Table5[[#This Row],[Breakdown Time]]*Table5[[#This Row],[Plant Equivalent Weightage]],"")</f>
        <v>2.0833333333333322E-2</v>
      </c>
      <c r="X62" s="289" t="s">
        <v>343</v>
      </c>
      <c r="Y62" s="290" t="s">
        <v>84</v>
      </c>
      <c r="Z62" s="79"/>
      <c r="AA62" s="283">
        <v>249</v>
      </c>
      <c r="AB62" s="79"/>
      <c r="AC62" s="23"/>
      <c r="AD62" s="23"/>
    </row>
    <row r="63" spans="1:30">
      <c r="A63" s="79">
        <f t="shared" si="1"/>
        <v>62</v>
      </c>
      <c r="B63" s="283">
        <f>YEAR(Table5[[#This Row],[Date]])+IF(MONTH(Table5[[#This Row],[Date]])&gt;=4,1,0)</f>
        <v>2026</v>
      </c>
      <c r="C63" s="79">
        <f>YEAR(Table5[[#This Row],[Date]])</f>
        <v>2025</v>
      </c>
      <c r="D63" s="79" t="s">
        <v>344</v>
      </c>
      <c r="E63" s="284">
        <f>Table5[[#This Row],[Date]]-DAY(Table5[[#This Row],[Date]])+1</f>
        <v>45748</v>
      </c>
      <c r="F63" s="285">
        <v>45769</v>
      </c>
      <c r="G63" s="79" t="s">
        <v>99</v>
      </c>
      <c r="H63" s="23" t="str">
        <f>IFERROR(_xlfn.XLOOKUP(Table5[[#This Row],[Affected WTG]],'Basic Data'!$A:$A,'Basic Data'!$B:$B),"")</f>
        <v>PWEPL</v>
      </c>
      <c r="I63" s="23" t="str">
        <f>IFERROR(_xlfn.XLOOKUP(Table5[[#This Row],[Affected WTG]],'Basic Data'!$A:$A,'Basic Data'!$C:$C),"")</f>
        <v>MSEDCL</v>
      </c>
      <c r="J63" s="286">
        <f>IFERROR(_xlfn.XLOOKUP(Table5[[#This Row],[Affected WTG]],'Basic Data'!$A:$A,'Basic Data'!$E:$E),"")</f>
        <v>2.2727272727272728E-2</v>
      </c>
      <c r="K63" s="79">
        <v>269</v>
      </c>
      <c r="L63" s="23" t="str">
        <f>IFERROR(_xlfn.XLOOKUP(Table5[[#This Row],[Error Code]],'Basic Data'!$W:$W,'Basic Data'!$X:$X),"Incorrect Error Code")</f>
        <v>Reboot PLC</v>
      </c>
      <c r="M63" s="23" t="s">
        <v>348</v>
      </c>
      <c r="N63" s="23"/>
      <c r="O63" s="287">
        <v>2.7777777777777776E-2</v>
      </c>
      <c r="P63" s="287">
        <v>2.7777777777777776E-2</v>
      </c>
      <c r="Q63" s="287">
        <v>3.6805555555555557E-2</v>
      </c>
      <c r="R63" s="91">
        <f t="shared" si="0"/>
        <v>9.0277777777777804E-3</v>
      </c>
      <c r="S63" s="91">
        <f>(Table5[[#This Row],[Fault Clearance time]]-Table5[[#This Row],[Work Start TimeStamp]])*24</f>
        <v>0.21666666666666673</v>
      </c>
      <c r="T63" s="91">
        <f>(Table5[[#This Row],[Fault Clearance time]]-Table5[[#This Row],[Fault Start TimeStamp]])*24</f>
        <v>0.21666666666666673</v>
      </c>
      <c r="U63" s="23" t="s">
        <v>353</v>
      </c>
      <c r="V63" s="79" t="s">
        <v>339</v>
      </c>
      <c r="W63" s="289">
        <f>IFERROR(Table5[[#This Row],[Breakdown Time]]*Table5[[#This Row],[Plant Equivalent Weightage]],"")</f>
        <v>4.9242424242424256E-3</v>
      </c>
      <c r="X63" s="289" t="s">
        <v>343</v>
      </c>
      <c r="Y63" s="290" t="s">
        <v>98</v>
      </c>
      <c r="Z63" s="79"/>
      <c r="AA63" s="283">
        <v>0</v>
      </c>
      <c r="AB63" s="79"/>
      <c r="AC63" s="23"/>
      <c r="AD63" s="23"/>
    </row>
    <row r="64" spans="1:30">
      <c r="A64" s="79">
        <f t="shared" si="1"/>
        <v>63</v>
      </c>
      <c r="B64" s="283">
        <f>YEAR(Table5[[#This Row],[Date]])+IF(MONTH(Table5[[#This Row],[Date]])&gt;=4,1,0)</f>
        <v>2026</v>
      </c>
      <c r="C64" s="79">
        <f>YEAR(Table5[[#This Row],[Date]])</f>
        <v>2025</v>
      </c>
      <c r="D64" s="79" t="s">
        <v>344</v>
      </c>
      <c r="E64" s="284">
        <f>Table5[[#This Row],[Date]]-DAY(Table5[[#This Row],[Date]])+1</f>
        <v>45748</v>
      </c>
      <c r="F64" s="285">
        <v>45769</v>
      </c>
      <c r="G64" s="79" t="s">
        <v>113</v>
      </c>
      <c r="H64" s="23" t="str">
        <f>IFERROR(_xlfn.XLOOKUP(Table5[[#This Row],[Affected WTG]],'Basic Data'!$A:$A,'Basic Data'!$B:$B),"")</f>
        <v>PWEPL</v>
      </c>
      <c r="I64" s="23" t="str">
        <f>IFERROR(_xlfn.XLOOKUP(Table5[[#This Row],[Affected WTG]],'Basic Data'!$A:$A,'Basic Data'!$C:$C),"")</f>
        <v>MSEDCL</v>
      </c>
      <c r="J64" s="286">
        <f>IFERROR(_xlfn.XLOOKUP(Table5[[#This Row],[Affected WTG]],'Basic Data'!$A:$A,'Basic Data'!$E:$E),"")</f>
        <v>2.2727272727272728E-2</v>
      </c>
      <c r="K64" s="79">
        <v>430</v>
      </c>
      <c r="L64" s="23" t="str">
        <f>IFERROR(_xlfn.XLOOKUP(Table5[[#This Row],[Error Code]],'Basic Data'!$W:$W,'Basic Data'!$X:$X),"Incorrect Error Code")</f>
        <v xml:space="preserve">Yaw tooth sensor 1 timeout </v>
      </c>
      <c r="M64" s="23" t="s">
        <v>154</v>
      </c>
      <c r="N64" s="23"/>
      <c r="O64" s="287">
        <v>0.27430555555555552</v>
      </c>
      <c r="P64" s="287">
        <v>0.27430555555555552</v>
      </c>
      <c r="Q64" s="287">
        <v>0.2951388888888889</v>
      </c>
      <c r="R64" s="91">
        <f t="shared" si="0"/>
        <v>2.083333333333337E-2</v>
      </c>
      <c r="S64" s="91">
        <f>(Table5[[#This Row],[Fault Clearance time]]-Table5[[#This Row],[Work Start TimeStamp]])*24</f>
        <v>0.50000000000000089</v>
      </c>
      <c r="T64" s="91">
        <f>(Table5[[#This Row],[Fault Clearance time]]-Table5[[#This Row],[Fault Start TimeStamp]])*24</f>
        <v>0.50000000000000089</v>
      </c>
      <c r="U64" s="23" t="s">
        <v>353</v>
      </c>
      <c r="V64" s="79" t="s">
        <v>339</v>
      </c>
      <c r="W64" s="289">
        <f>IFERROR(Table5[[#This Row],[Breakdown Time]]*Table5[[#This Row],[Plant Equivalent Weightage]],"")</f>
        <v>1.1363636363636385E-2</v>
      </c>
      <c r="X64" s="289" t="s">
        <v>343</v>
      </c>
      <c r="Y64" s="290" t="s">
        <v>114</v>
      </c>
      <c r="Z64" s="79"/>
      <c r="AA64" s="283">
        <v>61</v>
      </c>
      <c r="AB64" s="79"/>
      <c r="AC64" s="23"/>
      <c r="AD64" s="23"/>
    </row>
    <row r="65" spans="1:30">
      <c r="A65" s="79">
        <f t="shared" si="1"/>
        <v>64</v>
      </c>
      <c r="B65" s="283">
        <f>YEAR(Table5[[#This Row],[Date]])+IF(MONTH(Table5[[#This Row],[Date]])&gt;=4,1,0)</f>
        <v>2026</v>
      </c>
      <c r="C65" s="79">
        <f>YEAR(Table5[[#This Row],[Date]])</f>
        <v>2025</v>
      </c>
      <c r="D65" s="79" t="s">
        <v>344</v>
      </c>
      <c r="E65" s="284">
        <f>Table5[[#This Row],[Date]]-DAY(Table5[[#This Row],[Date]])+1</f>
        <v>45748</v>
      </c>
      <c r="F65" s="285">
        <v>45769</v>
      </c>
      <c r="G65" s="79" t="s">
        <v>85</v>
      </c>
      <c r="H65" s="23" t="str">
        <f>IFERROR(_xlfn.XLOOKUP(Table5[[#This Row],[Affected WTG]],'Basic Data'!$A:$A,'Basic Data'!$B:$B),"")</f>
        <v>PWEPL</v>
      </c>
      <c r="I65" s="23" t="str">
        <f>IFERROR(_xlfn.XLOOKUP(Table5[[#This Row],[Affected WTG]],'Basic Data'!$A:$A,'Basic Data'!$C:$C),"")</f>
        <v>MSEDCL</v>
      </c>
      <c r="J65" s="286">
        <f>IFERROR(_xlfn.XLOOKUP(Table5[[#This Row],[Affected WTG]],'Basic Data'!$A:$A,'Basic Data'!$E:$E),"")</f>
        <v>2.2727272727272728E-2</v>
      </c>
      <c r="K65" s="79">
        <v>430</v>
      </c>
      <c r="L65" s="23" t="str">
        <f>IFERROR(_xlfn.XLOOKUP(Table5[[#This Row],[Error Code]],'Basic Data'!$W:$W,'Basic Data'!$X:$X),"Incorrect Error Code")</f>
        <v xml:space="preserve">Yaw tooth sensor 1 timeout </v>
      </c>
      <c r="M65" s="23" t="s">
        <v>154</v>
      </c>
      <c r="N65" s="23"/>
      <c r="O65" s="287">
        <v>0.32430555555555557</v>
      </c>
      <c r="P65" s="287">
        <v>0.32430555555555557</v>
      </c>
      <c r="Q65" s="287">
        <v>0.35902777777777778</v>
      </c>
      <c r="R65" s="91">
        <f t="shared" si="0"/>
        <v>3.472222222222221E-2</v>
      </c>
      <c r="S65" s="91">
        <f>(Table5[[#This Row],[Fault Clearance time]]-Table5[[#This Row],[Work Start TimeStamp]])*24</f>
        <v>0.83333333333333304</v>
      </c>
      <c r="T65" s="91">
        <f>(Table5[[#This Row],[Fault Clearance time]]-Table5[[#This Row],[Fault Start TimeStamp]])*24</f>
        <v>0.83333333333333304</v>
      </c>
      <c r="U65" s="23" t="s">
        <v>353</v>
      </c>
      <c r="V65" s="79" t="s">
        <v>339</v>
      </c>
      <c r="W65" s="289">
        <f>IFERROR(Table5[[#This Row],[Breakdown Time]]*Table5[[#This Row],[Plant Equivalent Weightage]],"")</f>
        <v>1.8939393939393933E-2</v>
      </c>
      <c r="X65" s="289" t="s">
        <v>343</v>
      </c>
      <c r="Y65" s="290" t="s">
        <v>84</v>
      </c>
      <c r="Z65" s="79"/>
      <c r="AA65" s="283">
        <v>188</v>
      </c>
      <c r="AB65" s="79"/>
      <c r="AC65" s="23"/>
      <c r="AD65" s="23"/>
    </row>
    <row r="66" spans="1:30">
      <c r="A66" s="79">
        <f t="shared" si="1"/>
        <v>65</v>
      </c>
      <c r="B66" s="283">
        <f>YEAR(Table5[[#This Row],[Date]])+IF(MONTH(Table5[[#This Row],[Date]])&gt;=4,1,0)</f>
        <v>2026</v>
      </c>
      <c r="C66" s="79">
        <f>YEAR(Table5[[#This Row],[Date]])</f>
        <v>2025</v>
      </c>
      <c r="D66" s="79" t="s">
        <v>344</v>
      </c>
      <c r="E66" s="284">
        <f>Table5[[#This Row],[Date]]-DAY(Table5[[#This Row],[Date]])+1</f>
        <v>45748</v>
      </c>
      <c r="F66" s="285">
        <v>45770</v>
      </c>
      <c r="G66" s="79" t="s">
        <v>113</v>
      </c>
      <c r="H66" s="23" t="str">
        <f>IFERROR(_xlfn.XLOOKUP(Table5[[#This Row],[Affected WTG]],'Basic Data'!$A:$A,'Basic Data'!$B:$B),"")</f>
        <v>PWEPL</v>
      </c>
      <c r="I66" s="23" t="str">
        <f>IFERROR(_xlfn.XLOOKUP(Table5[[#This Row],[Affected WTG]],'Basic Data'!$A:$A,'Basic Data'!$C:$C),"")</f>
        <v>MSEDCL</v>
      </c>
      <c r="J66" s="286">
        <f>IFERROR(_xlfn.XLOOKUP(Table5[[#This Row],[Affected WTG]],'Basic Data'!$A:$A,'Basic Data'!$E:$E),"")</f>
        <v>2.2727272727272728E-2</v>
      </c>
      <c r="K66" s="79" t="s">
        <v>336</v>
      </c>
      <c r="L66" s="23" t="str">
        <f>IFERROR(_xlfn.XLOOKUP(Table5[[#This Row],[Error Code]],'Basic Data'!$W:$W,'Basic Data'!$X:$X),"Incorrect Error Code")</f>
        <v>Manual Stop - Preventive Maintenance Activity</v>
      </c>
      <c r="M66" s="23" t="s">
        <v>337</v>
      </c>
      <c r="N66" s="23"/>
      <c r="O66" s="287">
        <v>0.42291666666666666</v>
      </c>
      <c r="P66" s="287">
        <v>0.42291666666666666</v>
      </c>
      <c r="Q66" s="287">
        <v>0.80555555555555547</v>
      </c>
      <c r="R66" s="91">
        <f t="shared" ref="R66:R129" si="2">Q66-O66</f>
        <v>0.38263888888888881</v>
      </c>
      <c r="S66" s="91">
        <f>(Table5[[#This Row],[Fault Clearance time]]-Table5[[#This Row],[Work Start TimeStamp]])*24</f>
        <v>9.1833333333333318</v>
      </c>
      <c r="T66" s="91">
        <f>(Table5[[#This Row],[Fault Clearance time]]-Table5[[#This Row],[Fault Start TimeStamp]])*24</f>
        <v>9.1833333333333318</v>
      </c>
      <c r="U66" s="23" t="s">
        <v>338</v>
      </c>
      <c r="V66" s="79" t="s">
        <v>339</v>
      </c>
      <c r="W66" s="289">
        <f>IFERROR(Table5[[#This Row],[Breakdown Time]]*Table5[[#This Row],[Plant Equivalent Weightage]],"")</f>
        <v>0.20871212121212118</v>
      </c>
      <c r="X66" s="289" t="s">
        <v>340</v>
      </c>
      <c r="Y66" s="290" t="s">
        <v>114</v>
      </c>
      <c r="Z66" s="79"/>
      <c r="AA66" s="283">
        <v>2984</v>
      </c>
      <c r="AB66" s="79"/>
      <c r="AC66" s="23"/>
      <c r="AD66" s="23"/>
    </row>
    <row r="67" spans="1:30">
      <c r="A67" s="79">
        <f t="shared" si="1"/>
        <v>66</v>
      </c>
      <c r="B67" s="283">
        <f>YEAR(Table5[[#This Row],[Date]])+IF(MONTH(Table5[[#This Row],[Date]])&gt;=4,1,0)</f>
        <v>2026</v>
      </c>
      <c r="C67" s="79">
        <f>YEAR(Table5[[#This Row],[Date]])</f>
        <v>2025</v>
      </c>
      <c r="D67" s="79" t="s">
        <v>344</v>
      </c>
      <c r="E67" s="284">
        <f>Table5[[#This Row],[Date]]-DAY(Table5[[#This Row],[Date]])+1</f>
        <v>45748</v>
      </c>
      <c r="F67" s="285">
        <v>45771</v>
      </c>
      <c r="G67" s="79" t="s">
        <v>114</v>
      </c>
      <c r="H67" s="23" t="str">
        <f>IFERROR(_xlfn.XLOOKUP(Table5[[#This Row],[Affected WTG]],'Basic Data'!$A:$A,'Basic Data'!$B:$B),"")</f>
        <v>PWEPL</v>
      </c>
      <c r="I67" s="23" t="str">
        <f>IFERROR(_xlfn.XLOOKUP(Table5[[#This Row],[Affected WTG]],'Basic Data'!$A:$A,'Basic Data'!$C:$C),"")</f>
        <v>MSEDCL</v>
      </c>
      <c r="J67" s="286">
        <f>IFERROR(_xlfn.XLOOKUP(Table5[[#This Row],[Affected WTG]],'Basic Data'!$A:$A,'Basic Data'!$E:$E),"")</f>
        <v>2.2727272727272728E-2</v>
      </c>
      <c r="K67" s="79" t="s">
        <v>336</v>
      </c>
      <c r="L67" s="23" t="str">
        <f>IFERROR(_xlfn.XLOOKUP(Table5[[#This Row],[Error Code]],'Basic Data'!$W:$W,'Basic Data'!$X:$X),"Incorrect Error Code")</f>
        <v>Manual Stop - Preventive Maintenance Activity</v>
      </c>
      <c r="M67" s="23" t="s">
        <v>337</v>
      </c>
      <c r="N67" s="23"/>
      <c r="O67" s="287">
        <v>0.34513888888888888</v>
      </c>
      <c r="P67" s="287">
        <v>0.34513888888888888</v>
      </c>
      <c r="Q67" s="287">
        <v>0.70138888888888884</v>
      </c>
      <c r="R67" s="91">
        <f t="shared" si="2"/>
        <v>0.35624999999999996</v>
      </c>
      <c r="S67" s="91">
        <f>(Table5[[#This Row],[Fault Clearance time]]-Table5[[#This Row],[Work Start TimeStamp]])*24</f>
        <v>8.5499999999999989</v>
      </c>
      <c r="T67" s="91">
        <f>(Table5[[#This Row],[Fault Clearance time]]-Table5[[#This Row],[Fault Start TimeStamp]])*24</f>
        <v>8.5499999999999989</v>
      </c>
      <c r="U67" s="23" t="s">
        <v>338</v>
      </c>
      <c r="V67" s="79" t="s">
        <v>339</v>
      </c>
      <c r="W67" s="289">
        <f>IFERROR(Table5[[#This Row],[Breakdown Time]]*Table5[[#This Row],[Plant Equivalent Weightage]],"")</f>
        <v>0.19431818181818181</v>
      </c>
      <c r="X67" s="289" t="s">
        <v>340</v>
      </c>
      <c r="Y67" s="290" t="s">
        <v>109</v>
      </c>
      <c r="Z67" s="79"/>
      <c r="AA67" s="283">
        <v>1251</v>
      </c>
      <c r="AB67" s="79"/>
      <c r="AC67" s="23"/>
      <c r="AD67" s="23"/>
    </row>
    <row r="68" spans="1:30">
      <c r="A68" s="79">
        <f t="shared" ref="A68:A131" si="3">A67+1</f>
        <v>67</v>
      </c>
      <c r="B68" s="283">
        <f>YEAR(Table5[[#This Row],[Date]])+IF(MONTH(Table5[[#This Row],[Date]])&gt;=4,1,0)</f>
        <v>2026</v>
      </c>
      <c r="C68" s="79">
        <f>YEAR(Table5[[#This Row],[Date]])</f>
        <v>2025</v>
      </c>
      <c r="D68" s="79" t="s">
        <v>344</v>
      </c>
      <c r="E68" s="284">
        <f>Table5[[#This Row],[Date]]-DAY(Table5[[#This Row],[Date]])+1</f>
        <v>45748</v>
      </c>
      <c r="F68" s="285">
        <v>45772</v>
      </c>
      <c r="G68" s="79" t="s">
        <v>82</v>
      </c>
      <c r="H68" s="23" t="str">
        <f>IFERROR(_xlfn.XLOOKUP(Table5[[#This Row],[Affected WTG]],'Basic Data'!$A:$A,'Basic Data'!$B:$B),"")</f>
        <v>PWEPL</v>
      </c>
      <c r="I68" s="23" t="str">
        <f>IFERROR(_xlfn.XLOOKUP(Table5[[#This Row],[Affected WTG]],'Basic Data'!$A:$A,'Basic Data'!$C:$C),"")</f>
        <v>MSEDCL</v>
      </c>
      <c r="J68" s="286">
        <f>IFERROR(_xlfn.XLOOKUP(Table5[[#This Row],[Affected WTG]],'Basic Data'!$A:$A,'Basic Data'!$E:$E),"")</f>
        <v>2.2727272727272728E-2</v>
      </c>
      <c r="K68" s="79">
        <v>60</v>
      </c>
      <c r="L68" s="23" t="str">
        <f>IFERROR(_xlfn.XLOOKUP(Table5[[#This Row],[Error Code]],'Basic Data'!$W:$W,'Basic Data'!$X:$X),"Incorrect Error Code")</f>
        <v>Yaw limit switch activated</v>
      </c>
      <c r="M68" s="23" t="s">
        <v>357</v>
      </c>
      <c r="N68" s="23"/>
      <c r="O68" s="287">
        <v>0.39930555555555558</v>
      </c>
      <c r="P68" s="287">
        <v>0.39930555555555558</v>
      </c>
      <c r="Q68" s="287">
        <v>0.53125</v>
      </c>
      <c r="R68" s="91">
        <f t="shared" si="2"/>
        <v>0.13194444444444442</v>
      </c>
      <c r="S68" s="91">
        <f>(Table5[[#This Row],[Fault Clearance time]]-Table5[[#This Row],[Work Start TimeStamp]])*24</f>
        <v>3.1666666666666661</v>
      </c>
      <c r="T68" s="91">
        <f>(Table5[[#This Row],[Fault Clearance time]]-Table5[[#This Row],[Fault Start TimeStamp]])*24</f>
        <v>3.1666666666666661</v>
      </c>
      <c r="U68" s="23" t="s">
        <v>358</v>
      </c>
      <c r="V68" s="79" t="s">
        <v>339</v>
      </c>
      <c r="W68" s="289">
        <f>IFERROR(Table5[[#This Row],[Breakdown Time]]*Table5[[#This Row],[Plant Equivalent Weightage]],"")</f>
        <v>7.1969696969696961E-2</v>
      </c>
      <c r="X68" s="289" t="s">
        <v>343</v>
      </c>
      <c r="Y68" s="290" t="s">
        <v>93</v>
      </c>
      <c r="Z68" s="79"/>
      <c r="AA68" s="283">
        <v>52</v>
      </c>
      <c r="AB68" s="79"/>
      <c r="AC68" s="23"/>
      <c r="AD68" s="23"/>
    </row>
    <row r="69" spans="1:30">
      <c r="A69" s="79">
        <f t="shared" si="3"/>
        <v>68</v>
      </c>
      <c r="B69" s="283">
        <f>YEAR(Table5[[#This Row],[Date]])+IF(MONTH(Table5[[#This Row],[Date]])&gt;=4,1,0)</f>
        <v>2026</v>
      </c>
      <c r="C69" s="79">
        <f>YEAR(Table5[[#This Row],[Date]])</f>
        <v>2025</v>
      </c>
      <c r="D69" s="79" t="s">
        <v>344</v>
      </c>
      <c r="E69" s="284">
        <f>Table5[[#This Row],[Date]]-DAY(Table5[[#This Row],[Date]])+1</f>
        <v>45748</v>
      </c>
      <c r="F69" s="285">
        <v>45772</v>
      </c>
      <c r="G69" s="79" t="s">
        <v>99</v>
      </c>
      <c r="H69" s="23" t="str">
        <f>IFERROR(_xlfn.XLOOKUP(Table5[[#This Row],[Affected WTG]],'Basic Data'!$A:$A,'Basic Data'!$B:$B),"")</f>
        <v>PWEPL</v>
      </c>
      <c r="I69" s="23" t="str">
        <f>IFERROR(_xlfn.XLOOKUP(Table5[[#This Row],[Affected WTG]],'Basic Data'!$A:$A,'Basic Data'!$C:$C),"")</f>
        <v>MSEDCL</v>
      </c>
      <c r="J69" s="286">
        <f>IFERROR(_xlfn.XLOOKUP(Table5[[#This Row],[Affected WTG]],'Basic Data'!$A:$A,'Basic Data'!$E:$E),"")</f>
        <v>2.2727272727272728E-2</v>
      </c>
      <c r="K69" s="79">
        <v>60</v>
      </c>
      <c r="L69" s="23" t="str">
        <f>IFERROR(_xlfn.XLOOKUP(Table5[[#This Row],[Error Code]],'Basic Data'!$W:$W,'Basic Data'!$X:$X),"Incorrect Error Code")</f>
        <v>Yaw limit switch activated</v>
      </c>
      <c r="M69" s="23" t="s">
        <v>357</v>
      </c>
      <c r="N69" s="23"/>
      <c r="O69" s="287">
        <v>0.37638888888888888</v>
      </c>
      <c r="P69" s="287">
        <v>0.37638888888888888</v>
      </c>
      <c r="Q69" s="287">
        <v>0.42708333333333331</v>
      </c>
      <c r="R69" s="91">
        <f t="shared" si="2"/>
        <v>5.0694444444444431E-2</v>
      </c>
      <c r="S69" s="91">
        <f>(Table5[[#This Row],[Fault Clearance time]]-Table5[[#This Row],[Work Start TimeStamp]])*24</f>
        <v>1.2166666666666663</v>
      </c>
      <c r="T69" s="91">
        <f>(Table5[[#This Row],[Fault Clearance time]]-Table5[[#This Row],[Fault Start TimeStamp]])*24</f>
        <v>1.2166666666666663</v>
      </c>
      <c r="U69" s="23" t="s">
        <v>358</v>
      </c>
      <c r="V69" s="79" t="s">
        <v>339</v>
      </c>
      <c r="W69" s="289">
        <f>IFERROR(Table5[[#This Row],[Breakdown Time]]*Table5[[#This Row],[Plant Equivalent Weightage]],"")</f>
        <v>2.7651515151515146E-2</v>
      </c>
      <c r="X69" s="289" t="s">
        <v>343</v>
      </c>
      <c r="Y69" s="290" t="s">
        <v>98</v>
      </c>
      <c r="Z69" s="79"/>
      <c r="AA69" s="283">
        <v>0</v>
      </c>
      <c r="AB69" s="79"/>
      <c r="AC69" s="23"/>
      <c r="AD69" s="23"/>
    </row>
    <row r="70" spans="1:30">
      <c r="A70" s="79">
        <f t="shared" si="3"/>
        <v>69</v>
      </c>
      <c r="B70" s="283">
        <f>YEAR(Table5[[#This Row],[Date]])+IF(MONTH(Table5[[#This Row],[Date]])&gt;=4,1,0)</f>
        <v>2026</v>
      </c>
      <c r="C70" s="79">
        <f>YEAR(Table5[[#This Row],[Date]])</f>
        <v>2025</v>
      </c>
      <c r="D70" s="79" t="s">
        <v>344</v>
      </c>
      <c r="E70" s="284">
        <f>Table5[[#This Row],[Date]]-DAY(Table5[[#This Row],[Date]])+1</f>
        <v>45748</v>
      </c>
      <c r="F70" s="285">
        <v>45772</v>
      </c>
      <c r="G70" s="79" t="s">
        <v>116</v>
      </c>
      <c r="H70" s="23" t="str">
        <f>IFERROR(_xlfn.XLOOKUP(Table5[[#This Row],[Affected WTG]],'Basic Data'!$A:$A,'Basic Data'!$B:$B),"")</f>
        <v>PWEPL</v>
      </c>
      <c r="I70" s="23" t="str">
        <f>IFERROR(_xlfn.XLOOKUP(Table5[[#This Row],[Affected WTG]],'Basic Data'!$A:$A,'Basic Data'!$C:$C),"")</f>
        <v>MSEDCL</v>
      </c>
      <c r="J70" s="286">
        <f>IFERROR(_xlfn.XLOOKUP(Table5[[#This Row],[Affected WTG]],'Basic Data'!$A:$A,'Basic Data'!$E:$E),"")</f>
        <v>2.2727272727272728E-2</v>
      </c>
      <c r="K70" s="79">
        <v>60</v>
      </c>
      <c r="L70" s="23" t="str">
        <f>IFERROR(_xlfn.XLOOKUP(Table5[[#This Row],[Error Code]],'Basic Data'!$W:$W,'Basic Data'!$X:$X),"Incorrect Error Code")</f>
        <v>Yaw limit switch activated</v>
      </c>
      <c r="M70" s="23" t="s">
        <v>357</v>
      </c>
      <c r="N70" s="23"/>
      <c r="O70" s="287">
        <v>0.40972222222222227</v>
      </c>
      <c r="P70" s="287">
        <v>0.40972222222222227</v>
      </c>
      <c r="Q70" s="287">
        <v>0.42152777777777778</v>
      </c>
      <c r="R70" s="91">
        <f t="shared" si="2"/>
        <v>1.1805555555555514E-2</v>
      </c>
      <c r="S70" s="91">
        <f>(Table5[[#This Row],[Fault Clearance time]]-Table5[[#This Row],[Work Start TimeStamp]])*24</f>
        <v>0.28333333333333233</v>
      </c>
      <c r="T70" s="91">
        <f>(Table5[[#This Row],[Fault Clearance time]]-Table5[[#This Row],[Fault Start TimeStamp]])*24</f>
        <v>0.28333333333333233</v>
      </c>
      <c r="U70" s="23" t="s">
        <v>358</v>
      </c>
      <c r="V70" s="79" t="s">
        <v>339</v>
      </c>
      <c r="W70" s="289">
        <f>IFERROR(Table5[[#This Row],[Breakdown Time]]*Table5[[#This Row],[Plant Equivalent Weightage]],"")</f>
        <v>6.4393939393939167E-3</v>
      </c>
      <c r="X70" s="289" t="s">
        <v>343</v>
      </c>
      <c r="Y70" s="290" t="s">
        <v>117</v>
      </c>
      <c r="Z70" s="79"/>
      <c r="AA70" s="283">
        <v>0</v>
      </c>
      <c r="AB70" s="79"/>
      <c r="AC70" s="23"/>
      <c r="AD70" s="23"/>
    </row>
    <row r="71" spans="1:30">
      <c r="A71" s="79">
        <f t="shared" si="3"/>
        <v>70</v>
      </c>
      <c r="B71" s="283">
        <f>YEAR(Table5[[#This Row],[Date]])+IF(MONTH(Table5[[#This Row],[Date]])&gt;=4,1,0)</f>
        <v>2026</v>
      </c>
      <c r="C71" s="79">
        <f>YEAR(Table5[[#This Row],[Date]])</f>
        <v>2025</v>
      </c>
      <c r="D71" s="79" t="s">
        <v>344</v>
      </c>
      <c r="E71" s="284">
        <f>Table5[[#This Row],[Date]]-DAY(Table5[[#This Row],[Date]])+1</f>
        <v>45748</v>
      </c>
      <c r="F71" s="285">
        <v>45772</v>
      </c>
      <c r="G71" s="79" t="s">
        <v>109</v>
      </c>
      <c r="H71" s="23" t="str">
        <f>IFERROR(_xlfn.XLOOKUP(Table5[[#This Row],[Affected WTG]],'Basic Data'!$A:$A,'Basic Data'!$B:$B),"")</f>
        <v>PWEPL</v>
      </c>
      <c r="I71" s="23" t="str">
        <f>IFERROR(_xlfn.XLOOKUP(Table5[[#This Row],[Affected WTG]],'Basic Data'!$A:$A,'Basic Data'!$C:$C),"")</f>
        <v>MSEDCL</v>
      </c>
      <c r="J71" s="286">
        <f>IFERROR(_xlfn.XLOOKUP(Table5[[#This Row],[Affected WTG]],'Basic Data'!$A:$A,'Basic Data'!$E:$E),"")</f>
        <v>2.2727272727272728E-2</v>
      </c>
      <c r="K71" s="79" t="s">
        <v>336</v>
      </c>
      <c r="L71" s="23" t="str">
        <f>IFERROR(_xlfn.XLOOKUP(Table5[[#This Row],[Error Code]],'Basic Data'!$W:$W,'Basic Data'!$X:$X),"Incorrect Error Code")</f>
        <v>Manual Stop - Preventive Maintenance Activity</v>
      </c>
      <c r="M71" s="23" t="s">
        <v>337</v>
      </c>
      <c r="N71" s="23"/>
      <c r="O71" s="287">
        <v>0.41875000000000001</v>
      </c>
      <c r="P71" s="287">
        <v>0.41875000000000001</v>
      </c>
      <c r="Q71" s="287">
        <v>0.75486111111111109</v>
      </c>
      <c r="R71" s="91">
        <f t="shared" si="2"/>
        <v>0.33611111111111108</v>
      </c>
      <c r="S71" s="91">
        <f>(Table5[[#This Row],[Fault Clearance time]]-Table5[[#This Row],[Work Start TimeStamp]])*24</f>
        <v>8.0666666666666664</v>
      </c>
      <c r="T71" s="91">
        <f>(Table5[[#This Row],[Fault Clearance time]]-Table5[[#This Row],[Fault Start TimeStamp]])*24</f>
        <v>8.0666666666666664</v>
      </c>
      <c r="U71" s="23" t="s">
        <v>338</v>
      </c>
      <c r="V71" s="79" t="s">
        <v>339</v>
      </c>
      <c r="W71" s="289">
        <f>IFERROR(Table5[[#This Row],[Breakdown Time]]*Table5[[#This Row],[Plant Equivalent Weightage]],"")</f>
        <v>0.18333333333333332</v>
      </c>
      <c r="X71" s="289" t="s">
        <v>340</v>
      </c>
      <c r="Y71" s="290" t="s">
        <v>114</v>
      </c>
      <c r="Z71" s="79"/>
      <c r="AA71" s="283">
        <v>1670</v>
      </c>
      <c r="AB71" s="79"/>
      <c r="AC71" s="23"/>
      <c r="AD71" s="23"/>
    </row>
    <row r="72" spans="1:30">
      <c r="A72" s="79">
        <f t="shared" si="3"/>
        <v>71</v>
      </c>
      <c r="B72" s="283">
        <f>YEAR(Table5[[#This Row],[Date]])+IF(MONTH(Table5[[#This Row],[Date]])&gt;=4,1,0)</f>
        <v>2026</v>
      </c>
      <c r="C72" s="79">
        <f>YEAR(Table5[[#This Row],[Date]])</f>
        <v>2025</v>
      </c>
      <c r="D72" s="79" t="s">
        <v>344</v>
      </c>
      <c r="E72" s="284">
        <f>Table5[[#This Row],[Date]]-DAY(Table5[[#This Row],[Date]])+1</f>
        <v>45748</v>
      </c>
      <c r="F72" s="285">
        <v>45772</v>
      </c>
      <c r="G72" s="79" t="s">
        <v>113</v>
      </c>
      <c r="H72" s="23" t="str">
        <f>IFERROR(_xlfn.XLOOKUP(Table5[[#This Row],[Affected WTG]],'Basic Data'!$A:$A,'Basic Data'!$B:$B),"")</f>
        <v>PWEPL</v>
      </c>
      <c r="I72" s="23" t="str">
        <f>IFERROR(_xlfn.XLOOKUP(Table5[[#This Row],[Affected WTG]],'Basic Data'!$A:$A,'Basic Data'!$C:$C),"")</f>
        <v>MSEDCL</v>
      </c>
      <c r="J72" s="286">
        <f>IFERROR(_xlfn.XLOOKUP(Table5[[#This Row],[Affected WTG]],'Basic Data'!$A:$A,'Basic Data'!$E:$E),"")</f>
        <v>2.2727272727272728E-2</v>
      </c>
      <c r="K72" s="79">
        <v>430</v>
      </c>
      <c r="L72" s="23" t="str">
        <f>IFERROR(_xlfn.XLOOKUP(Table5[[#This Row],[Error Code]],'Basic Data'!$W:$W,'Basic Data'!$X:$X),"Incorrect Error Code")</f>
        <v xml:space="preserve">Yaw tooth sensor 1 timeout </v>
      </c>
      <c r="M72" s="23" t="s">
        <v>154</v>
      </c>
      <c r="N72" s="23"/>
      <c r="O72" s="287">
        <v>0.59722222222222221</v>
      </c>
      <c r="P72" s="287">
        <v>0.59722222222222221</v>
      </c>
      <c r="Q72" s="287">
        <v>0.68958333333333333</v>
      </c>
      <c r="R72" s="91">
        <f t="shared" si="2"/>
        <v>9.2361111111111116E-2</v>
      </c>
      <c r="S72" s="91">
        <f>(Table5[[#This Row],[Fault Clearance time]]-Table5[[#This Row],[Work Start TimeStamp]])*24</f>
        <v>2.2166666666666668</v>
      </c>
      <c r="T72" s="91">
        <f>(Table5[[#This Row],[Fault Clearance time]]-Table5[[#This Row],[Fault Start TimeStamp]])*24</f>
        <v>2.2166666666666668</v>
      </c>
      <c r="U72" s="23" t="s">
        <v>386</v>
      </c>
      <c r="V72" s="79" t="s">
        <v>339</v>
      </c>
      <c r="W72" s="289">
        <f>IFERROR(Table5[[#This Row],[Breakdown Time]]*Table5[[#This Row],[Plant Equivalent Weightage]],"")</f>
        <v>5.0378787878787884E-2</v>
      </c>
      <c r="X72" s="289" t="s">
        <v>343</v>
      </c>
      <c r="Y72" s="290" t="s">
        <v>114</v>
      </c>
      <c r="Z72" s="79"/>
      <c r="AA72" s="283">
        <v>769</v>
      </c>
      <c r="AB72" s="79"/>
      <c r="AC72" s="23"/>
      <c r="AD72" s="23"/>
    </row>
    <row r="73" spans="1:30">
      <c r="A73" s="79">
        <f t="shared" si="3"/>
        <v>72</v>
      </c>
      <c r="B73" s="283">
        <f>YEAR(Table5[[#This Row],[Date]])+IF(MONTH(Table5[[#This Row],[Date]])&gt;=4,1,0)</f>
        <v>2026</v>
      </c>
      <c r="C73" s="79">
        <f>YEAR(Table5[[#This Row],[Date]])</f>
        <v>2025</v>
      </c>
      <c r="D73" s="79" t="s">
        <v>344</v>
      </c>
      <c r="E73" s="284">
        <f>Table5[[#This Row],[Date]]-DAY(Table5[[#This Row],[Date]])+1</f>
        <v>45748</v>
      </c>
      <c r="F73" s="285">
        <v>45773</v>
      </c>
      <c r="G73" s="79" t="s">
        <v>81</v>
      </c>
      <c r="H73" s="23" t="str">
        <f>IFERROR(_xlfn.XLOOKUP(Table5[[#This Row],[Affected WTG]],'Basic Data'!$A:$A,'Basic Data'!$B:$B),"")</f>
        <v>PWEPL</v>
      </c>
      <c r="I73" s="23" t="str">
        <f>IFERROR(_xlfn.XLOOKUP(Table5[[#This Row],[Affected WTG]],'Basic Data'!$A:$A,'Basic Data'!$C:$C),"")</f>
        <v>MSEDCL</v>
      </c>
      <c r="J73" s="286">
        <f>IFERROR(_xlfn.XLOOKUP(Table5[[#This Row],[Affected WTG]],'Basic Data'!$A:$A,'Basic Data'!$E:$E),"")</f>
        <v>2.2727272727272728E-2</v>
      </c>
      <c r="K73" s="79" t="s">
        <v>336</v>
      </c>
      <c r="L73" s="23" t="str">
        <f>IFERROR(_xlfn.XLOOKUP(Table5[[#This Row],[Error Code]],'Basic Data'!$W:$W,'Basic Data'!$X:$X),"Incorrect Error Code")</f>
        <v>Manual Stop - Preventive Maintenance Activity</v>
      </c>
      <c r="M73" s="23" t="s">
        <v>337</v>
      </c>
      <c r="N73" s="23"/>
      <c r="O73" s="287">
        <v>0.42291666666666666</v>
      </c>
      <c r="P73" s="287">
        <v>0.42291666666666666</v>
      </c>
      <c r="Q73" s="287">
        <v>0.7944444444444444</v>
      </c>
      <c r="R73" s="91">
        <f t="shared" si="2"/>
        <v>0.37152777777777773</v>
      </c>
      <c r="S73" s="91">
        <f>(Table5[[#This Row],[Fault Clearance time]]-Table5[[#This Row],[Work Start TimeStamp]])*24</f>
        <v>8.9166666666666661</v>
      </c>
      <c r="T73" s="91">
        <f>(Table5[[#This Row],[Fault Clearance time]]-Table5[[#This Row],[Fault Start TimeStamp]])*24</f>
        <v>8.9166666666666661</v>
      </c>
      <c r="U73" s="23" t="s">
        <v>338</v>
      </c>
      <c r="V73" s="79" t="s">
        <v>339</v>
      </c>
      <c r="W73" s="289">
        <f>IFERROR(Table5[[#This Row],[Breakdown Time]]*Table5[[#This Row],[Plant Equivalent Weightage]],"")</f>
        <v>0.20265151515151514</v>
      </c>
      <c r="X73" s="289" t="s">
        <v>340</v>
      </c>
      <c r="Y73" s="290" t="s">
        <v>108</v>
      </c>
      <c r="Z73" s="79"/>
      <c r="AA73" s="283">
        <v>2809</v>
      </c>
      <c r="AB73" s="79"/>
      <c r="AC73" s="23"/>
      <c r="AD73" s="23"/>
    </row>
    <row r="74" spans="1:30">
      <c r="A74" s="79">
        <f t="shared" si="3"/>
        <v>73</v>
      </c>
      <c r="B74" s="283">
        <f>YEAR(Table5[[#This Row],[Date]])+IF(MONTH(Table5[[#This Row],[Date]])&gt;=4,1,0)</f>
        <v>2026</v>
      </c>
      <c r="C74" s="79">
        <f>YEAR(Table5[[#This Row],[Date]])</f>
        <v>2025</v>
      </c>
      <c r="D74" s="79" t="s">
        <v>344</v>
      </c>
      <c r="E74" s="284">
        <f>Table5[[#This Row],[Date]]-DAY(Table5[[#This Row],[Date]])+1</f>
        <v>45748</v>
      </c>
      <c r="F74" s="285">
        <v>45773</v>
      </c>
      <c r="G74" s="79" t="s">
        <v>82</v>
      </c>
      <c r="H74" s="23" t="str">
        <f>IFERROR(_xlfn.XLOOKUP(Table5[[#This Row],[Affected WTG]],'Basic Data'!$A:$A,'Basic Data'!$B:$B),"")</f>
        <v>PWEPL</v>
      </c>
      <c r="I74" s="23" t="str">
        <f>IFERROR(_xlfn.XLOOKUP(Table5[[#This Row],[Affected WTG]],'Basic Data'!$A:$A,'Basic Data'!$C:$C),"")</f>
        <v>MSEDCL</v>
      </c>
      <c r="J74" s="286">
        <f>IFERROR(_xlfn.XLOOKUP(Table5[[#This Row],[Affected WTG]],'Basic Data'!$A:$A,'Basic Data'!$E:$E),"")</f>
        <v>2.2727272727272728E-2</v>
      </c>
      <c r="K74" s="79">
        <v>3</v>
      </c>
      <c r="L74" s="23" t="str">
        <f>IFERROR(_xlfn.XLOOKUP(Table5[[#This Row],[Error Code]],'Basic Data'!$W:$W,'Basic Data'!$X:$X),"Incorrect Error Code")</f>
        <v>Manual Stop</v>
      </c>
      <c r="M74" s="23" t="s">
        <v>387</v>
      </c>
      <c r="N74" s="23"/>
      <c r="O74" s="287">
        <v>0.49652777777777773</v>
      </c>
      <c r="P74" s="287">
        <v>0.49652777777777773</v>
      </c>
      <c r="Q74" s="287">
        <v>0.54652777777777783</v>
      </c>
      <c r="R74" s="91">
        <f t="shared" si="2"/>
        <v>5.00000000000001E-2</v>
      </c>
      <c r="S74" s="91">
        <f>(Table5[[#This Row],[Fault Clearance time]]-Table5[[#This Row],[Work Start TimeStamp]])*24</f>
        <v>1.2000000000000024</v>
      </c>
      <c r="T74" s="91">
        <f>(Table5[[#This Row],[Fault Clearance time]]-Table5[[#This Row],[Fault Start TimeStamp]])*24</f>
        <v>1.2000000000000024</v>
      </c>
      <c r="U74" s="23" t="s">
        <v>388</v>
      </c>
      <c r="V74" s="79" t="s">
        <v>339</v>
      </c>
      <c r="W74" s="289">
        <f>IFERROR(Table5[[#This Row],[Breakdown Time]]*Table5[[#This Row],[Plant Equivalent Weightage]],"")</f>
        <v>2.7272727272727327E-2</v>
      </c>
      <c r="X74" s="289" t="s">
        <v>340</v>
      </c>
      <c r="Y74" s="290" t="s">
        <v>93</v>
      </c>
      <c r="Z74" s="79"/>
      <c r="AA74" s="283">
        <v>167</v>
      </c>
      <c r="AB74" s="79"/>
      <c r="AC74" s="23"/>
      <c r="AD74" s="23"/>
    </row>
    <row r="75" spans="1:30">
      <c r="A75" s="79">
        <f t="shared" si="3"/>
        <v>74</v>
      </c>
      <c r="B75" s="283">
        <f>YEAR(Table5[[#This Row],[Date]])+IF(MONTH(Table5[[#This Row],[Date]])&gt;=4,1,0)</f>
        <v>2026</v>
      </c>
      <c r="C75" s="79">
        <f>YEAR(Table5[[#This Row],[Date]])</f>
        <v>2025</v>
      </c>
      <c r="D75" s="79" t="s">
        <v>344</v>
      </c>
      <c r="E75" s="284">
        <f>Table5[[#This Row],[Date]]-DAY(Table5[[#This Row],[Date]])+1</f>
        <v>45748</v>
      </c>
      <c r="F75" s="285">
        <v>45774</v>
      </c>
      <c r="G75" s="79" t="s">
        <v>108</v>
      </c>
      <c r="H75" s="23" t="str">
        <f>IFERROR(_xlfn.XLOOKUP(Table5[[#This Row],[Affected WTG]],'Basic Data'!$A:$A,'Basic Data'!$B:$B),"")</f>
        <v>PWEPL</v>
      </c>
      <c r="I75" s="23" t="str">
        <f>IFERROR(_xlfn.XLOOKUP(Table5[[#This Row],[Affected WTG]],'Basic Data'!$A:$A,'Basic Data'!$C:$C),"")</f>
        <v>MSEDCL</v>
      </c>
      <c r="J75" s="286">
        <f>IFERROR(_xlfn.XLOOKUP(Table5[[#This Row],[Affected WTG]],'Basic Data'!$A:$A,'Basic Data'!$E:$E),"")</f>
        <v>2.2727272727272728E-2</v>
      </c>
      <c r="K75" s="79" t="s">
        <v>336</v>
      </c>
      <c r="L75" s="23" t="str">
        <f>IFERROR(_xlfn.XLOOKUP(Table5[[#This Row],[Error Code]],'Basic Data'!$W:$W,'Basic Data'!$X:$X),"Incorrect Error Code")</f>
        <v>Manual Stop - Preventive Maintenance Activity</v>
      </c>
      <c r="M75" s="23" t="s">
        <v>337</v>
      </c>
      <c r="N75" s="23"/>
      <c r="O75" s="287">
        <v>0.42986111111111108</v>
      </c>
      <c r="P75" s="287">
        <v>0.42986111111111108</v>
      </c>
      <c r="Q75" s="287">
        <v>0.71736111111111101</v>
      </c>
      <c r="R75" s="91">
        <f t="shared" si="2"/>
        <v>0.28749999999999992</v>
      </c>
      <c r="S75" s="91">
        <f>(Table5[[#This Row],[Fault Clearance time]]-Table5[[#This Row],[Work Start TimeStamp]])*24</f>
        <v>6.8999999999999986</v>
      </c>
      <c r="T75" s="91">
        <f>(Table5[[#This Row],[Fault Clearance time]]-Table5[[#This Row],[Fault Start TimeStamp]])*24</f>
        <v>6.8999999999999986</v>
      </c>
      <c r="U75" s="23" t="s">
        <v>338</v>
      </c>
      <c r="V75" s="79" t="s">
        <v>339</v>
      </c>
      <c r="W75" s="289">
        <f>IFERROR(Table5[[#This Row],[Breakdown Time]]*Table5[[#This Row],[Plant Equivalent Weightage]],"")</f>
        <v>0.1568181818181818</v>
      </c>
      <c r="X75" s="289" t="s">
        <v>340</v>
      </c>
      <c r="Y75" s="290" t="s">
        <v>80</v>
      </c>
      <c r="Z75" s="79"/>
      <c r="AA75" s="283">
        <v>1170</v>
      </c>
      <c r="AB75" s="79"/>
      <c r="AC75" s="23"/>
      <c r="AD75" s="23"/>
    </row>
    <row r="76" spans="1:30">
      <c r="A76" s="79">
        <f t="shared" si="3"/>
        <v>75</v>
      </c>
      <c r="B76" s="283">
        <f>YEAR(Table5[[#This Row],[Date]])+IF(MONTH(Table5[[#This Row],[Date]])&gt;=4,1,0)</f>
        <v>2026</v>
      </c>
      <c r="C76" s="79">
        <f>YEAR(Table5[[#This Row],[Date]])</f>
        <v>2025</v>
      </c>
      <c r="D76" s="79" t="s">
        <v>344</v>
      </c>
      <c r="E76" s="284">
        <f>Table5[[#This Row],[Date]]-DAY(Table5[[#This Row],[Date]])+1</f>
        <v>45748</v>
      </c>
      <c r="F76" s="285">
        <v>45775</v>
      </c>
      <c r="G76" s="79" t="s">
        <v>80</v>
      </c>
      <c r="H76" s="23" t="str">
        <f>IFERROR(_xlfn.XLOOKUP(Table5[[#This Row],[Affected WTG]],'Basic Data'!$A:$A,'Basic Data'!$B:$B),"")</f>
        <v>PWEPL</v>
      </c>
      <c r="I76" s="23" t="str">
        <f>IFERROR(_xlfn.XLOOKUP(Table5[[#This Row],[Affected WTG]],'Basic Data'!$A:$A,'Basic Data'!$C:$C),"")</f>
        <v>MSEDCL</v>
      </c>
      <c r="J76" s="286">
        <f>IFERROR(_xlfn.XLOOKUP(Table5[[#This Row],[Affected WTG]],'Basic Data'!$A:$A,'Basic Data'!$E:$E),"")</f>
        <v>2.2727272727272728E-2</v>
      </c>
      <c r="K76" s="79" t="s">
        <v>336</v>
      </c>
      <c r="L76" s="23" t="str">
        <f>IFERROR(_xlfn.XLOOKUP(Table5[[#This Row],[Error Code]],'Basic Data'!$W:$W,'Basic Data'!$X:$X),"Incorrect Error Code")</f>
        <v>Manual Stop - Preventive Maintenance Activity</v>
      </c>
      <c r="M76" s="23" t="s">
        <v>337</v>
      </c>
      <c r="N76" s="23"/>
      <c r="O76" s="287">
        <v>0.43124999999999997</v>
      </c>
      <c r="P76" s="287">
        <v>0.43124999999999997</v>
      </c>
      <c r="Q76" s="287">
        <v>0.7895833333333333</v>
      </c>
      <c r="R76" s="91">
        <f t="shared" si="2"/>
        <v>0.35833333333333334</v>
      </c>
      <c r="S76" s="91">
        <f>(Table5[[#This Row],[Fault Clearance time]]-Table5[[#This Row],[Work Start TimeStamp]])*24</f>
        <v>8.6</v>
      </c>
      <c r="T76" s="91">
        <f>(Table5[[#This Row],[Fault Clearance time]]-Table5[[#This Row],[Fault Start TimeStamp]])*24</f>
        <v>8.6</v>
      </c>
      <c r="U76" s="23" t="s">
        <v>338</v>
      </c>
      <c r="V76" s="79" t="s">
        <v>339</v>
      </c>
      <c r="W76" s="289">
        <f>IFERROR(Table5[[#This Row],[Breakdown Time]]*Table5[[#This Row],[Plant Equivalent Weightage]],"")</f>
        <v>0.19545454545454546</v>
      </c>
      <c r="X76" s="289" t="s">
        <v>340</v>
      </c>
      <c r="Y76" s="290" t="s">
        <v>108</v>
      </c>
      <c r="Z76" s="79"/>
      <c r="AA76" s="283">
        <v>2101</v>
      </c>
      <c r="AB76" s="79"/>
      <c r="AC76" s="23"/>
      <c r="AD76" s="23"/>
    </row>
    <row r="77" spans="1:30">
      <c r="A77" s="79">
        <f t="shared" si="3"/>
        <v>76</v>
      </c>
      <c r="B77" s="283">
        <f>YEAR(Table5[[#This Row],[Date]])+IF(MONTH(Table5[[#This Row],[Date]])&gt;=4,1,0)</f>
        <v>2026</v>
      </c>
      <c r="C77" s="79">
        <f>YEAR(Table5[[#This Row],[Date]])</f>
        <v>2025</v>
      </c>
      <c r="D77" s="79" t="s">
        <v>344</v>
      </c>
      <c r="E77" s="284">
        <f>Table5[[#This Row],[Date]]-DAY(Table5[[#This Row],[Date]])+1</f>
        <v>45748</v>
      </c>
      <c r="F77" s="285">
        <v>45775</v>
      </c>
      <c r="G77" s="79" t="s">
        <v>116</v>
      </c>
      <c r="H77" s="23" t="str">
        <f>IFERROR(_xlfn.XLOOKUP(Table5[[#This Row],[Affected WTG]],'Basic Data'!$A:$A,'Basic Data'!$B:$B),"")</f>
        <v>PWEPL</v>
      </c>
      <c r="I77" s="23" t="str">
        <f>IFERROR(_xlfn.XLOOKUP(Table5[[#This Row],[Affected WTG]],'Basic Data'!$A:$A,'Basic Data'!$C:$C),"")</f>
        <v>MSEDCL</v>
      </c>
      <c r="J77" s="286">
        <f>IFERROR(_xlfn.XLOOKUP(Table5[[#This Row],[Affected WTG]],'Basic Data'!$A:$A,'Basic Data'!$E:$E),"")</f>
        <v>2.2727272727272728E-2</v>
      </c>
      <c r="K77" s="79">
        <v>60</v>
      </c>
      <c r="L77" s="23" t="str">
        <f>IFERROR(_xlfn.XLOOKUP(Table5[[#This Row],[Error Code]],'Basic Data'!$W:$W,'Basic Data'!$X:$X),"Incorrect Error Code")</f>
        <v>Yaw limit switch activated</v>
      </c>
      <c r="M77" s="23" t="s">
        <v>357</v>
      </c>
      <c r="N77" s="23"/>
      <c r="O77" s="287">
        <v>0.51388888888888895</v>
      </c>
      <c r="P77" s="287">
        <v>0.51388888888888895</v>
      </c>
      <c r="Q77" s="287">
        <v>0.57638888888888895</v>
      </c>
      <c r="R77" s="91">
        <f t="shared" si="2"/>
        <v>6.25E-2</v>
      </c>
      <c r="S77" s="91">
        <f>(Table5[[#This Row],[Fault Clearance time]]-Table5[[#This Row],[Work Start TimeStamp]])*24</f>
        <v>1.5</v>
      </c>
      <c r="T77" s="91">
        <f>(Table5[[#This Row],[Fault Clearance time]]-Table5[[#This Row],[Fault Start TimeStamp]])*24</f>
        <v>1.5</v>
      </c>
      <c r="U77" s="23" t="s">
        <v>358</v>
      </c>
      <c r="V77" s="79" t="s">
        <v>339</v>
      </c>
      <c r="W77" s="289">
        <f>IFERROR(Table5[[#This Row],[Breakdown Time]]*Table5[[#This Row],[Plant Equivalent Weightage]],"")</f>
        <v>3.4090909090909088E-2</v>
      </c>
      <c r="X77" s="289" t="s">
        <v>343</v>
      </c>
      <c r="Y77" s="290" t="s">
        <v>117</v>
      </c>
      <c r="Z77" s="79"/>
      <c r="AA77" s="283">
        <v>96</v>
      </c>
      <c r="AB77" s="79"/>
      <c r="AC77" s="23"/>
      <c r="AD77" s="23"/>
    </row>
    <row r="78" spans="1:30">
      <c r="A78" s="79">
        <f t="shared" si="3"/>
        <v>77</v>
      </c>
      <c r="B78" s="283">
        <f>YEAR(Table5[[#This Row],[Date]])+IF(MONTH(Table5[[#This Row],[Date]])&gt;=4,1,0)</f>
        <v>2026</v>
      </c>
      <c r="C78" s="79">
        <f>YEAR(Table5[[#This Row],[Date]])</f>
        <v>2025</v>
      </c>
      <c r="D78" s="79" t="s">
        <v>344</v>
      </c>
      <c r="E78" s="284">
        <f>Table5[[#This Row],[Date]]-DAY(Table5[[#This Row],[Date]])+1</f>
        <v>45748</v>
      </c>
      <c r="F78" s="285">
        <v>45776</v>
      </c>
      <c r="G78" s="79" t="s">
        <v>107</v>
      </c>
      <c r="H78" s="23" t="str">
        <f>IFERROR(_xlfn.XLOOKUP(Table5[[#This Row],[Affected WTG]],'Basic Data'!$A:$A,'Basic Data'!$B:$B),"")</f>
        <v>PWEPL</v>
      </c>
      <c r="I78" s="23" t="str">
        <f>IFERROR(_xlfn.XLOOKUP(Table5[[#This Row],[Affected WTG]],'Basic Data'!$A:$A,'Basic Data'!$C:$C),"")</f>
        <v>MSEDCL</v>
      </c>
      <c r="J78" s="286">
        <f>IFERROR(_xlfn.XLOOKUP(Table5[[#This Row],[Affected WTG]],'Basic Data'!$A:$A,'Basic Data'!$E:$E),"")</f>
        <v>2.2727272727272728E-2</v>
      </c>
      <c r="K78" s="79" t="s">
        <v>336</v>
      </c>
      <c r="L78" s="23" t="str">
        <f>IFERROR(_xlfn.XLOOKUP(Table5[[#This Row],[Error Code]],'Basic Data'!$W:$W,'Basic Data'!$X:$X),"Incorrect Error Code")</f>
        <v>Manual Stop - Preventive Maintenance Activity</v>
      </c>
      <c r="M78" s="23" t="s">
        <v>337</v>
      </c>
      <c r="N78" s="23"/>
      <c r="O78" s="287">
        <v>0.36180555555555555</v>
      </c>
      <c r="P78" s="287">
        <v>0.36180555555555555</v>
      </c>
      <c r="Q78" s="287">
        <v>0.69652777777777775</v>
      </c>
      <c r="R78" s="91">
        <f t="shared" si="2"/>
        <v>0.3347222222222222</v>
      </c>
      <c r="S78" s="91">
        <f>(Table5[[#This Row],[Fault Clearance time]]-Table5[[#This Row],[Work Start TimeStamp]])*24</f>
        <v>8.0333333333333332</v>
      </c>
      <c r="T78" s="91">
        <f>(Table5[[#This Row],[Fault Clearance time]]-Table5[[#This Row],[Fault Start TimeStamp]])*24</f>
        <v>8.0333333333333332</v>
      </c>
      <c r="U78" s="23" t="s">
        <v>338</v>
      </c>
      <c r="V78" s="79" t="s">
        <v>339</v>
      </c>
      <c r="W78" s="289">
        <f>IFERROR(Table5[[#This Row],[Breakdown Time]]*Table5[[#This Row],[Plant Equivalent Weightage]],"")</f>
        <v>0.18257575757575759</v>
      </c>
      <c r="X78" s="289" t="s">
        <v>340</v>
      </c>
      <c r="Y78" s="290" t="s">
        <v>80</v>
      </c>
      <c r="Z78" s="79"/>
      <c r="AA78" s="283">
        <v>1659</v>
      </c>
      <c r="AB78" s="79"/>
      <c r="AC78" s="23"/>
      <c r="AD78" s="23"/>
    </row>
    <row r="79" spans="1:30">
      <c r="A79" s="79">
        <f t="shared" si="3"/>
        <v>78</v>
      </c>
      <c r="B79" s="283">
        <f>YEAR(Table5[[#This Row],[Date]])+IF(MONTH(Table5[[#This Row],[Date]])&gt;=4,1,0)</f>
        <v>2026</v>
      </c>
      <c r="C79" s="79">
        <f>YEAR(Table5[[#This Row],[Date]])</f>
        <v>2025</v>
      </c>
      <c r="D79" s="79" t="s">
        <v>344</v>
      </c>
      <c r="E79" s="284">
        <f>Table5[[#This Row],[Date]]-DAY(Table5[[#This Row],[Date]])+1</f>
        <v>45748</v>
      </c>
      <c r="F79" s="285">
        <v>45776</v>
      </c>
      <c r="G79" s="79" t="s">
        <v>104</v>
      </c>
      <c r="H79" s="23" t="str">
        <f>IFERROR(_xlfn.XLOOKUP(Table5[[#This Row],[Affected WTG]],'Basic Data'!$A:$A,'Basic Data'!$B:$B),"")</f>
        <v>PWEPL</v>
      </c>
      <c r="I79" s="23" t="str">
        <f>IFERROR(_xlfn.XLOOKUP(Table5[[#This Row],[Affected WTG]],'Basic Data'!$A:$A,'Basic Data'!$C:$C),"")</f>
        <v>MSEDCL</v>
      </c>
      <c r="J79" s="286">
        <f>IFERROR(_xlfn.XLOOKUP(Table5[[#This Row],[Affected WTG]],'Basic Data'!$A:$A,'Basic Data'!$E:$E),"")</f>
        <v>2.2727272727272728E-2</v>
      </c>
      <c r="K79" s="79">
        <v>201</v>
      </c>
      <c r="L79" s="23" t="str">
        <f>IFERROR(_xlfn.XLOOKUP(Table5[[#This Row],[Error Code]],'Basic Data'!$W:$W,'Basic Data'!$X:$X),"Incorrect Error Code")</f>
        <v xml:space="preserve"> PLC fault 24V Supply</v>
      </c>
      <c r="M79" s="23" t="s">
        <v>366</v>
      </c>
      <c r="N79" s="23"/>
      <c r="O79" s="287">
        <v>0.45902777777777781</v>
      </c>
      <c r="P79" s="287">
        <v>0.45902777777777781</v>
      </c>
      <c r="Q79" s="287">
        <v>0.46319444444444446</v>
      </c>
      <c r="R79" s="91">
        <f t="shared" si="2"/>
        <v>4.1666666666666519E-3</v>
      </c>
      <c r="S79" s="91">
        <f>(Table5[[#This Row],[Fault Clearance time]]-Table5[[#This Row],[Work Start TimeStamp]])*24</f>
        <v>9.9999999999999645E-2</v>
      </c>
      <c r="T79" s="91">
        <f>(Table5[[#This Row],[Fault Clearance time]]-Table5[[#This Row],[Fault Start TimeStamp]])*24</f>
        <v>9.9999999999999645E-2</v>
      </c>
      <c r="U79" s="23" t="s">
        <v>353</v>
      </c>
      <c r="V79" s="79" t="s">
        <v>339</v>
      </c>
      <c r="W79" s="289">
        <f>IFERROR(Table5[[#This Row],[Breakdown Time]]*Table5[[#This Row],[Plant Equivalent Weightage]],"")</f>
        <v>2.2727272727272648E-3</v>
      </c>
      <c r="X79" s="289" t="s">
        <v>343</v>
      </c>
      <c r="Y79" s="290" t="s">
        <v>79</v>
      </c>
      <c r="Z79" s="79"/>
      <c r="AA79" s="283">
        <v>0</v>
      </c>
      <c r="AB79" s="79"/>
      <c r="AC79" s="23"/>
      <c r="AD79" s="23"/>
    </row>
    <row r="80" spans="1:30">
      <c r="A80" s="79">
        <f t="shared" si="3"/>
        <v>79</v>
      </c>
      <c r="B80" s="283">
        <f>YEAR(Table5[[#This Row],[Date]])+IF(MONTH(Table5[[#This Row],[Date]])&gt;=4,1,0)</f>
        <v>2026</v>
      </c>
      <c r="C80" s="79">
        <f>YEAR(Table5[[#This Row],[Date]])</f>
        <v>2025</v>
      </c>
      <c r="D80" s="79" t="s">
        <v>344</v>
      </c>
      <c r="E80" s="284">
        <f>Table5[[#This Row],[Date]]-DAY(Table5[[#This Row],[Date]])+1</f>
        <v>45748</v>
      </c>
      <c r="F80" s="285">
        <v>45777</v>
      </c>
      <c r="G80" s="79" t="s">
        <v>87</v>
      </c>
      <c r="H80" s="23" t="str">
        <f>IFERROR(_xlfn.XLOOKUP(Table5[[#This Row],[Affected WTG]],'Basic Data'!$A:$A,'Basic Data'!$B:$B),"")</f>
        <v>PWEPL</v>
      </c>
      <c r="I80" s="23" t="str">
        <f>IFERROR(_xlfn.XLOOKUP(Table5[[#This Row],[Affected WTG]],'Basic Data'!$A:$A,'Basic Data'!$C:$C),"")</f>
        <v>MSEDCL</v>
      </c>
      <c r="J80" s="286">
        <f>IFERROR(_xlfn.XLOOKUP(Table5[[#This Row],[Affected WTG]],'Basic Data'!$A:$A,'Basic Data'!$E:$E),"")</f>
        <v>2.2727272727272728E-2</v>
      </c>
      <c r="K80" s="79">
        <v>275</v>
      </c>
      <c r="L80" s="23" t="str">
        <f>IFERROR(_xlfn.XLOOKUP(Table5[[#This Row],[Error Code]],'Basic Data'!$W:$W,'Basic Data'!$X:$X),"Incorrect Error Code")</f>
        <v>Pitch thyristor 2 fault</v>
      </c>
      <c r="M80" s="23" t="s">
        <v>389</v>
      </c>
      <c r="N80" s="23"/>
      <c r="O80" s="287">
        <v>0.2638888888888889</v>
      </c>
      <c r="P80" s="287">
        <v>0.2638888888888889</v>
      </c>
      <c r="Q80" s="287">
        <v>0.50416666666666665</v>
      </c>
      <c r="R80" s="91">
        <f t="shared" si="2"/>
        <v>0.24027777777777776</v>
      </c>
      <c r="S80" s="91">
        <f>(Table5[[#This Row],[Fault Clearance time]]-Table5[[#This Row],[Work Start TimeStamp]])*24</f>
        <v>5.7666666666666657</v>
      </c>
      <c r="T80" s="91">
        <f>(Table5[[#This Row],[Fault Clearance time]]-Table5[[#This Row],[Fault Start TimeStamp]])*24</f>
        <v>5.7666666666666657</v>
      </c>
      <c r="U80" s="23" t="s">
        <v>390</v>
      </c>
      <c r="V80" s="79" t="s">
        <v>339</v>
      </c>
      <c r="W80" s="289">
        <f>IFERROR(Table5[[#This Row],[Breakdown Time]]*Table5[[#This Row],[Plant Equivalent Weightage]],"")</f>
        <v>0.13106060606060604</v>
      </c>
      <c r="X80" s="289" t="s">
        <v>343</v>
      </c>
      <c r="Y80" s="290" t="s">
        <v>86</v>
      </c>
      <c r="Z80" s="79"/>
      <c r="AA80" s="283">
        <v>354</v>
      </c>
      <c r="AB80" s="79"/>
      <c r="AC80" s="23"/>
      <c r="AD80" s="23"/>
    </row>
    <row r="81" spans="1:30">
      <c r="A81" s="79">
        <f t="shared" si="3"/>
        <v>80</v>
      </c>
      <c r="B81" s="283">
        <f>YEAR(Table5[[#This Row],[Date]])+IF(MONTH(Table5[[#This Row],[Date]])&gt;=4,1,0)</f>
        <v>2026</v>
      </c>
      <c r="C81" s="79">
        <f>YEAR(Table5[[#This Row],[Date]])</f>
        <v>2025</v>
      </c>
      <c r="D81" s="79" t="s">
        <v>344</v>
      </c>
      <c r="E81" s="284">
        <f>Table5[[#This Row],[Date]]-DAY(Table5[[#This Row],[Date]])+1</f>
        <v>45748</v>
      </c>
      <c r="F81" s="285">
        <v>45777</v>
      </c>
      <c r="G81" s="79" t="s">
        <v>82</v>
      </c>
      <c r="H81" s="23" t="str">
        <f>IFERROR(_xlfn.XLOOKUP(Table5[[#This Row],[Affected WTG]],'Basic Data'!$A:$A,'Basic Data'!$B:$B),"")</f>
        <v>PWEPL</v>
      </c>
      <c r="I81" s="23" t="str">
        <f>IFERROR(_xlfn.XLOOKUP(Table5[[#This Row],[Affected WTG]],'Basic Data'!$A:$A,'Basic Data'!$C:$C),"")</f>
        <v>MSEDCL</v>
      </c>
      <c r="J81" s="286">
        <f>IFERROR(_xlfn.XLOOKUP(Table5[[#This Row],[Affected WTG]],'Basic Data'!$A:$A,'Basic Data'!$E:$E),"")</f>
        <v>2.2727272727272728E-2</v>
      </c>
      <c r="K81" s="79" t="s">
        <v>336</v>
      </c>
      <c r="L81" s="23" t="str">
        <f>IFERROR(_xlfn.XLOOKUP(Table5[[#This Row],[Error Code]],'Basic Data'!$W:$W,'Basic Data'!$X:$X),"Incorrect Error Code")</f>
        <v>Manual Stop - Preventive Maintenance Activity</v>
      </c>
      <c r="M81" s="23" t="s">
        <v>350</v>
      </c>
      <c r="N81" s="23"/>
      <c r="O81" s="287">
        <v>0.51041666666666663</v>
      </c>
      <c r="P81" s="287">
        <v>0.51041666666666663</v>
      </c>
      <c r="Q81" s="287">
        <v>0.54513888888888895</v>
      </c>
      <c r="R81" s="91">
        <f t="shared" si="2"/>
        <v>3.4722222222222321E-2</v>
      </c>
      <c r="S81" s="91">
        <f>(Table5[[#This Row],[Fault Clearance time]]-Table5[[#This Row],[Work Start TimeStamp]])*24</f>
        <v>0.8333333333333357</v>
      </c>
      <c r="T81" s="91">
        <f>(Table5[[#This Row],[Fault Clearance time]]-Table5[[#This Row],[Fault Start TimeStamp]])*24</f>
        <v>0.8333333333333357</v>
      </c>
      <c r="U81" s="23" t="s">
        <v>351</v>
      </c>
      <c r="V81" s="79" t="s">
        <v>339</v>
      </c>
      <c r="W81" s="289">
        <f>IFERROR(Table5[[#This Row],[Breakdown Time]]*Table5[[#This Row],[Plant Equivalent Weightage]],"")</f>
        <v>1.8939393939393995E-2</v>
      </c>
      <c r="X81" s="289" t="s">
        <v>340</v>
      </c>
      <c r="Y81" s="290" t="s">
        <v>93</v>
      </c>
      <c r="Z81" s="79"/>
      <c r="AA81" s="283">
        <v>282</v>
      </c>
      <c r="AB81" s="79"/>
      <c r="AC81" s="23"/>
      <c r="AD81" s="23"/>
    </row>
    <row r="82" spans="1:30">
      <c r="A82" s="79">
        <f t="shared" si="3"/>
        <v>81</v>
      </c>
      <c r="B82" s="283">
        <f>YEAR(Table5[[#This Row],[Date]])+IF(MONTH(Table5[[#This Row],[Date]])&gt;=4,1,0)</f>
        <v>2026</v>
      </c>
      <c r="C82" s="79">
        <f>YEAR(Table5[[#This Row],[Date]])</f>
        <v>2025</v>
      </c>
      <c r="D82" s="79" t="s">
        <v>344</v>
      </c>
      <c r="E82" s="284">
        <f>Table5[[#This Row],[Date]]-DAY(Table5[[#This Row],[Date]])+1</f>
        <v>45748</v>
      </c>
      <c r="F82" s="285">
        <v>45777</v>
      </c>
      <c r="G82" s="79" t="s">
        <v>119</v>
      </c>
      <c r="H82" s="23" t="str">
        <f>IFERROR(_xlfn.XLOOKUP(Table5[[#This Row],[Affected WTG]],'Basic Data'!$A:$A,'Basic Data'!$B:$B),"")</f>
        <v>PWEPL</v>
      </c>
      <c r="I82" s="23" t="str">
        <f>IFERROR(_xlfn.XLOOKUP(Table5[[#This Row],[Affected WTG]],'Basic Data'!$A:$A,'Basic Data'!$C:$C),"")</f>
        <v>MSEDCL</v>
      </c>
      <c r="J82" s="286">
        <f>IFERROR(_xlfn.XLOOKUP(Table5[[#This Row],[Affected WTG]],'Basic Data'!$A:$A,'Basic Data'!$E:$E),"")</f>
        <v>2.2727272727272728E-2</v>
      </c>
      <c r="K82" s="79" t="s">
        <v>336</v>
      </c>
      <c r="L82" s="23" t="str">
        <f>IFERROR(_xlfn.XLOOKUP(Table5[[#This Row],[Error Code]],'Basic Data'!$W:$W,'Basic Data'!$X:$X),"Incorrect Error Code")</f>
        <v>Manual Stop - Preventive Maintenance Activity</v>
      </c>
      <c r="M82" s="23" t="s">
        <v>350</v>
      </c>
      <c r="N82" s="23"/>
      <c r="O82" s="287">
        <v>0.55208333333333337</v>
      </c>
      <c r="P82" s="287">
        <v>0.55208333333333337</v>
      </c>
      <c r="Q82" s="287">
        <v>0.57777777777777783</v>
      </c>
      <c r="R82" s="91">
        <f t="shared" si="2"/>
        <v>2.5694444444444464E-2</v>
      </c>
      <c r="S82" s="91">
        <f>(Table5[[#This Row],[Fault Clearance time]]-Table5[[#This Row],[Work Start TimeStamp]])*24</f>
        <v>0.61666666666666714</v>
      </c>
      <c r="T82" s="91">
        <f>(Table5[[#This Row],[Fault Clearance time]]-Table5[[#This Row],[Fault Start TimeStamp]])*24</f>
        <v>0.61666666666666714</v>
      </c>
      <c r="U82" s="23" t="s">
        <v>351</v>
      </c>
      <c r="V82" s="79" t="s">
        <v>339</v>
      </c>
      <c r="W82" s="289">
        <f>IFERROR(Table5[[#This Row],[Breakdown Time]]*Table5[[#This Row],[Plant Equivalent Weightage]],"")</f>
        <v>1.4015151515151526E-2</v>
      </c>
      <c r="X82" s="289" t="s">
        <v>340</v>
      </c>
      <c r="Y82" s="290" t="s">
        <v>118</v>
      </c>
      <c r="Z82" s="79"/>
      <c r="AA82" s="283">
        <v>235</v>
      </c>
      <c r="AB82" s="79"/>
      <c r="AC82" s="23"/>
      <c r="AD82" s="23"/>
    </row>
    <row r="83" spans="1:30">
      <c r="A83" s="79">
        <f t="shared" si="3"/>
        <v>82</v>
      </c>
      <c r="B83" s="283">
        <f>YEAR(Table5[[#This Row],[Date]])+IF(MONTH(Table5[[#This Row],[Date]])&gt;=4,1,0)</f>
        <v>2026</v>
      </c>
      <c r="C83" s="79">
        <f>YEAR(Table5[[#This Row],[Date]])</f>
        <v>2025</v>
      </c>
      <c r="D83" s="79" t="s">
        <v>344</v>
      </c>
      <c r="E83" s="284">
        <f>Table5[[#This Row],[Date]]-DAY(Table5[[#This Row],[Date]])+1</f>
        <v>45748</v>
      </c>
      <c r="F83" s="285">
        <v>45777</v>
      </c>
      <c r="G83" s="79" t="s">
        <v>118</v>
      </c>
      <c r="H83" s="23" t="str">
        <f>IFERROR(_xlfn.XLOOKUP(Table5[[#This Row],[Affected WTG]],'Basic Data'!$A:$A,'Basic Data'!$B:$B),"")</f>
        <v>PWEPL</v>
      </c>
      <c r="I83" s="23" t="str">
        <f>IFERROR(_xlfn.XLOOKUP(Table5[[#This Row],[Affected WTG]],'Basic Data'!$A:$A,'Basic Data'!$C:$C),"")</f>
        <v>MSEDCL</v>
      </c>
      <c r="J83" s="286">
        <f>IFERROR(_xlfn.XLOOKUP(Table5[[#This Row],[Affected WTG]],'Basic Data'!$A:$A,'Basic Data'!$E:$E),"")</f>
        <v>2.2727272727272728E-2</v>
      </c>
      <c r="K83" s="79" t="s">
        <v>336</v>
      </c>
      <c r="L83" s="23" t="str">
        <f>IFERROR(_xlfn.XLOOKUP(Table5[[#This Row],[Error Code]],'Basic Data'!$W:$W,'Basic Data'!$X:$X),"Incorrect Error Code")</f>
        <v>Manual Stop - Preventive Maintenance Activity</v>
      </c>
      <c r="M83" s="23" t="s">
        <v>350</v>
      </c>
      <c r="N83" s="23"/>
      <c r="O83" s="287">
        <v>0.62569444444444444</v>
      </c>
      <c r="P83" s="287">
        <v>0.62569444444444444</v>
      </c>
      <c r="Q83" s="287">
        <v>0.65138888888888891</v>
      </c>
      <c r="R83" s="91">
        <f t="shared" si="2"/>
        <v>2.5694444444444464E-2</v>
      </c>
      <c r="S83" s="91">
        <f>(Table5[[#This Row],[Fault Clearance time]]-Table5[[#This Row],[Work Start TimeStamp]])*24</f>
        <v>0.61666666666666714</v>
      </c>
      <c r="T83" s="91">
        <f>(Table5[[#This Row],[Fault Clearance time]]-Table5[[#This Row],[Fault Start TimeStamp]])*24</f>
        <v>0.61666666666666714</v>
      </c>
      <c r="U83" s="23" t="s">
        <v>351</v>
      </c>
      <c r="V83" s="79" t="s">
        <v>339</v>
      </c>
      <c r="W83" s="289">
        <f>IFERROR(Table5[[#This Row],[Breakdown Time]]*Table5[[#This Row],[Plant Equivalent Weightage]],"")</f>
        <v>1.4015151515151526E-2</v>
      </c>
      <c r="X83" s="289" t="s">
        <v>340</v>
      </c>
      <c r="Y83" s="290" t="s">
        <v>119</v>
      </c>
      <c r="Z83" s="79"/>
      <c r="AA83" s="283">
        <v>302</v>
      </c>
      <c r="AB83" s="79"/>
      <c r="AC83" s="23"/>
      <c r="AD83" s="23"/>
    </row>
    <row r="84" spans="1:30">
      <c r="A84" s="79">
        <f t="shared" si="3"/>
        <v>83</v>
      </c>
      <c r="B84" s="283">
        <f>YEAR(Table5[[#This Row],[Date]])+IF(MONTH(Table5[[#This Row],[Date]])&gt;=4,1,0)</f>
        <v>2026</v>
      </c>
      <c r="C84" s="79">
        <f>YEAR(Table5[[#This Row],[Date]])</f>
        <v>2025</v>
      </c>
      <c r="D84" s="79" t="s">
        <v>344</v>
      </c>
      <c r="E84" s="284">
        <f>Table5[[#This Row],[Date]]-DAY(Table5[[#This Row],[Date]])+1</f>
        <v>45748</v>
      </c>
      <c r="F84" s="285">
        <v>45777</v>
      </c>
      <c r="G84" s="79" t="s">
        <v>111</v>
      </c>
      <c r="H84" s="23" t="str">
        <f>IFERROR(_xlfn.XLOOKUP(Table5[[#This Row],[Affected WTG]],'Basic Data'!$A:$A,'Basic Data'!$B:$B),"")</f>
        <v>PWEPL</v>
      </c>
      <c r="I84" s="23" t="str">
        <f>IFERROR(_xlfn.XLOOKUP(Table5[[#This Row],[Affected WTG]],'Basic Data'!$A:$A,'Basic Data'!$C:$C),"")</f>
        <v>MSEDCL</v>
      </c>
      <c r="J84" s="286">
        <f>IFERROR(_xlfn.XLOOKUP(Table5[[#This Row],[Affected WTG]],'Basic Data'!$A:$A,'Basic Data'!$E:$E),"")</f>
        <v>2.2727272727272728E-2</v>
      </c>
      <c r="K84" s="79" t="s">
        <v>336</v>
      </c>
      <c r="L84" s="23" t="str">
        <f>IFERROR(_xlfn.XLOOKUP(Table5[[#This Row],[Error Code]],'Basic Data'!$W:$W,'Basic Data'!$X:$X),"Incorrect Error Code")</f>
        <v>Manual Stop - Preventive Maintenance Activity</v>
      </c>
      <c r="M84" s="23" t="s">
        <v>350</v>
      </c>
      <c r="N84" s="23"/>
      <c r="O84" s="287">
        <v>0.66319444444444442</v>
      </c>
      <c r="P84" s="287">
        <v>0.66319444444444442</v>
      </c>
      <c r="Q84" s="287">
        <v>0.69374999999999998</v>
      </c>
      <c r="R84" s="91">
        <f t="shared" si="2"/>
        <v>3.0555555555555558E-2</v>
      </c>
      <c r="S84" s="91">
        <f>(Table5[[#This Row],[Fault Clearance time]]-Table5[[#This Row],[Work Start TimeStamp]])*24</f>
        <v>0.73333333333333339</v>
      </c>
      <c r="T84" s="91">
        <f>(Table5[[#This Row],[Fault Clearance time]]-Table5[[#This Row],[Fault Start TimeStamp]])*24</f>
        <v>0.73333333333333339</v>
      </c>
      <c r="U84" s="23" t="s">
        <v>351</v>
      </c>
      <c r="V84" s="79" t="s">
        <v>339</v>
      </c>
      <c r="W84" s="289">
        <f>IFERROR(Table5[[#This Row],[Breakdown Time]]*Table5[[#This Row],[Plant Equivalent Weightage]],"")</f>
        <v>1.666666666666667E-2</v>
      </c>
      <c r="X84" s="289" t="s">
        <v>340</v>
      </c>
      <c r="Y84" s="290" t="s">
        <v>112</v>
      </c>
      <c r="Z84" s="79"/>
      <c r="AA84" s="283">
        <v>470</v>
      </c>
      <c r="AB84" s="79"/>
      <c r="AC84" s="23"/>
      <c r="AD84" s="23"/>
    </row>
    <row r="85" spans="1:30">
      <c r="A85" s="79">
        <f t="shared" si="3"/>
        <v>84</v>
      </c>
      <c r="B85" s="283">
        <f>YEAR(Table5[[#This Row],[Date]])+IF(MONTH(Table5[[#This Row],[Date]])&gt;=4,1,0)</f>
        <v>2026</v>
      </c>
      <c r="C85" s="79">
        <f>YEAR(Table5[[#This Row],[Date]])</f>
        <v>2025</v>
      </c>
      <c r="D85" s="79" t="s">
        <v>344</v>
      </c>
      <c r="E85" s="284">
        <f>Table5[[#This Row],[Date]]-DAY(Table5[[#This Row],[Date]])+1</f>
        <v>45748</v>
      </c>
      <c r="F85" s="285">
        <v>45777</v>
      </c>
      <c r="G85" s="79" t="s">
        <v>112</v>
      </c>
      <c r="H85" s="23" t="str">
        <f>IFERROR(_xlfn.XLOOKUP(Table5[[#This Row],[Affected WTG]],'Basic Data'!$A:$A,'Basic Data'!$B:$B),"")</f>
        <v>PWEPL</v>
      </c>
      <c r="I85" s="23" t="str">
        <f>IFERROR(_xlfn.XLOOKUP(Table5[[#This Row],[Affected WTG]],'Basic Data'!$A:$A,'Basic Data'!$C:$C),"")</f>
        <v>MSEDCL</v>
      </c>
      <c r="J85" s="286">
        <f>IFERROR(_xlfn.XLOOKUP(Table5[[#This Row],[Affected WTG]],'Basic Data'!$A:$A,'Basic Data'!$E:$E),"")</f>
        <v>2.2727272727272728E-2</v>
      </c>
      <c r="K85" s="79" t="s">
        <v>336</v>
      </c>
      <c r="L85" s="23" t="str">
        <f>IFERROR(_xlfn.XLOOKUP(Table5[[#This Row],[Error Code]],'Basic Data'!$W:$W,'Basic Data'!$X:$X),"Incorrect Error Code")</f>
        <v>Manual Stop - Preventive Maintenance Activity</v>
      </c>
      <c r="M85" s="23" t="s">
        <v>350</v>
      </c>
      <c r="N85" s="23"/>
      <c r="O85" s="287">
        <v>0.6972222222222223</v>
      </c>
      <c r="P85" s="287">
        <v>0.6972222222222223</v>
      </c>
      <c r="Q85" s="287">
        <v>0.72291666666666676</v>
      </c>
      <c r="R85" s="91">
        <f t="shared" si="2"/>
        <v>2.5694444444444464E-2</v>
      </c>
      <c r="S85" s="91">
        <f>(Table5[[#This Row],[Fault Clearance time]]-Table5[[#This Row],[Work Start TimeStamp]])*24</f>
        <v>0.61666666666666714</v>
      </c>
      <c r="T85" s="91">
        <f>(Table5[[#This Row],[Fault Clearance time]]-Table5[[#This Row],[Fault Start TimeStamp]])*24</f>
        <v>0.61666666666666714</v>
      </c>
      <c r="U85" s="23" t="s">
        <v>351</v>
      </c>
      <c r="V85" s="79" t="s">
        <v>339</v>
      </c>
      <c r="W85" s="289">
        <f>IFERROR(Table5[[#This Row],[Breakdown Time]]*Table5[[#This Row],[Plant Equivalent Weightage]],"")</f>
        <v>1.4015151515151526E-2</v>
      </c>
      <c r="X85" s="289" t="s">
        <v>340</v>
      </c>
      <c r="Y85" s="290" t="s">
        <v>111</v>
      </c>
      <c r="Z85" s="79"/>
      <c r="AA85" s="283">
        <v>425</v>
      </c>
      <c r="AB85" s="79"/>
      <c r="AC85" s="23"/>
      <c r="AD85" s="23"/>
    </row>
    <row r="86" spans="1:30">
      <c r="A86" s="79">
        <f t="shared" si="3"/>
        <v>85</v>
      </c>
      <c r="B86" s="283">
        <f>YEAR(Table5[[#This Row],[Date]])+IF(MONTH(Table5[[#This Row],[Date]])&gt;=4,1,0)</f>
        <v>2026</v>
      </c>
      <c r="C86" s="79">
        <f>YEAR(Table5[[#This Row],[Date]])</f>
        <v>2025</v>
      </c>
      <c r="D86" s="79" t="s">
        <v>344</v>
      </c>
      <c r="E86" s="284">
        <f>Table5[[#This Row],[Date]]-DAY(Table5[[#This Row],[Date]])+1</f>
        <v>45778</v>
      </c>
      <c r="F86" s="285">
        <v>45778</v>
      </c>
      <c r="G86" s="79" t="s">
        <v>97</v>
      </c>
      <c r="H86" s="23" t="str">
        <f>IFERROR(_xlfn.XLOOKUP(Table5[[#This Row],[Affected WTG]],'Basic Data'!$A:$A,'Basic Data'!$B:$B),"")</f>
        <v>PWEPL</v>
      </c>
      <c r="I86" s="23" t="str">
        <f>IFERROR(_xlfn.XLOOKUP(Table5[[#This Row],[Affected WTG]],'Basic Data'!$A:$A,'Basic Data'!$C:$C),"")</f>
        <v>MSEDCL</v>
      </c>
      <c r="J86" s="286">
        <f>IFERROR(_xlfn.XLOOKUP(Table5[[#This Row],[Affected WTG]],'Basic Data'!$A:$A,'Basic Data'!$E:$E),"")</f>
        <v>2.2727272727272728E-2</v>
      </c>
      <c r="K86" s="79">
        <v>157</v>
      </c>
      <c r="L86" s="23" t="str">
        <f>IFERROR(_xlfn.XLOOKUP(Table5[[#This Row],[Error Code]],'Basic Data'!$W:$W,'Basic Data'!$X:$X),"Incorrect Error Code")</f>
        <v>Brake does not close</v>
      </c>
      <c r="M86" s="23" t="s">
        <v>391</v>
      </c>
      <c r="N86" s="23"/>
      <c r="O86" s="287">
        <v>0.38611111111111113</v>
      </c>
      <c r="P86" s="287">
        <v>0.38611111111111113</v>
      </c>
      <c r="Q86" s="287">
        <v>0.39305555555555555</v>
      </c>
      <c r="R86" s="91">
        <f t="shared" si="2"/>
        <v>6.9444444444444198E-3</v>
      </c>
      <c r="S86" s="91">
        <f>(Table5[[#This Row],[Fault Clearance time]]-Table5[[#This Row],[Work Start TimeStamp]])*24</f>
        <v>0.16666666666666607</v>
      </c>
      <c r="T86" s="91">
        <f>(Table5[[#This Row],[Fault Clearance time]]-Table5[[#This Row],[Fault Start TimeStamp]])*24</f>
        <v>0.16666666666666607</v>
      </c>
      <c r="U86" s="23" t="s">
        <v>353</v>
      </c>
      <c r="V86" s="79" t="s">
        <v>339</v>
      </c>
      <c r="W86" s="289">
        <f>IFERROR(Table5[[#This Row],[Breakdown Time]]*Table5[[#This Row],[Plant Equivalent Weightage]],"")</f>
        <v>3.7878787878787745E-3</v>
      </c>
      <c r="X86" s="289" t="s">
        <v>343</v>
      </c>
      <c r="Y86" s="290" t="s">
        <v>96</v>
      </c>
      <c r="Z86" s="79"/>
      <c r="AA86" s="283">
        <v>0</v>
      </c>
      <c r="AB86" s="79"/>
      <c r="AC86" s="23"/>
      <c r="AD86" s="23"/>
    </row>
    <row r="87" spans="1:30">
      <c r="A87" s="79">
        <f t="shared" si="3"/>
        <v>86</v>
      </c>
      <c r="B87" s="283">
        <f>YEAR(Table5[[#This Row],[Date]])+IF(MONTH(Table5[[#This Row],[Date]])&gt;=4,1,0)</f>
        <v>2026</v>
      </c>
      <c r="C87" s="79">
        <f>YEAR(Table5[[#This Row],[Date]])</f>
        <v>2025</v>
      </c>
      <c r="D87" s="79" t="s">
        <v>344</v>
      </c>
      <c r="E87" s="284">
        <f>Table5[[#This Row],[Date]]-DAY(Table5[[#This Row],[Date]])+1</f>
        <v>45778</v>
      </c>
      <c r="F87" s="285">
        <v>45778</v>
      </c>
      <c r="G87" s="79" t="s">
        <v>113</v>
      </c>
      <c r="H87" s="23" t="str">
        <f>IFERROR(_xlfn.XLOOKUP(Table5[[#This Row],[Affected WTG]],'Basic Data'!$A:$A,'Basic Data'!$B:$B),"")</f>
        <v>PWEPL</v>
      </c>
      <c r="I87" s="23" t="str">
        <f>IFERROR(_xlfn.XLOOKUP(Table5[[#This Row],[Affected WTG]],'Basic Data'!$A:$A,'Basic Data'!$C:$C),"")</f>
        <v>MSEDCL</v>
      </c>
      <c r="J87" s="286">
        <f>IFERROR(_xlfn.XLOOKUP(Table5[[#This Row],[Affected WTG]],'Basic Data'!$A:$A,'Basic Data'!$E:$E),"")</f>
        <v>2.2727272727272728E-2</v>
      </c>
      <c r="K87" s="79" t="s">
        <v>336</v>
      </c>
      <c r="L87" s="23" t="str">
        <f>IFERROR(_xlfn.XLOOKUP(Table5[[#This Row],[Error Code]],'Basic Data'!$W:$W,'Basic Data'!$X:$X),"Incorrect Error Code")</f>
        <v>Manual Stop - Preventive Maintenance Activity</v>
      </c>
      <c r="M87" s="23" t="s">
        <v>350</v>
      </c>
      <c r="N87" s="23"/>
      <c r="O87" s="287">
        <v>0.44027777777777777</v>
      </c>
      <c r="P87" s="287">
        <v>0.44027777777777777</v>
      </c>
      <c r="Q87" s="287">
        <v>0.5083333333333333</v>
      </c>
      <c r="R87" s="91">
        <f t="shared" si="2"/>
        <v>6.8055555555555536E-2</v>
      </c>
      <c r="S87" s="91">
        <f>(Table5[[#This Row],[Fault Clearance time]]-Table5[[#This Row],[Work Start TimeStamp]])*24</f>
        <v>1.6333333333333329</v>
      </c>
      <c r="T87" s="91">
        <f>(Table5[[#This Row],[Fault Clearance time]]-Table5[[#This Row],[Fault Start TimeStamp]])*24</f>
        <v>1.6333333333333329</v>
      </c>
      <c r="U87" s="23" t="s">
        <v>351</v>
      </c>
      <c r="V87" s="79" t="s">
        <v>339</v>
      </c>
      <c r="W87" s="289">
        <f>IFERROR(Table5[[#This Row],[Breakdown Time]]*Table5[[#This Row],[Plant Equivalent Weightage]],"")</f>
        <v>3.712121212121211E-2</v>
      </c>
      <c r="X87" s="289" t="s">
        <v>340</v>
      </c>
      <c r="Y87" s="290" t="s">
        <v>114</v>
      </c>
      <c r="Z87" s="79"/>
      <c r="AA87" s="283">
        <v>23</v>
      </c>
      <c r="AB87" s="79"/>
      <c r="AC87" s="23"/>
      <c r="AD87" s="23"/>
    </row>
    <row r="88" spans="1:30">
      <c r="A88" s="79">
        <f t="shared" si="3"/>
        <v>87</v>
      </c>
      <c r="B88" s="283">
        <f>YEAR(Table5[[#This Row],[Date]])+IF(MONTH(Table5[[#This Row],[Date]])&gt;=4,1,0)</f>
        <v>2026</v>
      </c>
      <c r="C88" s="79">
        <f>YEAR(Table5[[#This Row],[Date]])</f>
        <v>2025</v>
      </c>
      <c r="D88" s="79" t="s">
        <v>344</v>
      </c>
      <c r="E88" s="284">
        <f>Table5[[#This Row],[Date]]-DAY(Table5[[#This Row],[Date]])+1</f>
        <v>45778</v>
      </c>
      <c r="F88" s="285">
        <v>45778</v>
      </c>
      <c r="G88" s="79" t="s">
        <v>114</v>
      </c>
      <c r="H88" s="23" t="str">
        <f>IFERROR(_xlfn.XLOOKUP(Table5[[#This Row],[Affected WTG]],'Basic Data'!$A:$A,'Basic Data'!$B:$B),"")</f>
        <v>PWEPL</v>
      </c>
      <c r="I88" s="23" t="str">
        <f>IFERROR(_xlfn.XLOOKUP(Table5[[#This Row],[Affected WTG]],'Basic Data'!$A:$A,'Basic Data'!$C:$C),"")</f>
        <v>MSEDCL</v>
      </c>
      <c r="J88" s="286">
        <f>IFERROR(_xlfn.XLOOKUP(Table5[[#This Row],[Affected WTG]],'Basic Data'!$A:$A,'Basic Data'!$E:$E),"")</f>
        <v>2.2727272727272728E-2</v>
      </c>
      <c r="K88" s="79" t="s">
        <v>336</v>
      </c>
      <c r="L88" s="23" t="str">
        <f>IFERROR(_xlfn.XLOOKUP(Table5[[#This Row],[Error Code]],'Basic Data'!$W:$W,'Basic Data'!$X:$X),"Incorrect Error Code")</f>
        <v>Manual Stop - Preventive Maintenance Activity</v>
      </c>
      <c r="M88" s="23" t="s">
        <v>350</v>
      </c>
      <c r="N88" s="23"/>
      <c r="O88" s="287">
        <v>0.51944444444444449</v>
      </c>
      <c r="P88" s="287">
        <v>0.51944444444444449</v>
      </c>
      <c r="Q88" s="287">
        <v>0.55208333333333337</v>
      </c>
      <c r="R88" s="91">
        <f t="shared" si="2"/>
        <v>3.2638888888888884E-2</v>
      </c>
      <c r="S88" s="91">
        <f>(Table5[[#This Row],[Fault Clearance time]]-Table5[[#This Row],[Work Start TimeStamp]])*24</f>
        <v>0.78333333333333321</v>
      </c>
      <c r="T88" s="91">
        <f>(Table5[[#This Row],[Fault Clearance time]]-Table5[[#This Row],[Fault Start TimeStamp]])*24</f>
        <v>0.78333333333333321</v>
      </c>
      <c r="U88" s="23" t="s">
        <v>351</v>
      </c>
      <c r="V88" s="79" t="s">
        <v>339</v>
      </c>
      <c r="W88" s="289">
        <f>IFERROR(Table5[[#This Row],[Breakdown Time]]*Table5[[#This Row],[Plant Equivalent Weightage]],"")</f>
        <v>1.78030303030303E-2</v>
      </c>
      <c r="X88" s="289" t="s">
        <v>340</v>
      </c>
      <c r="Y88" s="290" t="s">
        <v>113</v>
      </c>
      <c r="Z88" s="79"/>
      <c r="AA88" s="283">
        <v>125</v>
      </c>
      <c r="AB88" s="79"/>
      <c r="AC88" s="23"/>
      <c r="AD88" s="23"/>
    </row>
    <row r="89" spans="1:30">
      <c r="A89" s="79">
        <f t="shared" si="3"/>
        <v>88</v>
      </c>
      <c r="B89" s="283">
        <f>YEAR(Table5[[#This Row],[Date]])+IF(MONTH(Table5[[#This Row],[Date]])&gt;=4,1,0)</f>
        <v>2026</v>
      </c>
      <c r="C89" s="79">
        <f>YEAR(Table5[[#This Row],[Date]])</f>
        <v>2025</v>
      </c>
      <c r="D89" s="79" t="s">
        <v>344</v>
      </c>
      <c r="E89" s="284">
        <f>Table5[[#This Row],[Date]]-DAY(Table5[[#This Row],[Date]])+1</f>
        <v>45778</v>
      </c>
      <c r="F89" s="285">
        <v>45778</v>
      </c>
      <c r="G89" s="79" t="s">
        <v>109</v>
      </c>
      <c r="H89" s="23" t="str">
        <f>IFERROR(_xlfn.XLOOKUP(Table5[[#This Row],[Affected WTG]],'Basic Data'!$A:$A,'Basic Data'!$B:$B),"")</f>
        <v>PWEPL</v>
      </c>
      <c r="I89" s="23" t="str">
        <f>IFERROR(_xlfn.XLOOKUP(Table5[[#This Row],[Affected WTG]],'Basic Data'!$A:$A,'Basic Data'!$C:$C),"")</f>
        <v>MSEDCL</v>
      </c>
      <c r="J89" s="286">
        <f>IFERROR(_xlfn.XLOOKUP(Table5[[#This Row],[Affected WTG]],'Basic Data'!$A:$A,'Basic Data'!$E:$E),"")</f>
        <v>2.2727272727272728E-2</v>
      </c>
      <c r="K89" s="79" t="s">
        <v>336</v>
      </c>
      <c r="L89" s="23" t="str">
        <f>IFERROR(_xlfn.XLOOKUP(Table5[[#This Row],[Error Code]],'Basic Data'!$W:$W,'Basic Data'!$X:$X),"Incorrect Error Code")</f>
        <v>Manual Stop - Preventive Maintenance Activity</v>
      </c>
      <c r="M89" s="23" t="s">
        <v>350</v>
      </c>
      <c r="N89" s="23"/>
      <c r="O89" s="287">
        <v>0.59791666666666665</v>
      </c>
      <c r="P89" s="287">
        <v>0.59791666666666665</v>
      </c>
      <c r="Q89" s="287">
        <v>0.65138888888888891</v>
      </c>
      <c r="R89" s="91">
        <f t="shared" si="2"/>
        <v>5.3472222222222254E-2</v>
      </c>
      <c r="S89" s="91">
        <f>(Table5[[#This Row],[Fault Clearance time]]-Table5[[#This Row],[Work Start TimeStamp]])*24</f>
        <v>1.2833333333333341</v>
      </c>
      <c r="T89" s="91">
        <f>(Table5[[#This Row],[Fault Clearance time]]-Table5[[#This Row],[Fault Start TimeStamp]])*24</f>
        <v>1.2833333333333341</v>
      </c>
      <c r="U89" s="23" t="s">
        <v>351</v>
      </c>
      <c r="V89" s="79" t="s">
        <v>339</v>
      </c>
      <c r="W89" s="289">
        <f>IFERROR(Table5[[#This Row],[Breakdown Time]]*Table5[[#This Row],[Plant Equivalent Weightage]],"")</f>
        <v>2.9166666666666684E-2</v>
      </c>
      <c r="X89" s="289" t="s">
        <v>340</v>
      </c>
      <c r="Y89" s="290" t="s">
        <v>114</v>
      </c>
      <c r="Z89" s="79"/>
      <c r="AA89" s="283">
        <v>291</v>
      </c>
      <c r="AB89" s="79"/>
      <c r="AC89" s="23"/>
      <c r="AD89" s="23"/>
    </row>
    <row r="90" spans="1:30">
      <c r="A90" s="79">
        <f t="shared" si="3"/>
        <v>89</v>
      </c>
      <c r="B90" s="283">
        <f>YEAR(Table5[[#This Row],[Date]])+IF(MONTH(Table5[[#This Row],[Date]])&gt;=4,1,0)</f>
        <v>2026</v>
      </c>
      <c r="C90" s="79">
        <f>YEAR(Table5[[#This Row],[Date]])</f>
        <v>2025</v>
      </c>
      <c r="D90" s="79" t="s">
        <v>344</v>
      </c>
      <c r="E90" s="284">
        <f>Table5[[#This Row],[Date]]-DAY(Table5[[#This Row],[Date]])+1</f>
        <v>45778</v>
      </c>
      <c r="F90" s="285">
        <v>45779</v>
      </c>
      <c r="G90" s="79" t="s">
        <v>93</v>
      </c>
      <c r="H90" s="23" t="str">
        <f>IFERROR(_xlfn.XLOOKUP(Table5[[#This Row],[Affected WTG]],'Basic Data'!$A:$A,'Basic Data'!$B:$B),"")</f>
        <v>PWEPL</v>
      </c>
      <c r="I90" s="23" t="str">
        <f>IFERROR(_xlfn.XLOOKUP(Table5[[#This Row],[Affected WTG]],'Basic Data'!$A:$A,'Basic Data'!$C:$C),"")</f>
        <v>MSEDCL</v>
      </c>
      <c r="J90" s="286">
        <f>IFERROR(_xlfn.XLOOKUP(Table5[[#This Row],[Affected WTG]],'Basic Data'!$A:$A,'Basic Data'!$E:$E),"")</f>
        <v>2.2727272727272728E-2</v>
      </c>
      <c r="K90" s="79">
        <v>3</v>
      </c>
      <c r="L90" s="23" t="str">
        <f>IFERROR(_xlfn.XLOOKUP(Table5[[#This Row],[Error Code]],'Basic Data'!$W:$W,'Basic Data'!$X:$X),"Incorrect Error Code")</f>
        <v>Manual Stop</v>
      </c>
      <c r="M90" s="23" t="s">
        <v>392</v>
      </c>
      <c r="N90" s="23"/>
      <c r="O90" s="287">
        <v>0.48472222222222222</v>
      </c>
      <c r="P90" s="287">
        <v>0.48472222222222222</v>
      </c>
      <c r="Q90" s="287">
        <v>0.59166666666666667</v>
      </c>
      <c r="R90" s="91">
        <f t="shared" si="2"/>
        <v>0.10694444444444445</v>
      </c>
      <c r="S90" s="91">
        <f>(Table5[[#This Row],[Fault Clearance time]]-Table5[[#This Row],[Work Start TimeStamp]])*24</f>
        <v>2.5666666666666669</v>
      </c>
      <c r="T90" s="91">
        <f>(Table5[[#This Row],[Fault Clearance time]]-Table5[[#This Row],[Fault Start TimeStamp]])*24</f>
        <v>2.5666666666666669</v>
      </c>
      <c r="U90" s="23" t="s">
        <v>393</v>
      </c>
      <c r="V90" s="79" t="s">
        <v>339</v>
      </c>
      <c r="W90" s="289">
        <f>IFERROR(Table5[[#This Row],[Breakdown Time]]*Table5[[#This Row],[Plant Equivalent Weightage]],"")</f>
        <v>5.8333333333333341E-2</v>
      </c>
      <c r="X90" s="289" t="s">
        <v>394</v>
      </c>
      <c r="Y90" s="290" t="s">
        <v>82</v>
      </c>
      <c r="Z90" s="79"/>
      <c r="AA90" s="283">
        <v>196</v>
      </c>
      <c r="AB90" s="79"/>
      <c r="AC90" s="23"/>
      <c r="AD90" s="23"/>
    </row>
    <row r="91" spans="1:30">
      <c r="A91" s="79">
        <f t="shared" si="3"/>
        <v>90</v>
      </c>
      <c r="B91" s="283">
        <f>YEAR(Table5[[#This Row],[Date]])+IF(MONTH(Table5[[#This Row],[Date]])&gt;=4,1,0)</f>
        <v>2026</v>
      </c>
      <c r="C91" s="79">
        <f>YEAR(Table5[[#This Row],[Date]])</f>
        <v>2025</v>
      </c>
      <c r="D91" s="79" t="s">
        <v>344</v>
      </c>
      <c r="E91" s="284">
        <f>Table5[[#This Row],[Date]]-DAY(Table5[[#This Row],[Date]])+1</f>
        <v>45778</v>
      </c>
      <c r="F91" s="285">
        <v>45779</v>
      </c>
      <c r="G91" s="79" t="s">
        <v>81</v>
      </c>
      <c r="H91" s="23" t="str">
        <f>IFERROR(_xlfn.XLOOKUP(Table5[[#This Row],[Affected WTG]],'Basic Data'!$A:$A,'Basic Data'!$B:$B),"")</f>
        <v>PWEPL</v>
      </c>
      <c r="I91" s="23" t="str">
        <f>IFERROR(_xlfn.XLOOKUP(Table5[[#This Row],[Affected WTG]],'Basic Data'!$A:$A,'Basic Data'!$C:$C),"")</f>
        <v>MSEDCL</v>
      </c>
      <c r="J91" s="286">
        <f>IFERROR(_xlfn.XLOOKUP(Table5[[#This Row],[Affected WTG]],'Basic Data'!$A:$A,'Basic Data'!$E:$E),"")</f>
        <v>2.2727272727272728E-2</v>
      </c>
      <c r="K91" s="79" t="s">
        <v>336</v>
      </c>
      <c r="L91" s="23" t="str">
        <f>IFERROR(_xlfn.XLOOKUP(Table5[[#This Row],[Error Code]],'Basic Data'!$W:$W,'Basic Data'!$X:$X),"Incorrect Error Code")</f>
        <v>Manual Stop - Preventive Maintenance Activity</v>
      </c>
      <c r="M91" s="23" t="s">
        <v>350</v>
      </c>
      <c r="N91" s="23"/>
      <c r="O91" s="287">
        <v>0.50347222222222221</v>
      </c>
      <c r="P91" s="287">
        <v>0.50347222222222221</v>
      </c>
      <c r="Q91" s="287">
        <v>0.54791666666666672</v>
      </c>
      <c r="R91" s="91">
        <f t="shared" si="2"/>
        <v>4.4444444444444509E-2</v>
      </c>
      <c r="S91" s="91">
        <f>(Table5[[#This Row],[Fault Clearance time]]-Table5[[#This Row],[Work Start TimeStamp]])*24</f>
        <v>1.0666666666666682</v>
      </c>
      <c r="T91" s="91">
        <f>(Table5[[#This Row],[Fault Clearance time]]-Table5[[#This Row],[Fault Start TimeStamp]])*24</f>
        <v>1.0666666666666682</v>
      </c>
      <c r="U91" s="23" t="s">
        <v>351</v>
      </c>
      <c r="V91" s="79" t="s">
        <v>339</v>
      </c>
      <c r="W91" s="289">
        <f>IFERROR(Table5[[#This Row],[Breakdown Time]]*Table5[[#This Row],[Plant Equivalent Weightage]],"")</f>
        <v>2.4242424242424277E-2</v>
      </c>
      <c r="X91" s="289" t="s">
        <v>340</v>
      </c>
      <c r="Y91" s="290" t="s">
        <v>108</v>
      </c>
      <c r="Z91" s="79"/>
      <c r="AA91" s="283">
        <v>2025</v>
      </c>
      <c r="AB91" s="79"/>
      <c r="AC91" s="23"/>
      <c r="AD91" s="23"/>
    </row>
    <row r="92" spans="1:30">
      <c r="A92" s="79">
        <f t="shared" si="3"/>
        <v>91</v>
      </c>
      <c r="B92" s="283">
        <f>YEAR(Table5[[#This Row],[Date]])+IF(MONTH(Table5[[#This Row],[Date]])&gt;=4,1,0)</f>
        <v>2026</v>
      </c>
      <c r="C92" s="79">
        <f>YEAR(Table5[[#This Row],[Date]])</f>
        <v>2025</v>
      </c>
      <c r="D92" s="79" t="s">
        <v>344</v>
      </c>
      <c r="E92" s="284">
        <f>Table5[[#This Row],[Date]]-DAY(Table5[[#This Row],[Date]])+1</f>
        <v>45778</v>
      </c>
      <c r="F92" s="285">
        <v>45779</v>
      </c>
      <c r="G92" s="79" t="s">
        <v>108</v>
      </c>
      <c r="H92" s="23" t="str">
        <f>IFERROR(_xlfn.XLOOKUP(Table5[[#This Row],[Affected WTG]],'Basic Data'!$A:$A,'Basic Data'!$B:$B),"")</f>
        <v>PWEPL</v>
      </c>
      <c r="I92" s="23" t="str">
        <f>IFERROR(_xlfn.XLOOKUP(Table5[[#This Row],[Affected WTG]],'Basic Data'!$A:$A,'Basic Data'!$C:$C),"")</f>
        <v>MSEDCL</v>
      </c>
      <c r="J92" s="286">
        <f>IFERROR(_xlfn.XLOOKUP(Table5[[#This Row],[Affected WTG]],'Basic Data'!$A:$A,'Basic Data'!$E:$E),"")</f>
        <v>2.2727272727272728E-2</v>
      </c>
      <c r="K92" s="79" t="s">
        <v>336</v>
      </c>
      <c r="L92" s="23" t="str">
        <f>IFERROR(_xlfn.XLOOKUP(Table5[[#This Row],[Error Code]],'Basic Data'!$W:$W,'Basic Data'!$X:$X),"Incorrect Error Code")</f>
        <v>Manual Stop - Preventive Maintenance Activity</v>
      </c>
      <c r="M92" s="23" t="s">
        <v>350</v>
      </c>
      <c r="N92" s="23"/>
      <c r="O92" s="287">
        <v>0.55277777777777781</v>
      </c>
      <c r="P92" s="287">
        <v>0.55277777777777781</v>
      </c>
      <c r="Q92" s="287">
        <v>0.58958333333333335</v>
      </c>
      <c r="R92" s="91">
        <f t="shared" si="2"/>
        <v>3.6805555555555536E-2</v>
      </c>
      <c r="S92" s="91">
        <f>(Table5[[#This Row],[Fault Clearance time]]-Table5[[#This Row],[Work Start TimeStamp]])*24</f>
        <v>0.88333333333333286</v>
      </c>
      <c r="T92" s="91">
        <f>(Table5[[#This Row],[Fault Clearance time]]-Table5[[#This Row],[Fault Start TimeStamp]])*24</f>
        <v>0.88333333333333286</v>
      </c>
      <c r="U92" s="23" t="s">
        <v>351</v>
      </c>
      <c r="V92" s="79" t="s">
        <v>339</v>
      </c>
      <c r="W92" s="289">
        <f>IFERROR(Table5[[#This Row],[Breakdown Time]]*Table5[[#This Row],[Plant Equivalent Weightage]],"")</f>
        <v>2.0075757575757566E-2</v>
      </c>
      <c r="X92" s="289" t="s">
        <v>340</v>
      </c>
      <c r="Y92" s="290" t="s">
        <v>80</v>
      </c>
      <c r="Z92" s="79"/>
      <c r="AA92" s="283">
        <v>167</v>
      </c>
      <c r="AB92" s="79"/>
      <c r="AC92" s="23"/>
      <c r="AD92" s="23"/>
    </row>
    <row r="93" spans="1:30">
      <c r="A93" s="79">
        <f t="shared" si="3"/>
        <v>92</v>
      </c>
      <c r="B93" s="283">
        <f>YEAR(Table5[[#This Row],[Date]])+IF(MONTH(Table5[[#This Row],[Date]])&gt;=4,1,0)</f>
        <v>2026</v>
      </c>
      <c r="C93" s="79">
        <f>YEAR(Table5[[#This Row],[Date]])</f>
        <v>2025</v>
      </c>
      <c r="D93" s="79" t="s">
        <v>344</v>
      </c>
      <c r="E93" s="284">
        <f>Table5[[#This Row],[Date]]-DAY(Table5[[#This Row],[Date]])+1</f>
        <v>45778</v>
      </c>
      <c r="F93" s="285">
        <v>45779</v>
      </c>
      <c r="G93" s="79" t="s">
        <v>80</v>
      </c>
      <c r="H93" s="23" t="str">
        <f>IFERROR(_xlfn.XLOOKUP(Table5[[#This Row],[Affected WTG]],'Basic Data'!$A:$A,'Basic Data'!$B:$B),"")</f>
        <v>PWEPL</v>
      </c>
      <c r="I93" s="23" t="str">
        <f>IFERROR(_xlfn.XLOOKUP(Table5[[#This Row],[Affected WTG]],'Basic Data'!$A:$A,'Basic Data'!$C:$C),"")</f>
        <v>MSEDCL</v>
      </c>
      <c r="J93" s="286">
        <f>IFERROR(_xlfn.XLOOKUP(Table5[[#This Row],[Affected WTG]],'Basic Data'!$A:$A,'Basic Data'!$E:$E),"")</f>
        <v>2.2727272727272728E-2</v>
      </c>
      <c r="K93" s="79" t="s">
        <v>336</v>
      </c>
      <c r="L93" s="23" t="str">
        <f>IFERROR(_xlfn.XLOOKUP(Table5[[#This Row],[Error Code]],'Basic Data'!$W:$W,'Basic Data'!$X:$X),"Incorrect Error Code")</f>
        <v>Manual Stop - Preventive Maintenance Activity</v>
      </c>
      <c r="M93" s="23" t="s">
        <v>350</v>
      </c>
      <c r="N93" s="23"/>
      <c r="O93" s="287">
        <v>0.63194444444444442</v>
      </c>
      <c r="P93" s="287">
        <v>0.63194444444444442</v>
      </c>
      <c r="Q93" s="287">
        <v>0.66180555555555554</v>
      </c>
      <c r="R93" s="91">
        <f t="shared" si="2"/>
        <v>2.9861111111111116E-2</v>
      </c>
      <c r="S93" s="91">
        <f>(Table5[[#This Row],[Fault Clearance time]]-Table5[[#This Row],[Work Start TimeStamp]])*24</f>
        <v>0.71666666666666679</v>
      </c>
      <c r="T93" s="91">
        <f>(Table5[[#This Row],[Fault Clearance time]]-Table5[[#This Row],[Fault Start TimeStamp]])*24</f>
        <v>0.71666666666666679</v>
      </c>
      <c r="U93" s="23" t="s">
        <v>351</v>
      </c>
      <c r="V93" s="79" t="s">
        <v>339</v>
      </c>
      <c r="W93" s="289">
        <f>IFERROR(Table5[[#This Row],[Breakdown Time]]*Table5[[#This Row],[Plant Equivalent Weightage]],"")</f>
        <v>1.6287878787878792E-2</v>
      </c>
      <c r="X93" s="289" t="s">
        <v>340</v>
      </c>
      <c r="Y93" s="290" t="s">
        <v>108</v>
      </c>
      <c r="Z93" s="79"/>
      <c r="AA93" s="283">
        <v>385</v>
      </c>
      <c r="AB93" s="79"/>
      <c r="AC93" s="23"/>
      <c r="AD93" s="23"/>
    </row>
    <row r="94" spans="1:30">
      <c r="A94" s="79">
        <f t="shared" si="3"/>
        <v>93</v>
      </c>
      <c r="B94" s="283">
        <f>YEAR(Table5[[#This Row],[Date]])+IF(MONTH(Table5[[#This Row],[Date]])&gt;=4,1,0)</f>
        <v>2026</v>
      </c>
      <c r="C94" s="79">
        <f>YEAR(Table5[[#This Row],[Date]])</f>
        <v>2025</v>
      </c>
      <c r="D94" s="79" t="s">
        <v>344</v>
      </c>
      <c r="E94" s="284">
        <f>Table5[[#This Row],[Date]]-DAY(Table5[[#This Row],[Date]])+1</f>
        <v>45778</v>
      </c>
      <c r="F94" s="285">
        <v>45779</v>
      </c>
      <c r="G94" s="79" t="s">
        <v>104</v>
      </c>
      <c r="H94" s="23" t="str">
        <f>IFERROR(_xlfn.XLOOKUP(Table5[[#This Row],[Affected WTG]],'Basic Data'!$A:$A,'Basic Data'!$B:$B),"")</f>
        <v>PWEPL</v>
      </c>
      <c r="I94" s="23" t="str">
        <f>IFERROR(_xlfn.XLOOKUP(Table5[[#This Row],[Affected WTG]],'Basic Data'!$A:$A,'Basic Data'!$C:$C),"")</f>
        <v>MSEDCL</v>
      </c>
      <c r="J94" s="286">
        <f>IFERROR(_xlfn.XLOOKUP(Table5[[#This Row],[Affected WTG]],'Basic Data'!$A:$A,'Basic Data'!$E:$E),"")</f>
        <v>2.2727272727272728E-2</v>
      </c>
      <c r="K94" s="79">
        <v>3</v>
      </c>
      <c r="L94" s="23" t="str">
        <f>IFERROR(_xlfn.XLOOKUP(Table5[[#This Row],[Error Code]],'Basic Data'!$W:$W,'Basic Data'!$X:$X),"Incorrect Error Code")</f>
        <v>Manual Stop</v>
      </c>
      <c r="M94" s="23" t="s">
        <v>392</v>
      </c>
      <c r="N94" s="23"/>
      <c r="O94" s="287">
        <v>0.65625</v>
      </c>
      <c r="P94" s="287">
        <v>0.65625</v>
      </c>
      <c r="Q94" s="287">
        <v>0.7319444444444444</v>
      </c>
      <c r="R94" s="91">
        <f t="shared" si="2"/>
        <v>7.5694444444444398E-2</v>
      </c>
      <c r="S94" s="91">
        <f>(Table5[[#This Row],[Fault Clearance time]]-Table5[[#This Row],[Work Start TimeStamp]])*24</f>
        <v>1.8166666666666655</v>
      </c>
      <c r="T94" s="91">
        <f>(Table5[[#This Row],[Fault Clearance time]]-Table5[[#This Row],[Fault Start TimeStamp]])*24</f>
        <v>1.8166666666666655</v>
      </c>
      <c r="U94" s="23" t="s">
        <v>393</v>
      </c>
      <c r="V94" s="79" t="s">
        <v>339</v>
      </c>
      <c r="W94" s="289">
        <f>IFERROR(Table5[[#This Row],[Breakdown Time]]*Table5[[#This Row],[Plant Equivalent Weightage]],"")</f>
        <v>4.1287878787878762E-2</v>
      </c>
      <c r="X94" s="289" t="s">
        <v>394</v>
      </c>
      <c r="Y94" s="290" t="s">
        <v>79</v>
      </c>
      <c r="Z94" s="79"/>
      <c r="AA94" s="283">
        <v>792</v>
      </c>
      <c r="AB94" s="79"/>
      <c r="AC94" s="23"/>
      <c r="AD94" s="23"/>
    </row>
    <row r="95" spans="1:30">
      <c r="A95" s="79">
        <f t="shared" si="3"/>
        <v>94</v>
      </c>
      <c r="B95" s="283">
        <f>YEAR(Table5[[#This Row],[Date]])+IF(MONTH(Table5[[#This Row],[Date]])&gt;=4,1,0)</f>
        <v>2026</v>
      </c>
      <c r="C95" s="79">
        <f>YEAR(Table5[[#This Row],[Date]])</f>
        <v>2025</v>
      </c>
      <c r="D95" s="79" t="s">
        <v>344</v>
      </c>
      <c r="E95" s="284">
        <f>Table5[[#This Row],[Date]]-DAY(Table5[[#This Row],[Date]])+1</f>
        <v>45778</v>
      </c>
      <c r="F95" s="285">
        <v>45779</v>
      </c>
      <c r="G95" s="79" t="s">
        <v>107</v>
      </c>
      <c r="H95" s="23" t="str">
        <f>IFERROR(_xlfn.XLOOKUP(Table5[[#This Row],[Affected WTG]],'Basic Data'!$A:$A,'Basic Data'!$B:$B),"")</f>
        <v>PWEPL</v>
      </c>
      <c r="I95" s="23" t="str">
        <f>IFERROR(_xlfn.XLOOKUP(Table5[[#This Row],[Affected WTG]],'Basic Data'!$A:$A,'Basic Data'!$C:$C),"")</f>
        <v>MSEDCL</v>
      </c>
      <c r="J95" s="286">
        <f>IFERROR(_xlfn.XLOOKUP(Table5[[#This Row],[Affected WTG]],'Basic Data'!$A:$A,'Basic Data'!$E:$E),"")</f>
        <v>2.2727272727272728E-2</v>
      </c>
      <c r="K95" s="79" t="s">
        <v>336</v>
      </c>
      <c r="L95" s="23" t="str">
        <f>IFERROR(_xlfn.XLOOKUP(Table5[[#This Row],[Error Code]],'Basic Data'!$W:$W,'Basic Data'!$X:$X),"Incorrect Error Code")</f>
        <v>Manual Stop - Preventive Maintenance Activity</v>
      </c>
      <c r="M95" s="23" t="s">
        <v>350</v>
      </c>
      <c r="N95" s="23"/>
      <c r="O95" s="287">
        <v>0.6694444444444444</v>
      </c>
      <c r="P95" s="287">
        <v>0.6694444444444444</v>
      </c>
      <c r="Q95" s="287">
        <v>0.6972222222222223</v>
      </c>
      <c r="R95" s="91">
        <f t="shared" si="2"/>
        <v>2.7777777777777901E-2</v>
      </c>
      <c r="S95" s="91">
        <f>(Table5[[#This Row],[Fault Clearance time]]-Table5[[#This Row],[Work Start TimeStamp]])*24</f>
        <v>0.66666666666666963</v>
      </c>
      <c r="T95" s="91">
        <f>(Table5[[#This Row],[Fault Clearance time]]-Table5[[#This Row],[Fault Start TimeStamp]])*24</f>
        <v>0.66666666666666963</v>
      </c>
      <c r="U95" s="23" t="s">
        <v>351</v>
      </c>
      <c r="V95" s="79" t="s">
        <v>339</v>
      </c>
      <c r="W95" s="289">
        <f>IFERROR(Table5[[#This Row],[Breakdown Time]]*Table5[[#This Row],[Plant Equivalent Weightage]],"")</f>
        <v>1.515151515151522E-2</v>
      </c>
      <c r="X95" s="289" t="s">
        <v>340</v>
      </c>
      <c r="Y95" s="290" t="s">
        <v>80</v>
      </c>
      <c r="Z95" s="79"/>
      <c r="AA95" s="283">
        <v>377</v>
      </c>
      <c r="AB95" s="79"/>
      <c r="AC95" s="23"/>
      <c r="AD95" s="23"/>
    </row>
    <row r="96" spans="1:30">
      <c r="A96" s="79">
        <f t="shared" si="3"/>
        <v>95</v>
      </c>
      <c r="B96" s="283">
        <f>YEAR(Table5[[#This Row],[Date]])+IF(MONTH(Table5[[#This Row],[Date]])&gt;=4,1,0)</f>
        <v>2026</v>
      </c>
      <c r="C96" s="79">
        <f>YEAR(Table5[[#This Row],[Date]])</f>
        <v>2025</v>
      </c>
      <c r="D96" s="79" t="s">
        <v>344</v>
      </c>
      <c r="E96" s="284">
        <f>Table5[[#This Row],[Date]]-DAY(Table5[[#This Row],[Date]])+1</f>
        <v>45778</v>
      </c>
      <c r="F96" s="285">
        <v>45780</v>
      </c>
      <c r="G96" s="79" t="s">
        <v>109</v>
      </c>
      <c r="H96" s="23" t="str">
        <f>IFERROR(_xlfn.XLOOKUP(Table5[[#This Row],[Affected WTG]],'Basic Data'!$A:$A,'Basic Data'!$B:$B),"")</f>
        <v>PWEPL</v>
      </c>
      <c r="I96" s="23" t="str">
        <f>IFERROR(_xlfn.XLOOKUP(Table5[[#This Row],[Affected WTG]],'Basic Data'!$A:$A,'Basic Data'!$C:$C),"")</f>
        <v>MSEDCL</v>
      </c>
      <c r="J96" s="286">
        <f>IFERROR(_xlfn.XLOOKUP(Table5[[#This Row],[Affected WTG]],'Basic Data'!$A:$A,'Basic Data'!$E:$E),"")</f>
        <v>2.2727272727272728E-2</v>
      </c>
      <c r="K96" s="79">
        <v>3</v>
      </c>
      <c r="L96" s="23" t="str">
        <f>IFERROR(_xlfn.XLOOKUP(Table5[[#This Row],[Error Code]],'Basic Data'!$W:$W,'Basic Data'!$X:$X),"Incorrect Error Code")</f>
        <v>Manual Stop</v>
      </c>
      <c r="M96" s="23" t="s">
        <v>392</v>
      </c>
      <c r="N96" s="23"/>
      <c r="O96" s="287">
        <v>0.47500000000000003</v>
      </c>
      <c r="P96" s="287">
        <v>0.47500000000000003</v>
      </c>
      <c r="Q96" s="287">
        <v>0.5854166666666667</v>
      </c>
      <c r="R96" s="91">
        <f t="shared" si="2"/>
        <v>0.11041666666666666</v>
      </c>
      <c r="S96" s="91">
        <f>(Table5[[#This Row],[Fault Clearance time]]-Table5[[#This Row],[Work Start TimeStamp]])*24</f>
        <v>2.65</v>
      </c>
      <c r="T96" s="91">
        <f>(Table5[[#This Row],[Fault Clearance time]]-Table5[[#This Row],[Fault Start TimeStamp]])*24</f>
        <v>2.65</v>
      </c>
      <c r="U96" s="23" t="s">
        <v>393</v>
      </c>
      <c r="V96" s="79" t="s">
        <v>339</v>
      </c>
      <c r="W96" s="289">
        <f>IFERROR(Table5[[#This Row],[Breakdown Time]]*Table5[[#This Row],[Plant Equivalent Weightage]],"")</f>
        <v>6.0227272727272727E-2</v>
      </c>
      <c r="X96" s="289" t="s">
        <v>394</v>
      </c>
      <c r="Y96" s="290" t="s">
        <v>114</v>
      </c>
      <c r="Z96" s="79"/>
      <c r="AA96" s="283">
        <v>591</v>
      </c>
      <c r="AB96" s="79"/>
      <c r="AC96" s="23"/>
      <c r="AD96" s="23"/>
    </row>
    <row r="97" spans="1:30">
      <c r="A97" s="79">
        <f t="shared" si="3"/>
        <v>96</v>
      </c>
      <c r="B97" s="283">
        <f>YEAR(Table5[[#This Row],[Date]])+IF(MONTH(Table5[[#This Row],[Date]])&gt;=4,1,0)</f>
        <v>2026</v>
      </c>
      <c r="C97" s="79">
        <f>YEAR(Table5[[#This Row],[Date]])</f>
        <v>2025</v>
      </c>
      <c r="D97" s="79" t="s">
        <v>344</v>
      </c>
      <c r="E97" s="284">
        <f>Table5[[#This Row],[Date]]-DAY(Table5[[#This Row],[Date]])+1</f>
        <v>45778</v>
      </c>
      <c r="F97" s="285">
        <v>45780</v>
      </c>
      <c r="G97" s="79" t="s">
        <v>79</v>
      </c>
      <c r="H97" s="23" t="str">
        <f>IFERROR(_xlfn.XLOOKUP(Table5[[#This Row],[Affected WTG]],'Basic Data'!$A:$A,'Basic Data'!$B:$B),"")</f>
        <v>PWEPL</v>
      </c>
      <c r="I97" s="23" t="str">
        <f>IFERROR(_xlfn.XLOOKUP(Table5[[#This Row],[Affected WTG]],'Basic Data'!$A:$A,'Basic Data'!$C:$C),"")</f>
        <v>MSEDCL</v>
      </c>
      <c r="J97" s="286">
        <f>IFERROR(_xlfn.XLOOKUP(Table5[[#This Row],[Affected WTG]],'Basic Data'!$A:$A,'Basic Data'!$E:$E),"")</f>
        <v>2.2727272727272728E-2</v>
      </c>
      <c r="K97" s="79">
        <v>142</v>
      </c>
      <c r="L97" s="23" t="str">
        <f>IFERROR(_xlfn.XLOOKUP(Table5[[#This Row],[Error Code]],'Basic Data'!$W:$W,'Basic Data'!$X:$X),"Incorrect Error Code")</f>
        <v>Line CCU collective faults</v>
      </c>
      <c r="M97" s="23" t="s">
        <v>373</v>
      </c>
      <c r="N97" s="23"/>
      <c r="O97" s="287">
        <v>0.73749999999999993</v>
      </c>
      <c r="P97" s="287">
        <v>0.73749999999999993</v>
      </c>
      <c r="Q97" s="287">
        <v>0.75</v>
      </c>
      <c r="R97" s="91">
        <f t="shared" si="2"/>
        <v>1.2500000000000067E-2</v>
      </c>
      <c r="S97" s="91">
        <f>(Table5[[#This Row],[Fault Clearance time]]-Table5[[#This Row],[Work Start TimeStamp]])*24</f>
        <v>0.3000000000000016</v>
      </c>
      <c r="T97" s="91">
        <f>(Table5[[#This Row],[Fault Clearance time]]-Table5[[#This Row],[Fault Start TimeStamp]])*24</f>
        <v>0.3000000000000016</v>
      </c>
      <c r="U97" s="23" t="s">
        <v>349</v>
      </c>
      <c r="V97" s="79" t="s">
        <v>339</v>
      </c>
      <c r="W97" s="289">
        <f>IFERROR(Table5[[#This Row],[Breakdown Time]]*Table5[[#This Row],[Plant Equivalent Weightage]],"")</f>
        <v>6.8181818181818543E-3</v>
      </c>
      <c r="X97" s="289" t="s">
        <v>343</v>
      </c>
      <c r="Y97" s="290" t="s">
        <v>96</v>
      </c>
      <c r="Z97" s="79"/>
      <c r="AA97" s="283">
        <v>102</v>
      </c>
      <c r="AB97" s="79"/>
      <c r="AC97" s="23"/>
      <c r="AD97" s="23"/>
    </row>
    <row r="98" spans="1:30">
      <c r="A98" s="79">
        <f t="shared" si="3"/>
        <v>97</v>
      </c>
      <c r="B98" s="283">
        <f>YEAR(Table5[[#This Row],[Date]])+IF(MONTH(Table5[[#This Row],[Date]])&gt;=4,1,0)</f>
        <v>2026</v>
      </c>
      <c r="C98" s="79">
        <f>YEAR(Table5[[#This Row],[Date]])</f>
        <v>2025</v>
      </c>
      <c r="D98" s="79" t="s">
        <v>344</v>
      </c>
      <c r="E98" s="284">
        <f>Table5[[#This Row],[Date]]-DAY(Table5[[#This Row],[Date]])+1</f>
        <v>45778</v>
      </c>
      <c r="F98" s="285">
        <v>45782</v>
      </c>
      <c r="G98" s="79" t="s">
        <v>95</v>
      </c>
      <c r="H98" s="23" t="str">
        <f>IFERROR(_xlfn.XLOOKUP(Table5[[#This Row],[Affected WTG]],'Basic Data'!$A:$A,'Basic Data'!$B:$B),"")</f>
        <v>PWEPL</v>
      </c>
      <c r="I98" s="23" t="str">
        <f>IFERROR(_xlfn.XLOOKUP(Table5[[#This Row],[Affected WTG]],'Basic Data'!$A:$A,'Basic Data'!$C:$C),"")</f>
        <v>MSEDCL</v>
      </c>
      <c r="J98" s="286">
        <f>IFERROR(_xlfn.XLOOKUP(Table5[[#This Row],[Affected WTG]],'Basic Data'!$A:$A,'Basic Data'!$E:$E),"")</f>
        <v>2.2727272727272728E-2</v>
      </c>
      <c r="K98" s="79">
        <v>3</v>
      </c>
      <c r="L98" s="23" t="str">
        <f>IFERROR(_xlfn.XLOOKUP(Table5[[#This Row],[Error Code]],'Basic Data'!$W:$W,'Basic Data'!$X:$X),"Incorrect Error Code")</f>
        <v>Manual Stop</v>
      </c>
      <c r="M98" s="23" t="s">
        <v>789</v>
      </c>
      <c r="N98" s="23"/>
      <c r="O98" s="287">
        <v>0.47500000000000003</v>
      </c>
      <c r="P98" s="287">
        <v>0.47500000000000003</v>
      </c>
      <c r="Q98" s="287">
        <v>0.58888888888888891</v>
      </c>
      <c r="R98" s="91">
        <f t="shared" si="2"/>
        <v>0.11388888888888887</v>
      </c>
      <c r="S98" s="91">
        <f>(Table5[[#This Row],[Fault Clearance time]]-Table5[[#This Row],[Work Start TimeStamp]])*24</f>
        <v>2.7333333333333329</v>
      </c>
      <c r="T98" s="91">
        <f>(Table5[[#This Row],[Fault Clearance time]]-Table5[[#This Row],[Fault Start TimeStamp]])*24</f>
        <v>2.7333333333333329</v>
      </c>
      <c r="U98" s="23" t="s">
        <v>395</v>
      </c>
      <c r="V98" s="79" t="s">
        <v>339</v>
      </c>
      <c r="W98" s="289">
        <f>IFERROR(Table5[[#This Row],[Breakdown Time]]*Table5[[#This Row],[Plant Equivalent Weightage]],"")</f>
        <v>6.2121212121212112E-2</v>
      </c>
      <c r="X98" s="289" t="s">
        <v>394</v>
      </c>
      <c r="Y98" s="290" t="s">
        <v>106</v>
      </c>
      <c r="Z98" s="79"/>
      <c r="AA98" s="283">
        <v>566</v>
      </c>
      <c r="AB98" s="79"/>
      <c r="AC98" s="23"/>
      <c r="AD98" s="23"/>
    </row>
    <row r="99" spans="1:30">
      <c r="A99" s="79">
        <f t="shared" si="3"/>
        <v>98</v>
      </c>
      <c r="B99" s="283">
        <f>YEAR(Table5[[#This Row],[Date]])+IF(MONTH(Table5[[#This Row],[Date]])&gt;=4,1,0)</f>
        <v>2026</v>
      </c>
      <c r="C99" s="79">
        <f>YEAR(Table5[[#This Row],[Date]])</f>
        <v>2025</v>
      </c>
      <c r="D99" s="79" t="s">
        <v>344</v>
      </c>
      <c r="E99" s="284">
        <f>Table5[[#This Row],[Date]]-DAY(Table5[[#This Row],[Date]])+1</f>
        <v>45778</v>
      </c>
      <c r="F99" s="285">
        <v>45782</v>
      </c>
      <c r="G99" s="79" t="s">
        <v>116</v>
      </c>
      <c r="H99" s="23" t="str">
        <f>IFERROR(_xlfn.XLOOKUP(Table5[[#This Row],[Affected WTG]],'Basic Data'!$A:$A,'Basic Data'!$B:$B),"")</f>
        <v>PWEPL</v>
      </c>
      <c r="I99" s="23" t="str">
        <f>IFERROR(_xlfn.XLOOKUP(Table5[[#This Row],[Affected WTG]],'Basic Data'!$A:$A,'Basic Data'!$C:$C),"")</f>
        <v>MSEDCL</v>
      </c>
      <c r="J99" s="286">
        <f>IFERROR(_xlfn.XLOOKUP(Table5[[#This Row],[Affected WTG]],'Basic Data'!$A:$A,'Basic Data'!$E:$E),"")</f>
        <v>2.2727272727272728E-2</v>
      </c>
      <c r="K99" s="79">
        <v>3</v>
      </c>
      <c r="L99" s="23" t="str">
        <f>IFERROR(_xlfn.XLOOKUP(Table5[[#This Row],[Error Code]],'Basic Data'!$W:$W,'Basic Data'!$X:$X),"Incorrect Error Code")</f>
        <v>Manual Stop</v>
      </c>
      <c r="M99" s="23" t="s">
        <v>396</v>
      </c>
      <c r="N99" s="23"/>
      <c r="O99" s="287">
        <v>0.49652777777777773</v>
      </c>
      <c r="P99" s="287">
        <v>0.49652777777777773</v>
      </c>
      <c r="Q99" s="287">
        <v>0.5708333333333333</v>
      </c>
      <c r="R99" s="91">
        <f t="shared" si="2"/>
        <v>7.4305555555555569E-2</v>
      </c>
      <c r="S99" s="91">
        <f>(Table5[[#This Row],[Fault Clearance time]]-Table5[[#This Row],[Work Start TimeStamp]])*24</f>
        <v>1.7833333333333337</v>
      </c>
      <c r="T99" s="91">
        <f>(Table5[[#This Row],[Fault Clearance time]]-Table5[[#This Row],[Fault Start TimeStamp]])*24</f>
        <v>1.7833333333333337</v>
      </c>
      <c r="U99" s="23" t="s">
        <v>397</v>
      </c>
      <c r="V99" s="79" t="s">
        <v>339</v>
      </c>
      <c r="W99" s="289">
        <f>IFERROR(Table5[[#This Row],[Breakdown Time]]*Table5[[#This Row],[Plant Equivalent Weightage]],"")</f>
        <v>4.0530303030303041E-2</v>
      </c>
      <c r="X99" s="289" t="s">
        <v>394</v>
      </c>
      <c r="Y99" s="290" t="s">
        <v>117</v>
      </c>
      <c r="Z99" s="79"/>
      <c r="AA99" s="283">
        <v>404</v>
      </c>
      <c r="AB99" s="79"/>
      <c r="AC99" s="23"/>
      <c r="AD99" s="23"/>
    </row>
    <row r="100" spans="1:30">
      <c r="A100" s="79">
        <f t="shared" si="3"/>
        <v>99</v>
      </c>
      <c r="B100" s="283">
        <f>YEAR(Table5[[#This Row],[Date]])+IF(MONTH(Table5[[#This Row],[Date]])&gt;=4,1,0)</f>
        <v>2026</v>
      </c>
      <c r="C100" s="79">
        <f>YEAR(Table5[[#This Row],[Date]])</f>
        <v>2025</v>
      </c>
      <c r="D100" s="79" t="s">
        <v>344</v>
      </c>
      <c r="E100" s="284">
        <f>Table5[[#This Row],[Date]]-DAY(Table5[[#This Row],[Date]])+1</f>
        <v>45778</v>
      </c>
      <c r="F100" s="285">
        <v>45782</v>
      </c>
      <c r="G100" s="79" t="s">
        <v>83</v>
      </c>
      <c r="H100" s="23" t="str">
        <f>IFERROR(_xlfn.XLOOKUP(Table5[[#This Row],[Affected WTG]],'Basic Data'!$A:$A,'Basic Data'!$B:$B),"")</f>
        <v>PWEPL</v>
      </c>
      <c r="I100" s="23" t="str">
        <f>IFERROR(_xlfn.XLOOKUP(Table5[[#This Row],[Affected WTG]],'Basic Data'!$A:$A,'Basic Data'!$C:$C),"")</f>
        <v>MSEDCL</v>
      </c>
      <c r="J100" s="286">
        <f>IFERROR(_xlfn.XLOOKUP(Table5[[#This Row],[Affected WTG]],'Basic Data'!$A:$A,'Basic Data'!$E:$E),"")</f>
        <v>2.2727272727272728E-2</v>
      </c>
      <c r="K100" s="79">
        <v>3</v>
      </c>
      <c r="L100" s="23" t="str">
        <f>IFERROR(_xlfn.XLOOKUP(Table5[[#This Row],[Error Code]],'Basic Data'!$W:$W,'Basic Data'!$X:$X),"Incorrect Error Code")</f>
        <v>Manual Stop</v>
      </c>
      <c r="M100" s="23" t="s">
        <v>789</v>
      </c>
      <c r="N100" s="23"/>
      <c r="O100" s="287">
        <v>0.625</v>
      </c>
      <c r="P100" s="287">
        <v>0.625</v>
      </c>
      <c r="Q100" s="287">
        <v>0.73055555555555562</v>
      </c>
      <c r="R100" s="91">
        <f t="shared" si="2"/>
        <v>0.10555555555555562</v>
      </c>
      <c r="S100" s="91">
        <f>(Table5[[#This Row],[Fault Clearance time]]-Table5[[#This Row],[Work Start TimeStamp]])*24</f>
        <v>2.533333333333335</v>
      </c>
      <c r="T100" s="91">
        <f>(Table5[[#This Row],[Fault Clearance time]]-Table5[[#This Row],[Fault Start TimeStamp]])*24</f>
        <v>2.533333333333335</v>
      </c>
      <c r="U100" s="23" t="s">
        <v>395</v>
      </c>
      <c r="V100" s="79" t="s">
        <v>339</v>
      </c>
      <c r="W100" s="289">
        <f>IFERROR(Table5[[#This Row],[Breakdown Time]]*Table5[[#This Row],[Plant Equivalent Weightage]],"")</f>
        <v>5.7575757575757613E-2</v>
      </c>
      <c r="X100" s="289" t="s">
        <v>394</v>
      </c>
      <c r="Y100" s="290" t="s">
        <v>98</v>
      </c>
      <c r="Z100" s="79"/>
      <c r="AA100" s="283">
        <v>1483</v>
      </c>
      <c r="AB100" s="79"/>
      <c r="AC100" s="23"/>
      <c r="AD100" s="23"/>
    </row>
    <row r="101" spans="1:30">
      <c r="A101" s="79">
        <f t="shared" si="3"/>
        <v>100</v>
      </c>
      <c r="B101" s="283">
        <f>YEAR(Table5[[#This Row],[Date]])+IF(MONTH(Table5[[#This Row],[Date]])&gt;=4,1,0)</f>
        <v>2026</v>
      </c>
      <c r="C101" s="79">
        <f>YEAR(Table5[[#This Row],[Date]])</f>
        <v>2025</v>
      </c>
      <c r="D101" s="79" t="s">
        <v>344</v>
      </c>
      <c r="E101" s="284">
        <f>Table5[[#This Row],[Date]]-DAY(Table5[[#This Row],[Date]])+1</f>
        <v>45778</v>
      </c>
      <c r="F101" s="285">
        <v>45783</v>
      </c>
      <c r="G101" s="79" t="s">
        <v>104</v>
      </c>
      <c r="H101" s="23" t="str">
        <f>IFERROR(_xlfn.XLOOKUP(Table5[[#This Row],[Affected WTG]],'Basic Data'!$A:$A,'Basic Data'!$B:$B),"")</f>
        <v>PWEPL</v>
      </c>
      <c r="I101" s="23" t="str">
        <f>IFERROR(_xlfn.XLOOKUP(Table5[[#This Row],[Affected WTG]],'Basic Data'!$A:$A,'Basic Data'!$C:$C),"")</f>
        <v>MSEDCL</v>
      </c>
      <c r="J101" s="286">
        <f>IFERROR(_xlfn.XLOOKUP(Table5[[#This Row],[Affected WTG]],'Basic Data'!$A:$A,'Basic Data'!$E:$E),"")</f>
        <v>2.2727272727272728E-2</v>
      </c>
      <c r="K101" s="79">
        <v>3</v>
      </c>
      <c r="L101" s="23" t="str">
        <f>IFERROR(_xlfn.XLOOKUP(Table5[[#This Row],[Error Code]],'Basic Data'!$W:$W,'Basic Data'!$X:$X),"Incorrect Error Code")</f>
        <v>Manual Stop</v>
      </c>
      <c r="M101" s="23" t="s">
        <v>789</v>
      </c>
      <c r="N101" s="23"/>
      <c r="O101" s="287">
        <v>0.42499999999999999</v>
      </c>
      <c r="P101" s="287">
        <v>0.42499999999999999</v>
      </c>
      <c r="Q101" s="287">
        <v>0.49652777777777773</v>
      </c>
      <c r="R101" s="91">
        <f t="shared" si="2"/>
        <v>7.1527777777777746E-2</v>
      </c>
      <c r="S101" s="91">
        <f>(Table5[[#This Row],[Fault Clearance time]]-Table5[[#This Row],[Work Start TimeStamp]])*24</f>
        <v>1.7166666666666659</v>
      </c>
      <c r="T101" s="91">
        <f>(Table5[[#This Row],[Fault Clearance time]]-Table5[[#This Row],[Fault Start TimeStamp]])*24</f>
        <v>1.7166666666666659</v>
      </c>
      <c r="U101" s="23" t="s">
        <v>395</v>
      </c>
      <c r="V101" s="79" t="s">
        <v>339</v>
      </c>
      <c r="W101" s="289">
        <f>IFERROR(Table5[[#This Row],[Breakdown Time]]*Table5[[#This Row],[Plant Equivalent Weightage]],"")</f>
        <v>3.9015151515151496E-2</v>
      </c>
      <c r="X101" s="289" t="s">
        <v>394</v>
      </c>
      <c r="Y101" s="290" t="s">
        <v>79</v>
      </c>
      <c r="Z101" s="79"/>
      <c r="AA101" s="283">
        <v>3</v>
      </c>
      <c r="AB101" s="79"/>
      <c r="AC101" s="23"/>
      <c r="AD101" s="23"/>
    </row>
    <row r="102" spans="1:30">
      <c r="A102" s="79">
        <f t="shared" si="3"/>
        <v>101</v>
      </c>
      <c r="B102" s="283">
        <f>YEAR(Table5[[#This Row],[Date]])+IF(MONTH(Table5[[#This Row],[Date]])&gt;=4,1,0)</f>
        <v>2026</v>
      </c>
      <c r="C102" s="79">
        <f>YEAR(Table5[[#This Row],[Date]])</f>
        <v>2025</v>
      </c>
      <c r="D102" s="79" t="s">
        <v>344</v>
      </c>
      <c r="E102" s="284">
        <f>Table5[[#This Row],[Date]]-DAY(Table5[[#This Row],[Date]])+1</f>
        <v>45778</v>
      </c>
      <c r="F102" s="285">
        <v>45785</v>
      </c>
      <c r="G102" s="79" t="s">
        <v>99</v>
      </c>
      <c r="H102" s="23" t="str">
        <f>IFERROR(_xlfn.XLOOKUP(Table5[[#This Row],[Affected WTG]],'Basic Data'!$A:$A,'Basic Data'!$B:$B),"")</f>
        <v>PWEPL</v>
      </c>
      <c r="I102" s="23" t="str">
        <f>IFERROR(_xlfn.XLOOKUP(Table5[[#This Row],[Affected WTG]],'Basic Data'!$A:$A,'Basic Data'!$C:$C),"")</f>
        <v>MSEDCL</v>
      </c>
      <c r="J102" s="286">
        <f>IFERROR(_xlfn.XLOOKUP(Table5[[#This Row],[Affected WTG]],'Basic Data'!$A:$A,'Basic Data'!$E:$E),"")</f>
        <v>2.2727272727272728E-2</v>
      </c>
      <c r="K102" s="79">
        <v>3</v>
      </c>
      <c r="L102" s="23" t="str">
        <f>IFERROR(_xlfn.XLOOKUP(Table5[[#This Row],[Error Code]],'Basic Data'!$W:$W,'Basic Data'!$X:$X),"Incorrect Error Code")</f>
        <v>Manual Stop</v>
      </c>
      <c r="M102" s="23" t="s">
        <v>792</v>
      </c>
      <c r="N102" s="23"/>
      <c r="O102" s="287">
        <v>0.35625000000000001</v>
      </c>
      <c r="P102" s="287">
        <v>0.35625000000000001</v>
      </c>
      <c r="Q102" s="287">
        <v>0.42638888888888887</v>
      </c>
      <c r="R102" s="91">
        <f t="shared" si="2"/>
        <v>7.0138888888888862E-2</v>
      </c>
      <c r="S102" s="91">
        <f>(Table5[[#This Row],[Fault Clearance time]]-Table5[[#This Row],[Work Start TimeStamp]])*24</f>
        <v>1.6833333333333327</v>
      </c>
      <c r="T102" s="91">
        <f>(Table5[[#This Row],[Fault Clearance time]]-Table5[[#This Row],[Fault Start TimeStamp]])*24</f>
        <v>1.6833333333333327</v>
      </c>
      <c r="U102" s="23" t="s">
        <v>793</v>
      </c>
      <c r="V102" s="79" t="s">
        <v>339</v>
      </c>
      <c r="W102" s="289">
        <f>IFERROR(Table5[[#This Row],[Breakdown Time]]*Table5[[#This Row],[Plant Equivalent Weightage]],"")</f>
        <v>3.8257575757575747E-2</v>
      </c>
      <c r="X102" s="289" t="s">
        <v>394</v>
      </c>
      <c r="Y102" s="290" t="s">
        <v>98</v>
      </c>
      <c r="Z102" s="79"/>
      <c r="AA102" s="283">
        <v>983</v>
      </c>
      <c r="AB102" s="79"/>
      <c r="AC102" s="23"/>
      <c r="AD102" s="23"/>
    </row>
    <row r="103" spans="1:30">
      <c r="A103" s="79">
        <f t="shared" si="3"/>
        <v>102</v>
      </c>
      <c r="B103" s="283">
        <f>YEAR(Table5[[#This Row],[Date]])+IF(MONTH(Table5[[#This Row],[Date]])&gt;=4,1,0)</f>
        <v>2026</v>
      </c>
      <c r="C103" s="79">
        <f>YEAR(Table5[[#This Row],[Date]])</f>
        <v>2025</v>
      </c>
      <c r="D103" s="79" t="s">
        <v>344</v>
      </c>
      <c r="E103" s="284">
        <f>Table5[[#This Row],[Date]]-DAY(Table5[[#This Row],[Date]])+1</f>
        <v>45778</v>
      </c>
      <c r="F103" s="285">
        <v>45785</v>
      </c>
      <c r="G103" s="79" t="s">
        <v>105</v>
      </c>
      <c r="H103" s="23" t="str">
        <f>IFERROR(_xlfn.XLOOKUP(Table5[[#This Row],[Affected WTG]],'Basic Data'!$A:$A,'Basic Data'!$B:$B),"")</f>
        <v>PWEPL</v>
      </c>
      <c r="I103" s="23" t="str">
        <f>IFERROR(_xlfn.XLOOKUP(Table5[[#This Row],[Affected WTG]],'Basic Data'!$A:$A,'Basic Data'!$C:$C),"")</f>
        <v>MSEDCL</v>
      </c>
      <c r="J103" s="286">
        <f>IFERROR(_xlfn.XLOOKUP(Table5[[#This Row],[Affected WTG]],'Basic Data'!$A:$A,'Basic Data'!$E:$E),"")</f>
        <v>2.2727272727272728E-2</v>
      </c>
      <c r="K103" s="79">
        <v>142</v>
      </c>
      <c r="L103" s="23" t="str">
        <f>IFERROR(_xlfn.XLOOKUP(Table5[[#This Row],[Error Code]],'Basic Data'!$W:$W,'Basic Data'!$X:$X),"Incorrect Error Code")</f>
        <v>Line CCU collective faults</v>
      </c>
      <c r="M103" s="23" t="s">
        <v>149</v>
      </c>
      <c r="N103" s="23"/>
      <c r="O103" s="287">
        <v>0.3972222222222222</v>
      </c>
      <c r="P103" s="287">
        <v>0.3972222222222222</v>
      </c>
      <c r="Q103" s="287">
        <v>0.44444444444444442</v>
      </c>
      <c r="R103" s="91">
        <f t="shared" si="2"/>
        <v>4.7222222222222221E-2</v>
      </c>
      <c r="S103" s="91">
        <f>(Table5[[#This Row],[Fault Clearance time]]-Table5[[#This Row],[Work Start TimeStamp]])*24</f>
        <v>1.1333333333333333</v>
      </c>
      <c r="T103" s="91">
        <f>(Table5[[#This Row],[Fault Clearance time]]-Table5[[#This Row],[Fault Start TimeStamp]])*24</f>
        <v>1.1333333333333333</v>
      </c>
      <c r="U103" s="23" t="s">
        <v>790</v>
      </c>
      <c r="V103" s="79" t="s">
        <v>339</v>
      </c>
      <c r="W103" s="289">
        <f>IFERROR(Table5[[#This Row],[Breakdown Time]]*Table5[[#This Row],[Plant Equivalent Weightage]],"")</f>
        <v>2.5757575757575757E-2</v>
      </c>
      <c r="X103" s="289" t="s">
        <v>343</v>
      </c>
      <c r="Y103" s="290" t="s">
        <v>103</v>
      </c>
      <c r="Z103" s="79"/>
      <c r="AA103" s="283">
        <v>715</v>
      </c>
      <c r="AB103" s="79"/>
      <c r="AC103" s="23"/>
      <c r="AD103" s="23"/>
    </row>
    <row r="104" spans="1:30">
      <c r="A104" s="79">
        <f t="shared" si="3"/>
        <v>103</v>
      </c>
      <c r="B104" s="283">
        <f>YEAR(Table5[[#This Row],[Date]])+IF(MONTH(Table5[[#This Row],[Date]])&gt;=4,1,0)</f>
        <v>2026</v>
      </c>
      <c r="C104" s="79">
        <f>YEAR(Table5[[#This Row],[Date]])</f>
        <v>2025</v>
      </c>
      <c r="D104" s="79" t="s">
        <v>344</v>
      </c>
      <c r="E104" s="284">
        <f>Table5[[#This Row],[Date]]-DAY(Table5[[#This Row],[Date]])+1</f>
        <v>45778</v>
      </c>
      <c r="F104" s="285">
        <v>45785</v>
      </c>
      <c r="G104" s="79" t="s">
        <v>90</v>
      </c>
      <c r="H104" s="23" t="str">
        <f>IFERROR(_xlfn.XLOOKUP(Table5[[#This Row],[Affected WTG]],'Basic Data'!$A:$A,'Basic Data'!$B:$B),"")</f>
        <v>PWEPL</v>
      </c>
      <c r="I104" s="23" t="str">
        <f>IFERROR(_xlfn.XLOOKUP(Table5[[#This Row],[Affected WTG]],'Basic Data'!$A:$A,'Basic Data'!$C:$C),"")</f>
        <v>MSEDCL</v>
      </c>
      <c r="J104" s="286">
        <f>IFERROR(_xlfn.XLOOKUP(Table5[[#This Row],[Affected WTG]],'Basic Data'!$A:$A,'Basic Data'!$E:$E),"")</f>
        <v>2.2727272727272728E-2</v>
      </c>
      <c r="K104" s="79">
        <v>338</v>
      </c>
      <c r="L104" s="23" t="str">
        <f>IFERROR(_xlfn.XLOOKUP(Table5[[#This Row],[Error Code]],'Basic Data'!$W:$W,'Basic Data'!$X:$X),"Incorrect Error Code")</f>
        <v>Rotor CCU temperature warning</v>
      </c>
      <c r="M104" s="23" t="s">
        <v>682</v>
      </c>
      <c r="N104" s="23"/>
      <c r="O104" s="287">
        <v>0.4284722222222222</v>
      </c>
      <c r="P104" s="287">
        <v>0.4284722222222222</v>
      </c>
      <c r="Q104" s="287">
        <v>0.4597222222222222</v>
      </c>
      <c r="R104" s="91">
        <f t="shared" si="2"/>
        <v>3.125E-2</v>
      </c>
      <c r="S104" s="91">
        <f>(Table5[[#This Row],[Fault Clearance time]]-Table5[[#This Row],[Work Start TimeStamp]])*24</f>
        <v>0.75</v>
      </c>
      <c r="T104" s="91">
        <f>(Table5[[#This Row],[Fault Clearance time]]-Table5[[#This Row],[Fault Start TimeStamp]])*24</f>
        <v>0.75</v>
      </c>
      <c r="U104" s="23" t="s">
        <v>794</v>
      </c>
      <c r="V104" s="79" t="s">
        <v>339</v>
      </c>
      <c r="W104" s="289">
        <f>IFERROR(Table5[[#This Row],[Breakdown Time]]*Table5[[#This Row],[Plant Equivalent Weightage]],"")</f>
        <v>1.7045454545454544E-2</v>
      </c>
      <c r="X104" s="289" t="s">
        <v>343</v>
      </c>
      <c r="Y104" s="290" t="s">
        <v>89</v>
      </c>
      <c r="Z104" s="79"/>
      <c r="AA104" s="283">
        <v>1083</v>
      </c>
      <c r="AB104" s="79"/>
      <c r="AC104" s="23"/>
      <c r="AD104" s="23"/>
    </row>
    <row r="105" spans="1:30">
      <c r="A105" s="79">
        <f t="shared" si="3"/>
        <v>104</v>
      </c>
      <c r="B105" s="283">
        <f>YEAR(Table5[[#This Row],[Date]])+IF(MONTH(Table5[[#This Row],[Date]])&gt;=4,1,0)</f>
        <v>2026</v>
      </c>
      <c r="C105" s="79">
        <f>YEAR(Table5[[#This Row],[Date]])</f>
        <v>2025</v>
      </c>
      <c r="D105" s="79" t="s">
        <v>344</v>
      </c>
      <c r="E105" s="284">
        <f>Table5[[#This Row],[Date]]-DAY(Table5[[#This Row],[Date]])+1</f>
        <v>45778</v>
      </c>
      <c r="F105" s="285">
        <v>45785</v>
      </c>
      <c r="G105" s="79" t="s">
        <v>99</v>
      </c>
      <c r="H105" s="23" t="str">
        <f>IFERROR(_xlfn.XLOOKUP(Table5[[#This Row],[Affected WTG]],'Basic Data'!$A:$A,'Basic Data'!$B:$B),"")</f>
        <v>PWEPL</v>
      </c>
      <c r="I105" s="23" t="str">
        <f>IFERROR(_xlfn.XLOOKUP(Table5[[#This Row],[Affected WTG]],'Basic Data'!$A:$A,'Basic Data'!$C:$C),"")</f>
        <v>MSEDCL</v>
      </c>
      <c r="J105" s="286">
        <f>IFERROR(_xlfn.XLOOKUP(Table5[[#This Row],[Affected WTG]],'Basic Data'!$A:$A,'Basic Data'!$E:$E),"")</f>
        <v>2.2727272727272728E-2</v>
      </c>
      <c r="K105" s="79">
        <v>3</v>
      </c>
      <c r="L105" s="23" t="str">
        <f>IFERROR(_xlfn.XLOOKUP(Table5[[#This Row],[Error Code]],'Basic Data'!$W:$W,'Basic Data'!$X:$X),"Incorrect Error Code")</f>
        <v>Manual Stop</v>
      </c>
      <c r="M105" s="23" t="s">
        <v>792</v>
      </c>
      <c r="N105" s="23"/>
      <c r="O105" s="287">
        <v>0.65972222222222221</v>
      </c>
      <c r="P105" s="287">
        <v>0.65972222222222221</v>
      </c>
      <c r="Q105" s="287">
        <v>0.99930555555555556</v>
      </c>
      <c r="R105" s="91">
        <f t="shared" si="2"/>
        <v>0.33958333333333335</v>
      </c>
      <c r="S105" s="91">
        <f>(Table5[[#This Row],[Fault Clearance time]]-Table5[[#This Row],[Work Start TimeStamp]])*24</f>
        <v>8.15</v>
      </c>
      <c r="T105" s="91">
        <f>(Table5[[#This Row],[Fault Clearance time]]-Table5[[#This Row],[Fault Start TimeStamp]])*24</f>
        <v>8.15</v>
      </c>
      <c r="U105" s="23" t="s">
        <v>795</v>
      </c>
      <c r="V105" s="79" t="s">
        <v>339</v>
      </c>
      <c r="W105" s="289">
        <f>IFERROR(Table5[[#This Row],[Breakdown Time]]*Table5[[#This Row],[Plant Equivalent Weightage]],"")</f>
        <v>0.18522727272727274</v>
      </c>
      <c r="X105" s="289" t="s">
        <v>394</v>
      </c>
      <c r="Y105" s="290" t="s">
        <v>98</v>
      </c>
      <c r="Z105" s="79"/>
      <c r="AA105" s="283">
        <v>4762</v>
      </c>
      <c r="AB105" s="79"/>
      <c r="AC105" s="23"/>
      <c r="AD105" s="23"/>
    </row>
    <row r="106" spans="1:30">
      <c r="A106" s="79">
        <f t="shared" si="3"/>
        <v>105</v>
      </c>
      <c r="B106" s="283">
        <f>YEAR(Table5[[#This Row],[Date]])+IF(MONTH(Table5[[#This Row],[Date]])&gt;=4,1,0)</f>
        <v>2026</v>
      </c>
      <c r="C106" s="79">
        <f>YEAR(Table5[[#This Row],[Date]])</f>
        <v>2025</v>
      </c>
      <c r="D106" s="79" t="s">
        <v>344</v>
      </c>
      <c r="E106" s="284">
        <f>Table5[[#This Row],[Date]]-DAY(Table5[[#This Row],[Date]])+1</f>
        <v>45778</v>
      </c>
      <c r="F106" s="285">
        <v>45785</v>
      </c>
      <c r="G106" s="79" t="s">
        <v>104</v>
      </c>
      <c r="H106" s="23" t="str">
        <f>IFERROR(_xlfn.XLOOKUP(Table5[[#This Row],[Affected WTG]],'Basic Data'!$A:$A,'Basic Data'!$B:$B),"")</f>
        <v>PWEPL</v>
      </c>
      <c r="I106" s="23" t="str">
        <f>IFERROR(_xlfn.XLOOKUP(Table5[[#This Row],[Affected WTG]],'Basic Data'!$A:$A,'Basic Data'!$C:$C),"")</f>
        <v>MSEDCL</v>
      </c>
      <c r="J106" s="286">
        <f>IFERROR(_xlfn.XLOOKUP(Table5[[#This Row],[Affected WTG]],'Basic Data'!$A:$A,'Basic Data'!$E:$E),"")</f>
        <v>2.2727272727272728E-2</v>
      </c>
      <c r="K106" s="79">
        <v>3</v>
      </c>
      <c r="L106" s="23" t="str">
        <f>IFERROR(_xlfn.XLOOKUP(Table5[[#This Row],[Error Code]],'Basic Data'!$W:$W,'Basic Data'!$X:$X),"Incorrect Error Code")</f>
        <v>Manual Stop</v>
      </c>
      <c r="M106" s="23" t="s">
        <v>375</v>
      </c>
      <c r="N106" s="23"/>
      <c r="O106" s="287">
        <v>0.74513888888888891</v>
      </c>
      <c r="P106" s="287">
        <v>0.74513888888888891</v>
      </c>
      <c r="Q106" s="287">
        <v>0.76111111111111107</v>
      </c>
      <c r="R106" s="91">
        <f t="shared" si="2"/>
        <v>1.5972222222222165E-2</v>
      </c>
      <c r="S106" s="91">
        <f>(Table5[[#This Row],[Fault Clearance time]]-Table5[[#This Row],[Work Start TimeStamp]])*24</f>
        <v>0.38333333333333197</v>
      </c>
      <c r="T106" s="91">
        <f>(Table5[[#This Row],[Fault Clearance time]]-Table5[[#This Row],[Fault Start TimeStamp]])*24</f>
        <v>0.38333333333333197</v>
      </c>
      <c r="U106" s="23" t="s">
        <v>791</v>
      </c>
      <c r="V106" s="79" t="s">
        <v>339</v>
      </c>
      <c r="W106" s="289">
        <f>IFERROR(Table5[[#This Row],[Breakdown Time]]*Table5[[#This Row],[Plant Equivalent Weightage]],"")</f>
        <v>8.7121212121211815E-3</v>
      </c>
      <c r="X106" s="289" t="s">
        <v>394</v>
      </c>
      <c r="Y106" s="290" t="s">
        <v>79</v>
      </c>
      <c r="Z106" s="79"/>
      <c r="AA106" s="283">
        <v>603</v>
      </c>
      <c r="AB106" s="79"/>
      <c r="AC106" s="23"/>
      <c r="AD106" s="23"/>
    </row>
    <row r="107" spans="1:30">
      <c r="A107" s="79">
        <f t="shared" si="3"/>
        <v>106</v>
      </c>
      <c r="B107" s="283">
        <f>YEAR(Table5[[#This Row],[Date]])+IF(MONTH(Table5[[#This Row],[Date]])&gt;=4,1,0)</f>
        <v>2026</v>
      </c>
      <c r="C107" s="79">
        <f>YEAR(Table5[[#This Row],[Date]])</f>
        <v>2025</v>
      </c>
      <c r="D107" s="79" t="s">
        <v>344</v>
      </c>
      <c r="E107" s="284">
        <f>Table5[[#This Row],[Date]]-DAY(Table5[[#This Row],[Date]])+1</f>
        <v>45778</v>
      </c>
      <c r="F107" s="285">
        <v>45786</v>
      </c>
      <c r="G107" s="79" t="s">
        <v>99</v>
      </c>
      <c r="H107" s="23" t="str">
        <f>IFERROR(_xlfn.XLOOKUP(Table5[[#This Row],[Affected WTG]],'Basic Data'!$A:$A,'Basic Data'!$B:$B),"")</f>
        <v>PWEPL</v>
      </c>
      <c r="I107" s="23" t="str">
        <f>IFERROR(_xlfn.XLOOKUP(Table5[[#This Row],[Affected WTG]],'Basic Data'!$A:$A,'Basic Data'!$C:$C),"")</f>
        <v>MSEDCL</v>
      </c>
      <c r="J107" s="286">
        <f>IFERROR(_xlfn.XLOOKUP(Table5[[#This Row],[Affected WTG]],'Basic Data'!$A:$A,'Basic Data'!$E:$E),"")</f>
        <v>2.2727272727272728E-2</v>
      </c>
      <c r="K107" s="79">
        <v>3</v>
      </c>
      <c r="L107" s="23" t="str">
        <f>IFERROR(_xlfn.XLOOKUP(Table5[[#This Row],[Error Code]],'Basic Data'!$W:$W,'Basic Data'!$X:$X),"Incorrect Error Code")</f>
        <v>Manual Stop</v>
      </c>
      <c r="M107" s="23" t="s">
        <v>792</v>
      </c>
      <c r="N107" s="23"/>
      <c r="O107" s="287">
        <v>0</v>
      </c>
      <c r="P107" s="287">
        <v>0</v>
      </c>
      <c r="Q107" s="287">
        <v>0.67013888888888884</v>
      </c>
      <c r="R107" s="91">
        <f t="shared" si="2"/>
        <v>0.67013888888888884</v>
      </c>
      <c r="S107" s="91">
        <f>(Table5[[#This Row],[Fault Clearance time]]-Table5[[#This Row],[Work Start TimeStamp]])*24</f>
        <v>16.083333333333332</v>
      </c>
      <c r="T107" s="91">
        <f>(Table5[[#This Row],[Fault Clearance time]]-Table5[[#This Row],[Fault Start TimeStamp]])*24</f>
        <v>16.083333333333332</v>
      </c>
      <c r="U107" s="23" t="s">
        <v>798</v>
      </c>
      <c r="V107" s="79" t="s">
        <v>339</v>
      </c>
      <c r="W107" s="289">
        <f>IFERROR(Table5[[#This Row],[Breakdown Time]]*Table5[[#This Row],[Plant Equivalent Weightage]],"")</f>
        <v>0.36553030303030304</v>
      </c>
      <c r="X107" s="289" t="s">
        <v>394</v>
      </c>
      <c r="Y107" s="290" t="s">
        <v>100</v>
      </c>
      <c r="Z107" s="79"/>
      <c r="AA107" s="283">
        <v>3197</v>
      </c>
      <c r="AB107" s="79"/>
      <c r="AC107" s="23"/>
      <c r="AD107" s="23"/>
    </row>
    <row r="108" spans="1:30">
      <c r="A108" s="79">
        <f t="shared" si="3"/>
        <v>107</v>
      </c>
      <c r="B108" s="283">
        <f>YEAR(Table5[[#This Row],[Date]])+IF(MONTH(Table5[[#This Row],[Date]])&gt;=4,1,0)</f>
        <v>2026</v>
      </c>
      <c r="C108" s="79">
        <f>YEAR(Table5[[#This Row],[Date]])</f>
        <v>2025</v>
      </c>
      <c r="D108" s="79" t="s">
        <v>344</v>
      </c>
      <c r="E108" s="284">
        <f>Table5[[#This Row],[Date]]-DAY(Table5[[#This Row],[Date]])+1</f>
        <v>45778</v>
      </c>
      <c r="F108" s="285">
        <v>45786</v>
      </c>
      <c r="G108" s="79" t="s">
        <v>105</v>
      </c>
      <c r="H108" s="23" t="str">
        <f>IFERROR(_xlfn.XLOOKUP(Table5[[#This Row],[Affected WTG]],'Basic Data'!$A:$A,'Basic Data'!$B:$B),"")</f>
        <v>PWEPL</v>
      </c>
      <c r="I108" s="23" t="str">
        <f>IFERROR(_xlfn.XLOOKUP(Table5[[#This Row],[Affected WTG]],'Basic Data'!$A:$A,'Basic Data'!$C:$C),"")</f>
        <v>MSEDCL</v>
      </c>
      <c r="J108" s="286">
        <f>IFERROR(_xlfn.XLOOKUP(Table5[[#This Row],[Affected WTG]],'Basic Data'!$A:$A,'Basic Data'!$E:$E),"")</f>
        <v>2.2727272727272728E-2</v>
      </c>
      <c r="K108" s="79">
        <v>431</v>
      </c>
      <c r="L108" s="23" t="str">
        <f>IFERROR(_xlfn.XLOOKUP(Table5[[#This Row],[Error Code]],'Basic Data'!$W:$W,'Basic Data'!$X:$X),"Incorrect Error Code")</f>
        <v xml:space="preserve">Yaw tooth sensor 2 timeout </v>
      </c>
      <c r="M108" s="23" t="s">
        <v>797</v>
      </c>
      <c r="N108" s="23"/>
      <c r="O108" s="287">
        <v>0.29305555555555557</v>
      </c>
      <c r="P108" s="287">
        <v>0.29305555555555557</v>
      </c>
      <c r="Q108" s="287">
        <v>0.32291666666666669</v>
      </c>
      <c r="R108" s="91">
        <f t="shared" si="2"/>
        <v>2.9861111111111116E-2</v>
      </c>
      <c r="S108" s="91">
        <f>(Table5[[#This Row],[Fault Clearance time]]-Table5[[#This Row],[Work Start TimeStamp]])*24</f>
        <v>0.71666666666666679</v>
      </c>
      <c r="T108" s="91">
        <f>(Table5[[#This Row],[Fault Clearance time]]-Table5[[#This Row],[Fault Start TimeStamp]])*24</f>
        <v>0.71666666666666679</v>
      </c>
      <c r="U108" s="23" t="s">
        <v>799</v>
      </c>
      <c r="V108" s="79" t="s">
        <v>339</v>
      </c>
      <c r="W108" s="289">
        <f>IFERROR(Table5[[#This Row],[Breakdown Time]]*Table5[[#This Row],[Plant Equivalent Weightage]],"")</f>
        <v>1.6287878787878792E-2</v>
      </c>
      <c r="X108" s="289" t="s">
        <v>343</v>
      </c>
      <c r="Y108" s="290" t="s">
        <v>103</v>
      </c>
      <c r="Z108" s="79"/>
      <c r="AA108" s="283">
        <v>219</v>
      </c>
      <c r="AB108" s="79"/>
      <c r="AC108" s="23"/>
      <c r="AD108" s="23"/>
    </row>
    <row r="109" spans="1:30">
      <c r="A109" s="79">
        <f t="shared" si="3"/>
        <v>108</v>
      </c>
      <c r="B109" s="283">
        <f>YEAR(Table5[[#This Row],[Date]])+IF(MONTH(Table5[[#This Row],[Date]])&gt;=4,1,0)</f>
        <v>2026</v>
      </c>
      <c r="C109" s="79">
        <f>YEAR(Table5[[#This Row],[Date]])</f>
        <v>2025</v>
      </c>
      <c r="D109" s="79" t="s">
        <v>344</v>
      </c>
      <c r="E109" s="284">
        <f>Table5[[#This Row],[Date]]-DAY(Table5[[#This Row],[Date]])+1</f>
        <v>45778</v>
      </c>
      <c r="F109" s="285">
        <v>45786</v>
      </c>
      <c r="G109" s="79" t="s">
        <v>98</v>
      </c>
      <c r="H109" s="23" t="str">
        <f>IFERROR(_xlfn.XLOOKUP(Table5[[#This Row],[Affected WTG]],'Basic Data'!$A:$A,'Basic Data'!$B:$B),"")</f>
        <v>PWEPL</v>
      </c>
      <c r="I109" s="23" t="str">
        <f>IFERROR(_xlfn.XLOOKUP(Table5[[#This Row],[Affected WTG]],'Basic Data'!$A:$A,'Basic Data'!$C:$C),"")</f>
        <v>MSEDCL</v>
      </c>
      <c r="J109" s="286">
        <f>IFERROR(_xlfn.XLOOKUP(Table5[[#This Row],[Affected WTG]],'Basic Data'!$A:$A,'Basic Data'!$E:$E),"")</f>
        <v>2.2727272727272728E-2</v>
      </c>
      <c r="K109" s="79">
        <v>3</v>
      </c>
      <c r="L109" s="23" t="str">
        <f>IFERROR(_xlfn.XLOOKUP(Table5[[#This Row],[Error Code]],'Basic Data'!$W:$W,'Basic Data'!$X:$X),"Incorrect Error Code")</f>
        <v>Manual Stop</v>
      </c>
      <c r="M109" s="23" t="s">
        <v>792</v>
      </c>
      <c r="N109" s="23"/>
      <c r="O109" s="287">
        <v>0.36319444444444443</v>
      </c>
      <c r="P109" s="287">
        <v>0.36319444444444443</v>
      </c>
      <c r="Q109" s="287">
        <v>0.99930555555555556</v>
      </c>
      <c r="R109" s="91">
        <f t="shared" si="2"/>
        <v>0.63611111111111107</v>
      </c>
      <c r="S109" s="91">
        <f>(Table5[[#This Row],[Fault Clearance time]]-Table5[[#This Row],[Work Start TimeStamp]])*24</f>
        <v>15.266666666666666</v>
      </c>
      <c r="T109" s="91">
        <f>(Table5[[#This Row],[Fault Clearance time]]-Table5[[#This Row],[Fault Start TimeStamp]])*24</f>
        <v>15.266666666666666</v>
      </c>
      <c r="U109" s="23" t="s">
        <v>795</v>
      </c>
      <c r="V109" s="79" t="s">
        <v>339</v>
      </c>
      <c r="W109" s="289">
        <f>IFERROR(Table5[[#This Row],[Breakdown Time]]*Table5[[#This Row],[Plant Equivalent Weightage]],"")</f>
        <v>0.34696969696969698</v>
      </c>
      <c r="X109" s="289" t="s">
        <v>394</v>
      </c>
      <c r="Y109" s="290" t="s">
        <v>83</v>
      </c>
      <c r="Z109" s="79"/>
      <c r="AA109" s="283">
        <v>3034</v>
      </c>
      <c r="AB109" s="79"/>
      <c r="AC109" s="23"/>
      <c r="AD109" s="23"/>
    </row>
    <row r="110" spans="1:30">
      <c r="A110" s="79">
        <f t="shared" si="3"/>
        <v>109</v>
      </c>
      <c r="B110" s="283">
        <f>YEAR(Table5[[#This Row],[Date]])+IF(MONTH(Table5[[#This Row],[Date]])&gt;=4,1,0)</f>
        <v>2026</v>
      </c>
      <c r="C110" s="79">
        <f>YEAR(Table5[[#This Row],[Date]])</f>
        <v>2025</v>
      </c>
      <c r="D110" s="79" t="s">
        <v>344</v>
      </c>
      <c r="E110" s="284">
        <f>Table5[[#This Row],[Date]]-DAY(Table5[[#This Row],[Date]])+1</f>
        <v>45778</v>
      </c>
      <c r="F110" s="285">
        <v>45786</v>
      </c>
      <c r="G110" s="79" t="s">
        <v>100</v>
      </c>
      <c r="H110" s="23" t="str">
        <f>IFERROR(_xlfn.XLOOKUP(Table5[[#This Row],[Affected WTG]],'Basic Data'!$A:$A,'Basic Data'!$B:$B),"")</f>
        <v>PWEPL</v>
      </c>
      <c r="I110" s="23" t="str">
        <f>IFERROR(_xlfn.XLOOKUP(Table5[[#This Row],[Affected WTG]],'Basic Data'!$A:$A,'Basic Data'!$C:$C),"")</f>
        <v>MSEDCL</v>
      </c>
      <c r="J110" s="286">
        <f>IFERROR(_xlfn.XLOOKUP(Table5[[#This Row],[Affected WTG]],'Basic Data'!$A:$A,'Basic Data'!$E:$E),"")</f>
        <v>2.2727272727272728E-2</v>
      </c>
      <c r="K110" s="79">
        <v>3</v>
      </c>
      <c r="L110" s="23" t="str">
        <f>IFERROR(_xlfn.XLOOKUP(Table5[[#This Row],[Error Code]],'Basic Data'!$W:$W,'Basic Data'!$X:$X),"Incorrect Error Code")</f>
        <v>Manual Stop</v>
      </c>
      <c r="M110" s="23" t="s">
        <v>792</v>
      </c>
      <c r="N110" s="23"/>
      <c r="O110" s="287">
        <v>0.53263888888888888</v>
      </c>
      <c r="P110" s="287">
        <v>0.53263888888888888</v>
      </c>
      <c r="Q110" s="287">
        <v>0.99930555555555556</v>
      </c>
      <c r="R110" s="91">
        <f t="shared" si="2"/>
        <v>0.46666666666666667</v>
      </c>
      <c r="S110" s="91">
        <f>(Table5[[#This Row],[Fault Clearance time]]-Table5[[#This Row],[Work Start TimeStamp]])*24</f>
        <v>11.2</v>
      </c>
      <c r="T110" s="91">
        <f>(Table5[[#This Row],[Fault Clearance time]]-Table5[[#This Row],[Fault Start TimeStamp]])*24</f>
        <v>11.2</v>
      </c>
      <c r="U110" s="23" t="s">
        <v>795</v>
      </c>
      <c r="V110" s="79" t="s">
        <v>339</v>
      </c>
      <c r="W110" s="289">
        <f>IFERROR(Table5[[#This Row],[Breakdown Time]]*Table5[[#This Row],[Plant Equivalent Weightage]],"")</f>
        <v>0.25454545454545452</v>
      </c>
      <c r="X110" s="289" t="s">
        <v>394</v>
      </c>
      <c r="Y110" s="290" t="s">
        <v>101</v>
      </c>
      <c r="Z110" s="79"/>
      <c r="AA110" s="283">
        <v>2226</v>
      </c>
      <c r="AB110" s="79"/>
      <c r="AC110" s="23"/>
      <c r="AD110" s="23"/>
    </row>
    <row r="111" spans="1:30">
      <c r="A111" s="79">
        <f t="shared" si="3"/>
        <v>110</v>
      </c>
      <c r="B111" s="283">
        <f>YEAR(Table5[[#This Row],[Date]])+IF(MONTH(Table5[[#This Row],[Date]])&gt;=4,1,0)</f>
        <v>2026</v>
      </c>
      <c r="C111" s="79">
        <f>YEAR(Table5[[#This Row],[Date]])</f>
        <v>2025</v>
      </c>
      <c r="D111" s="79" t="s">
        <v>344</v>
      </c>
      <c r="E111" s="284">
        <f>Table5[[#This Row],[Date]]-DAY(Table5[[#This Row],[Date]])+1</f>
        <v>45778</v>
      </c>
      <c r="F111" s="285">
        <v>45786</v>
      </c>
      <c r="G111" s="79" t="s">
        <v>89</v>
      </c>
      <c r="H111" s="23" t="str">
        <f>IFERROR(_xlfn.XLOOKUP(Table5[[#This Row],[Affected WTG]],'Basic Data'!$A:$A,'Basic Data'!$B:$B),"")</f>
        <v>PWEPL</v>
      </c>
      <c r="I111" s="23" t="str">
        <f>IFERROR(_xlfn.XLOOKUP(Table5[[#This Row],[Affected WTG]],'Basic Data'!$A:$A,'Basic Data'!$C:$C),"")</f>
        <v>MSEDCL</v>
      </c>
      <c r="J111" s="286">
        <f>IFERROR(_xlfn.XLOOKUP(Table5[[#This Row],[Affected WTG]],'Basic Data'!$A:$A,'Basic Data'!$E:$E),"")</f>
        <v>2.2727272727272728E-2</v>
      </c>
      <c r="K111" s="79">
        <v>3</v>
      </c>
      <c r="L111" s="23" t="str">
        <f>IFERROR(_xlfn.XLOOKUP(Table5[[#This Row],[Error Code]],'Basic Data'!$W:$W,'Basic Data'!$X:$X),"Incorrect Error Code")</f>
        <v>Manual Stop</v>
      </c>
      <c r="M111" s="23" t="s">
        <v>792</v>
      </c>
      <c r="N111" s="23"/>
      <c r="O111" s="287">
        <v>0.73541666666666661</v>
      </c>
      <c r="P111" s="287">
        <v>0.73541666666666661</v>
      </c>
      <c r="Q111" s="287">
        <v>0.99930555555555556</v>
      </c>
      <c r="R111" s="91">
        <f t="shared" si="2"/>
        <v>0.26388888888888895</v>
      </c>
      <c r="S111" s="91">
        <f>(Table5[[#This Row],[Fault Clearance time]]-Table5[[#This Row],[Work Start TimeStamp]])*24</f>
        <v>6.3333333333333348</v>
      </c>
      <c r="T111" s="91">
        <f>(Table5[[#This Row],[Fault Clearance time]]-Table5[[#This Row],[Fault Start TimeStamp]])*24</f>
        <v>6.3333333333333348</v>
      </c>
      <c r="U111" s="23" t="s">
        <v>795</v>
      </c>
      <c r="V111" s="79" t="s">
        <v>339</v>
      </c>
      <c r="W111" s="289">
        <f>IFERROR(Table5[[#This Row],[Breakdown Time]]*Table5[[#This Row],[Plant Equivalent Weightage]],"")</f>
        <v>0.14393939393939398</v>
      </c>
      <c r="X111" s="289" t="s">
        <v>394</v>
      </c>
      <c r="Y111" s="290" t="s">
        <v>88</v>
      </c>
      <c r="Z111" s="79"/>
      <c r="AA111" s="283">
        <v>1259</v>
      </c>
      <c r="AB111" s="79"/>
      <c r="AC111" s="23"/>
      <c r="AD111" s="23"/>
    </row>
    <row r="112" spans="1:30">
      <c r="A112" s="79">
        <f t="shared" si="3"/>
        <v>111</v>
      </c>
      <c r="B112" s="283">
        <f>YEAR(Table5[[#This Row],[Date]])+IF(MONTH(Table5[[#This Row],[Date]])&gt;=4,1,0)</f>
        <v>2026</v>
      </c>
      <c r="C112" s="79">
        <f>YEAR(Table5[[#This Row],[Date]])</f>
        <v>2025</v>
      </c>
      <c r="D112" s="79" t="s">
        <v>344</v>
      </c>
      <c r="E112" s="284">
        <f>Table5[[#This Row],[Date]]-DAY(Table5[[#This Row],[Date]])+1</f>
        <v>45778</v>
      </c>
      <c r="F112" s="285">
        <v>45787</v>
      </c>
      <c r="G112" s="79" t="s">
        <v>98</v>
      </c>
      <c r="H112" s="23" t="str">
        <f>IFERROR(_xlfn.XLOOKUP(Table5[[#This Row],[Affected WTG]],'Basic Data'!$A:$A,'Basic Data'!$B:$B),"")</f>
        <v>PWEPL</v>
      </c>
      <c r="I112" s="23" t="str">
        <f>IFERROR(_xlfn.XLOOKUP(Table5[[#This Row],[Affected WTG]],'Basic Data'!$A:$A,'Basic Data'!$C:$C),"")</f>
        <v>MSEDCL</v>
      </c>
      <c r="J112" s="286">
        <f>IFERROR(_xlfn.XLOOKUP(Table5[[#This Row],[Affected WTG]],'Basic Data'!$A:$A,'Basic Data'!$E:$E),"")</f>
        <v>2.2727272727272728E-2</v>
      </c>
      <c r="K112" s="79">
        <v>3</v>
      </c>
      <c r="L112" s="23" t="str">
        <f>IFERROR(_xlfn.XLOOKUP(Table5[[#This Row],[Error Code]],'Basic Data'!$W:$W,'Basic Data'!$X:$X),"Incorrect Error Code")</f>
        <v>Manual Stop</v>
      </c>
      <c r="M112" s="23" t="s">
        <v>792</v>
      </c>
      <c r="N112" s="23"/>
      <c r="O112" s="287">
        <v>0</v>
      </c>
      <c r="P112" s="287">
        <v>0</v>
      </c>
      <c r="Q112" s="287">
        <v>0.50972222222222219</v>
      </c>
      <c r="R112" s="91">
        <f t="shared" si="2"/>
        <v>0.50972222222222219</v>
      </c>
      <c r="S112" s="91">
        <f>(Table5[[#This Row],[Fault Clearance time]]-Table5[[#This Row],[Work Start TimeStamp]])*24</f>
        <v>12.233333333333333</v>
      </c>
      <c r="T112" s="91">
        <f>(Table5[[#This Row],[Fault Clearance time]]-Table5[[#This Row],[Fault Start TimeStamp]])*24</f>
        <v>12.233333333333333</v>
      </c>
      <c r="U112" s="23" t="s">
        <v>798</v>
      </c>
      <c r="V112" s="79" t="s">
        <v>339</v>
      </c>
      <c r="W112" s="289">
        <f>IFERROR(Table5[[#This Row],[Breakdown Time]]*Table5[[#This Row],[Plant Equivalent Weightage]],"")</f>
        <v>0.27803030303030302</v>
      </c>
      <c r="X112" s="289" t="s">
        <v>394</v>
      </c>
      <c r="Y112" s="290" t="s">
        <v>99</v>
      </c>
      <c r="Z112" s="79"/>
      <c r="AA112" s="283">
        <v>1809</v>
      </c>
      <c r="AB112" s="79"/>
      <c r="AC112" s="23"/>
      <c r="AD112" s="23"/>
    </row>
    <row r="113" spans="1:30">
      <c r="A113" s="79">
        <f t="shared" si="3"/>
        <v>112</v>
      </c>
      <c r="B113" s="283">
        <f>YEAR(Table5[[#This Row],[Date]])+IF(MONTH(Table5[[#This Row],[Date]])&gt;=4,1,0)</f>
        <v>2026</v>
      </c>
      <c r="C113" s="79">
        <f>YEAR(Table5[[#This Row],[Date]])</f>
        <v>2025</v>
      </c>
      <c r="D113" s="79" t="s">
        <v>344</v>
      </c>
      <c r="E113" s="284">
        <f>Table5[[#This Row],[Date]]-DAY(Table5[[#This Row],[Date]])+1</f>
        <v>45778</v>
      </c>
      <c r="F113" s="285">
        <v>45787</v>
      </c>
      <c r="G113" s="79" t="s">
        <v>100</v>
      </c>
      <c r="H113" s="23" t="str">
        <f>IFERROR(_xlfn.XLOOKUP(Table5[[#This Row],[Affected WTG]],'Basic Data'!$A:$A,'Basic Data'!$B:$B),"")</f>
        <v>PWEPL</v>
      </c>
      <c r="I113" s="23" t="str">
        <f>IFERROR(_xlfn.XLOOKUP(Table5[[#This Row],[Affected WTG]],'Basic Data'!$A:$A,'Basic Data'!$C:$C),"")</f>
        <v>MSEDCL</v>
      </c>
      <c r="J113" s="286">
        <f>IFERROR(_xlfn.XLOOKUP(Table5[[#This Row],[Affected WTG]],'Basic Data'!$A:$A,'Basic Data'!$E:$E),"")</f>
        <v>2.2727272727272728E-2</v>
      </c>
      <c r="K113" s="79">
        <v>3</v>
      </c>
      <c r="L113" s="23" t="str">
        <f>IFERROR(_xlfn.XLOOKUP(Table5[[#This Row],[Error Code]],'Basic Data'!$W:$W,'Basic Data'!$X:$X),"Incorrect Error Code")</f>
        <v>Manual Stop</v>
      </c>
      <c r="M113" s="23" t="s">
        <v>792</v>
      </c>
      <c r="N113" s="23"/>
      <c r="O113" s="287">
        <v>0</v>
      </c>
      <c r="P113" s="287">
        <v>0</v>
      </c>
      <c r="Q113" s="287">
        <v>0.45763888888888887</v>
      </c>
      <c r="R113" s="91">
        <f t="shared" si="2"/>
        <v>0.45763888888888887</v>
      </c>
      <c r="S113" s="91">
        <f>(Table5[[#This Row],[Fault Clearance time]]-Table5[[#This Row],[Work Start TimeStamp]])*24</f>
        <v>10.983333333333333</v>
      </c>
      <c r="T113" s="91">
        <f>(Table5[[#This Row],[Fault Clearance time]]-Table5[[#This Row],[Fault Start TimeStamp]])*24</f>
        <v>10.983333333333333</v>
      </c>
      <c r="U113" s="23" t="s">
        <v>798</v>
      </c>
      <c r="V113" s="79" t="s">
        <v>339</v>
      </c>
      <c r="W113" s="289">
        <f>IFERROR(Table5[[#This Row],[Breakdown Time]]*Table5[[#This Row],[Plant Equivalent Weightage]],"")</f>
        <v>0.2496212121212121</v>
      </c>
      <c r="X113" s="289" t="s">
        <v>394</v>
      </c>
      <c r="Y113" s="290" t="s">
        <v>99</v>
      </c>
      <c r="Z113" s="79"/>
      <c r="AA113" s="283">
        <v>1624</v>
      </c>
      <c r="AB113" s="79"/>
      <c r="AC113" s="23"/>
      <c r="AD113" s="23"/>
    </row>
    <row r="114" spans="1:30">
      <c r="A114" s="79">
        <f t="shared" si="3"/>
        <v>113</v>
      </c>
      <c r="B114" s="283">
        <f>YEAR(Table5[[#This Row],[Date]])+IF(MONTH(Table5[[#This Row],[Date]])&gt;=4,1,0)</f>
        <v>2026</v>
      </c>
      <c r="C114" s="79">
        <f>YEAR(Table5[[#This Row],[Date]])</f>
        <v>2025</v>
      </c>
      <c r="D114" s="79" t="s">
        <v>344</v>
      </c>
      <c r="E114" s="284">
        <f>Table5[[#This Row],[Date]]-DAY(Table5[[#This Row],[Date]])+1</f>
        <v>45778</v>
      </c>
      <c r="F114" s="285">
        <v>45787</v>
      </c>
      <c r="G114" s="79" t="s">
        <v>89</v>
      </c>
      <c r="H114" s="23" t="str">
        <f>IFERROR(_xlfn.XLOOKUP(Table5[[#This Row],[Affected WTG]],'Basic Data'!$A:$A,'Basic Data'!$B:$B),"")</f>
        <v>PWEPL</v>
      </c>
      <c r="I114" s="23" t="str">
        <f>IFERROR(_xlfn.XLOOKUP(Table5[[#This Row],[Affected WTG]],'Basic Data'!$A:$A,'Basic Data'!$C:$C),"")</f>
        <v>MSEDCL</v>
      </c>
      <c r="J114" s="286">
        <f>IFERROR(_xlfn.XLOOKUP(Table5[[#This Row],[Affected WTG]],'Basic Data'!$A:$A,'Basic Data'!$E:$E),"")</f>
        <v>2.2727272727272728E-2</v>
      </c>
      <c r="K114" s="79">
        <v>3</v>
      </c>
      <c r="L114" s="23" t="str">
        <f>IFERROR(_xlfn.XLOOKUP(Table5[[#This Row],[Error Code]],'Basic Data'!$W:$W,'Basic Data'!$X:$X),"Incorrect Error Code")</f>
        <v>Manual Stop</v>
      </c>
      <c r="M114" s="23" t="s">
        <v>792</v>
      </c>
      <c r="N114" s="23"/>
      <c r="O114" s="287">
        <v>0</v>
      </c>
      <c r="P114" s="287">
        <v>0</v>
      </c>
      <c r="Q114" s="287">
        <v>0.74375000000000002</v>
      </c>
      <c r="R114" s="91">
        <f t="shared" si="2"/>
        <v>0.74375000000000002</v>
      </c>
      <c r="S114" s="91">
        <f>(Table5[[#This Row],[Fault Clearance time]]-Table5[[#This Row],[Work Start TimeStamp]])*24</f>
        <v>17.850000000000001</v>
      </c>
      <c r="T114" s="91">
        <f>(Table5[[#This Row],[Fault Clearance time]]-Table5[[#This Row],[Fault Start TimeStamp]])*24</f>
        <v>17.850000000000001</v>
      </c>
      <c r="U114" s="23" t="s">
        <v>798</v>
      </c>
      <c r="V114" s="79" t="s">
        <v>339</v>
      </c>
      <c r="W114" s="289">
        <f>IFERROR(Table5[[#This Row],[Breakdown Time]]*Table5[[#This Row],[Plant Equivalent Weightage]],"")</f>
        <v>0.4056818181818182</v>
      </c>
      <c r="X114" s="289" t="s">
        <v>394</v>
      </c>
      <c r="Y114" s="290" t="s">
        <v>88</v>
      </c>
      <c r="Z114" s="79"/>
      <c r="AA114" s="283">
        <v>2639</v>
      </c>
      <c r="AB114" s="79"/>
      <c r="AC114" s="23"/>
      <c r="AD114" s="23"/>
    </row>
    <row r="115" spans="1:30">
      <c r="A115" s="79">
        <f t="shared" si="3"/>
        <v>114</v>
      </c>
      <c r="B115" s="283">
        <f>YEAR(Table5[[#This Row],[Date]])+IF(MONTH(Table5[[#This Row],[Date]])&gt;=4,1,0)</f>
        <v>2026</v>
      </c>
      <c r="C115" s="79">
        <f>YEAR(Table5[[#This Row],[Date]])</f>
        <v>2025</v>
      </c>
      <c r="D115" s="79" t="s">
        <v>344</v>
      </c>
      <c r="E115" s="284">
        <f>Table5[[#This Row],[Date]]-DAY(Table5[[#This Row],[Date]])+1</f>
        <v>45778</v>
      </c>
      <c r="F115" s="285">
        <v>45787</v>
      </c>
      <c r="G115" s="79" t="s">
        <v>97</v>
      </c>
      <c r="H115" s="23" t="str">
        <f>IFERROR(_xlfn.XLOOKUP(Table5[[#This Row],[Affected WTG]],'Basic Data'!$A:$A,'Basic Data'!$B:$B),"")</f>
        <v>PWEPL</v>
      </c>
      <c r="I115" s="23" t="str">
        <f>IFERROR(_xlfn.XLOOKUP(Table5[[#This Row],[Affected WTG]],'Basic Data'!$A:$A,'Basic Data'!$C:$C),"")</f>
        <v>MSEDCL</v>
      </c>
      <c r="J115" s="286">
        <f>IFERROR(_xlfn.XLOOKUP(Table5[[#This Row],[Affected WTG]],'Basic Data'!$A:$A,'Basic Data'!$E:$E),"")</f>
        <v>2.2727272727272728E-2</v>
      </c>
      <c r="K115" s="79">
        <v>3</v>
      </c>
      <c r="L115" s="23" t="str">
        <f>IFERROR(_xlfn.XLOOKUP(Table5[[#This Row],[Error Code]],'Basic Data'!$W:$W,'Basic Data'!$X:$X),"Incorrect Error Code")</f>
        <v>Manual Stop</v>
      </c>
      <c r="M115" s="23" t="s">
        <v>792</v>
      </c>
      <c r="N115" s="23"/>
      <c r="O115" s="287">
        <v>0.37291666666666662</v>
      </c>
      <c r="P115" s="287">
        <v>0.37291666666666662</v>
      </c>
      <c r="Q115" s="287">
        <v>0.99930555555555556</v>
      </c>
      <c r="R115" s="91">
        <f t="shared" si="2"/>
        <v>0.62638888888888888</v>
      </c>
      <c r="S115" s="91">
        <f>(Table5[[#This Row],[Fault Clearance time]]-Table5[[#This Row],[Work Start TimeStamp]])*24</f>
        <v>15.033333333333333</v>
      </c>
      <c r="T115" s="91">
        <f>(Table5[[#This Row],[Fault Clearance time]]-Table5[[#This Row],[Fault Start TimeStamp]])*24</f>
        <v>15.033333333333333</v>
      </c>
      <c r="U115" s="23" t="s">
        <v>795</v>
      </c>
      <c r="V115" s="79" t="s">
        <v>339</v>
      </c>
      <c r="W115" s="289">
        <f>IFERROR(Table5[[#This Row],[Breakdown Time]]*Table5[[#This Row],[Plant Equivalent Weightage]],"")</f>
        <v>0.34166666666666667</v>
      </c>
      <c r="X115" s="289" t="s">
        <v>394</v>
      </c>
      <c r="Y115" s="290" t="s">
        <v>96</v>
      </c>
      <c r="Z115" s="79"/>
      <c r="AA115" s="283">
        <v>2223</v>
      </c>
      <c r="AB115" s="79"/>
      <c r="AC115" s="23"/>
      <c r="AD115" s="23"/>
    </row>
    <row r="116" spans="1:30">
      <c r="A116" s="79">
        <f t="shared" si="3"/>
        <v>115</v>
      </c>
      <c r="B116" s="283">
        <f>YEAR(Table5[[#This Row],[Date]])+IF(MONTH(Table5[[#This Row],[Date]])&gt;=4,1,0)</f>
        <v>2026</v>
      </c>
      <c r="C116" s="79">
        <f>YEAR(Table5[[#This Row],[Date]])</f>
        <v>2025</v>
      </c>
      <c r="D116" s="79" t="s">
        <v>344</v>
      </c>
      <c r="E116" s="284">
        <f>Table5[[#This Row],[Date]]-DAY(Table5[[#This Row],[Date]])+1</f>
        <v>45778</v>
      </c>
      <c r="F116" s="285">
        <v>45787</v>
      </c>
      <c r="G116" s="79" t="s">
        <v>107</v>
      </c>
      <c r="H116" s="23" t="str">
        <f>IFERROR(_xlfn.XLOOKUP(Table5[[#This Row],[Affected WTG]],'Basic Data'!$A:$A,'Basic Data'!$B:$B),"")</f>
        <v>PWEPL</v>
      </c>
      <c r="I116" s="23" t="str">
        <f>IFERROR(_xlfn.XLOOKUP(Table5[[#This Row],[Affected WTG]],'Basic Data'!$A:$A,'Basic Data'!$C:$C),"")</f>
        <v>MSEDCL</v>
      </c>
      <c r="J116" s="286">
        <f>IFERROR(_xlfn.XLOOKUP(Table5[[#This Row],[Affected WTG]],'Basic Data'!$A:$A,'Basic Data'!$E:$E),"")</f>
        <v>2.2727272727272728E-2</v>
      </c>
      <c r="K116" s="79">
        <v>106</v>
      </c>
      <c r="L116" s="23" t="str">
        <f>IFERROR(_xlfn.XLOOKUP(Table5[[#This Row],[Error Code]],'Basic Data'!$W:$W,'Basic Data'!$X:$X),"Incorrect Error Code")</f>
        <v>Rotor CCU fault current</v>
      </c>
      <c r="M116" s="23" t="s">
        <v>800</v>
      </c>
      <c r="N116" s="23"/>
      <c r="O116" s="287">
        <v>0.56597222222222221</v>
      </c>
      <c r="P116" s="287">
        <v>0.56597222222222221</v>
      </c>
      <c r="Q116" s="287">
        <v>0.64513888888888882</v>
      </c>
      <c r="R116" s="91">
        <f t="shared" si="2"/>
        <v>7.9166666666666607E-2</v>
      </c>
      <c r="S116" s="91">
        <f>(Table5[[#This Row],[Fault Clearance time]]-Table5[[#This Row],[Work Start TimeStamp]])*24</f>
        <v>1.8999999999999986</v>
      </c>
      <c r="T116" s="91">
        <f>(Table5[[#This Row],[Fault Clearance time]]-Table5[[#This Row],[Fault Start TimeStamp]])*24</f>
        <v>1.8999999999999986</v>
      </c>
      <c r="U116" s="23" t="s">
        <v>801</v>
      </c>
      <c r="V116" s="79" t="s">
        <v>339</v>
      </c>
      <c r="W116" s="289">
        <f>IFERROR(Table5[[#This Row],[Breakdown Time]]*Table5[[#This Row],[Plant Equivalent Weightage]],"")</f>
        <v>4.3181818181818148E-2</v>
      </c>
      <c r="X116" s="289" t="s">
        <v>343</v>
      </c>
      <c r="Y116" s="290" t="s">
        <v>80</v>
      </c>
      <c r="Z116" s="79"/>
      <c r="AA116" s="283">
        <v>70</v>
      </c>
      <c r="AB116" s="79"/>
      <c r="AC116" s="23"/>
      <c r="AD116" s="23"/>
    </row>
    <row r="117" spans="1:30">
      <c r="A117" s="79">
        <f t="shared" si="3"/>
        <v>116</v>
      </c>
      <c r="B117" s="283">
        <f>YEAR(Table5[[#This Row],[Date]])+IF(MONTH(Table5[[#This Row],[Date]])&gt;=4,1,0)</f>
        <v>2026</v>
      </c>
      <c r="C117" s="79">
        <f>YEAR(Table5[[#This Row],[Date]])</f>
        <v>2025</v>
      </c>
      <c r="D117" s="79" t="s">
        <v>344</v>
      </c>
      <c r="E117" s="284">
        <f>Table5[[#This Row],[Date]]-DAY(Table5[[#This Row],[Date]])+1</f>
        <v>45778</v>
      </c>
      <c r="F117" s="285">
        <v>45787</v>
      </c>
      <c r="G117" s="79" t="s">
        <v>105</v>
      </c>
      <c r="H117" s="23" t="str">
        <f>IFERROR(_xlfn.XLOOKUP(Table5[[#This Row],[Affected WTG]],'Basic Data'!$A:$A,'Basic Data'!$B:$B),"")</f>
        <v>PWEPL</v>
      </c>
      <c r="I117" s="23" t="str">
        <f>IFERROR(_xlfn.XLOOKUP(Table5[[#This Row],[Affected WTG]],'Basic Data'!$A:$A,'Basic Data'!$C:$C),"")</f>
        <v>MSEDCL</v>
      </c>
      <c r="J117" s="286">
        <f>IFERROR(_xlfn.XLOOKUP(Table5[[#This Row],[Affected WTG]],'Basic Data'!$A:$A,'Basic Data'!$E:$E),"")</f>
        <v>2.2727272727272728E-2</v>
      </c>
      <c r="K117" s="79">
        <v>431</v>
      </c>
      <c r="L117" s="23" t="str">
        <f>IFERROR(_xlfn.XLOOKUP(Table5[[#This Row],[Error Code]],'Basic Data'!$W:$W,'Basic Data'!$X:$X),"Incorrect Error Code")</f>
        <v xml:space="preserve">Yaw tooth sensor 2 timeout </v>
      </c>
      <c r="M117" s="23" t="s">
        <v>797</v>
      </c>
      <c r="N117" s="23"/>
      <c r="O117" s="287">
        <v>0.77708333333333324</v>
      </c>
      <c r="P117" s="287">
        <v>0.77708333333333324</v>
      </c>
      <c r="Q117" s="287">
        <v>0.82986111111111116</v>
      </c>
      <c r="R117" s="91">
        <f t="shared" si="2"/>
        <v>5.2777777777777923E-2</v>
      </c>
      <c r="S117" s="91">
        <f>(Table5[[#This Row],[Fault Clearance time]]-Table5[[#This Row],[Work Start TimeStamp]])*24</f>
        <v>1.2666666666666702</v>
      </c>
      <c r="T117" s="91">
        <f>(Table5[[#This Row],[Fault Clearance time]]-Table5[[#This Row],[Fault Start TimeStamp]])*24</f>
        <v>1.2666666666666702</v>
      </c>
      <c r="U117" s="23" t="s">
        <v>802</v>
      </c>
      <c r="V117" s="79" t="s">
        <v>339</v>
      </c>
      <c r="W117" s="289">
        <f>IFERROR(Table5[[#This Row],[Breakdown Time]]*Table5[[#This Row],[Plant Equivalent Weightage]],"")</f>
        <v>2.8787878787878869E-2</v>
      </c>
      <c r="X117" s="289" t="s">
        <v>343</v>
      </c>
      <c r="Y117" s="290" t="s">
        <v>103</v>
      </c>
      <c r="Z117" s="79"/>
      <c r="AA117" s="283">
        <v>82</v>
      </c>
      <c r="AB117" s="79"/>
      <c r="AC117" s="23"/>
      <c r="AD117" s="23"/>
    </row>
    <row r="118" spans="1:30">
      <c r="A118" s="79">
        <f t="shared" si="3"/>
        <v>117</v>
      </c>
      <c r="B118" s="283">
        <f>YEAR(Table5[[#This Row],[Date]])+IF(MONTH(Table5[[#This Row],[Date]])&gt;=4,1,0)</f>
        <v>2026</v>
      </c>
      <c r="C118" s="79">
        <f>YEAR(Table5[[#This Row],[Date]])</f>
        <v>2025</v>
      </c>
      <c r="D118" s="79" t="s">
        <v>344</v>
      </c>
      <c r="E118" s="284">
        <f>Table5[[#This Row],[Date]]-DAY(Table5[[#This Row],[Date]])+1</f>
        <v>45778</v>
      </c>
      <c r="F118" s="285">
        <v>45788</v>
      </c>
      <c r="G118" s="79" t="s">
        <v>97</v>
      </c>
      <c r="H118" s="23" t="str">
        <f>IFERROR(_xlfn.XLOOKUP(Table5[[#This Row],[Affected WTG]],'Basic Data'!$A:$A,'Basic Data'!$B:$B),"")</f>
        <v>PWEPL</v>
      </c>
      <c r="I118" s="23" t="str">
        <f>IFERROR(_xlfn.XLOOKUP(Table5[[#This Row],[Affected WTG]],'Basic Data'!$A:$A,'Basic Data'!$C:$C),"")</f>
        <v>MSEDCL</v>
      </c>
      <c r="J118" s="286">
        <f>IFERROR(_xlfn.XLOOKUP(Table5[[#This Row],[Affected WTG]],'Basic Data'!$A:$A,'Basic Data'!$E:$E),"")</f>
        <v>2.2727272727272728E-2</v>
      </c>
      <c r="K118" s="79">
        <v>3</v>
      </c>
      <c r="L118" s="23" t="str">
        <f>IFERROR(_xlfn.XLOOKUP(Table5[[#This Row],[Error Code]],'Basic Data'!$W:$W,'Basic Data'!$X:$X),"Incorrect Error Code")</f>
        <v>Manual Stop</v>
      </c>
      <c r="M118" s="23" t="s">
        <v>792</v>
      </c>
      <c r="N118" s="23"/>
      <c r="O118" s="287">
        <v>0</v>
      </c>
      <c r="P118" s="287">
        <v>0</v>
      </c>
      <c r="Q118" s="287">
        <v>0.52638888888888891</v>
      </c>
      <c r="R118" s="91">
        <f t="shared" si="2"/>
        <v>0.52638888888888891</v>
      </c>
      <c r="S118" s="91">
        <f>(Table5[[#This Row],[Fault Clearance time]]-Table5[[#This Row],[Work Start TimeStamp]])*24</f>
        <v>12.633333333333333</v>
      </c>
      <c r="T118" s="91">
        <f>(Table5[[#This Row],[Fault Clearance time]]-Table5[[#This Row],[Fault Start TimeStamp]])*24</f>
        <v>12.633333333333333</v>
      </c>
      <c r="U118" s="23" t="s">
        <v>798</v>
      </c>
      <c r="V118" s="79" t="s">
        <v>339</v>
      </c>
      <c r="W118" s="289">
        <f>IFERROR(Table5[[#This Row],[Breakdown Time]]*Table5[[#This Row],[Plant Equivalent Weightage]],"")</f>
        <v>0.28712121212121211</v>
      </c>
      <c r="X118" s="289" t="s">
        <v>394</v>
      </c>
      <c r="Y118" s="290" t="s">
        <v>96</v>
      </c>
      <c r="Z118" s="79"/>
      <c r="AA118" s="283">
        <v>1293</v>
      </c>
      <c r="AB118" s="79"/>
      <c r="AC118" s="23"/>
      <c r="AD118" s="23"/>
    </row>
    <row r="119" spans="1:30">
      <c r="A119" s="79">
        <f t="shared" si="3"/>
        <v>118</v>
      </c>
      <c r="B119" s="283">
        <f>YEAR(Table5[[#This Row],[Date]])+IF(MONTH(Table5[[#This Row],[Date]])&gt;=4,1,0)</f>
        <v>2026</v>
      </c>
      <c r="C119" s="79">
        <f>YEAR(Table5[[#This Row],[Date]])</f>
        <v>2025</v>
      </c>
      <c r="D119" s="79" t="s">
        <v>344</v>
      </c>
      <c r="E119" s="284">
        <f>Table5[[#This Row],[Date]]-DAY(Table5[[#This Row],[Date]])+1</f>
        <v>45778</v>
      </c>
      <c r="F119" s="285">
        <v>45788</v>
      </c>
      <c r="G119" s="79" t="s">
        <v>115</v>
      </c>
      <c r="H119" s="23" t="str">
        <f>IFERROR(_xlfn.XLOOKUP(Table5[[#This Row],[Affected WTG]],'Basic Data'!$A:$A,'Basic Data'!$B:$B),"")</f>
        <v>PWEPL</v>
      </c>
      <c r="I119" s="23" t="str">
        <f>IFERROR(_xlfn.XLOOKUP(Table5[[#This Row],[Affected WTG]],'Basic Data'!$A:$A,'Basic Data'!$C:$C),"")</f>
        <v>MSEDCL</v>
      </c>
      <c r="J119" s="286">
        <f>IFERROR(_xlfn.XLOOKUP(Table5[[#This Row],[Affected WTG]],'Basic Data'!$A:$A,'Basic Data'!$E:$E),"")</f>
        <v>2.2727272727272728E-2</v>
      </c>
      <c r="K119" s="79">
        <v>3</v>
      </c>
      <c r="L119" s="23" t="str">
        <f>IFERROR(_xlfn.XLOOKUP(Table5[[#This Row],[Error Code]],'Basic Data'!$W:$W,'Basic Data'!$X:$X),"Incorrect Error Code")</f>
        <v>Manual Stop</v>
      </c>
      <c r="M119" s="23" t="s">
        <v>792</v>
      </c>
      <c r="N119" s="23"/>
      <c r="O119" s="287">
        <v>0.38958333333333334</v>
      </c>
      <c r="P119" s="287">
        <v>0.38958333333333334</v>
      </c>
      <c r="Q119" s="287">
        <v>0.99930555555555556</v>
      </c>
      <c r="R119" s="91">
        <f t="shared" si="2"/>
        <v>0.60972222222222228</v>
      </c>
      <c r="S119" s="91">
        <f>(Table5[[#This Row],[Fault Clearance time]]-Table5[[#This Row],[Work Start TimeStamp]])*24</f>
        <v>14.633333333333335</v>
      </c>
      <c r="T119" s="91">
        <f>(Table5[[#This Row],[Fault Clearance time]]-Table5[[#This Row],[Fault Start TimeStamp]])*24</f>
        <v>14.633333333333335</v>
      </c>
      <c r="U119" s="23" t="s">
        <v>795</v>
      </c>
      <c r="V119" s="79" t="s">
        <v>339</v>
      </c>
      <c r="W119" s="289">
        <f>IFERROR(Table5[[#This Row],[Breakdown Time]]*Table5[[#This Row],[Plant Equivalent Weightage]],"")</f>
        <v>0.33257575757575764</v>
      </c>
      <c r="X119" s="289" t="s">
        <v>394</v>
      </c>
      <c r="Y119" s="290" t="s">
        <v>116</v>
      </c>
      <c r="Z119" s="79"/>
      <c r="AA119" s="283">
        <v>1498</v>
      </c>
      <c r="AB119" s="79"/>
      <c r="AC119" s="23"/>
      <c r="AD119" s="23"/>
    </row>
    <row r="120" spans="1:30">
      <c r="A120" s="79">
        <f t="shared" si="3"/>
        <v>119</v>
      </c>
      <c r="B120" s="283">
        <f>YEAR(Table5[[#This Row],[Date]])+IF(MONTH(Table5[[#This Row],[Date]])&gt;=4,1,0)</f>
        <v>2026</v>
      </c>
      <c r="C120" s="79">
        <f>YEAR(Table5[[#This Row],[Date]])</f>
        <v>2025</v>
      </c>
      <c r="D120" s="79" t="s">
        <v>344</v>
      </c>
      <c r="E120" s="284">
        <f>Table5[[#This Row],[Date]]-DAY(Table5[[#This Row],[Date]])+1</f>
        <v>45778</v>
      </c>
      <c r="F120" s="285">
        <v>45788</v>
      </c>
      <c r="G120" s="79" t="s">
        <v>117</v>
      </c>
      <c r="H120" s="23" t="str">
        <f>IFERROR(_xlfn.XLOOKUP(Table5[[#This Row],[Affected WTG]],'Basic Data'!$A:$A,'Basic Data'!$B:$B),"")</f>
        <v>PWEPL</v>
      </c>
      <c r="I120" s="23" t="str">
        <f>IFERROR(_xlfn.XLOOKUP(Table5[[#This Row],[Affected WTG]],'Basic Data'!$A:$A,'Basic Data'!$C:$C),"")</f>
        <v>MSEDCL</v>
      </c>
      <c r="J120" s="286">
        <f>IFERROR(_xlfn.XLOOKUP(Table5[[#This Row],[Affected WTG]],'Basic Data'!$A:$A,'Basic Data'!$E:$E),"")</f>
        <v>2.2727272727272728E-2</v>
      </c>
      <c r="K120" s="79">
        <v>3</v>
      </c>
      <c r="L120" s="23" t="str">
        <f>IFERROR(_xlfn.XLOOKUP(Table5[[#This Row],[Error Code]],'Basic Data'!$W:$W,'Basic Data'!$X:$X),"Incorrect Error Code")</f>
        <v>Manual Stop</v>
      </c>
      <c r="M120" s="23" t="s">
        <v>792</v>
      </c>
      <c r="N120" s="23"/>
      <c r="O120" s="287">
        <v>0.57291666666666663</v>
      </c>
      <c r="P120" s="287">
        <v>0.57291666666666663</v>
      </c>
      <c r="Q120" s="287">
        <v>0.99930555555555556</v>
      </c>
      <c r="R120" s="91">
        <f t="shared" si="2"/>
        <v>0.42638888888888893</v>
      </c>
      <c r="S120" s="91">
        <f>(Table5[[#This Row],[Fault Clearance time]]-Table5[[#This Row],[Work Start TimeStamp]])*24</f>
        <v>10.233333333333334</v>
      </c>
      <c r="T120" s="91">
        <f>(Table5[[#This Row],[Fault Clearance time]]-Table5[[#This Row],[Fault Start TimeStamp]])*24</f>
        <v>10.233333333333334</v>
      </c>
      <c r="U120" s="23" t="s">
        <v>795</v>
      </c>
      <c r="V120" s="79" t="s">
        <v>339</v>
      </c>
      <c r="W120" s="289">
        <f>IFERROR(Table5[[#This Row],[Breakdown Time]]*Table5[[#This Row],[Plant Equivalent Weightage]],"")</f>
        <v>0.2325757575757576</v>
      </c>
      <c r="X120" s="289" t="s">
        <v>394</v>
      </c>
      <c r="Y120" s="290" t="s">
        <v>116</v>
      </c>
      <c r="Z120" s="79"/>
      <c r="AA120" s="283">
        <v>1048</v>
      </c>
      <c r="AB120" s="79"/>
      <c r="AC120" s="23"/>
      <c r="AD120" s="23"/>
    </row>
    <row r="121" spans="1:30">
      <c r="A121" s="79">
        <f t="shared" si="3"/>
        <v>120</v>
      </c>
      <c r="B121" s="283">
        <f>YEAR(Table5[[#This Row],[Date]])+IF(MONTH(Table5[[#This Row],[Date]])&gt;=4,1,0)</f>
        <v>2026</v>
      </c>
      <c r="C121" s="79">
        <f>YEAR(Table5[[#This Row],[Date]])</f>
        <v>2025</v>
      </c>
      <c r="D121" s="79" t="s">
        <v>344</v>
      </c>
      <c r="E121" s="284">
        <f>Table5[[#This Row],[Date]]-DAY(Table5[[#This Row],[Date]])+1</f>
        <v>45778</v>
      </c>
      <c r="F121" s="285">
        <v>45789</v>
      </c>
      <c r="G121" s="79" t="s">
        <v>115</v>
      </c>
      <c r="H121" s="23" t="str">
        <f>IFERROR(_xlfn.XLOOKUP(Table5[[#This Row],[Affected WTG]],'Basic Data'!$A:$A,'Basic Data'!$B:$B),"")</f>
        <v>PWEPL</v>
      </c>
      <c r="I121" s="23" t="str">
        <f>IFERROR(_xlfn.XLOOKUP(Table5[[#This Row],[Affected WTG]],'Basic Data'!$A:$A,'Basic Data'!$C:$C),"")</f>
        <v>MSEDCL</v>
      </c>
      <c r="J121" s="286">
        <f>IFERROR(_xlfn.XLOOKUP(Table5[[#This Row],[Affected WTG]],'Basic Data'!$A:$A,'Basic Data'!$E:$E),"")</f>
        <v>2.2727272727272728E-2</v>
      </c>
      <c r="K121" s="79">
        <v>3</v>
      </c>
      <c r="L121" s="23" t="str">
        <f>IFERROR(_xlfn.XLOOKUP(Table5[[#This Row],[Error Code]],'Basic Data'!$W:$W,'Basic Data'!$X:$X),"Incorrect Error Code")</f>
        <v>Manual Stop</v>
      </c>
      <c r="M121" s="23" t="s">
        <v>792</v>
      </c>
      <c r="N121" s="23"/>
      <c r="O121" s="287">
        <v>0</v>
      </c>
      <c r="P121" s="287">
        <v>0</v>
      </c>
      <c r="Q121" s="287">
        <v>0.3444444444444445</v>
      </c>
      <c r="R121" s="91">
        <f t="shared" si="2"/>
        <v>0.3444444444444445</v>
      </c>
      <c r="S121" s="91">
        <f>(Table5[[#This Row],[Fault Clearance time]]-Table5[[#This Row],[Work Start TimeStamp]])*24</f>
        <v>8.2666666666666675</v>
      </c>
      <c r="T121" s="91">
        <f>(Table5[[#This Row],[Fault Clearance time]]-Table5[[#This Row],[Fault Start TimeStamp]])*24</f>
        <v>8.2666666666666675</v>
      </c>
      <c r="U121" s="23" t="s">
        <v>798</v>
      </c>
      <c r="V121" s="79" t="s">
        <v>339</v>
      </c>
      <c r="W121" s="289">
        <f>IFERROR(Table5[[#This Row],[Breakdown Time]]*Table5[[#This Row],[Plant Equivalent Weightage]],"")</f>
        <v>0.1878787878787879</v>
      </c>
      <c r="X121" s="289" t="s">
        <v>394</v>
      </c>
      <c r="Y121" s="290" t="s">
        <v>116</v>
      </c>
      <c r="Z121" s="79"/>
      <c r="AA121" s="283">
        <v>718</v>
      </c>
      <c r="AB121" s="79"/>
      <c r="AC121" s="23"/>
      <c r="AD121" s="23"/>
    </row>
    <row r="122" spans="1:30">
      <c r="A122" s="79">
        <f t="shared" si="3"/>
        <v>121</v>
      </c>
      <c r="B122" s="283">
        <f>YEAR(Table5[[#This Row],[Date]])+IF(MONTH(Table5[[#This Row],[Date]])&gt;=4,1,0)</f>
        <v>2026</v>
      </c>
      <c r="C122" s="79">
        <f>YEAR(Table5[[#This Row],[Date]])</f>
        <v>2025</v>
      </c>
      <c r="D122" s="79" t="s">
        <v>344</v>
      </c>
      <c r="E122" s="284">
        <f>Table5[[#This Row],[Date]]-DAY(Table5[[#This Row],[Date]])+1</f>
        <v>45778</v>
      </c>
      <c r="F122" s="285">
        <v>45789</v>
      </c>
      <c r="G122" s="79" t="s">
        <v>117</v>
      </c>
      <c r="H122" s="23" t="str">
        <f>IFERROR(_xlfn.XLOOKUP(Table5[[#This Row],[Affected WTG]],'Basic Data'!$A:$A,'Basic Data'!$B:$B),"")</f>
        <v>PWEPL</v>
      </c>
      <c r="I122" s="23" t="str">
        <f>IFERROR(_xlfn.XLOOKUP(Table5[[#This Row],[Affected WTG]],'Basic Data'!$A:$A,'Basic Data'!$C:$C),"")</f>
        <v>MSEDCL</v>
      </c>
      <c r="J122" s="286">
        <f>IFERROR(_xlfn.XLOOKUP(Table5[[#This Row],[Affected WTG]],'Basic Data'!$A:$A,'Basic Data'!$E:$E),"")</f>
        <v>2.2727272727272728E-2</v>
      </c>
      <c r="K122" s="79">
        <v>3</v>
      </c>
      <c r="L122" s="23" t="str">
        <f>IFERROR(_xlfn.XLOOKUP(Table5[[#This Row],[Error Code]],'Basic Data'!$W:$W,'Basic Data'!$X:$X),"Incorrect Error Code")</f>
        <v>Manual Stop</v>
      </c>
      <c r="M122" s="23" t="s">
        <v>792</v>
      </c>
      <c r="N122" s="23"/>
      <c r="O122" s="287">
        <v>0</v>
      </c>
      <c r="P122" s="287">
        <v>0</v>
      </c>
      <c r="Q122" s="287">
        <v>0.3444444444444445</v>
      </c>
      <c r="R122" s="91">
        <f t="shared" si="2"/>
        <v>0.3444444444444445</v>
      </c>
      <c r="S122" s="91">
        <f>(Table5[[#This Row],[Fault Clearance time]]-Table5[[#This Row],[Work Start TimeStamp]])*24</f>
        <v>8.2666666666666675</v>
      </c>
      <c r="T122" s="91">
        <f>(Table5[[#This Row],[Fault Clearance time]]-Table5[[#This Row],[Fault Start TimeStamp]])*24</f>
        <v>8.2666666666666675</v>
      </c>
      <c r="U122" s="23" t="s">
        <v>798</v>
      </c>
      <c r="V122" s="79" t="s">
        <v>339</v>
      </c>
      <c r="W122" s="289">
        <f>IFERROR(Table5[[#This Row],[Breakdown Time]]*Table5[[#This Row],[Plant Equivalent Weightage]],"")</f>
        <v>0.1878787878787879</v>
      </c>
      <c r="X122" s="289" t="s">
        <v>394</v>
      </c>
      <c r="Y122" s="290" t="s">
        <v>116</v>
      </c>
      <c r="Z122" s="79"/>
      <c r="AA122" s="283">
        <v>719</v>
      </c>
      <c r="AB122" s="79"/>
      <c r="AC122" s="23"/>
      <c r="AD122" s="23"/>
    </row>
    <row r="123" spans="1:30">
      <c r="A123" s="79">
        <f t="shared" si="3"/>
        <v>122</v>
      </c>
      <c r="B123" s="283">
        <f>YEAR(Table5[[#This Row],[Date]])+IF(MONTH(Table5[[#This Row],[Date]])&gt;=4,1,0)</f>
        <v>2026</v>
      </c>
      <c r="C123" s="79">
        <f>YEAR(Table5[[#This Row],[Date]])</f>
        <v>2025</v>
      </c>
      <c r="D123" s="79" t="s">
        <v>344</v>
      </c>
      <c r="E123" s="284">
        <f>Table5[[#This Row],[Date]]-DAY(Table5[[#This Row],[Date]])+1</f>
        <v>45778</v>
      </c>
      <c r="F123" s="285">
        <v>45789</v>
      </c>
      <c r="G123" s="79" t="s">
        <v>117</v>
      </c>
      <c r="H123" s="23" t="str">
        <f>IFERROR(_xlfn.XLOOKUP(Table5[[#This Row],[Affected WTG]],'Basic Data'!$A:$A,'Basic Data'!$B:$B),"")</f>
        <v>PWEPL</v>
      </c>
      <c r="I123" s="23" t="str">
        <f>IFERROR(_xlfn.XLOOKUP(Table5[[#This Row],[Affected WTG]],'Basic Data'!$A:$A,'Basic Data'!$C:$C),"")</f>
        <v>MSEDCL</v>
      </c>
      <c r="J123" s="286">
        <f>IFERROR(_xlfn.XLOOKUP(Table5[[#This Row],[Affected WTG]],'Basic Data'!$A:$A,'Basic Data'!$E:$E),"")</f>
        <v>2.2727272727272728E-2</v>
      </c>
      <c r="K123" s="79">
        <v>3</v>
      </c>
      <c r="L123" s="23" t="str">
        <f>IFERROR(_xlfn.XLOOKUP(Table5[[#This Row],[Error Code]],'Basic Data'!$W:$W,'Basic Data'!$X:$X),"Incorrect Error Code")</f>
        <v>Manual Stop</v>
      </c>
      <c r="M123" s="23" t="s">
        <v>792</v>
      </c>
      <c r="N123" s="23"/>
      <c r="O123" s="287">
        <v>0.6069444444444444</v>
      </c>
      <c r="P123" s="287">
        <v>0.6069444444444444</v>
      </c>
      <c r="Q123" s="287">
        <v>0.67361111111111116</v>
      </c>
      <c r="R123" s="91">
        <f t="shared" si="2"/>
        <v>6.6666666666666763E-2</v>
      </c>
      <c r="S123" s="91">
        <f>(Table5[[#This Row],[Fault Clearance time]]-Table5[[#This Row],[Work Start TimeStamp]])*24</f>
        <v>1.6000000000000023</v>
      </c>
      <c r="T123" s="91">
        <f>(Table5[[#This Row],[Fault Clearance time]]-Table5[[#This Row],[Fault Start TimeStamp]])*24</f>
        <v>1.6000000000000023</v>
      </c>
      <c r="U123" s="23" t="s">
        <v>798</v>
      </c>
      <c r="V123" s="79" t="s">
        <v>339</v>
      </c>
      <c r="W123" s="289">
        <f>IFERROR(Table5[[#This Row],[Breakdown Time]]*Table5[[#This Row],[Plant Equivalent Weightage]],"")</f>
        <v>3.6363636363636417E-2</v>
      </c>
      <c r="X123" s="289" t="s">
        <v>394</v>
      </c>
      <c r="Y123" s="290" t="s">
        <v>116</v>
      </c>
      <c r="Z123" s="79"/>
      <c r="AA123" s="283">
        <v>139</v>
      </c>
      <c r="AB123" s="79"/>
      <c r="AC123" s="23"/>
      <c r="AD123" s="23"/>
    </row>
    <row r="124" spans="1:30">
      <c r="A124" s="79">
        <f t="shared" si="3"/>
        <v>123</v>
      </c>
      <c r="B124" s="283">
        <f>YEAR(Table5[[#This Row],[Date]])+IF(MONTH(Table5[[#This Row],[Date]])&gt;=4,1,0)</f>
        <v>2026</v>
      </c>
      <c r="C124" s="79">
        <f>YEAR(Table5[[#This Row],[Date]])</f>
        <v>2025</v>
      </c>
      <c r="D124" s="79" t="s">
        <v>344</v>
      </c>
      <c r="E124" s="284">
        <f>Table5[[#This Row],[Date]]-DAY(Table5[[#This Row],[Date]])+1</f>
        <v>45778</v>
      </c>
      <c r="F124" s="285">
        <v>45789</v>
      </c>
      <c r="G124" s="79" t="s">
        <v>77</v>
      </c>
      <c r="H124" s="23" t="str">
        <f>IFERROR(_xlfn.XLOOKUP(Table5[[#This Row],[Affected WTG]],'Basic Data'!$A:$A,'Basic Data'!$B:$B),"")</f>
        <v>PWEPL</v>
      </c>
      <c r="I124" s="23" t="str">
        <f>IFERROR(_xlfn.XLOOKUP(Table5[[#This Row],[Affected WTG]],'Basic Data'!$A:$A,'Basic Data'!$C:$C),"")</f>
        <v>MSEDCL</v>
      </c>
      <c r="J124" s="286">
        <f>IFERROR(_xlfn.XLOOKUP(Table5[[#This Row],[Affected WTG]],'Basic Data'!$A:$A,'Basic Data'!$E:$E),"")</f>
        <v>2.2727272727272728E-2</v>
      </c>
      <c r="K124" s="79">
        <v>3</v>
      </c>
      <c r="L124" s="23" t="str">
        <f>IFERROR(_xlfn.XLOOKUP(Table5[[#This Row],[Error Code]],'Basic Data'!$W:$W,'Basic Data'!$X:$X),"Incorrect Error Code")</f>
        <v>Manual Stop</v>
      </c>
      <c r="M124" s="23" t="s">
        <v>792</v>
      </c>
      <c r="N124" s="23"/>
      <c r="O124" s="287">
        <v>0.37986111111111115</v>
      </c>
      <c r="P124" s="287">
        <v>0.37986111111111115</v>
      </c>
      <c r="Q124" s="287">
        <v>0.99930555555555556</v>
      </c>
      <c r="R124" s="91">
        <f t="shared" si="2"/>
        <v>0.61944444444444446</v>
      </c>
      <c r="S124" s="91">
        <f>(Table5[[#This Row],[Fault Clearance time]]-Table5[[#This Row],[Work Start TimeStamp]])*24</f>
        <v>14.866666666666667</v>
      </c>
      <c r="T124" s="91">
        <f>(Table5[[#This Row],[Fault Clearance time]]-Table5[[#This Row],[Fault Start TimeStamp]])*24</f>
        <v>14.866666666666667</v>
      </c>
      <c r="U124" s="23" t="s">
        <v>795</v>
      </c>
      <c r="V124" s="79" t="s">
        <v>339</v>
      </c>
      <c r="W124" s="289">
        <f>IFERROR(Table5[[#This Row],[Breakdown Time]]*Table5[[#This Row],[Plant Equivalent Weightage]],"")</f>
        <v>0.33787878787878789</v>
      </c>
      <c r="X124" s="289" t="s">
        <v>394</v>
      </c>
      <c r="Y124" s="290" t="s">
        <v>93</v>
      </c>
      <c r="Z124" s="79"/>
      <c r="AA124" s="283">
        <v>1292</v>
      </c>
      <c r="AB124" s="79"/>
      <c r="AC124" s="23"/>
      <c r="AD124" s="23"/>
    </row>
    <row r="125" spans="1:30">
      <c r="A125" s="79">
        <f t="shared" si="3"/>
        <v>124</v>
      </c>
      <c r="B125" s="283">
        <f>YEAR(Table5[[#This Row],[Date]])+IF(MONTH(Table5[[#This Row],[Date]])&gt;=4,1,0)</f>
        <v>2026</v>
      </c>
      <c r="C125" s="79">
        <f>YEAR(Table5[[#This Row],[Date]])</f>
        <v>2025</v>
      </c>
      <c r="D125" s="79" t="s">
        <v>344</v>
      </c>
      <c r="E125" s="284">
        <f>Table5[[#This Row],[Date]]-DAY(Table5[[#This Row],[Date]])+1</f>
        <v>45778</v>
      </c>
      <c r="F125" s="285">
        <v>45789</v>
      </c>
      <c r="G125" s="79" t="s">
        <v>88</v>
      </c>
      <c r="H125" s="23" t="str">
        <f>IFERROR(_xlfn.XLOOKUP(Table5[[#This Row],[Affected WTG]],'Basic Data'!$A:$A,'Basic Data'!$B:$B),"")</f>
        <v>PWEPL</v>
      </c>
      <c r="I125" s="23" t="str">
        <f>IFERROR(_xlfn.XLOOKUP(Table5[[#This Row],[Affected WTG]],'Basic Data'!$A:$A,'Basic Data'!$C:$C),"")</f>
        <v>MSEDCL</v>
      </c>
      <c r="J125" s="286">
        <f>IFERROR(_xlfn.XLOOKUP(Table5[[#This Row],[Affected WTG]],'Basic Data'!$A:$A,'Basic Data'!$E:$E),"")</f>
        <v>2.2727272727272728E-2</v>
      </c>
      <c r="K125" s="79">
        <v>60</v>
      </c>
      <c r="L125" s="23" t="str">
        <f>IFERROR(_xlfn.XLOOKUP(Table5[[#This Row],[Error Code]],'Basic Data'!$W:$W,'Basic Data'!$X:$X),"Incorrect Error Code")</f>
        <v>Yaw limit switch activated</v>
      </c>
      <c r="M125" s="23" t="s">
        <v>357</v>
      </c>
      <c r="N125" s="23"/>
      <c r="O125" s="287">
        <v>0.41111111111111115</v>
      </c>
      <c r="P125" s="287">
        <v>0.41111111111111115</v>
      </c>
      <c r="Q125" s="287">
        <v>0.50138888888888888</v>
      </c>
      <c r="R125" s="91">
        <f t="shared" si="2"/>
        <v>9.0277777777777735E-2</v>
      </c>
      <c r="S125" s="91">
        <f>(Table5[[#This Row],[Fault Clearance time]]-Table5[[#This Row],[Work Start TimeStamp]])*24</f>
        <v>2.1666666666666656</v>
      </c>
      <c r="T125" s="91">
        <f>(Table5[[#This Row],[Fault Clearance time]]-Table5[[#This Row],[Fault Start TimeStamp]])*24</f>
        <v>2.1666666666666656</v>
      </c>
      <c r="U125" s="23" t="s">
        <v>358</v>
      </c>
      <c r="V125" s="79" t="s">
        <v>339</v>
      </c>
      <c r="W125" s="289">
        <f>IFERROR(Table5[[#This Row],[Breakdown Time]]*Table5[[#This Row],[Plant Equivalent Weightage]],"")</f>
        <v>4.924242424242422E-2</v>
      </c>
      <c r="X125" s="289" t="s">
        <v>343</v>
      </c>
      <c r="Y125" s="290" t="s">
        <v>87</v>
      </c>
      <c r="Z125" s="79"/>
      <c r="AA125" s="283">
        <v>0</v>
      </c>
      <c r="AB125" s="79"/>
      <c r="AC125" s="23"/>
      <c r="AD125" s="23"/>
    </row>
    <row r="126" spans="1:30">
      <c r="A126" s="79">
        <f t="shared" si="3"/>
        <v>125</v>
      </c>
      <c r="B126" s="283">
        <f>YEAR(Table5[[#This Row],[Date]])+IF(MONTH(Table5[[#This Row],[Date]])&gt;=4,1,0)</f>
        <v>2026</v>
      </c>
      <c r="C126" s="79">
        <f>YEAR(Table5[[#This Row],[Date]])</f>
        <v>2025</v>
      </c>
      <c r="D126" s="79" t="s">
        <v>344</v>
      </c>
      <c r="E126" s="284">
        <f>Table5[[#This Row],[Date]]-DAY(Table5[[#This Row],[Date]])+1</f>
        <v>45778</v>
      </c>
      <c r="F126" s="285">
        <v>45789</v>
      </c>
      <c r="G126" s="79" t="s">
        <v>99</v>
      </c>
      <c r="H126" s="23" t="str">
        <f>IFERROR(_xlfn.XLOOKUP(Table5[[#This Row],[Affected WTG]],'Basic Data'!$A:$A,'Basic Data'!$B:$B),"")</f>
        <v>PWEPL</v>
      </c>
      <c r="I126" s="23" t="str">
        <f>IFERROR(_xlfn.XLOOKUP(Table5[[#This Row],[Affected WTG]],'Basic Data'!$A:$A,'Basic Data'!$C:$C),"")</f>
        <v>MSEDCL</v>
      </c>
      <c r="J126" s="286">
        <f>IFERROR(_xlfn.XLOOKUP(Table5[[#This Row],[Affected WTG]],'Basic Data'!$A:$A,'Basic Data'!$E:$E),"")</f>
        <v>2.2727272727272728E-2</v>
      </c>
      <c r="K126" s="79">
        <v>60</v>
      </c>
      <c r="L126" s="23" t="str">
        <f>IFERROR(_xlfn.XLOOKUP(Table5[[#This Row],[Error Code]],'Basic Data'!$W:$W,'Basic Data'!$X:$X),"Incorrect Error Code")</f>
        <v>Yaw limit switch activated</v>
      </c>
      <c r="M126" s="23" t="s">
        <v>357</v>
      </c>
      <c r="N126" s="23"/>
      <c r="O126" s="287">
        <v>0.38472222222222219</v>
      </c>
      <c r="P126" s="287">
        <v>0.38472222222222219</v>
      </c>
      <c r="Q126" s="287">
        <v>0.41319444444444442</v>
      </c>
      <c r="R126" s="91">
        <f t="shared" si="2"/>
        <v>2.8472222222222232E-2</v>
      </c>
      <c r="S126" s="91">
        <f>(Table5[[#This Row],[Fault Clearance time]]-Table5[[#This Row],[Work Start TimeStamp]])*24</f>
        <v>0.68333333333333357</v>
      </c>
      <c r="T126" s="91">
        <f>(Table5[[#This Row],[Fault Clearance time]]-Table5[[#This Row],[Fault Start TimeStamp]])*24</f>
        <v>0.68333333333333357</v>
      </c>
      <c r="U126" s="23" t="s">
        <v>358</v>
      </c>
      <c r="V126" s="79" t="s">
        <v>339</v>
      </c>
      <c r="W126" s="289">
        <f>IFERROR(Table5[[#This Row],[Breakdown Time]]*Table5[[#This Row],[Plant Equivalent Weightage]],"")</f>
        <v>1.5530303030303037E-2</v>
      </c>
      <c r="X126" s="289" t="s">
        <v>343</v>
      </c>
      <c r="Y126" s="290" t="s">
        <v>98</v>
      </c>
      <c r="Z126" s="79"/>
      <c r="AA126" s="283">
        <v>0</v>
      </c>
      <c r="AB126" s="79"/>
      <c r="AC126" s="23"/>
      <c r="AD126" s="23"/>
    </row>
    <row r="127" spans="1:30">
      <c r="A127" s="79">
        <f t="shared" si="3"/>
        <v>126</v>
      </c>
      <c r="B127" s="283">
        <f>YEAR(Table5[[#This Row],[Date]])+IF(MONTH(Table5[[#This Row],[Date]])&gt;=4,1,0)</f>
        <v>2026</v>
      </c>
      <c r="C127" s="79">
        <f>YEAR(Table5[[#This Row],[Date]])</f>
        <v>2025</v>
      </c>
      <c r="D127" s="79" t="s">
        <v>344</v>
      </c>
      <c r="E127" s="284">
        <f>Table5[[#This Row],[Date]]-DAY(Table5[[#This Row],[Date]])+1</f>
        <v>45778</v>
      </c>
      <c r="F127" s="285">
        <v>45789</v>
      </c>
      <c r="G127" s="79" t="s">
        <v>108</v>
      </c>
      <c r="H127" s="23" t="str">
        <f>IFERROR(_xlfn.XLOOKUP(Table5[[#This Row],[Affected WTG]],'Basic Data'!$A:$A,'Basic Data'!$B:$B),"")</f>
        <v>PWEPL</v>
      </c>
      <c r="I127" s="23" t="str">
        <f>IFERROR(_xlfn.XLOOKUP(Table5[[#This Row],[Affected WTG]],'Basic Data'!$A:$A,'Basic Data'!$C:$C),"")</f>
        <v>MSEDCL</v>
      </c>
      <c r="J127" s="286">
        <f>IFERROR(_xlfn.XLOOKUP(Table5[[#This Row],[Affected WTG]],'Basic Data'!$A:$A,'Basic Data'!$E:$E),"")</f>
        <v>2.2727272727272728E-2</v>
      </c>
      <c r="K127" s="79">
        <v>3</v>
      </c>
      <c r="L127" s="23" t="str">
        <f>IFERROR(_xlfn.XLOOKUP(Table5[[#This Row],[Error Code]],'Basic Data'!$W:$W,'Basic Data'!$X:$X),"Incorrect Error Code")</f>
        <v>Manual Stop</v>
      </c>
      <c r="M127" s="23" t="s">
        <v>792</v>
      </c>
      <c r="N127" s="23"/>
      <c r="O127" s="287">
        <v>0.64097222222222217</v>
      </c>
      <c r="P127" s="287">
        <v>0.64097222222222217</v>
      </c>
      <c r="Q127" s="287">
        <v>0.67986111111111114</v>
      </c>
      <c r="R127" s="91">
        <f t="shared" si="2"/>
        <v>3.8888888888888973E-2</v>
      </c>
      <c r="S127" s="91">
        <f>(Table5[[#This Row],[Fault Clearance time]]-Table5[[#This Row],[Work Start TimeStamp]])*24</f>
        <v>0.93333333333333535</v>
      </c>
      <c r="T127" s="91">
        <f>(Table5[[#This Row],[Fault Clearance time]]-Table5[[#This Row],[Fault Start TimeStamp]])*24</f>
        <v>0.93333333333333535</v>
      </c>
      <c r="U127" s="23" t="s">
        <v>795</v>
      </c>
      <c r="V127" s="79" t="s">
        <v>339</v>
      </c>
      <c r="W127" s="289">
        <f>IFERROR(Table5[[#This Row],[Breakdown Time]]*Table5[[#This Row],[Plant Equivalent Weightage]],"")</f>
        <v>2.1212121212121259E-2</v>
      </c>
      <c r="X127" s="289" t="s">
        <v>394</v>
      </c>
      <c r="Y127" s="290" t="s">
        <v>80</v>
      </c>
      <c r="Z127" s="79"/>
      <c r="AA127" s="283">
        <v>89</v>
      </c>
      <c r="AB127" s="79"/>
      <c r="AC127" s="23"/>
      <c r="AD127" s="23"/>
    </row>
    <row r="128" spans="1:30">
      <c r="A128" s="79">
        <f t="shared" si="3"/>
        <v>127</v>
      </c>
      <c r="B128" s="283">
        <f>YEAR(Table5[[#This Row],[Date]])+IF(MONTH(Table5[[#This Row],[Date]])&gt;=4,1,0)</f>
        <v>2026</v>
      </c>
      <c r="C128" s="79">
        <f>YEAR(Table5[[#This Row],[Date]])</f>
        <v>2025</v>
      </c>
      <c r="D128" s="79" t="s">
        <v>344</v>
      </c>
      <c r="E128" s="284">
        <f>Table5[[#This Row],[Date]]-DAY(Table5[[#This Row],[Date]])+1</f>
        <v>45778</v>
      </c>
      <c r="F128" s="285">
        <v>45789</v>
      </c>
      <c r="G128" s="79" t="s">
        <v>108</v>
      </c>
      <c r="H128" s="23" t="str">
        <f>IFERROR(_xlfn.XLOOKUP(Table5[[#This Row],[Affected WTG]],'Basic Data'!$A:$A,'Basic Data'!$B:$B),"")</f>
        <v>PWEPL</v>
      </c>
      <c r="I128" s="23" t="str">
        <f>IFERROR(_xlfn.XLOOKUP(Table5[[#This Row],[Affected WTG]],'Basic Data'!$A:$A,'Basic Data'!$C:$C),"")</f>
        <v>MSEDCL</v>
      </c>
      <c r="J128" s="286">
        <f>IFERROR(_xlfn.XLOOKUP(Table5[[#This Row],[Affected WTG]],'Basic Data'!$A:$A,'Basic Data'!$E:$E),"")</f>
        <v>2.2727272727272728E-2</v>
      </c>
      <c r="K128" s="79">
        <v>3</v>
      </c>
      <c r="L128" s="23" t="str">
        <f>IFERROR(_xlfn.XLOOKUP(Table5[[#This Row],[Error Code]],'Basic Data'!$W:$W,'Basic Data'!$X:$X),"Incorrect Error Code")</f>
        <v>Manual Stop</v>
      </c>
      <c r="M128" s="23" t="s">
        <v>792</v>
      </c>
      <c r="N128" s="23"/>
      <c r="O128" s="287">
        <v>0.76388888888888884</v>
      </c>
      <c r="P128" s="287">
        <v>0.76388888888888884</v>
      </c>
      <c r="Q128" s="287">
        <v>0.99930555555555556</v>
      </c>
      <c r="R128" s="91">
        <f t="shared" si="2"/>
        <v>0.23541666666666672</v>
      </c>
      <c r="S128" s="91">
        <f>(Table5[[#This Row],[Fault Clearance time]]-Table5[[#This Row],[Work Start TimeStamp]])*24</f>
        <v>5.6500000000000012</v>
      </c>
      <c r="T128" s="91">
        <f>(Table5[[#This Row],[Fault Clearance time]]-Table5[[#This Row],[Fault Start TimeStamp]])*24</f>
        <v>5.6500000000000012</v>
      </c>
      <c r="U128" s="23" t="s">
        <v>795</v>
      </c>
      <c r="V128" s="79" t="s">
        <v>339</v>
      </c>
      <c r="W128" s="289">
        <f>IFERROR(Table5[[#This Row],[Breakdown Time]]*Table5[[#This Row],[Plant Equivalent Weightage]],"")</f>
        <v>0.12840909090909094</v>
      </c>
      <c r="X128" s="289" t="s">
        <v>394</v>
      </c>
      <c r="Y128" s="290" t="s">
        <v>80</v>
      </c>
      <c r="Z128" s="79"/>
      <c r="AA128" s="283">
        <v>483</v>
      </c>
      <c r="AB128" s="79"/>
      <c r="AC128" s="23"/>
      <c r="AD128" s="23"/>
    </row>
    <row r="129" spans="1:30">
      <c r="A129" s="79">
        <f t="shared" si="3"/>
        <v>128</v>
      </c>
      <c r="B129" s="283">
        <f>YEAR(Table5[[#This Row],[Date]])+IF(MONTH(Table5[[#This Row],[Date]])&gt;=4,1,0)</f>
        <v>2026</v>
      </c>
      <c r="C129" s="79">
        <f>YEAR(Table5[[#This Row],[Date]])</f>
        <v>2025</v>
      </c>
      <c r="D129" s="79" t="s">
        <v>344</v>
      </c>
      <c r="E129" s="284">
        <f>Table5[[#This Row],[Date]]-DAY(Table5[[#This Row],[Date]])+1</f>
        <v>45778</v>
      </c>
      <c r="F129" s="285">
        <v>45789</v>
      </c>
      <c r="G129" s="79" t="s">
        <v>113</v>
      </c>
      <c r="H129" s="23" t="str">
        <f>IFERROR(_xlfn.XLOOKUP(Table5[[#This Row],[Affected WTG]],'Basic Data'!$A:$A,'Basic Data'!$B:$B),"")</f>
        <v>PWEPL</v>
      </c>
      <c r="I129" s="23" t="str">
        <f>IFERROR(_xlfn.XLOOKUP(Table5[[#This Row],[Affected WTG]],'Basic Data'!$A:$A,'Basic Data'!$C:$C),"")</f>
        <v>MSEDCL</v>
      </c>
      <c r="J129" s="286">
        <f>IFERROR(_xlfn.XLOOKUP(Table5[[#This Row],[Affected WTG]],'Basic Data'!$A:$A,'Basic Data'!$E:$E),"")</f>
        <v>2.2727272727272728E-2</v>
      </c>
      <c r="K129" s="79">
        <v>142</v>
      </c>
      <c r="L129" s="23" t="str">
        <f>IFERROR(_xlfn.XLOOKUP(Table5[[#This Row],[Error Code]],'Basic Data'!$W:$W,'Basic Data'!$X:$X),"Incorrect Error Code")</f>
        <v>Line CCU collective faults</v>
      </c>
      <c r="M129" s="23" t="s">
        <v>149</v>
      </c>
      <c r="N129" s="23"/>
      <c r="O129" s="287">
        <v>0.65763888888888888</v>
      </c>
      <c r="P129" s="287">
        <v>0.65763888888888888</v>
      </c>
      <c r="Q129" s="287">
        <v>0.67986111111111114</v>
      </c>
      <c r="R129" s="91">
        <f t="shared" si="2"/>
        <v>2.2222222222222254E-2</v>
      </c>
      <c r="S129" s="91">
        <f>(Table5[[#This Row],[Fault Clearance time]]-Table5[[#This Row],[Work Start TimeStamp]])*24</f>
        <v>0.5333333333333341</v>
      </c>
      <c r="T129" s="91">
        <f>(Table5[[#This Row],[Fault Clearance time]]-Table5[[#This Row],[Fault Start TimeStamp]])*24</f>
        <v>0.5333333333333341</v>
      </c>
      <c r="U129" s="23" t="s">
        <v>807</v>
      </c>
      <c r="V129" s="79" t="s">
        <v>339</v>
      </c>
      <c r="W129" s="289">
        <f>IFERROR(Table5[[#This Row],[Breakdown Time]]*Table5[[#This Row],[Plant Equivalent Weightage]],"")</f>
        <v>1.2121212121212139E-2</v>
      </c>
      <c r="X129" s="289" t="s">
        <v>343</v>
      </c>
      <c r="Y129" s="290" t="s">
        <v>114</v>
      </c>
      <c r="Z129" s="79"/>
      <c r="AA129" s="283">
        <v>545</v>
      </c>
      <c r="AB129" s="79"/>
      <c r="AC129" s="23"/>
      <c r="AD129" s="23"/>
    </row>
    <row r="130" spans="1:30">
      <c r="A130" s="79">
        <f t="shared" si="3"/>
        <v>129</v>
      </c>
      <c r="B130" s="283">
        <f>YEAR(Table5[[#This Row],[Date]])+IF(MONTH(Table5[[#This Row],[Date]])&gt;=4,1,0)</f>
        <v>2026</v>
      </c>
      <c r="C130" s="79">
        <f>YEAR(Table5[[#This Row],[Date]])</f>
        <v>2025</v>
      </c>
      <c r="D130" s="79" t="s">
        <v>344</v>
      </c>
      <c r="E130" s="284">
        <f>Table5[[#This Row],[Date]]-DAY(Table5[[#This Row],[Date]])+1</f>
        <v>45778</v>
      </c>
      <c r="F130" s="285">
        <v>45789</v>
      </c>
      <c r="G130" s="79" t="s">
        <v>105</v>
      </c>
      <c r="H130" s="23" t="str">
        <f>IFERROR(_xlfn.XLOOKUP(Table5[[#This Row],[Affected WTG]],'Basic Data'!$A:$A,'Basic Data'!$B:$B),"")</f>
        <v>PWEPL</v>
      </c>
      <c r="I130" s="23" t="str">
        <f>IFERROR(_xlfn.XLOOKUP(Table5[[#This Row],[Affected WTG]],'Basic Data'!$A:$A,'Basic Data'!$C:$C),"")</f>
        <v>MSEDCL</v>
      </c>
      <c r="J130" s="286">
        <f>IFERROR(_xlfn.XLOOKUP(Table5[[#This Row],[Affected WTG]],'Basic Data'!$A:$A,'Basic Data'!$E:$E),"")</f>
        <v>2.2727272727272728E-2</v>
      </c>
      <c r="K130" s="79">
        <v>269</v>
      </c>
      <c r="L130" s="23" t="str">
        <f>IFERROR(_xlfn.XLOOKUP(Table5[[#This Row],[Error Code]],'Basic Data'!$W:$W,'Basic Data'!$X:$X),"Incorrect Error Code")</f>
        <v>Reboot PLC</v>
      </c>
      <c r="M130" s="23" t="s">
        <v>348</v>
      </c>
      <c r="N130" s="23"/>
      <c r="O130" s="287">
        <v>0.6069444444444444</v>
      </c>
      <c r="P130" s="287">
        <v>0.6069444444444444</v>
      </c>
      <c r="Q130" s="287">
        <v>0.62638888888888888</v>
      </c>
      <c r="R130" s="91">
        <f t="shared" ref="R130:R193" si="4">Q130-O130</f>
        <v>1.9444444444444486E-2</v>
      </c>
      <c r="S130" s="91">
        <f>(Table5[[#This Row],[Fault Clearance time]]-Table5[[#This Row],[Work Start TimeStamp]])*24</f>
        <v>0.46666666666666767</v>
      </c>
      <c r="T130" s="91">
        <f>(Table5[[#This Row],[Fault Clearance time]]-Table5[[#This Row],[Fault Start TimeStamp]])*24</f>
        <v>0.46666666666666767</v>
      </c>
      <c r="U130" s="23" t="s">
        <v>353</v>
      </c>
      <c r="V130" s="79" t="s">
        <v>339</v>
      </c>
      <c r="W130" s="289">
        <f>IFERROR(Table5[[#This Row],[Breakdown Time]]*Table5[[#This Row],[Plant Equivalent Weightage]],"")</f>
        <v>1.0606060606060629E-2</v>
      </c>
      <c r="X130" s="289" t="s">
        <v>343</v>
      </c>
      <c r="Y130" s="290" t="s">
        <v>103</v>
      </c>
      <c r="Z130" s="79"/>
      <c r="AA130" s="283">
        <v>0</v>
      </c>
      <c r="AB130" s="79"/>
      <c r="AC130" s="23"/>
      <c r="AD130" s="23"/>
    </row>
    <row r="131" spans="1:30">
      <c r="A131" s="79">
        <f t="shared" si="3"/>
        <v>130</v>
      </c>
      <c r="B131" s="283">
        <f>YEAR(Table5[[#This Row],[Date]])+IF(MONTH(Table5[[#This Row],[Date]])&gt;=4,1,0)</f>
        <v>2026</v>
      </c>
      <c r="C131" s="79">
        <f>YEAR(Table5[[#This Row],[Date]])</f>
        <v>2025</v>
      </c>
      <c r="D131" s="79" t="s">
        <v>344</v>
      </c>
      <c r="E131" s="284">
        <f>Table5[[#This Row],[Date]]-DAY(Table5[[#This Row],[Date]])+1</f>
        <v>45778</v>
      </c>
      <c r="F131" s="285">
        <v>45790</v>
      </c>
      <c r="G131" s="79" t="s">
        <v>77</v>
      </c>
      <c r="H131" s="23" t="str">
        <f>IFERROR(_xlfn.XLOOKUP(Table5[[#This Row],[Affected WTG]],'Basic Data'!$A:$A,'Basic Data'!$B:$B),"")</f>
        <v>PWEPL</v>
      </c>
      <c r="I131" s="23" t="str">
        <f>IFERROR(_xlfn.XLOOKUP(Table5[[#This Row],[Affected WTG]],'Basic Data'!$A:$A,'Basic Data'!$C:$C),"")</f>
        <v>MSEDCL</v>
      </c>
      <c r="J131" s="286">
        <f>IFERROR(_xlfn.XLOOKUP(Table5[[#This Row],[Affected WTG]],'Basic Data'!$A:$A,'Basic Data'!$E:$E),"")</f>
        <v>2.2727272727272728E-2</v>
      </c>
      <c r="K131" s="79">
        <v>3</v>
      </c>
      <c r="L131" s="23" t="str">
        <f>IFERROR(_xlfn.XLOOKUP(Table5[[#This Row],[Error Code]],'Basic Data'!$W:$W,'Basic Data'!$X:$X),"Incorrect Error Code")</f>
        <v>Manual Stop</v>
      </c>
      <c r="M131" s="23" t="s">
        <v>792</v>
      </c>
      <c r="N131" s="23"/>
      <c r="O131" s="287">
        <v>0</v>
      </c>
      <c r="P131" s="287">
        <v>0</v>
      </c>
      <c r="Q131" s="287">
        <v>0.41666666666666669</v>
      </c>
      <c r="R131" s="91">
        <f t="shared" si="4"/>
        <v>0.41666666666666669</v>
      </c>
      <c r="S131" s="91">
        <f>(Table5[[#This Row],[Fault Clearance time]]-Table5[[#This Row],[Work Start TimeStamp]])*24</f>
        <v>10</v>
      </c>
      <c r="T131" s="91">
        <f>(Table5[[#This Row],[Fault Clearance time]]-Table5[[#This Row],[Fault Start TimeStamp]])*24</f>
        <v>10</v>
      </c>
      <c r="U131" s="23" t="s">
        <v>795</v>
      </c>
      <c r="V131" s="79" t="s">
        <v>339</v>
      </c>
      <c r="W131" s="289">
        <f>IFERROR(Table5[[#This Row],[Breakdown Time]]*Table5[[#This Row],[Plant Equivalent Weightage]],"")</f>
        <v>0.22727272727272729</v>
      </c>
      <c r="X131" s="289" t="s">
        <v>394</v>
      </c>
      <c r="Y131" s="290" t="s">
        <v>93</v>
      </c>
      <c r="Z131" s="79"/>
      <c r="AA131" s="283">
        <v>787</v>
      </c>
      <c r="AB131" s="79"/>
      <c r="AC131" s="23"/>
      <c r="AD131" s="23"/>
    </row>
    <row r="132" spans="1:30">
      <c r="A132" s="79">
        <f t="shared" ref="A132:A195" si="5">A131+1</f>
        <v>131</v>
      </c>
      <c r="B132" s="283">
        <f>YEAR(Table5[[#This Row],[Date]])+IF(MONTH(Table5[[#This Row],[Date]])&gt;=4,1,0)</f>
        <v>2026</v>
      </c>
      <c r="C132" s="79">
        <f>YEAR(Table5[[#This Row],[Date]])</f>
        <v>2025</v>
      </c>
      <c r="D132" s="79" t="s">
        <v>344</v>
      </c>
      <c r="E132" s="284">
        <f>Table5[[#This Row],[Date]]-DAY(Table5[[#This Row],[Date]])+1</f>
        <v>45778</v>
      </c>
      <c r="F132" s="285">
        <v>45790</v>
      </c>
      <c r="G132" s="79" t="s">
        <v>77</v>
      </c>
      <c r="H132" s="23" t="str">
        <f>IFERROR(_xlfn.XLOOKUP(Table5[[#This Row],[Affected WTG]],'Basic Data'!$A:$A,'Basic Data'!$B:$B),"")</f>
        <v>PWEPL</v>
      </c>
      <c r="I132" s="23" t="str">
        <f>IFERROR(_xlfn.XLOOKUP(Table5[[#This Row],[Affected WTG]],'Basic Data'!$A:$A,'Basic Data'!$C:$C),"")</f>
        <v>MSEDCL</v>
      </c>
      <c r="J132" s="286">
        <f>IFERROR(_xlfn.XLOOKUP(Table5[[#This Row],[Affected WTG]],'Basic Data'!$A:$A,'Basic Data'!$E:$E),"")</f>
        <v>2.2727272727272728E-2</v>
      </c>
      <c r="K132" s="79">
        <v>3</v>
      </c>
      <c r="L132" s="23" t="str">
        <f>IFERROR(_xlfn.XLOOKUP(Table5[[#This Row],[Error Code]],'Basic Data'!$W:$W,'Basic Data'!$X:$X),"Incorrect Error Code")</f>
        <v>Manual Stop</v>
      </c>
      <c r="M132" s="23" t="s">
        <v>792</v>
      </c>
      <c r="N132" s="23"/>
      <c r="O132" s="287">
        <v>0.69166666666666676</v>
      </c>
      <c r="P132" s="287">
        <v>0.69166666666666676</v>
      </c>
      <c r="Q132" s="287">
        <v>0.70486111111111116</v>
      </c>
      <c r="R132" s="91">
        <f t="shared" si="4"/>
        <v>1.3194444444444398E-2</v>
      </c>
      <c r="S132" s="91">
        <f>(Table5[[#This Row],[Fault Clearance time]]-Table5[[#This Row],[Work Start TimeStamp]])*24</f>
        <v>0.31666666666666554</v>
      </c>
      <c r="T132" s="91">
        <f>(Table5[[#This Row],[Fault Clearance time]]-Table5[[#This Row],[Fault Start TimeStamp]])*24</f>
        <v>0.31666666666666554</v>
      </c>
      <c r="U132" s="23" t="s">
        <v>798</v>
      </c>
      <c r="V132" s="79" t="s">
        <v>339</v>
      </c>
      <c r="W132" s="289">
        <f>IFERROR(Table5[[#This Row],[Breakdown Time]]*Table5[[#This Row],[Plant Equivalent Weightage]],"")</f>
        <v>7.1969696969696713E-3</v>
      </c>
      <c r="X132" s="289" t="s">
        <v>394</v>
      </c>
      <c r="Y132" s="290" t="s">
        <v>93</v>
      </c>
      <c r="Z132" s="79"/>
      <c r="AA132" s="283">
        <v>25</v>
      </c>
      <c r="AB132" s="79"/>
      <c r="AC132" s="23"/>
      <c r="AD132" s="23"/>
    </row>
    <row r="133" spans="1:30">
      <c r="A133" s="79">
        <f t="shared" si="5"/>
        <v>132</v>
      </c>
      <c r="B133" s="283">
        <f>YEAR(Table5[[#This Row],[Date]])+IF(MONTH(Table5[[#This Row],[Date]])&gt;=4,1,0)</f>
        <v>2026</v>
      </c>
      <c r="C133" s="79">
        <f>YEAR(Table5[[#This Row],[Date]])</f>
        <v>2025</v>
      </c>
      <c r="D133" s="79" t="s">
        <v>344</v>
      </c>
      <c r="E133" s="284">
        <f>Table5[[#This Row],[Date]]-DAY(Table5[[#This Row],[Date]])+1</f>
        <v>45778</v>
      </c>
      <c r="F133" s="285">
        <v>45790</v>
      </c>
      <c r="G133" s="79" t="s">
        <v>108</v>
      </c>
      <c r="H133" s="23" t="str">
        <f>IFERROR(_xlfn.XLOOKUP(Table5[[#This Row],[Affected WTG]],'Basic Data'!$A:$A,'Basic Data'!$B:$B),"")</f>
        <v>PWEPL</v>
      </c>
      <c r="I133" s="23" t="str">
        <f>IFERROR(_xlfn.XLOOKUP(Table5[[#This Row],[Affected WTG]],'Basic Data'!$A:$A,'Basic Data'!$C:$C),"")</f>
        <v>MSEDCL</v>
      </c>
      <c r="J133" s="286">
        <f>IFERROR(_xlfn.XLOOKUP(Table5[[#This Row],[Affected WTG]],'Basic Data'!$A:$A,'Basic Data'!$E:$E),"")</f>
        <v>2.2727272727272728E-2</v>
      </c>
      <c r="K133" s="79">
        <v>3</v>
      </c>
      <c r="L133" s="23" t="str">
        <f>IFERROR(_xlfn.XLOOKUP(Table5[[#This Row],[Error Code]],'Basic Data'!$W:$W,'Basic Data'!$X:$X),"Incorrect Error Code")</f>
        <v>Manual Stop</v>
      </c>
      <c r="M133" s="23" t="s">
        <v>792</v>
      </c>
      <c r="N133" s="23"/>
      <c r="O133" s="287">
        <v>0</v>
      </c>
      <c r="P133" s="287">
        <v>0</v>
      </c>
      <c r="Q133" s="287">
        <v>0.41666666666666669</v>
      </c>
      <c r="R133" s="91">
        <f t="shared" si="4"/>
        <v>0.41666666666666669</v>
      </c>
      <c r="S133" s="91">
        <f>(Table5[[#This Row],[Fault Clearance time]]-Table5[[#This Row],[Work Start TimeStamp]])*24</f>
        <v>10</v>
      </c>
      <c r="T133" s="91">
        <f>(Table5[[#This Row],[Fault Clearance time]]-Table5[[#This Row],[Fault Start TimeStamp]])*24</f>
        <v>10</v>
      </c>
      <c r="U133" s="23" t="s">
        <v>795</v>
      </c>
      <c r="V133" s="79" t="s">
        <v>339</v>
      </c>
      <c r="W133" s="289">
        <f>IFERROR(Table5[[#This Row],[Breakdown Time]]*Table5[[#This Row],[Plant Equivalent Weightage]],"")</f>
        <v>0.22727272727272729</v>
      </c>
      <c r="X133" s="289" t="s">
        <v>394</v>
      </c>
      <c r="Y133" s="290" t="s">
        <v>80</v>
      </c>
      <c r="Z133" s="79"/>
      <c r="AA133" s="283">
        <v>787</v>
      </c>
      <c r="AB133" s="79"/>
      <c r="AC133" s="23"/>
      <c r="AD133" s="23"/>
    </row>
    <row r="134" spans="1:30">
      <c r="A134" s="79">
        <f t="shared" si="5"/>
        <v>133</v>
      </c>
      <c r="B134" s="283">
        <f>YEAR(Table5[[#This Row],[Date]])+IF(MONTH(Table5[[#This Row],[Date]])&gt;=4,1,0)</f>
        <v>2026</v>
      </c>
      <c r="C134" s="79">
        <f>YEAR(Table5[[#This Row],[Date]])</f>
        <v>2025</v>
      </c>
      <c r="D134" s="79" t="s">
        <v>344</v>
      </c>
      <c r="E134" s="284">
        <f>Table5[[#This Row],[Date]]-DAY(Table5[[#This Row],[Date]])+1</f>
        <v>45778</v>
      </c>
      <c r="F134" s="285">
        <v>45790</v>
      </c>
      <c r="G134" s="79" t="s">
        <v>108</v>
      </c>
      <c r="H134" s="23" t="str">
        <f>IFERROR(_xlfn.XLOOKUP(Table5[[#This Row],[Affected WTG]],'Basic Data'!$A:$A,'Basic Data'!$B:$B),"")</f>
        <v>PWEPL</v>
      </c>
      <c r="I134" s="23" t="str">
        <f>IFERROR(_xlfn.XLOOKUP(Table5[[#This Row],[Affected WTG]],'Basic Data'!$A:$A,'Basic Data'!$C:$C),"")</f>
        <v>MSEDCL</v>
      </c>
      <c r="J134" s="286">
        <f>IFERROR(_xlfn.XLOOKUP(Table5[[#This Row],[Affected WTG]],'Basic Data'!$A:$A,'Basic Data'!$E:$E),"")</f>
        <v>2.2727272727272728E-2</v>
      </c>
      <c r="K134" s="79">
        <v>3</v>
      </c>
      <c r="L134" s="23" t="str">
        <f>IFERROR(_xlfn.XLOOKUP(Table5[[#This Row],[Error Code]],'Basic Data'!$W:$W,'Basic Data'!$X:$X),"Incorrect Error Code")</f>
        <v>Manual Stop</v>
      </c>
      <c r="M134" s="23" t="s">
        <v>792</v>
      </c>
      <c r="N134" s="23"/>
      <c r="O134" s="287">
        <v>0.69166666666666676</v>
      </c>
      <c r="P134" s="287">
        <v>0.69166666666666676</v>
      </c>
      <c r="Q134" s="287">
        <v>0.99930555555555556</v>
      </c>
      <c r="R134" s="91">
        <f t="shared" si="4"/>
        <v>0.3076388888888888</v>
      </c>
      <c r="S134" s="91">
        <f>(Table5[[#This Row],[Fault Clearance time]]-Table5[[#This Row],[Work Start TimeStamp]])*24</f>
        <v>7.3833333333333311</v>
      </c>
      <c r="T134" s="91">
        <f>(Table5[[#This Row],[Fault Clearance time]]-Table5[[#This Row],[Fault Start TimeStamp]])*24</f>
        <v>7.3833333333333311</v>
      </c>
      <c r="U134" s="23" t="s">
        <v>795</v>
      </c>
      <c r="V134" s="79" t="s">
        <v>339</v>
      </c>
      <c r="W134" s="289">
        <f>IFERROR(Table5[[#This Row],[Breakdown Time]]*Table5[[#This Row],[Plant Equivalent Weightage]],"")</f>
        <v>0.16780303030303026</v>
      </c>
      <c r="X134" s="289" t="s">
        <v>394</v>
      </c>
      <c r="Y134" s="290" t="s">
        <v>80</v>
      </c>
      <c r="Z134" s="79"/>
      <c r="AA134" s="283">
        <v>581</v>
      </c>
      <c r="AB134" s="79"/>
      <c r="AC134" s="23"/>
      <c r="AD134" s="23"/>
    </row>
    <row r="135" spans="1:30">
      <c r="A135" s="79">
        <f t="shared" si="5"/>
        <v>134</v>
      </c>
      <c r="B135" s="283">
        <f>YEAR(Table5[[#This Row],[Date]])+IF(MONTH(Table5[[#This Row],[Date]])&gt;=4,1,0)</f>
        <v>2026</v>
      </c>
      <c r="C135" s="79">
        <f>YEAR(Table5[[#This Row],[Date]])</f>
        <v>2025</v>
      </c>
      <c r="D135" s="79" t="s">
        <v>344</v>
      </c>
      <c r="E135" s="284">
        <f>Table5[[#This Row],[Date]]-DAY(Table5[[#This Row],[Date]])+1</f>
        <v>45778</v>
      </c>
      <c r="F135" s="285">
        <v>45790</v>
      </c>
      <c r="G135" s="79" t="s">
        <v>110</v>
      </c>
      <c r="H135" s="23" t="str">
        <f>IFERROR(_xlfn.XLOOKUP(Table5[[#This Row],[Affected WTG]],'Basic Data'!$A:$A,'Basic Data'!$B:$B),"")</f>
        <v>PWEPL</v>
      </c>
      <c r="I135" s="23" t="str">
        <f>IFERROR(_xlfn.XLOOKUP(Table5[[#This Row],[Affected WTG]],'Basic Data'!$A:$A,'Basic Data'!$C:$C),"")</f>
        <v>MSEDCL</v>
      </c>
      <c r="J135" s="286">
        <f>IFERROR(_xlfn.XLOOKUP(Table5[[#This Row],[Affected WTG]],'Basic Data'!$A:$A,'Basic Data'!$E:$E),"")</f>
        <v>2.2727272727272728E-2</v>
      </c>
      <c r="K135" s="79">
        <v>3</v>
      </c>
      <c r="L135" s="23" t="str">
        <f>IFERROR(_xlfn.XLOOKUP(Table5[[#This Row],[Error Code]],'Basic Data'!$W:$W,'Basic Data'!$X:$X),"Incorrect Error Code")</f>
        <v>Manual Stop</v>
      </c>
      <c r="M135" s="23" t="s">
        <v>792</v>
      </c>
      <c r="N135" s="23"/>
      <c r="O135" s="287">
        <v>0.64374999999999993</v>
      </c>
      <c r="P135" s="287">
        <v>0.64374999999999993</v>
      </c>
      <c r="Q135" s="287">
        <v>0.99930555555555556</v>
      </c>
      <c r="R135" s="91">
        <f t="shared" si="4"/>
        <v>0.35555555555555562</v>
      </c>
      <c r="S135" s="91">
        <f>(Table5[[#This Row],[Fault Clearance time]]-Table5[[#This Row],[Work Start TimeStamp]])*24</f>
        <v>8.533333333333335</v>
      </c>
      <c r="T135" s="91">
        <f>(Table5[[#This Row],[Fault Clearance time]]-Table5[[#This Row],[Fault Start TimeStamp]])*24</f>
        <v>8.533333333333335</v>
      </c>
      <c r="U135" s="23" t="s">
        <v>795</v>
      </c>
      <c r="V135" s="79" t="s">
        <v>339</v>
      </c>
      <c r="W135" s="289">
        <f>IFERROR(Table5[[#This Row],[Breakdown Time]]*Table5[[#This Row],[Plant Equivalent Weightage]],"")</f>
        <v>0.19393939393939399</v>
      </c>
      <c r="X135" s="289" t="s">
        <v>394</v>
      </c>
      <c r="Y135" s="290" t="s">
        <v>100</v>
      </c>
      <c r="Z135" s="79"/>
      <c r="AA135" s="283">
        <v>672</v>
      </c>
      <c r="AB135" s="79"/>
      <c r="AC135" s="23"/>
      <c r="AD135" s="23"/>
    </row>
    <row r="136" spans="1:30">
      <c r="A136" s="79">
        <f t="shared" si="5"/>
        <v>135</v>
      </c>
      <c r="B136" s="283">
        <f>YEAR(Table5[[#This Row],[Date]])+IF(MONTH(Table5[[#This Row],[Date]])&gt;=4,1,0)</f>
        <v>2026</v>
      </c>
      <c r="C136" s="79">
        <f>YEAR(Table5[[#This Row],[Date]])</f>
        <v>2025</v>
      </c>
      <c r="D136" s="79" t="s">
        <v>344</v>
      </c>
      <c r="E136" s="284">
        <f>Table5[[#This Row],[Date]]-DAY(Table5[[#This Row],[Date]])+1</f>
        <v>45778</v>
      </c>
      <c r="F136" s="285">
        <v>45790</v>
      </c>
      <c r="G136" s="79" t="s">
        <v>112</v>
      </c>
      <c r="H136" s="23" t="str">
        <f>IFERROR(_xlfn.XLOOKUP(Table5[[#This Row],[Affected WTG]],'Basic Data'!$A:$A,'Basic Data'!$B:$B),"")</f>
        <v>PWEPL</v>
      </c>
      <c r="I136" s="23" t="str">
        <f>IFERROR(_xlfn.XLOOKUP(Table5[[#This Row],[Affected WTG]],'Basic Data'!$A:$A,'Basic Data'!$C:$C),"")</f>
        <v>MSEDCL</v>
      </c>
      <c r="J136" s="286">
        <f>IFERROR(_xlfn.XLOOKUP(Table5[[#This Row],[Affected WTG]],'Basic Data'!$A:$A,'Basic Data'!$E:$E),"")</f>
        <v>2.2727272727272728E-2</v>
      </c>
      <c r="K136" s="79">
        <v>269</v>
      </c>
      <c r="L136" s="23" t="str">
        <f>IFERROR(_xlfn.XLOOKUP(Table5[[#This Row],[Error Code]],'Basic Data'!$W:$W,'Basic Data'!$X:$X),"Incorrect Error Code")</f>
        <v>Reboot PLC</v>
      </c>
      <c r="M136" s="23" t="s">
        <v>348</v>
      </c>
      <c r="N136" s="23"/>
      <c r="O136" s="287">
        <v>0.69861111111111107</v>
      </c>
      <c r="P136" s="287">
        <v>0.69861111111111107</v>
      </c>
      <c r="Q136" s="287">
        <v>0.71527777777777779</v>
      </c>
      <c r="R136" s="91">
        <f t="shared" si="4"/>
        <v>1.6666666666666718E-2</v>
      </c>
      <c r="S136" s="91">
        <f>(Table5[[#This Row],[Fault Clearance time]]-Table5[[#This Row],[Work Start TimeStamp]])*24</f>
        <v>0.40000000000000124</v>
      </c>
      <c r="T136" s="91">
        <f>(Table5[[#This Row],[Fault Clearance time]]-Table5[[#This Row],[Fault Start TimeStamp]])*24</f>
        <v>0.40000000000000124</v>
      </c>
      <c r="U136" s="23" t="s">
        <v>353</v>
      </c>
      <c r="V136" s="79" t="s">
        <v>339</v>
      </c>
      <c r="W136" s="289">
        <f>IFERROR(Table5[[#This Row],[Breakdown Time]]*Table5[[#This Row],[Plant Equivalent Weightage]],"")</f>
        <v>9.09090909090912E-3</v>
      </c>
      <c r="X136" s="289" t="s">
        <v>343</v>
      </c>
      <c r="Y136" s="290" t="s">
        <v>111</v>
      </c>
      <c r="Z136" s="79"/>
      <c r="AA136" s="283">
        <v>213</v>
      </c>
      <c r="AB136" s="79"/>
      <c r="AC136" s="23"/>
      <c r="AD136" s="23"/>
    </row>
    <row r="137" spans="1:30">
      <c r="A137" s="79">
        <f t="shared" si="5"/>
        <v>136</v>
      </c>
      <c r="B137" s="283">
        <f>YEAR(Table5[[#This Row],[Date]])+IF(MONTH(Table5[[#This Row],[Date]])&gt;=4,1,0)</f>
        <v>2026</v>
      </c>
      <c r="C137" s="79">
        <f>YEAR(Table5[[#This Row],[Date]])</f>
        <v>2025</v>
      </c>
      <c r="D137" s="79" t="s">
        <v>344</v>
      </c>
      <c r="E137" s="284">
        <f>Table5[[#This Row],[Date]]-DAY(Table5[[#This Row],[Date]])+1</f>
        <v>45778</v>
      </c>
      <c r="F137" s="285">
        <v>45791</v>
      </c>
      <c r="G137" s="79" t="s">
        <v>108</v>
      </c>
      <c r="H137" s="23" t="str">
        <f>IFERROR(_xlfn.XLOOKUP(Table5[[#This Row],[Affected WTG]],'Basic Data'!$A:$A,'Basic Data'!$B:$B),"")</f>
        <v>PWEPL</v>
      </c>
      <c r="I137" s="23" t="str">
        <f>IFERROR(_xlfn.XLOOKUP(Table5[[#This Row],[Affected WTG]],'Basic Data'!$A:$A,'Basic Data'!$C:$C),"")</f>
        <v>MSEDCL</v>
      </c>
      <c r="J137" s="286">
        <f>IFERROR(_xlfn.XLOOKUP(Table5[[#This Row],[Affected WTG]],'Basic Data'!$A:$A,'Basic Data'!$E:$E),"")</f>
        <v>2.2727272727272728E-2</v>
      </c>
      <c r="K137" s="79">
        <v>3</v>
      </c>
      <c r="L137" s="23" t="str">
        <f>IFERROR(_xlfn.XLOOKUP(Table5[[#This Row],[Error Code]],'Basic Data'!$W:$W,'Basic Data'!$X:$X),"Incorrect Error Code")</f>
        <v>Manual Stop</v>
      </c>
      <c r="M137" s="23" t="s">
        <v>792</v>
      </c>
      <c r="N137" s="23"/>
      <c r="O137" s="287">
        <v>0</v>
      </c>
      <c r="P137" s="287">
        <v>0</v>
      </c>
      <c r="Q137" s="287">
        <v>0.29166666666666669</v>
      </c>
      <c r="R137" s="91">
        <f t="shared" si="4"/>
        <v>0.29166666666666669</v>
      </c>
      <c r="S137" s="91">
        <f>(Table5[[#This Row],[Fault Clearance time]]-Table5[[#This Row],[Work Start TimeStamp]])*24</f>
        <v>7</v>
      </c>
      <c r="T137" s="91">
        <f>(Table5[[#This Row],[Fault Clearance time]]-Table5[[#This Row],[Fault Start TimeStamp]])*24</f>
        <v>7</v>
      </c>
      <c r="U137" s="23" t="s">
        <v>798</v>
      </c>
      <c r="V137" s="79" t="s">
        <v>339</v>
      </c>
      <c r="W137" s="289">
        <f>IFERROR(Table5[[#This Row],[Breakdown Time]]*Table5[[#This Row],[Plant Equivalent Weightage]],"")</f>
        <v>0.15909090909090909</v>
      </c>
      <c r="X137" s="289" t="s">
        <v>394</v>
      </c>
      <c r="Y137" s="290" t="s">
        <v>80</v>
      </c>
      <c r="Z137" s="79"/>
      <c r="AA137" s="283">
        <v>649</v>
      </c>
      <c r="AB137" s="79"/>
      <c r="AC137" s="23"/>
      <c r="AD137" s="23"/>
    </row>
    <row r="138" spans="1:30">
      <c r="A138" s="79">
        <f t="shared" si="5"/>
        <v>137</v>
      </c>
      <c r="B138" s="283">
        <f>YEAR(Table5[[#This Row],[Date]])+IF(MONTH(Table5[[#This Row],[Date]])&gt;=4,1,0)</f>
        <v>2026</v>
      </c>
      <c r="C138" s="79">
        <f>YEAR(Table5[[#This Row],[Date]])</f>
        <v>2025</v>
      </c>
      <c r="D138" s="79" t="s">
        <v>344</v>
      </c>
      <c r="E138" s="284">
        <f>Table5[[#This Row],[Date]]-DAY(Table5[[#This Row],[Date]])+1</f>
        <v>45778</v>
      </c>
      <c r="F138" s="285">
        <v>45791</v>
      </c>
      <c r="G138" s="79" t="s">
        <v>110</v>
      </c>
      <c r="H138" s="23" t="str">
        <f>IFERROR(_xlfn.XLOOKUP(Table5[[#This Row],[Affected WTG]],'Basic Data'!$A:$A,'Basic Data'!$B:$B),"")</f>
        <v>PWEPL</v>
      </c>
      <c r="I138" s="23" t="str">
        <f>IFERROR(_xlfn.XLOOKUP(Table5[[#This Row],[Affected WTG]],'Basic Data'!$A:$A,'Basic Data'!$C:$C),"")</f>
        <v>MSEDCL</v>
      </c>
      <c r="J138" s="286">
        <f>IFERROR(_xlfn.XLOOKUP(Table5[[#This Row],[Affected WTG]],'Basic Data'!$A:$A,'Basic Data'!$E:$E),"")</f>
        <v>2.2727272727272728E-2</v>
      </c>
      <c r="K138" s="79">
        <v>3</v>
      </c>
      <c r="L138" s="23" t="str">
        <f>IFERROR(_xlfn.XLOOKUP(Table5[[#This Row],[Error Code]],'Basic Data'!$W:$W,'Basic Data'!$X:$X),"Incorrect Error Code")</f>
        <v>Manual Stop</v>
      </c>
      <c r="M138" s="23" t="s">
        <v>792</v>
      </c>
      <c r="N138" s="23"/>
      <c r="O138" s="287">
        <v>0</v>
      </c>
      <c r="P138" s="287">
        <v>0</v>
      </c>
      <c r="Q138" s="287">
        <v>0.79652777777777783</v>
      </c>
      <c r="R138" s="91">
        <f t="shared" si="4"/>
        <v>0.79652777777777783</v>
      </c>
      <c r="S138" s="91">
        <f>(Table5[[#This Row],[Fault Clearance time]]-Table5[[#This Row],[Work Start TimeStamp]])*24</f>
        <v>19.116666666666667</v>
      </c>
      <c r="T138" s="91">
        <f>(Table5[[#This Row],[Fault Clearance time]]-Table5[[#This Row],[Fault Start TimeStamp]])*24</f>
        <v>19.116666666666667</v>
      </c>
      <c r="U138" s="23" t="s">
        <v>798</v>
      </c>
      <c r="V138" s="79" t="s">
        <v>339</v>
      </c>
      <c r="W138" s="289">
        <f>IFERROR(Table5[[#This Row],[Breakdown Time]]*Table5[[#This Row],[Plant Equivalent Weightage]],"")</f>
        <v>0.43446969696969701</v>
      </c>
      <c r="X138" s="289" t="s">
        <v>394</v>
      </c>
      <c r="Y138" s="290" t="s">
        <v>100</v>
      </c>
      <c r="Z138" s="79"/>
      <c r="AA138" s="283">
        <v>1771</v>
      </c>
      <c r="AB138" s="79"/>
      <c r="AC138" s="23"/>
      <c r="AD138" s="23"/>
    </row>
    <row r="139" spans="1:30">
      <c r="A139" s="79">
        <f t="shared" si="5"/>
        <v>138</v>
      </c>
      <c r="B139" s="283">
        <f>YEAR(Table5[[#This Row],[Date]])+IF(MONTH(Table5[[#This Row],[Date]])&gt;=4,1,0)</f>
        <v>2026</v>
      </c>
      <c r="C139" s="79">
        <f>YEAR(Table5[[#This Row],[Date]])</f>
        <v>2025</v>
      </c>
      <c r="D139" s="79" t="s">
        <v>344</v>
      </c>
      <c r="E139" s="284">
        <f>Table5[[#This Row],[Date]]-DAY(Table5[[#This Row],[Date]])+1</f>
        <v>45778</v>
      </c>
      <c r="F139" s="285">
        <v>45791</v>
      </c>
      <c r="G139" s="79" t="s">
        <v>80</v>
      </c>
      <c r="H139" s="23" t="str">
        <f>IFERROR(_xlfn.XLOOKUP(Table5[[#This Row],[Affected WTG]],'Basic Data'!$A:$A,'Basic Data'!$B:$B),"")</f>
        <v>PWEPL</v>
      </c>
      <c r="I139" s="23" t="str">
        <f>IFERROR(_xlfn.XLOOKUP(Table5[[#This Row],[Affected WTG]],'Basic Data'!$A:$A,'Basic Data'!$C:$C),"")</f>
        <v>MSEDCL</v>
      </c>
      <c r="J139" s="286">
        <f>IFERROR(_xlfn.XLOOKUP(Table5[[#This Row],[Affected WTG]],'Basic Data'!$A:$A,'Basic Data'!$E:$E),"")</f>
        <v>2.2727272727272728E-2</v>
      </c>
      <c r="K139" s="79">
        <v>3</v>
      </c>
      <c r="L139" s="23" t="str">
        <f>IFERROR(_xlfn.XLOOKUP(Table5[[#This Row],[Error Code]],'Basic Data'!$W:$W,'Basic Data'!$X:$X),"Incorrect Error Code")</f>
        <v>Manual Stop</v>
      </c>
      <c r="M139" s="23" t="s">
        <v>792</v>
      </c>
      <c r="N139" s="23"/>
      <c r="O139" s="287">
        <v>0.3756944444444445</v>
      </c>
      <c r="P139" s="287">
        <v>0.3756944444444445</v>
      </c>
      <c r="Q139" s="287">
        <v>0.52013888888888882</v>
      </c>
      <c r="R139" s="91">
        <f t="shared" si="4"/>
        <v>0.14444444444444432</v>
      </c>
      <c r="S139" s="91">
        <f>(Table5[[#This Row],[Fault Clearance time]]-Table5[[#This Row],[Work Start TimeStamp]])*24</f>
        <v>3.4666666666666637</v>
      </c>
      <c r="T139" s="91">
        <f>(Table5[[#This Row],[Fault Clearance time]]-Table5[[#This Row],[Fault Start TimeStamp]])*24</f>
        <v>3.4666666666666637</v>
      </c>
      <c r="U139" s="23" t="s">
        <v>795</v>
      </c>
      <c r="V139" s="79" t="s">
        <v>339</v>
      </c>
      <c r="W139" s="289">
        <f>IFERROR(Table5[[#This Row],[Breakdown Time]]*Table5[[#This Row],[Plant Equivalent Weightage]],"")</f>
        <v>7.8787878787878726E-2</v>
      </c>
      <c r="X139" s="289" t="s">
        <v>394</v>
      </c>
      <c r="Y139" s="290" t="s">
        <v>108</v>
      </c>
      <c r="Z139" s="79"/>
      <c r="AA139" s="283">
        <v>322</v>
      </c>
      <c r="AB139" s="79"/>
      <c r="AC139" s="23"/>
      <c r="AD139" s="23"/>
    </row>
    <row r="140" spans="1:30">
      <c r="A140" s="79">
        <f t="shared" si="5"/>
        <v>139</v>
      </c>
      <c r="B140" s="283">
        <f>YEAR(Table5[[#This Row],[Date]])+IF(MONTH(Table5[[#This Row],[Date]])&gt;=4,1,0)</f>
        <v>2026</v>
      </c>
      <c r="C140" s="79">
        <f>YEAR(Table5[[#This Row],[Date]])</f>
        <v>2025</v>
      </c>
      <c r="D140" s="79" t="s">
        <v>344</v>
      </c>
      <c r="E140" s="284">
        <f>Table5[[#This Row],[Date]]-DAY(Table5[[#This Row],[Date]])+1</f>
        <v>45778</v>
      </c>
      <c r="F140" s="285">
        <v>45791</v>
      </c>
      <c r="G140" s="79" t="s">
        <v>80</v>
      </c>
      <c r="H140" s="23" t="str">
        <f>IFERROR(_xlfn.XLOOKUP(Table5[[#This Row],[Affected WTG]],'Basic Data'!$A:$A,'Basic Data'!$B:$B),"")</f>
        <v>PWEPL</v>
      </c>
      <c r="I140" s="23" t="str">
        <f>IFERROR(_xlfn.XLOOKUP(Table5[[#This Row],[Affected WTG]],'Basic Data'!$A:$A,'Basic Data'!$C:$C),"")</f>
        <v>MSEDCL</v>
      </c>
      <c r="J140" s="286">
        <f>IFERROR(_xlfn.XLOOKUP(Table5[[#This Row],[Affected WTG]],'Basic Data'!$A:$A,'Basic Data'!$E:$E),"")</f>
        <v>2.2727272727272728E-2</v>
      </c>
      <c r="K140" s="79">
        <v>3</v>
      </c>
      <c r="L140" s="23" t="str">
        <f>IFERROR(_xlfn.XLOOKUP(Table5[[#This Row],[Error Code]],'Basic Data'!$W:$W,'Basic Data'!$X:$X),"Incorrect Error Code")</f>
        <v>Manual Stop</v>
      </c>
      <c r="M140" s="23" t="s">
        <v>792</v>
      </c>
      <c r="N140" s="23"/>
      <c r="O140" s="287">
        <v>0.75902777777777775</v>
      </c>
      <c r="P140" s="287">
        <v>0.75902777777777775</v>
      </c>
      <c r="Q140" s="287">
        <v>0.99930555555555556</v>
      </c>
      <c r="R140" s="91">
        <f t="shared" si="4"/>
        <v>0.24027777777777781</v>
      </c>
      <c r="S140" s="91">
        <f>(Table5[[#This Row],[Fault Clearance time]]-Table5[[#This Row],[Work Start TimeStamp]])*24</f>
        <v>5.7666666666666675</v>
      </c>
      <c r="T140" s="91">
        <f>(Table5[[#This Row],[Fault Clearance time]]-Table5[[#This Row],[Fault Start TimeStamp]])*24</f>
        <v>5.7666666666666675</v>
      </c>
      <c r="U140" s="23" t="s">
        <v>795</v>
      </c>
      <c r="V140" s="79" t="s">
        <v>339</v>
      </c>
      <c r="W140" s="289">
        <f>IFERROR(Table5[[#This Row],[Breakdown Time]]*Table5[[#This Row],[Plant Equivalent Weightage]],"")</f>
        <v>0.13106060606060607</v>
      </c>
      <c r="X140" s="289" t="s">
        <v>394</v>
      </c>
      <c r="Y140" s="290" t="s">
        <v>108</v>
      </c>
      <c r="Z140" s="79"/>
      <c r="AA140" s="283">
        <v>554</v>
      </c>
      <c r="AB140" s="79"/>
      <c r="AC140" s="23"/>
      <c r="AD140" s="23"/>
    </row>
    <row r="141" spans="1:30">
      <c r="A141" s="79">
        <f t="shared" si="5"/>
        <v>140</v>
      </c>
      <c r="B141" s="283">
        <f>YEAR(Table5[[#This Row],[Date]])+IF(MONTH(Table5[[#This Row],[Date]])&gt;=4,1,0)</f>
        <v>2026</v>
      </c>
      <c r="C141" s="79">
        <f>YEAR(Table5[[#This Row],[Date]])</f>
        <v>2025</v>
      </c>
      <c r="D141" s="79" t="s">
        <v>344</v>
      </c>
      <c r="E141" s="284">
        <f>Table5[[#This Row],[Date]]-DAY(Table5[[#This Row],[Date]])+1</f>
        <v>45778</v>
      </c>
      <c r="F141" s="285">
        <v>45791</v>
      </c>
      <c r="G141" s="79" t="s">
        <v>79</v>
      </c>
      <c r="H141" s="23" t="str">
        <f>IFERROR(_xlfn.XLOOKUP(Table5[[#This Row],[Affected WTG]],'Basic Data'!$A:$A,'Basic Data'!$B:$B),"")</f>
        <v>PWEPL</v>
      </c>
      <c r="I141" s="23" t="str">
        <f>IFERROR(_xlfn.XLOOKUP(Table5[[#This Row],[Affected WTG]],'Basic Data'!$A:$A,'Basic Data'!$C:$C),"")</f>
        <v>MSEDCL</v>
      </c>
      <c r="J141" s="286">
        <f>IFERROR(_xlfn.XLOOKUP(Table5[[#This Row],[Affected WTG]],'Basic Data'!$A:$A,'Basic Data'!$E:$E),"")</f>
        <v>2.2727272727272728E-2</v>
      </c>
      <c r="K141" s="79">
        <v>3</v>
      </c>
      <c r="L141" s="23" t="str">
        <f>IFERROR(_xlfn.XLOOKUP(Table5[[#This Row],[Error Code]],'Basic Data'!$W:$W,'Basic Data'!$X:$X),"Incorrect Error Code")</f>
        <v>Manual Stop</v>
      </c>
      <c r="M141" s="23" t="s">
        <v>792</v>
      </c>
      <c r="N141" s="23"/>
      <c r="O141" s="287">
        <v>0.64444444444444449</v>
      </c>
      <c r="P141" s="287">
        <v>0.64444444444444449</v>
      </c>
      <c r="Q141" s="287">
        <v>0.99930555555555556</v>
      </c>
      <c r="R141" s="91">
        <f t="shared" si="4"/>
        <v>0.35486111111111107</v>
      </c>
      <c r="S141" s="91">
        <f>(Table5[[#This Row],[Fault Clearance time]]-Table5[[#This Row],[Work Start TimeStamp]])*24</f>
        <v>8.5166666666666657</v>
      </c>
      <c r="T141" s="91">
        <f>(Table5[[#This Row],[Fault Clearance time]]-Table5[[#This Row],[Fault Start TimeStamp]])*24</f>
        <v>8.5166666666666657</v>
      </c>
      <c r="U141" s="23" t="s">
        <v>795</v>
      </c>
      <c r="V141" s="79" t="s">
        <v>339</v>
      </c>
      <c r="W141" s="289">
        <f>IFERROR(Table5[[#This Row],[Breakdown Time]]*Table5[[#This Row],[Plant Equivalent Weightage]],"")</f>
        <v>0.19356060606060604</v>
      </c>
      <c r="X141" s="289" t="s">
        <v>394</v>
      </c>
      <c r="Y141" s="290" t="s">
        <v>96</v>
      </c>
      <c r="Z141" s="79"/>
      <c r="AA141" s="283">
        <v>789</v>
      </c>
      <c r="AB141" s="79"/>
      <c r="AC141" s="23"/>
      <c r="AD141" s="23"/>
    </row>
    <row r="142" spans="1:30">
      <c r="A142" s="79">
        <f t="shared" si="5"/>
        <v>141</v>
      </c>
      <c r="B142" s="283">
        <f>YEAR(Table5[[#This Row],[Date]])+IF(MONTH(Table5[[#This Row],[Date]])&gt;=4,1,0)</f>
        <v>2026</v>
      </c>
      <c r="C142" s="79">
        <f>YEAR(Table5[[#This Row],[Date]])</f>
        <v>2025</v>
      </c>
      <c r="D142" s="79" t="s">
        <v>344</v>
      </c>
      <c r="E142" s="284">
        <f>Table5[[#This Row],[Date]]-DAY(Table5[[#This Row],[Date]])+1</f>
        <v>45778</v>
      </c>
      <c r="F142" s="285">
        <v>45791</v>
      </c>
      <c r="G142" s="79" t="s">
        <v>117</v>
      </c>
      <c r="H142" s="23" t="str">
        <f>IFERROR(_xlfn.XLOOKUP(Table5[[#This Row],[Affected WTG]],'Basic Data'!$A:$A,'Basic Data'!$B:$B),"")</f>
        <v>PWEPL</v>
      </c>
      <c r="I142" s="23" t="str">
        <f>IFERROR(_xlfn.XLOOKUP(Table5[[#This Row],[Affected WTG]],'Basic Data'!$A:$A,'Basic Data'!$C:$C),"")</f>
        <v>MSEDCL</v>
      </c>
      <c r="J142" s="286">
        <f>IFERROR(_xlfn.XLOOKUP(Table5[[#This Row],[Affected WTG]],'Basic Data'!$A:$A,'Basic Data'!$E:$E),"")</f>
        <v>2.2727272727272728E-2</v>
      </c>
      <c r="K142" s="79">
        <v>269</v>
      </c>
      <c r="L142" s="23" t="str">
        <f>IFERROR(_xlfn.XLOOKUP(Table5[[#This Row],[Error Code]],'Basic Data'!$W:$W,'Basic Data'!$X:$X),"Incorrect Error Code")</f>
        <v>Reboot PLC</v>
      </c>
      <c r="M142" s="23" t="s">
        <v>348</v>
      </c>
      <c r="N142" s="23"/>
      <c r="O142" s="287">
        <v>0.64722222222222225</v>
      </c>
      <c r="P142" s="287">
        <v>0.64722222222222225</v>
      </c>
      <c r="Q142" s="287">
        <v>0.65694444444444444</v>
      </c>
      <c r="R142" s="91">
        <f t="shared" si="4"/>
        <v>9.7222222222221877E-3</v>
      </c>
      <c r="S142" s="91">
        <f>(Table5[[#This Row],[Fault Clearance time]]-Table5[[#This Row],[Work Start TimeStamp]])*24</f>
        <v>0.2333333333333325</v>
      </c>
      <c r="T142" s="91">
        <f>(Table5[[#This Row],[Fault Clearance time]]-Table5[[#This Row],[Fault Start TimeStamp]])*24</f>
        <v>0.2333333333333325</v>
      </c>
      <c r="U142" s="23" t="s">
        <v>353</v>
      </c>
      <c r="V142" s="79" t="s">
        <v>339</v>
      </c>
      <c r="W142" s="289">
        <f>IFERROR(Table5[[#This Row],[Breakdown Time]]*Table5[[#This Row],[Plant Equivalent Weightage]],"")</f>
        <v>5.3030303030302843E-3</v>
      </c>
      <c r="X142" s="289" t="s">
        <v>343</v>
      </c>
      <c r="Y142" s="290" t="s">
        <v>116</v>
      </c>
      <c r="Z142" s="79"/>
      <c r="AA142" s="283">
        <v>0</v>
      </c>
      <c r="AB142" s="79"/>
      <c r="AC142" s="23"/>
      <c r="AD142" s="23"/>
    </row>
    <row r="143" spans="1:30">
      <c r="A143" s="79">
        <f t="shared" si="5"/>
        <v>142</v>
      </c>
      <c r="B143" s="283">
        <f>YEAR(Table5[[#This Row],[Date]])+IF(MONTH(Table5[[#This Row],[Date]])&gt;=4,1,0)</f>
        <v>2026</v>
      </c>
      <c r="C143" s="79">
        <f>YEAR(Table5[[#This Row],[Date]])</f>
        <v>2025</v>
      </c>
      <c r="D143" s="79" t="s">
        <v>344</v>
      </c>
      <c r="E143" s="284">
        <f>Table5[[#This Row],[Date]]-DAY(Table5[[#This Row],[Date]])+1</f>
        <v>45778</v>
      </c>
      <c r="F143" s="285">
        <v>45791</v>
      </c>
      <c r="G143" s="79" t="s">
        <v>99</v>
      </c>
      <c r="H143" s="23" t="str">
        <f>IFERROR(_xlfn.XLOOKUP(Table5[[#This Row],[Affected WTG]],'Basic Data'!$A:$A,'Basic Data'!$B:$B),"")</f>
        <v>PWEPL</v>
      </c>
      <c r="I143" s="23" t="str">
        <f>IFERROR(_xlfn.XLOOKUP(Table5[[#This Row],[Affected WTG]],'Basic Data'!$A:$A,'Basic Data'!$C:$C),"")</f>
        <v>MSEDCL</v>
      </c>
      <c r="J143" s="286">
        <f>IFERROR(_xlfn.XLOOKUP(Table5[[#This Row],[Affected WTG]],'Basic Data'!$A:$A,'Basic Data'!$E:$E),"")</f>
        <v>2.2727272727272728E-2</v>
      </c>
      <c r="K143" s="79">
        <v>60</v>
      </c>
      <c r="L143" s="23" t="str">
        <f>IFERROR(_xlfn.XLOOKUP(Table5[[#This Row],[Error Code]],'Basic Data'!$W:$W,'Basic Data'!$X:$X),"Incorrect Error Code")</f>
        <v>Yaw limit switch activated</v>
      </c>
      <c r="M143" s="23" t="s">
        <v>357</v>
      </c>
      <c r="N143" s="23"/>
      <c r="O143" s="287">
        <v>0.40833333333333338</v>
      </c>
      <c r="P143" s="287">
        <v>0.40833333333333338</v>
      </c>
      <c r="Q143" s="287">
        <v>0.49305555555555558</v>
      </c>
      <c r="R143" s="91">
        <f t="shared" si="4"/>
        <v>8.4722222222222199E-2</v>
      </c>
      <c r="S143" s="91">
        <f>(Table5[[#This Row],[Fault Clearance time]]-Table5[[#This Row],[Work Start TimeStamp]])*24</f>
        <v>2.0333333333333328</v>
      </c>
      <c r="T143" s="91">
        <f>(Table5[[#This Row],[Fault Clearance time]]-Table5[[#This Row],[Fault Start TimeStamp]])*24</f>
        <v>2.0333333333333328</v>
      </c>
      <c r="U143" s="23" t="s">
        <v>358</v>
      </c>
      <c r="V143" s="79" t="s">
        <v>339</v>
      </c>
      <c r="W143" s="289">
        <f>IFERROR(Table5[[#This Row],[Breakdown Time]]*Table5[[#This Row],[Plant Equivalent Weightage]],"")</f>
        <v>4.6212121212121197E-2</v>
      </c>
      <c r="X143" s="289" t="s">
        <v>343</v>
      </c>
      <c r="Y143" s="290" t="s">
        <v>100</v>
      </c>
      <c r="Z143" s="79"/>
      <c r="AA143" s="283">
        <v>0</v>
      </c>
      <c r="AB143" s="79"/>
      <c r="AC143" s="23"/>
      <c r="AD143" s="23"/>
    </row>
    <row r="144" spans="1:30">
      <c r="A144" s="79">
        <f t="shared" si="5"/>
        <v>143</v>
      </c>
      <c r="B144" s="283">
        <f>YEAR(Table5[[#This Row],[Date]])+IF(MONTH(Table5[[#This Row],[Date]])&gt;=4,1,0)</f>
        <v>2026</v>
      </c>
      <c r="C144" s="79">
        <f>YEAR(Table5[[#This Row],[Date]])</f>
        <v>2025</v>
      </c>
      <c r="D144" s="79" t="s">
        <v>344</v>
      </c>
      <c r="E144" s="284">
        <f>Table5[[#This Row],[Date]]-DAY(Table5[[#This Row],[Date]])+1</f>
        <v>45778</v>
      </c>
      <c r="F144" s="285">
        <v>45792</v>
      </c>
      <c r="G144" s="79" t="s">
        <v>80</v>
      </c>
      <c r="H144" s="23" t="str">
        <f>IFERROR(_xlfn.XLOOKUP(Table5[[#This Row],[Affected WTG]],'Basic Data'!$A:$A,'Basic Data'!$B:$B),"")</f>
        <v>PWEPL</v>
      </c>
      <c r="I144" s="23" t="str">
        <f>IFERROR(_xlfn.XLOOKUP(Table5[[#This Row],[Affected WTG]],'Basic Data'!$A:$A,'Basic Data'!$C:$C),"")</f>
        <v>MSEDCL</v>
      </c>
      <c r="J144" s="286">
        <f>IFERROR(_xlfn.XLOOKUP(Table5[[#This Row],[Affected WTG]],'Basic Data'!$A:$A,'Basic Data'!$E:$E),"")</f>
        <v>2.2727272727272728E-2</v>
      </c>
      <c r="K144" s="79">
        <v>3</v>
      </c>
      <c r="L144" s="23" t="str">
        <f>IFERROR(_xlfn.XLOOKUP(Table5[[#This Row],[Error Code]],'Basic Data'!$W:$W,'Basic Data'!$X:$X),"Incorrect Error Code")</f>
        <v>Manual Stop</v>
      </c>
      <c r="M144" s="23" t="s">
        <v>792</v>
      </c>
      <c r="N144" s="23"/>
      <c r="O144" s="287">
        <v>0</v>
      </c>
      <c r="P144" s="287">
        <v>0</v>
      </c>
      <c r="Q144" s="287">
        <v>0.3527777777777778</v>
      </c>
      <c r="R144" s="91">
        <f t="shared" si="4"/>
        <v>0.3527777777777778</v>
      </c>
      <c r="S144" s="91">
        <f>(Table5[[#This Row],[Fault Clearance time]]-Table5[[#This Row],[Work Start TimeStamp]])*24</f>
        <v>8.4666666666666668</v>
      </c>
      <c r="T144" s="91">
        <f>(Table5[[#This Row],[Fault Clearance time]]-Table5[[#This Row],[Fault Start TimeStamp]])*24</f>
        <v>8.4666666666666668</v>
      </c>
      <c r="U144" s="23" t="s">
        <v>798</v>
      </c>
      <c r="V144" s="79" t="s">
        <v>339</v>
      </c>
      <c r="W144" s="289">
        <f>IFERROR(Table5[[#This Row],[Breakdown Time]]*Table5[[#This Row],[Plant Equivalent Weightage]],"")</f>
        <v>0.19242424242424244</v>
      </c>
      <c r="X144" s="289" t="s">
        <v>394</v>
      </c>
      <c r="Y144" s="290" t="s">
        <v>96</v>
      </c>
      <c r="Z144" s="79"/>
      <c r="AA144" s="283">
        <v>1504</v>
      </c>
      <c r="AB144" s="79"/>
      <c r="AC144" s="23"/>
      <c r="AD144" s="23"/>
    </row>
    <row r="145" spans="1:30">
      <c r="A145" s="79">
        <f t="shared" si="5"/>
        <v>144</v>
      </c>
      <c r="B145" s="283">
        <f>YEAR(Table5[[#This Row],[Date]])+IF(MONTH(Table5[[#This Row],[Date]])&gt;=4,1,0)</f>
        <v>2026</v>
      </c>
      <c r="C145" s="79">
        <f>YEAR(Table5[[#This Row],[Date]])</f>
        <v>2025</v>
      </c>
      <c r="D145" s="79" t="s">
        <v>344</v>
      </c>
      <c r="E145" s="284">
        <f>Table5[[#This Row],[Date]]-DAY(Table5[[#This Row],[Date]])+1</f>
        <v>45778</v>
      </c>
      <c r="F145" s="285">
        <v>45792</v>
      </c>
      <c r="G145" s="79" t="s">
        <v>79</v>
      </c>
      <c r="H145" s="23" t="str">
        <f>IFERROR(_xlfn.XLOOKUP(Table5[[#This Row],[Affected WTG]],'Basic Data'!$A:$A,'Basic Data'!$B:$B),"")</f>
        <v>PWEPL</v>
      </c>
      <c r="I145" s="23" t="str">
        <f>IFERROR(_xlfn.XLOOKUP(Table5[[#This Row],[Affected WTG]],'Basic Data'!$A:$A,'Basic Data'!$C:$C),"")</f>
        <v>MSEDCL</v>
      </c>
      <c r="J145" s="286">
        <f>IFERROR(_xlfn.XLOOKUP(Table5[[#This Row],[Affected WTG]],'Basic Data'!$A:$A,'Basic Data'!$E:$E),"")</f>
        <v>2.2727272727272728E-2</v>
      </c>
      <c r="K145" s="79">
        <v>3</v>
      </c>
      <c r="L145" s="23" t="str">
        <f>IFERROR(_xlfn.XLOOKUP(Table5[[#This Row],[Error Code]],'Basic Data'!$W:$W,'Basic Data'!$X:$X),"Incorrect Error Code")</f>
        <v>Manual Stop</v>
      </c>
      <c r="M145" s="23" t="s">
        <v>792</v>
      </c>
      <c r="N145" s="23"/>
      <c r="O145" s="287">
        <v>0</v>
      </c>
      <c r="P145" s="287">
        <v>0</v>
      </c>
      <c r="Q145" s="287">
        <v>0.67499999999999993</v>
      </c>
      <c r="R145" s="91">
        <f t="shared" si="4"/>
        <v>0.67499999999999993</v>
      </c>
      <c r="S145" s="91">
        <f>(Table5[[#This Row],[Fault Clearance time]]-Table5[[#This Row],[Work Start TimeStamp]])*24</f>
        <v>16.2</v>
      </c>
      <c r="T145" s="91">
        <f>(Table5[[#This Row],[Fault Clearance time]]-Table5[[#This Row],[Fault Start TimeStamp]])*24</f>
        <v>16.2</v>
      </c>
      <c r="U145" s="23" t="s">
        <v>798</v>
      </c>
      <c r="V145" s="79" t="s">
        <v>339</v>
      </c>
      <c r="W145" s="289">
        <f>IFERROR(Table5[[#This Row],[Breakdown Time]]*Table5[[#This Row],[Plant Equivalent Weightage]],"")</f>
        <v>0.36818181818181817</v>
      </c>
      <c r="X145" s="289" t="s">
        <v>394</v>
      </c>
      <c r="Y145" s="290" t="s">
        <v>108</v>
      </c>
      <c r="Z145" s="79"/>
      <c r="AA145" s="283">
        <v>786</v>
      </c>
      <c r="AB145" s="79"/>
      <c r="AC145" s="23"/>
      <c r="AD145" s="23"/>
    </row>
    <row r="146" spans="1:30">
      <c r="A146" s="79">
        <f t="shared" si="5"/>
        <v>145</v>
      </c>
      <c r="B146" s="283">
        <f>YEAR(Table5[[#This Row],[Date]])+IF(MONTH(Table5[[#This Row],[Date]])&gt;=4,1,0)</f>
        <v>2026</v>
      </c>
      <c r="C146" s="79">
        <f>YEAR(Table5[[#This Row],[Date]])</f>
        <v>2025</v>
      </c>
      <c r="D146" s="79" t="s">
        <v>344</v>
      </c>
      <c r="E146" s="284">
        <f>Table5[[#This Row],[Date]]-DAY(Table5[[#This Row],[Date]])+1</f>
        <v>45778</v>
      </c>
      <c r="F146" s="285">
        <v>45792</v>
      </c>
      <c r="G146" s="79" t="s">
        <v>93</v>
      </c>
      <c r="H146" s="23" t="str">
        <f>IFERROR(_xlfn.XLOOKUP(Table5[[#This Row],[Affected WTG]],'Basic Data'!$A:$A,'Basic Data'!$B:$B),"")</f>
        <v>PWEPL</v>
      </c>
      <c r="I146" s="23" t="str">
        <f>IFERROR(_xlfn.XLOOKUP(Table5[[#This Row],[Affected WTG]],'Basic Data'!$A:$A,'Basic Data'!$C:$C),"")</f>
        <v>MSEDCL</v>
      </c>
      <c r="J146" s="286">
        <f>IFERROR(_xlfn.XLOOKUP(Table5[[#This Row],[Affected WTG]],'Basic Data'!$A:$A,'Basic Data'!$E:$E),"")</f>
        <v>2.2727272727272728E-2</v>
      </c>
      <c r="K146" s="79">
        <v>269</v>
      </c>
      <c r="L146" s="23" t="str">
        <f>IFERROR(_xlfn.XLOOKUP(Table5[[#This Row],[Error Code]],'Basic Data'!$W:$W,'Basic Data'!$X:$X),"Incorrect Error Code")</f>
        <v>Reboot PLC</v>
      </c>
      <c r="M146" s="23" t="s">
        <v>348</v>
      </c>
      <c r="N146" s="23"/>
      <c r="O146" s="287">
        <v>0.65208333333333335</v>
      </c>
      <c r="P146" s="287">
        <v>0.65208333333333335</v>
      </c>
      <c r="Q146" s="287">
        <v>0.66111111111111109</v>
      </c>
      <c r="R146" s="91">
        <f t="shared" si="4"/>
        <v>9.0277777777777457E-3</v>
      </c>
      <c r="S146" s="91">
        <f>(Table5[[#This Row],[Fault Clearance time]]-Table5[[#This Row],[Work Start TimeStamp]])*24</f>
        <v>0.2166666666666659</v>
      </c>
      <c r="T146" s="91">
        <f>(Table5[[#This Row],[Fault Clearance time]]-Table5[[#This Row],[Fault Start TimeStamp]])*24</f>
        <v>0.2166666666666659</v>
      </c>
      <c r="U146" s="23" t="s">
        <v>353</v>
      </c>
      <c r="V146" s="79" t="s">
        <v>339</v>
      </c>
      <c r="W146" s="289">
        <f>IFERROR(Table5[[#This Row],[Breakdown Time]]*Table5[[#This Row],[Plant Equivalent Weightage]],"")</f>
        <v>4.9242424242424065E-3</v>
      </c>
      <c r="X146" s="289" t="s">
        <v>343</v>
      </c>
      <c r="Y146" s="290" t="s">
        <v>76</v>
      </c>
      <c r="Z146" s="79"/>
      <c r="AA146" s="283">
        <v>17</v>
      </c>
      <c r="AB146" s="79"/>
      <c r="AC146" s="23"/>
      <c r="AD146" s="23"/>
    </row>
    <row r="147" spans="1:30">
      <c r="A147" s="79">
        <f t="shared" si="5"/>
        <v>146</v>
      </c>
      <c r="B147" s="283">
        <f>YEAR(Table5[[#This Row],[Date]])+IF(MONTH(Table5[[#This Row],[Date]])&gt;=4,1,0)</f>
        <v>2026</v>
      </c>
      <c r="C147" s="79">
        <f>YEAR(Table5[[#This Row],[Date]])</f>
        <v>2025</v>
      </c>
      <c r="D147" s="79" t="s">
        <v>344</v>
      </c>
      <c r="E147" s="284">
        <f>Table5[[#This Row],[Date]]-DAY(Table5[[#This Row],[Date]])+1</f>
        <v>45778</v>
      </c>
      <c r="F147" s="285">
        <v>45792</v>
      </c>
      <c r="G147" s="79" t="s">
        <v>103</v>
      </c>
      <c r="H147" s="23" t="str">
        <f>IFERROR(_xlfn.XLOOKUP(Table5[[#This Row],[Affected WTG]],'Basic Data'!$A:$A,'Basic Data'!$B:$B),"")</f>
        <v>PWEPL</v>
      </c>
      <c r="I147" s="23" t="str">
        <f>IFERROR(_xlfn.XLOOKUP(Table5[[#This Row],[Affected WTG]],'Basic Data'!$A:$A,'Basic Data'!$C:$C),"")</f>
        <v>MSEDCL</v>
      </c>
      <c r="J147" s="286">
        <f>IFERROR(_xlfn.XLOOKUP(Table5[[#This Row],[Affected WTG]],'Basic Data'!$A:$A,'Basic Data'!$E:$E),"")</f>
        <v>2.2727272727272728E-2</v>
      </c>
      <c r="K147" s="79">
        <v>269</v>
      </c>
      <c r="L147" s="23" t="str">
        <f>IFERROR(_xlfn.XLOOKUP(Table5[[#This Row],[Error Code]],'Basic Data'!$W:$W,'Basic Data'!$X:$X),"Incorrect Error Code")</f>
        <v>Reboot PLC</v>
      </c>
      <c r="M147" s="23" t="s">
        <v>348</v>
      </c>
      <c r="N147" s="23"/>
      <c r="O147" s="287">
        <v>0.65208333333333335</v>
      </c>
      <c r="P147" s="287">
        <v>0.65208333333333335</v>
      </c>
      <c r="Q147" s="287">
        <v>0.65902777777777777</v>
      </c>
      <c r="R147" s="91">
        <f t="shared" si="4"/>
        <v>6.9444444444444198E-3</v>
      </c>
      <c r="S147" s="91">
        <f>(Table5[[#This Row],[Fault Clearance time]]-Table5[[#This Row],[Work Start TimeStamp]])*24</f>
        <v>0.16666666666666607</v>
      </c>
      <c r="T147" s="91">
        <f>(Table5[[#This Row],[Fault Clearance time]]-Table5[[#This Row],[Fault Start TimeStamp]])*24</f>
        <v>0.16666666666666607</v>
      </c>
      <c r="U147" s="23" t="s">
        <v>353</v>
      </c>
      <c r="V147" s="79" t="s">
        <v>339</v>
      </c>
      <c r="W147" s="289">
        <f>IFERROR(Table5[[#This Row],[Breakdown Time]]*Table5[[#This Row],[Plant Equivalent Weightage]],"")</f>
        <v>3.7878787878787745E-3</v>
      </c>
      <c r="X147" s="289" t="s">
        <v>343</v>
      </c>
      <c r="Y147" s="290" t="s">
        <v>105</v>
      </c>
      <c r="Z147" s="79"/>
      <c r="AA147" s="283">
        <v>15</v>
      </c>
      <c r="AB147" s="79"/>
      <c r="AC147" s="23"/>
      <c r="AD147" s="23"/>
    </row>
    <row r="148" spans="1:30">
      <c r="A148" s="79">
        <f t="shared" si="5"/>
        <v>147</v>
      </c>
      <c r="B148" s="283">
        <f>YEAR(Table5[[#This Row],[Date]])+IF(MONTH(Table5[[#This Row],[Date]])&gt;=4,1,0)</f>
        <v>2026</v>
      </c>
      <c r="C148" s="79">
        <f>YEAR(Table5[[#This Row],[Date]])</f>
        <v>2025</v>
      </c>
      <c r="D148" s="79" t="s">
        <v>344</v>
      </c>
      <c r="E148" s="284">
        <f>Table5[[#This Row],[Date]]-DAY(Table5[[#This Row],[Date]])+1</f>
        <v>45778</v>
      </c>
      <c r="F148" s="285">
        <v>45793</v>
      </c>
      <c r="G148" s="79" t="s">
        <v>101</v>
      </c>
      <c r="H148" s="23" t="str">
        <f>IFERROR(_xlfn.XLOOKUP(Table5[[#This Row],[Affected WTG]],'Basic Data'!$A:$A,'Basic Data'!$B:$B),"")</f>
        <v>PWEPL</v>
      </c>
      <c r="I148" s="23" t="str">
        <f>IFERROR(_xlfn.XLOOKUP(Table5[[#This Row],[Affected WTG]],'Basic Data'!$A:$A,'Basic Data'!$C:$C),"")</f>
        <v>MSEDCL</v>
      </c>
      <c r="J148" s="286">
        <f>IFERROR(_xlfn.XLOOKUP(Table5[[#This Row],[Affected WTG]],'Basic Data'!$A:$A,'Basic Data'!$E:$E),"")</f>
        <v>2.2727272727272728E-2</v>
      </c>
      <c r="K148" s="79">
        <v>269</v>
      </c>
      <c r="L148" s="23" t="str">
        <f>IFERROR(_xlfn.XLOOKUP(Table5[[#This Row],[Error Code]],'Basic Data'!$W:$W,'Basic Data'!$X:$X),"Incorrect Error Code")</f>
        <v>Reboot PLC</v>
      </c>
      <c r="M148" s="23" t="s">
        <v>348</v>
      </c>
      <c r="N148" s="23"/>
      <c r="O148" s="287">
        <v>0.66597222222222219</v>
      </c>
      <c r="P148" s="287">
        <v>0.66597222222222219</v>
      </c>
      <c r="Q148" s="287">
        <v>0.67569444444444438</v>
      </c>
      <c r="R148" s="91">
        <f t="shared" si="4"/>
        <v>9.7222222222221877E-3</v>
      </c>
      <c r="S148" s="91">
        <f>(Table5[[#This Row],[Fault Clearance time]]-Table5[[#This Row],[Work Start TimeStamp]])*24</f>
        <v>0.2333333333333325</v>
      </c>
      <c r="T148" s="91">
        <f>(Table5[[#This Row],[Fault Clearance time]]-Table5[[#This Row],[Fault Start TimeStamp]])*24</f>
        <v>0.2333333333333325</v>
      </c>
      <c r="U148" s="23" t="s">
        <v>353</v>
      </c>
      <c r="V148" s="79" t="s">
        <v>339</v>
      </c>
      <c r="W148" s="289">
        <f>IFERROR(Table5[[#This Row],[Breakdown Time]]*Table5[[#This Row],[Plant Equivalent Weightage]],"")</f>
        <v>5.3030303030302843E-3</v>
      </c>
      <c r="X148" s="289" t="s">
        <v>343</v>
      </c>
      <c r="Y148" s="290" t="s">
        <v>100</v>
      </c>
      <c r="Z148" s="79"/>
      <c r="AA148" s="283">
        <v>0</v>
      </c>
      <c r="AB148" s="79"/>
      <c r="AC148" s="23"/>
      <c r="AD148" s="23"/>
    </row>
    <row r="149" spans="1:30">
      <c r="A149" s="79">
        <f t="shared" si="5"/>
        <v>148</v>
      </c>
      <c r="B149" s="283">
        <f>YEAR(Table5[[#This Row],[Date]])+IF(MONTH(Table5[[#This Row],[Date]])&gt;=4,1,0)</f>
        <v>2026</v>
      </c>
      <c r="C149" s="79">
        <f>YEAR(Table5[[#This Row],[Date]])</f>
        <v>2025</v>
      </c>
      <c r="D149" s="79" t="s">
        <v>344</v>
      </c>
      <c r="E149" s="284">
        <f>Table5[[#This Row],[Date]]-DAY(Table5[[#This Row],[Date]])+1</f>
        <v>45778</v>
      </c>
      <c r="F149" s="285">
        <v>45793</v>
      </c>
      <c r="G149" s="79" t="s">
        <v>107</v>
      </c>
      <c r="H149" s="23" t="str">
        <f>IFERROR(_xlfn.XLOOKUP(Table5[[#This Row],[Affected WTG]],'Basic Data'!$A:$A,'Basic Data'!$B:$B),"")</f>
        <v>PWEPL</v>
      </c>
      <c r="I149" s="23" t="str">
        <f>IFERROR(_xlfn.XLOOKUP(Table5[[#This Row],[Affected WTG]],'Basic Data'!$A:$A,'Basic Data'!$C:$C),"")</f>
        <v>MSEDCL</v>
      </c>
      <c r="J149" s="286">
        <f>IFERROR(_xlfn.XLOOKUP(Table5[[#This Row],[Affected WTG]],'Basic Data'!$A:$A,'Basic Data'!$E:$E),"")</f>
        <v>2.2727272727272728E-2</v>
      </c>
      <c r="K149" s="79">
        <v>269</v>
      </c>
      <c r="L149" s="23" t="str">
        <f>IFERROR(_xlfn.XLOOKUP(Table5[[#This Row],[Error Code]],'Basic Data'!$W:$W,'Basic Data'!$X:$X),"Incorrect Error Code")</f>
        <v>Reboot PLC</v>
      </c>
      <c r="M149" s="23" t="s">
        <v>348</v>
      </c>
      <c r="N149" s="23"/>
      <c r="O149" s="287">
        <v>0.67361111111111116</v>
      </c>
      <c r="P149" s="287">
        <v>0.67361111111111116</v>
      </c>
      <c r="Q149" s="287">
        <v>0.68333333333333324</v>
      </c>
      <c r="R149" s="91">
        <f t="shared" si="4"/>
        <v>9.7222222222220767E-3</v>
      </c>
      <c r="S149" s="91">
        <f>(Table5[[#This Row],[Fault Clearance time]]-Table5[[#This Row],[Work Start TimeStamp]])*24</f>
        <v>0.23333333333332984</v>
      </c>
      <c r="T149" s="91">
        <f>(Table5[[#This Row],[Fault Clearance time]]-Table5[[#This Row],[Fault Start TimeStamp]])*24</f>
        <v>0.23333333333332984</v>
      </c>
      <c r="U149" s="23" t="s">
        <v>353</v>
      </c>
      <c r="V149" s="79" t="s">
        <v>339</v>
      </c>
      <c r="W149" s="289">
        <f>IFERROR(Table5[[#This Row],[Breakdown Time]]*Table5[[#This Row],[Plant Equivalent Weightage]],"")</f>
        <v>5.3030303030302236E-3</v>
      </c>
      <c r="X149" s="289" t="s">
        <v>343</v>
      </c>
      <c r="Y149" s="290" t="s">
        <v>80</v>
      </c>
      <c r="Z149" s="79"/>
      <c r="AA149" s="283">
        <v>33</v>
      </c>
      <c r="AB149" s="79"/>
      <c r="AC149" s="23"/>
      <c r="AD149" s="23"/>
    </row>
    <row r="150" spans="1:30">
      <c r="A150" s="79">
        <f t="shared" si="5"/>
        <v>149</v>
      </c>
      <c r="B150" s="283">
        <f>YEAR(Table5[[#This Row],[Date]])+IF(MONTH(Table5[[#This Row],[Date]])&gt;=4,1,0)</f>
        <v>2026</v>
      </c>
      <c r="C150" s="79">
        <f>YEAR(Table5[[#This Row],[Date]])</f>
        <v>2025</v>
      </c>
      <c r="D150" s="79" t="s">
        <v>344</v>
      </c>
      <c r="E150" s="284">
        <f>Table5[[#This Row],[Date]]-DAY(Table5[[#This Row],[Date]])+1</f>
        <v>45778</v>
      </c>
      <c r="F150" s="285">
        <v>45794</v>
      </c>
      <c r="G150" s="79" t="s">
        <v>90</v>
      </c>
      <c r="H150" s="23" t="str">
        <f>IFERROR(_xlfn.XLOOKUP(Table5[[#This Row],[Affected WTG]],'Basic Data'!$A:$A,'Basic Data'!$B:$B),"")</f>
        <v>PWEPL</v>
      </c>
      <c r="I150" s="23" t="str">
        <f>IFERROR(_xlfn.XLOOKUP(Table5[[#This Row],[Affected WTG]],'Basic Data'!$A:$A,'Basic Data'!$C:$C),"")</f>
        <v>MSEDCL</v>
      </c>
      <c r="J150" s="286">
        <f>IFERROR(_xlfn.XLOOKUP(Table5[[#This Row],[Affected WTG]],'Basic Data'!$A:$A,'Basic Data'!$E:$E),"")</f>
        <v>2.2727272727272728E-2</v>
      </c>
      <c r="K150" s="79">
        <v>86</v>
      </c>
      <c r="L150" s="23" t="str">
        <f>IFERROR(_xlfn.XLOOKUP(Table5[[#This Row],[Error Code]],'Basic Data'!$W:$W,'Basic Data'!$X:$X),"Incorrect Error Code")</f>
        <v>Braking pad of secondary brake worn out</v>
      </c>
      <c r="M150" s="23" t="s">
        <v>821</v>
      </c>
      <c r="N150" s="23"/>
      <c r="O150" s="287">
        <v>0.48958333333333331</v>
      </c>
      <c r="P150" s="287">
        <v>0.48958333333333331</v>
      </c>
      <c r="Q150" s="287">
        <v>0.68819444444444444</v>
      </c>
      <c r="R150" s="91">
        <f t="shared" si="4"/>
        <v>0.19861111111111113</v>
      </c>
      <c r="S150" s="91">
        <f>(Table5[[#This Row],[Fault Clearance time]]-Table5[[#This Row],[Work Start TimeStamp]])*24</f>
        <v>4.7666666666666675</v>
      </c>
      <c r="T150" s="91">
        <f>(Table5[[#This Row],[Fault Clearance time]]-Table5[[#This Row],[Fault Start TimeStamp]])*24</f>
        <v>4.7666666666666675</v>
      </c>
      <c r="U150" s="23" t="s">
        <v>822</v>
      </c>
      <c r="V150" s="79" t="s">
        <v>339</v>
      </c>
      <c r="W150" s="289">
        <f>IFERROR(Table5[[#This Row],[Breakdown Time]]*Table5[[#This Row],[Plant Equivalent Weightage]],"")</f>
        <v>0.10833333333333335</v>
      </c>
      <c r="X150" s="289" t="s">
        <v>343</v>
      </c>
      <c r="Y150" s="290" t="s">
        <v>91</v>
      </c>
      <c r="Z150" s="79"/>
      <c r="AA150" s="283">
        <v>949</v>
      </c>
      <c r="AB150" s="79"/>
      <c r="AC150" s="23"/>
      <c r="AD150" s="23"/>
    </row>
    <row r="151" spans="1:30">
      <c r="A151" s="79">
        <f t="shared" si="5"/>
        <v>150</v>
      </c>
      <c r="B151" s="283">
        <f>YEAR(Table5[[#This Row],[Date]])+IF(MONTH(Table5[[#This Row],[Date]])&gt;=4,1,0)</f>
        <v>2026</v>
      </c>
      <c r="C151" s="79">
        <f>YEAR(Table5[[#This Row],[Date]])</f>
        <v>2025</v>
      </c>
      <c r="D151" s="79" t="s">
        <v>344</v>
      </c>
      <c r="E151" s="284">
        <f>Table5[[#This Row],[Date]]-DAY(Table5[[#This Row],[Date]])+1</f>
        <v>45778</v>
      </c>
      <c r="F151" s="285">
        <v>45796</v>
      </c>
      <c r="G151" s="79" t="s">
        <v>100</v>
      </c>
      <c r="H151" s="23" t="str">
        <f>IFERROR(_xlfn.XLOOKUP(Table5[[#This Row],[Affected WTG]],'Basic Data'!$A:$A,'Basic Data'!$B:$B),"")</f>
        <v>PWEPL</v>
      </c>
      <c r="I151" s="23" t="str">
        <f>IFERROR(_xlfn.XLOOKUP(Table5[[#This Row],[Affected WTG]],'Basic Data'!$A:$A,'Basic Data'!$C:$C),"")</f>
        <v>MSEDCL</v>
      </c>
      <c r="J151" s="286">
        <f>IFERROR(_xlfn.XLOOKUP(Table5[[#This Row],[Affected WTG]],'Basic Data'!$A:$A,'Basic Data'!$E:$E),"")</f>
        <v>2.2727272727272728E-2</v>
      </c>
      <c r="K151" s="79">
        <v>3</v>
      </c>
      <c r="L151" s="23" t="str">
        <f>IFERROR(_xlfn.XLOOKUP(Table5[[#This Row],[Error Code]],'Basic Data'!$W:$W,'Basic Data'!$X:$X),"Incorrect Error Code")</f>
        <v>Manual Stop</v>
      </c>
      <c r="M151" s="23" t="s">
        <v>823</v>
      </c>
      <c r="N151" s="23"/>
      <c r="O151" s="287">
        <v>0.61111111111111105</v>
      </c>
      <c r="P151" s="287">
        <v>0.61111111111111105</v>
      </c>
      <c r="Q151" s="287">
        <v>0.76458333333333339</v>
      </c>
      <c r="R151" s="91">
        <f t="shared" si="4"/>
        <v>0.15347222222222234</v>
      </c>
      <c r="S151" s="91">
        <f>(Table5[[#This Row],[Fault Clearance time]]-Table5[[#This Row],[Work Start TimeStamp]])*24</f>
        <v>3.6833333333333362</v>
      </c>
      <c r="T151" s="91">
        <f>(Table5[[#This Row],[Fault Clearance time]]-Table5[[#This Row],[Fault Start TimeStamp]])*24</f>
        <v>3.6833333333333362</v>
      </c>
      <c r="U151" s="23" t="s">
        <v>824</v>
      </c>
      <c r="V151" s="79" t="s">
        <v>339</v>
      </c>
      <c r="W151" s="289">
        <f>IFERROR(Table5[[#This Row],[Breakdown Time]]*Table5[[#This Row],[Plant Equivalent Weightage]],"")</f>
        <v>8.3712121212121279E-2</v>
      </c>
      <c r="X151" s="289" t="s">
        <v>343</v>
      </c>
      <c r="Y151" s="290" t="s">
        <v>101</v>
      </c>
      <c r="Z151" s="79"/>
      <c r="AA151" s="283">
        <v>274</v>
      </c>
      <c r="AB151" s="79"/>
      <c r="AC151" s="23"/>
      <c r="AD151" s="23"/>
    </row>
    <row r="152" spans="1:30">
      <c r="A152" s="79">
        <f t="shared" si="5"/>
        <v>151</v>
      </c>
      <c r="B152" s="283">
        <f>YEAR(Table5[[#This Row],[Date]])+IF(MONTH(Table5[[#This Row],[Date]])&gt;=4,1,0)</f>
        <v>2026</v>
      </c>
      <c r="C152" s="79">
        <f>YEAR(Table5[[#This Row],[Date]])</f>
        <v>2025</v>
      </c>
      <c r="D152" s="79" t="s">
        <v>344</v>
      </c>
      <c r="E152" s="284">
        <f>Table5[[#This Row],[Date]]-DAY(Table5[[#This Row],[Date]])+1</f>
        <v>45778</v>
      </c>
      <c r="F152" s="285">
        <v>45797</v>
      </c>
      <c r="G152" s="79" t="s">
        <v>106</v>
      </c>
      <c r="H152" s="23" t="str">
        <f>IFERROR(_xlfn.XLOOKUP(Table5[[#This Row],[Affected WTG]],'Basic Data'!$A:$A,'Basic Data'!$B:$B),"")</f>
        <v>PWEPL</v>
      </c>
      <c r="I152" s="23" t="str">
        <f>IFERROR(_xlfn.XLOOKUP(Table5[[#This Row],[Affected WTG]],'Basic Data'!$A:$A,'Basic Data'!$C:$C),"")</f>
        <v>MSEDCL</v>
      </c>
      <c r="J152" s="286">
        <f>IFERROR(_xlfn.XLOOKUP(Table5[[#This Row],[Affected WTG]],'Basic Data'!$A:$A,'Basic Data'!$E:$E),"")</f>
        <v>2.2727272727272728E-2</v>
      </c>
      <c r="K152" s="79">
        <v>275</v>
      </c>
      <c r="L152" s="23" t="str">
        <f>IFERROR(_xlfn.XLOOKUP(Table5[[#This Row],[Error Code]],'Basic Data'!$W:$W,'Basic Data'!$X:$X),"Incorrect Error Code")</f>
        <v>Pitch thyristor 2 fault</v>
      </c>
      <c r="M152" s="23" t="s">
        <v>162</v>
      </c>
      <c r="N152" s="23"/>
      <c r="O152" s="287">
        <v>0.75347222222222221</v>
      </c>
      <c r="P152" s="287">
        <v>0.75347222222222221</v>
      </c>
      <c r="Q152" s="287">
        <v>0.84305555555555556</v>
      </c>
      <c r="R152" s="91">
        <f t="shared" si="4"/>
        <v>8.9583333333333348E-2</v>
      </c>
      <c r="S152" s="91">
        <f>(Table5[[#This Row],[Fault Clearance time]]-Table5[[#This Row],[Work Start TimeStamp]])*24</f>
        <v>2.1500000000000004</v>
      </c>
      <c r="T152" s="91">
        <f>(Table5[[#This Row],[Fault Clearance time]]-Table5[[#This Row],[Fault Start TimeStamp]])*24</f>
        <v>2.1500000000000004</v>
      </c>
      <c r="U152" s="23" t="s">
        <v>349</v>
      </c>
      <c r="V152" s="79" t="s">
        <v>339</v>
      </c>
      <c r="W152" s="289">
        <f>IFERROR(Table5[[#This Row],[Breakdown Time]]*Table5[[#This Row],[Plant Equivalent Weightage]],"")</f>
        <v>4.8863636363636373E-2</v>
      </c>
      <c r="X152" s="289" t="s">
        <v>343</v>
      </c>
      <c r="Y152" s="290" t="s">
        <v>92</v>
      </c>
      <c r="Z152" s="79"/>
      <c r="AA152" s="283">
        <v>2367</v>
      </c>
      <c r="AB152" s="79"/>
      <c r="AC152" s="23"/>
      <c r="AD152" s="23"/>
    </row>
    <row r="153" spans="1:30">
      <c r="A153" s="79">
        <f t="shared" si="5"/>
        <v>152</v>
      </c>
      <c r="B153" s="283">
        <f>YEAR(Table5[[#This Row],[Date]])+IF(MONTH(Table5[[#This Row],[Date]])&gt;=4,1,0)</f>
        <v>2026</v>
      </c>
      <c r="C153" s="79">
        <f>YEAR(Table5[[#This Row],[Date]])</f>
        <v>2025</v>
      </c>
      <c r="D153" s="79" t="s">
        <v>344</v>
      </c>
      <c r="E153" s="284">
        <f>Table5[[#This Row],[Date]]-DAY(Table5[[#This Row],[Date]])+1</f>
        <v>45778</v>
      </c>
      <c r="F153" s="285">
        <v>45800</v>
      </c>
      <c r="G153" s="79" t="s">
        <v>114</v>
      </c>
      <c r="H153" s="23" t="str">
        <f>IFERROR(_xlfn.XLOOKUP(Table5[[#This Row],[Affected WTG]],'Basic Data'!$A:$A,'Basic Data'!$B:$B),"")</f>
        <v>PWEPL</v>
      </c>
      <c r="I153" s="23" t="str">
        <f>IFERROR(_xlfn.XLOOKUP(Table5[[#This Row],[Affected WTG]],'Basic Data'!$A:$A,'Basic Data'!$C:$C),"")</f>
        <v>MSEDCL</v>
      </c>
      <c r="J153" s="286">
        <f>IFERROR(_xlfn.XLOOKUP(Table5[[#This Row],[Affected WTG]],'Basic Data'!$A:$A,'Basic Data'!$E:$E),"")</f>
        <v>2.2727272727272728E-2</v>
      </c>
      <c r="K153" s="79">
        <v>3</v>
      </c>
      <c r="L153" s="23" t="str">
        <f>IFERROR(_xlfn.XLOOKUP(Table5[[#This Row],[Error Code]],'Basic Data'!$W:$W,'Basic Data'!$X:$X),"Incorrect Error Code")</f>
        <v>Manual Stop</v>
      </c>
      <c r="M153" s="23" t="s">
        <v>831</v>
      </c>
      <c r="N153" s="23"/>
      <c r="O153" s="287">
        <v>0.56666666666666665</v>
      </c>
      <c r="P153" s="287">
        <v>0.56666666666666665</v>
      </c>
      <c r="Q153" s="287">
        <v>0.65763888888888888</v>
      </c>
      <c r="R153" s="91">
        <f t="shared" si="4"/>
        <v>9.0972222222222232E-2</v>
      </c>
      <c r="S153" s="91">
        <f>(Table5[[#This Row],[Fault Clearance time]]-Table5[[#This Row],[Work Start TimeStamp]])*24</f>
        <v>2.1833333333333336</v>
      </c>
      <c r="T153" s="91">
        <f>(Table5[[#This Row],[Fault Clearance time]]-Table5[[#This Row],[Fault Start TimeStamp]])*24</f>
        <v>2.1833333333333336</v>
      </c>
      <c r="U153" s="23" t="s">
        <v>833</v>
      </c>
      <c r="V153" s="79" t="s">
        <v>339</v>
      </c>
      <c r="W153" s="289">
        <f>IFERROR(Table5[[#This Row],[Breakdown Time]]*Table5[[#This Row],[Plant Equivalent Weightage]],"")</f>
        <v>4.9621212121212128E-2</v>
      </c>
      <c r="X153" s="289" t="s">
        <v>394</v>
      </c>
      <c r="Y153" s="290" t="s">
        <v>113</v>
      </c>
      <c r="Z153" s="79"/>
      <c r="AA153" s="283">
        <v>227</v>
      </c>
      <c r="AB153" s="79"/>
      <c r="AC153" s="23"/>
      <c r="AD153" s="23"/>
    </row>
    <row r="154" spans="1:30">
      <c r="A154" s="79">
        <f t="shared" si="5"/>
        <v>153</v>
      </c>
      <c r="B154" s="283">
        <f>YEAR(Table5[[#This Row],[Date]])+IF(MONTH(Table5[[#This Row],[Date]])&gt;=4,1,0)</f>
        <v>2026</v>
      </c>
      <c r="C154" s="79">
        <f>YEAR(Table5[[#This Row],[Date]])</f>
        <v>2025</v>
      </c>
      <c r="D154" s="79" t="s">
        <v>344</v>
      </c>
      <c r="E154" s="284">
        <f>Table5[[#This Row],[Date]]-DAY(Table5[[#This Row],[Date]])+1</f>
        <v>45778</v>
      </c>
      <c r="F154" s="285">
        <v>45800</v>
      </c>
      <c r="G154" s="79" t="s">
        <v>104</v>
      </c>
      <c r="H154" s="23" t="str">
        <f>IFERROR(_xlfn.XLOOKUP(Table5[[#This Row],[Affected WTG]],'Basic Data'!$A:$A,'Basic Data'!$B:$B),"")</f>
        <v>PWEPL</v>
      </c>
      <c r="I154" s="23" t="str">
        <f>IFERROR(_xlfn.XLOOKUP(Table5[[#This Row],[Affected WTG]],'Basic Data'!$A:$A,'Basic Data'!$C:$C),"")</f>
        <v>MSEDCL</v>
      </c>
      <c r="J154" s="286">
        <f>IFERROR(_xlfn.XLOOKUP(Table5[[#This Row],[Affected WTG]],'Basic Data'!$A:$A,'Basic Data'!$E:$E),"")</f>
        <v>2.2727272727272728E-2</v>
      </c>
      <c r="K154" s="79">
        <v>3</v>
      </c>
      <c r="L154" s="23" t="str">
        <f>IFERROR(_xlfn.XLOOKUP(Table5[[#This Row],[Error Code]],'Basic Data'!$W:$W,'Basic Data'!$X:$X),"Incorrect Error Code")</f>
        <v>Manual Stop</v>
      </c>
      <c r="M154" s="23" t="s">
        <v>831</v>
      </c>
      <c r="N154" s="23"/>
      <c r="O154" s="287">
        <v>0.50069444444444444</v>
      </c>
      <c r="P154" s="287">
        <v>0.50069444444444444</v>
      </c>
      <c r="Q154" s="287">
        <v>0.56805555555555554</v>
      </c>
      <c r="R154" s="91">
        <f t="shared" si="4"/>
        <v>6.7361111111111094E-2</v>
      </c>
      <c r="S154" s="91">
        <f>(Table5[[#This Row],[Fault Clearance time]]-Table5[[#This Row],[Work Start TimeStamp]])*24</f>
        <v>1.6166666666666663</v>
      </c>
      <c r="T154" s="91">
        <f>(Table5[[#This Row],[Fault Clearance time]]-Table5[[#This Row],[Fault Start TimeStamp]])*24</f>
        <v>1.6166666666666663</v>
      </c>
      <c r="U154" s="23" t="s">
        <v>833</v>
      </c>
      <c r="V154" s="79" t="s">
        <v>339</v>
      </c>
      <c r="W154" s="289">
        <f>IFERROR(Table5[[#This Row],[Breakdown Time]]*Table5[[#This Row],[Plant Equivalent Weightage]],"")</f>
        <v>3.6742424242424236E-2</v>
      </c>
      <c r="X154" s="289" t="s">
        <v>394</v>
      </c>
      <c r="Y154" s="290" t="s">
        <v>79</v>
      </c>
      <c r="Z154" s="79"/>
      <c r="AA154" s="283">
        <v>307</v>
      </c>
      <c r="AB154" s="79"/>
      <c r="AC154" s="23"/>
      <c r="AD154" s="23"/>
    </row>
    <row r="155" spans="1:30">
      <c r="A155" s="79">
        <f t="shared" si="5"/>
        <v>154</v>
      </c>
      <c r="B155" s="283">
        <f>YEAR(Table5[[#This Row],[Date]])+IF(MONTH(Table5[[#This Row],[Date]])&gt;=4,1,0)</f>
        <v>2026</v>
      </c>
      <c r="C155" s="79">
        <f>YEAR(Table5[[#This Row],[Date]])</f>
        <v>2025</v>
      </c>
      <c r="D155" s="79" t="s">
        <v>344</v>
      </c>
      <c r="E155" s="284">
        <f>Table5[[#This Row],[Date]]-DAY(Table5[[#This Row],[Date]])+1</f>
        <v>45778</v>
      </c>
      <c r="F155" s="285">
        <v>45800</v>
      </c>
      <c r="G155" s="79" t="s">
        <v>90</v>
      </c>
      <c r="H155" s="23" t="str">
        <f>IFERROR(_xlfn.XLOOKUP(Table5[[#This Row],[Affected WTG]],'Basic Data'!$A:$A,'Basic Data'!$B:$B),"")</f>
        <v>PWEPL</v>
      </c>
      <c r="I155" s="23" t="str">
        <f>IFERROR(_xlfn.XLOOKUP(Table5[[#This Row],[Affected WTG]],'Basic Data'!$A:$A,'Basic Data'!$C:$C),"")</f>
        <v>MSEDCL</v>
      </c>
      <c r="J155" s="286">
        <f>IFERROR(_xlfn.XLOOKUP(Table5[[#This Row],[Affected WTG]],'Basic Data'!$A:$A,'Basic Data'!$E:$E),"")</f>
        <v>2.2727272727272728E-2</v>
      </c>
      <c r="K155" s="79">
        <v>41</v>
      </c>
      <c r="L155" s="23" t="str">
        <f>IFERROR(_xlfn.XLOOKUP(Table5[[#This Row],[Error Code]],'Basic Data'!$W:$W,'Basic Data'!$X:$X),"Incorrect Error Code")</f>
        <v>Vibrations sensor Defect</v>
      </c>
      <c r="M155" s="23" t="s">
        <v>832</v>
      </c>
      <c r="N155" s="23"/>
      <c r="O155" s="287">
        <v>0.97777777777777775</v>
      </c>
      <c r="P155" s="287">
        <v>0.97777777777777775</v>
      </c>
      <c r="Q155" s="287">
        <v>0.99930555555555556</v>
      </c>
      <c r="R155" s="91">
        <f t="shared" si="4"/>
        <v>2.1527777777777812E-2</v>
      </c>
      <c r="S155" s="91">
        <f>(Table5[[#This Row],[Fault Clearance time]]-Table5[[#This Row],[Work Start TimeStamp]])*24</f>
        <v>0.5166666666666675</v>
      </c>
      <c r="T155" s="91">
        <f>(Table5[[#This Row],[Fault Clearance time]]-Table5[[#This Row],[Fault Start TimeStamp]])*24</f>
        <v>0.5166666666666675</v>
      </c>
      <c r="U155" s="23" t="s">
        <v>349</v>
      </c>
      <c r="V155" s="79" t="s">
        <v>339</v>
      </c>
      <c r="W155" s="289">
        <f>IFERROR(Table5[[#This Row],[Breakdown Time]]*Table5[[#This Row],[Plant Equivalent Weightage]],"")</f>
        <v>1.1742424242424261E-2</v>
      </c>
      <c r="X155" s="289" t="s">
        <v>343</v>
      </c>
      <c r="Y155" s="290" t="s">
        <v>89</v>
      </c>
      <c r="Z155" s="79"/>
      <c r="AA155" s="283">
        <v>48</v>
      </c>
      <c r="AB155" s="79"/>
      <c r="AC155" s="23"/>
      <c r="AD155" s="23"/>
    </row>
    <row r="156" spans="1:30">
      <c r="A156" s="79">
        <f t="shared" si="5"/>
        <v>155</v>
      </c>
      <c r="B156" s="283">
        <f>YEAR(Table5[[#This Row],[Date]])+IF(MONTH(Table5[[#This Row],[Date]])&gt;=4,1,0)</f>
        <v>2026</v>
      </c>
      <c r="C156" s="79">
        <f>YEAR(Table5[[#This Row],[Date]])</f>
        <v>2025</v>
      </c>
      <c r="D156" s="79" t="s">
        <v>344</v>
      </c>
      <c r="E156" s="284">
        <f>Table5[[#This Row],[Date]]-DAY(Table5[[#This Row],[Date]])+1</f>
        <v>45778</v>
      </c>
      <c r="F156" s="285">
        <v>45800</v>
      </c>
      <c r="G156" s="79" t="s">
        <v>119</v>
      </c>
      <c r="H156" s="23" t="str">
        <f>IFERROR(_xlfn.XLOOKUP(Table5[[#This Row],[Affected WTG]],'Basic Data'!$A:$A,'Basic Data'!$B:$B),"")</f>
        <v>PWEPL</v>
      </c>
      <c r="I156" s="23" t="str">
        <f>IFERROR(_xlfn.XLOOKUP(Table5[[#This Row],[Affected WTG]],'Basic Data'!$A:$A,'Basic Data'!$C:$C),"")</f>
        <v>MSEDCL</v>
      </c>
      <c r="J156" s="286">
        <f>IFERROR(_xlfn.XLOOKUP(Table5[[#This Row],[Affected WTG]],'Basic Data'!$A:$A,'Basic Data'!$E:$E),"")</f>
        <v>2.2727272727272728E-2</v>
      </c>
      <c r="K156" s="79">
        <v>275</v>
      </c>
      <c r="L156" s="23" t="str">
        <f>IFERROR(_xlfn.XLOOKUP(Table5[[#This Row],[Error Code]],'Basic Data'!$W:$W,'Basic Data'!$X:$X),"Incorrect Error Code")</f>
        <v>Pitch thyristor 2 fault</v>
      </c>
      <c r="M156" s="23" t="s">
        <v>162</v>
      </c>
      <c r="N156" s="23"/>
      <c r="O156" s="287">
        <v>0.62083333333333335</v>
      </c>
      <c r="P156" s="287">
        <v>0.62083333333333335</v>
      </c>
      <c r="Q156" s="287">
        <v>0.62638888888888888</v>
      </c>
      <c r="R156" s="91">
        <f t="shared" si="4"/>
        <v>5.5555555555555358E-3</v>
      </c>
      <c r="S156" s="91">
        <f>(Table5[[#This Row],[Fault Clearance time]]-Table5[[#This Row],[Work Start TimeStamp]])*24</f>
        <v>0.13333333333333286</v>
      </c>
      <c r="T156" s="91">
        <f>(Table5[[#This Row],[Fault Clearance time]]-Table5[[#This Row],[Fault Start TimeStamp]])*24</f>
        <v>0.13333333333333286</v>
      </c>
      <c r="U156" s="23" t="s">
        <v>353</v>
      </c>
      <c r="V156" s="79" t="s">
        <v>339</v>
      </c>
      <c r="W156" s="289">
        <f>IFERROR(Table5[[#This Row],[Breakdown Time]]*Table5[[#This Row],[Plant Equivalent Weightage]],"")</f>
        <v>3.0303030303030195E-3</v>
      </c>
      <c r="X156" s="289" t="s">
        <v>343</v>
      </c>
      <c r="Y156" s="290" t="s">
        <v>118</v>
      </c>
      <c r="Z156" s="79"/>
      <c r="AA156" s="283">
        <v>0</v>
      </c>
      <c r="AB156" s="79"/>
      <c r="AC156" s="23"/>
      <c r="AD156" s="23"/>
    </row>
    <row r="157" spans="1:30">
      <c r="A157" s="79">
        <f t="shared" si="5"/>
        <v>156</v>
      </c>
      <c r="B157" s="283">
        <f>YEAR(Table5[[#This Row],[Date]])+IF(MONTH(Table5[[#This Row],[Date]])&gt;=4,1,0)</f>
        <v>2026</v>
      </c>
      <c r="C157" s="79">
        <f>YEAR(Table5[[#This Row],[Date]])</f>
        <v>2025</v>
      </c>
      <c r="D157" s="79" t="s">
        <v>344</v>
      </c>
      <c r="E157" s="284">
        <f>Table5[[#This Row],[Date]]-DAY(Table5[[#This Row],[Date]])+1</f>
        <v>45778</v>
      </c>
      <c r="F157" s="285">
        <v>45801</v>
      </c>
      <c r="G157" s="79" t="s">
        <v>89</v>
      </c>
      <c r="H157" s="23" t="str">
        <f>IFERROR(_xlfn.XLOOKUP(Table5[[#This Row],[Affected WTG]],'Basic Data'!$A:$A,'Basic Data'!$B:$B),"")</f>
        <v>PWEPL</v>
      </c>
      <c r="I157" s="23" t="str">
        <f>IFERROR(_xlfn.XLOOKUP(Table5[[#This Row],[Affected WTG]],'Basic Data'!$A:$A,'Basic Data'!$C:$C),"")</f>
        <v>MSEDCL</v>
      </c>
      <c r="J157" s="286">
        <f>IFERROR(_xlfn.XLOOKUP(Table5[[#This Row],[Affected WTG]],'Basic Data'!$A:$A,'Basic Data'!$E:$E),"")</f>
        <v>2.2727272727272728E-2</v>
      </c>
      <c r="K157" s="79">
        <v>60</v>
      </c>
      <c r="L157" s="23" t="str">
        <f>IFERROR(_xlfn.XLOOKUP(Table5[[#This Row],[Error Code]],'Basic Data'!$W:$W,'Basic Data'!$X:$X),"Incorrect Error Code")</f>
        <v>Yaw limit switch activated</v>
      </c>
      <c r="M157" s="23" t="s">
        <v>357</v>
      </c>
      <c r="N157" s="23"/>
      <c r="O157" s="287">
        <v>0.52708333333333335</v>
      </c>
      <c r="P157" s="287">
        <v>0.52708333333333335</v>
      </c>
      <c r="Q157" s="287">
        <v>0.66111111111111109</v>
      </c>
      <c r="R157" s="91">
        <f t="shared" si="4"/>
        <v>0.13402777777777775</v>
      </c>
      <c r="S157" s="91">
        <f>(Table5[[#This Row],[Fault Clearance time]]-Table5[[#This Row],[Work Start TimeStamp]])*24</f>
        <v>3.2166666666666659</v>
      </c>
      <c r="T157" s="91">
        <f>(Table5[[#This Row],[Fault Clearance time]]-Table5[[#This Row],[Fault Start TimeStamp]])*24</f>
        <v>3.2166666666666659</v>
      </c>
      <c r="U157" s="23" t="s">
        <v>358</v>
      </c>
      <c r="V157" s="79" t="s">
        <v>339</v>
      </c>
      <c r="W157" s="289">
        <f>IFERROR(Table5[[#This Row],[Breakdown Time]]*Table5[[#This Row],[Plant Equivalent Weightage]],"")</f>
        <v>7.3106060606060591E-2</v>
      </c>
      <c r="X157" s="289" t="s">
        <v>343</v>
      </c>
      <c r="Y157" s="290" t="s">
        <v>88</v>
      </c>
      <c r="Z157" s="79"/>
      <c r="AA157" s="283">
        <v>0</v>
      </c>
      <c r="AB157" s="79"/>
      <c r="AC157" s="23"/>
      <c r="AD157" s="23"/>
    </row>
    <row r="158" spans="1:30">
      <c r="A158" s="79">
        <f t="shared" si="5"/>
        <v>157</v>
      </c>
      <c r="B158" s="283">
        <f>YEAR(Table5[[#This Row],[Date]])+IF(MONTH(Table5[[#This Row],[Date]])&gt;=4,1,0)</f>
        <v>2026</v>
      </c>
      <c r="C158" s="79">
        <f>YEAR(Table5[[#This Row],[Date]])</f>
        <v>2025</v>
      </c>
      <c r="D158" s="79" t="s">
        <v>344</v>
      </c>
      <c r="E158" s="284">
        <f>Table5[[#This Row],[Date]]-DAY(Table5[[#This Row],[Date]])+1</f>
        <v>45778</v>
      </c>
      <c r="F158" s="285">
        <v>45801</v>
      </c>
      <c r="G158" s="79" t="s">
        <v>94</v>
      </c>
      <c r="H158" s="23" t="str">
        <f>IFERROR(_xlfn.XLOOKUP(Table5[[#This Row],[Affected WTG]],'Basic Data'!$A:$A,'Basic Data'!$B:$B),"")</f>
        <v>PWEPL</v>
      </c>
      <c r="I158" s="23" t="str">
        <f>IFERROR(_xlfn.XLOOKUP(Table5[[#This Row],[Affected WTG]],'Basic Data'!$A:$A,'Basic Data'!$C:$C),"")</f>
        <v>MSEDCL</v>
      </c>
      <c r="J158" s="286">
        <f>IFERROR(_xlfn.XLOOKUP(Table5[[#This Row],[Affected WTG]],'Basic Data'!$A:$A,'Basic Data'!$E:$E),"")</f>
        <v>2.2727272727272728E-2</v>
      </c>
      <c r="K158" s="79">
        <v>102</v>
      </c>
      <c r="L158" s="23" t="str">
        <f>IFERROR(_xlfn.XLOOKUP(Table5[[#This Row],[Error Code]],'Basic Data'!$W:$W,'Basic Data'!$X:$X),"Incorrect Error Code")</f>
        <v>DTA DIN03 control breaker status</v>
      </c>
      <c r="M158" s="23" t="s">
        <v>863</v>
      </c>
      <c r="N158" s="23"/>
      <c r="O158" s="287">
        <v>0.5805555555555556</v>
      </c>
      <c r="P158" s="287">
        <v>0.5805555555555556</v>
      </c>
      <c r="Q158" s="287">
        <v>0.65833333333333333</v>
      </c>
      <c r="R158" s="91">
        <f t="shared" si="4"/>
        <v>7.7777777777777724E-2</v>
      </c>
      <c r="S158" s="91">
        <f>(Table5[[#This Row],[Fault Clearance time]]-Table5[[#This Row],[Work Start TimeStamp]])*24</f>
        <v>1.8666666666666654</v>
      </c>
      <c r="T158" s="91">
        <f>(Table5[[#This Row],[Fault Clearance time]]-Table5[[#This Row],[Fault Start TimeStamp]])*24</f>
        <v>1.8666666666666654</v>
      </c>
      <c r="U158" s="23" t="s">
        <v>368</v>
      </c>
      <c r="V158" s="79" t="s">
        <v>339</v>
      </c>
      <c r="W158" s="289">
        <f>IFERROR(Table5[[#This Row],[Breakdown Time]]*Table5[[#This Row],[Plant Equivalent Weightage]],"")</f>
        <v>4.2424242424242399E-2</v>
      </c>
      <c r="X158" s="289" t="s">
        <v>343</v>
      </c>
      <c r="Y158" s="290" t="s">
        <v>95</v>
      </c>
      <c r="Z158" s="79"/>
      <c r="AA158" s="283">
        <v>179</v>
      </c>
      <c r="AB158" s="79"/>
      <c r="AC158" s="23"/>
      <c r="AD158" s="23"/>
    </row>
    <row r="159" spans="1:30">
      <c r="A159" s="79">
        <f t="shared" si="5"/>
        <v>158</v>
      </c>
      <c r="B159" s="283">
        <f>YEAR(Table5[[#This Row],[Date]])+IF(MONTH(Table5[[#This Row],[Date]])&gt;=4,1,0)</f>
        <v>2026</v>
      </c>
      <c r="C159" s="79">
        <f>YEAR(Table5[[#This Row],[Date]])</f>
        <v>2025</v>
      </c>
      <c r="D159" s="79" t="s">
        <v>344</v>
      </c>
      <c r="E159" s="284">
        <f>Table5[[#This Row],[Date]]-DAY(Table5[[#This Row],[Date]])+1</f>
        <v>45778</v>
      </c>
      <c r="F159" s="285">
        <v>45802</v>
      </c>
      <c r="G159" s="79" t="s">
        <v>88</v>
      </c>
      <c r="H159" s="23" t="str">
        <f>IFERROR(_xlfn.XLOOKUP(Table5[[#This Row],[Affected WTG]],'Basic Data'!$A:$A,'Basic Data'!$B:$B),"")</f>
        <v>PWEPL</v>
      </c>
      <c r="I159" s="23" t="str">
        <f>IFERROR(_xlfn.XLOOKUP(Table5[[#This Row],[Affected WTG]],'Basic Data'!$A:$A,'Basic Data'!$C:$C),"")</f>
        <v>MSEDCL</v>
      </c>
      <c r="J159" s="286">
        <f>IFERROR(_xlfn.XLOOKUP(Table5[[#This Row],[Affected WTG]],'Basic Data'!$A:$A,'Basic Data'!$E:$E),"")</f>
        <v>2.2727272727272728E-2</v>
      </c>
      <c r="K159" s="79">
        <v>54</v>
      </c>
      <c r="L159" s="23" t="str">
        <f>IFERROR(_xlfn.XLOOKUP(Table5[[#This Row],[Error Code]],'Basic Data'!$W:$W,'Basic Data'!$X:$X),"Incorrect Error Code")</f>
        <v>Anemometer defec</v>
      </c>
      <c r="M159" s="23" t="s">
        <v>864</v>
      </c>
      <c r="N159" s="23"/>
      <c r="O159" s="287">
        <v>0.4201388888888889</v>
      </c>
      <c r="P159" s="287">
        <v>0.4201388888888889</v>
      </c>
      <c r="Q159" s="287">
        <v>0.82986111111111116</v>
      </c>
      <c r="R159" s="91">
        <f t="shared" si="4"/>
        <v>0.40972222222222227</v>
      </c>
      <c r="S159" s="91">
        <f>(Table5[[#This Row],[Fault Clearance time]]-Table5[[#This Row],[Work Start TimeStamp]])*24</f>
        <v>9.8333333333333339</v>
      </c>
      <c r="T159" s="91">
        <f>(Table5[[#This Row],[Fault Clearance time]]-Table5[[#This Row],[Fault Start TimeStamp]])*24</f>
        <v>9.8333333333333339</v>
      </c>
      <c r="U159" s="23" t="s">
        <v>866</v>
      </c>
      <c r="V159" s="79" t="s">
        <v>339</v>
      </c>
      <c r="W159" s="289">
        <f>IFERROR(Table5[[#This Row],[Breakdown Time]]*Table5[[#This Row],[Plant Equivalent Weightage]],"")</f>
        <v>0.22348484848484851</v>
      </c>
      <c r="X159" s="289" t="s">
        <v>343</v>
      </c>
      <c r="Y159" s="290" t="s">
        <v>87</v>
      </c>
      <c r="Z159" s="79"/>
      <c r="AA159" s="283">
        <v>3776</v>
      </c>
      <c r="AB159" s="79"/>
      <c r="AC159" s="23"/>
      <c r="AD159" s="23"/>
    </row>
    <row r="160" spans="1:30">
      <c r="A160" s="79">
        <f t="shared" si="5"/>
        <v>159</v>
      </c>
      <c r="B160" s="283">
        <f>YEAR(Table5[[#This Row],[Date]])+IF(MONTH(Table5[[#This Row],[Date]])&gt;=4,1,0)</f>
        <v>2026</v>
      </c>
      <c r="C160" s="79">
        <f>YEAR(Table5[[#This Row],[Date]])</f>
        <v>2025</v>
      </c>
      <c r="D160" s="79" t="s">
        <v>344</v>
      </c>
      <c r="E160" s="284">
        <f>Table5[[#This Row],[Date]]-DAY(Table5[[#This Row],[Date]])+1</f>
        <v>45778</v>
      </c>
      <c r="F160" s="285">
        <v>45803</v>
      </c>
      <c r="G160" s="79" t="s">
        <v>102</v>
      </c>
      <c r="H160" s="23" t="str">
        <f>IFERROR(_xlfn.XLOOKUP(Table5[[#This Row],[Affected WTG]],'Basic Data'!$A:$A,'Basic Data'!$B:$B),"")</f>
        <v>PWEPL</v>
      </c>
      <c r="I160" s="23" t="str">
        <f>IFERROR(_xlfn.XLOOKUP(Table5[[#This Row],[Affected WTG]],'Basic Data'!$A:$A,'Basic Data'!$C:$C),"")</f>
        <v>MSEDCL</v>
      </c>
      <c r="J160" s="286">
        <f>IFERROR(_xlfn.XLOOKUP(Table5[[#This Row],[Affected WTG]],'Basic Data'!$A:$A,'Basic Data'!$E:$E),"")</f>
        <v>2.2727272727272728E-2</v>
      </c>
      <c r="K160" s="79">
        <v>269</v>
      </c>
      <c r="L160" s="23" t="str">
        <f>IFERROR(_xlfn.XLOOKUP(Table5[[#This Row],[Error Code]],'Basic Data'!$W:$W,'Basic Data'!$X:$X),"Incorrect Error Code")</f>
        <v>Reboot PLC</v>
      </c>
      <c r="M160" s="23" t="s">
        <v>348</v>
      </c>
      <c r="N160" s="23"/>
      <c r="O160" s="287">
        <v>0.27569444444444446</v>
      </c>
      <c r="P160" s="287">
        <v>0.27569444444444446</v>
      </c>
      <c r="Q160" s="287">
        <v>0.38819444444444445</v>
      </c>
      <c r="R160" s="91">
        <f t="shared" si="4"/>
        <v>0.11249999999999999</v>
      </c>
      <c r="S160" s="91">
        <f>(Table5[[#This Row],[Fault Clearance time]]-Table5[[#This Row],[Work Start TimeStamp]])*24</f>
        <v>2.6999999999999997</v>
      </c>
      <c r="T160" s="91">
        <f>(Table5[[#This Row],[Fault Clearance time]]-Table5[[#This Row],[Fault Start TimeStamp]])*24</f>
        <v>2.6999999999999997</v>
      </c>
      <c r="U160" s="23" t="s">
        <v>349</v>
      </c>
      <c r="V160" s="79" t="s">
        <v>339</v>
      </c>
      <c r="W160" s="289">
        <f>IFERROR(Table5[[#This Row],[Breakdown Time]]*Table5[[#This Row],[Plant Equivalent Weightage]],"")</f>
        <v>6.1363636363636356E-2</v>
      </c>
      <c r="X160" s="289" t="s">
        <v>343</v>
      </c>
      <c r="Y160" s="290" t="s">
        <v>78</v>
      </c>
      <c r="Z160" s="79"/>
      <c r="AA160" s="283">
        <v>2018</v>
      </c>
      <c r="AB160" s="79"/>
      <c r="AC160" s="23"/>
      <c r="AD160" s="23"/>
    </row>
    <row r="161" spans="1:30">
      <c r="A161" s="79">
        <f t="shared" si="5"/>
        <v>160</v>
      </c>
      <c r="B161" s="283">
        <f>YEAR(Table5[[#This Row],[Date]])+IF(MONTH(Table5[[#This Row],[Date]])&gt;=4,1,0)</f>
        <v>2026</v>
      </c>
      <c r="C161" s="79">
        <f>YEAR(Table5[[#This Row],[Date]])</f>
        <v>2025</v>
      </c>
      <c r="D161" s="79" t="s">
        <v>344</v>
      </c>
      <c r="E161" s="284">
        <f>Table5[[#This Row],[Date]]-DAY(Table5[[#This Row],[Date]])+1</f>
        <v>45778</v>
      </c>
      <c r="F161" s="285">
        <v>45803</v>
      </c>
      <c r="G161" s="79" t="s">
        <v>117</v>
      </c>
      <c r="H161" s="23" t="str">
        <f>IFERROR(_xlfn.XLOOKUP(Table5[[#This Row],[Affected WTG]],'Basic Data'!$A:$A,'Basic Data'!$B:$B),"")</f>
        <v>PWEPL</v>
      </c>
      <c r="I161" s="23" t="str">
        <f>IFERROR(_xlfn.XLOOKUP(Table5[[#This Row],[Affected WTG]],'Basic Data'!$A:$A,'Basic Data'!$C:$C),"")</f>
        <v>MSEDCL</v>
      </c>
      <c r="J161" s="286">
        <f>IFERROR(_xlfn.XLOOKUP(Table5[[#This Row],[Affected WTG]],'Basic Data'!$A:$A,'Basic Data'!$E:$E),"")</f>
        <v>2.2727272727272728E-2</v>
      </c>
      <c r="K161" s="79">
        <v>141</v>
      </c>
      <c r="L161" s="23" t="str">
        <f>IFERROR(_xlfn.XLOOKUP(Table5[[#This Row],[Error Code]],'Basic Data'!$W:$W,'Basic Data'!$X:$X),"Incorrect Error Code")</f>
        <v>Rotor CCU collective faults</v>
      </c>
      <c r="M161" s="23" t="s">
        <v>592</v>
      </c>
      <c r="N161" s="23"/>
      <c r="O161" s="287">
        <v>0.27569444444444446</v>
      </c>
      <c r="P161" s="287">
        <v>0.27569444444444446</v>
      </c>
      <c r="Q161" s="287">
        <v>0.36458333333333331</v>
      </c>
      <c r="R161" s="91">
        <f t="shared" si="4"/>
        <v>8.8888888888888851E-2</v>
      </c>
      <c r="S161" s="91">
        <f>(Table5[[#This Row],[Fault Clearance time]]-Table5[[#This Row],[Work Start TimeStamp]])*24</f>
        <v>2.1333333333333324</v>
      </c>
      <c r="T161" s="91">
        <f>(Table5[[#This Row],[Fault Clearance time]]-Table5[[#This Row],[Fault Start TimeStamp]])*24</f>
        <v>2.1333333333333324</v>
      </c>
      <c r="U161" s="23" t="s">
        <v>349</v>
      </c>
      <c r="V161" s="79" t="s">
        <v>339</v>
      </c>
      <c r="W161" s="289">
        <f>IFERROR(Table5[[#This Row],[Breakdown Time]]*Table5[[#This Row],[Plant Equivalent Weightage]],"")</f>
        <v>4.8484848484848464E-2</v>
      </c>
      <c r="X161" s="289" t="s">
        <v>343</v>
      </c>
      <c r="Y161" s="290" t="s">
        <v>116</v>
      </c>
      <c r="Z161" s="79"/>
      <c r="AA161" s="283">
        <v>1861</v>
      </c>
      <c r="AB161" s="79"/>
      <c r="AC161" s="23"/>
      <c r="AD161" s="23"/>
    </row>
    <row r="162" spans="1:30">
      <c r="A162" s="79">
        <f t="shared" si="5"/>
        <v>161</v>
      </c>
      <c r="B162" s="283">
        <f>YEAR(Table5[[#This Row],[Date]])+IF(MONTH(Table5[[#This Row],[Date]])&gt;=4,1,0)</f>
        <v>2026</v>
      </c>
      <c r="C162" s="79">
        <f>YEAR(Table5[[#This Row],[Date]])</f>
        <v>2025</v>
      </c>
      <c r="D162" s="79" t="s">
        <v>344</v>
      </c>
      <c r="E162" s="284">
        <f>Table5[[#This Row],[Date]]-DAY(Table5[[#This Row],[Date]])+1</f>
        <v>45778</v>
      </c>
      <c r="F162" s="285">
        <v>45803</v>
      </c>
      <c r="G162" s="79" t="s">
        <v>119</v>
      </c>
      <c r="H162" s="23" t="str">
        <f>IFERROR(_xlfn.XLOOKUP(Table5[[#This Row],[Affected WTG]],'Basic Data'!$A:$A,'Basic Data'!$B:$B),"")</f>
        <v>PWEPL</v>
      </c>
      <c r="I162" s="23" t="str">
        <f>IFERROR(_xlfn.XLOOKUP(Table5[[#This Row],[Affected WTG]],'Basic Data'!$A:$A,'Basic Data'!$C:$C),"")</f>
        <v>MSEDCL</v>
      </c>
      <c r="J162" s="286">
        <f>IFERROR(_xlfn.XLOOKUP(Table5[[#This Row],[Affected WTG]],'Basic Data'!$A:$A,'Basic Data'!$E:$E),"")</f>
        <v>2.2727272727272728E-2</v>
      </c>
      <c r="K162" s="79">
        <v>142</v>
      </c>
      <c r="L162" s="23" t="str">
        <f>IFERROR(_xlfn.XLOOKUP(Table5[[#This Row],[Error Code]],'Basic Data'!$W:$W,'Basic Data'!$X:$X),"Incorrect Error Code")</f>
        <v>Line CCU collective faults</v>
      </c>
      <c r="M162" s="23" t="s">
        <v>149</v>
      </c>
      <c r="N162" s="23"/>
      <c r="O162" s="287">
        <v>0.79861111111111116</v>
      </c>
      <c r="P162" s="287">
        <v>0.79861111111111116</v>
      </c>
      <c r="Q162" s="287">
        <v>0.81944444444444453</v>
      </c>
      <c r="R162" s="91">
        <f t="shared" si="4"/>
        <v>2.083333333333337E-2</v>
      </c>
      <c r="S162" s="91">
        <f>(Table5[[#This Row],[Fault Clearance time]]-Table5[[#This Row],[Work Start TimeStamp]])*24</f>
        <v>0.50000000000000089</v>
      </c>
      <c r="T162" s="91">
        <f>(Table5[[#This Row],[Fault Clearance time]]-Table5[[#This Row],[Fault Start TimeStamp]])*24</f>
        <v>0.50000000000000089</v>
      </c>
      <c r="U162" s="23" t="s">
        <v>353</v>
      </c>
      <c r="V162" s="79" t="s">
        <v>339</v>
      </c>
      <c r="W162" s="289">
        <f>IFERROR(Table5[[#This Row],[Breakdown Time]]*Table5[[#This Row],[Plant Equivalent Weightage]],"")</f>
        <v>1.1363636363636385E-2</v>
      </c>
      <c r="X162" s="289" t="s">
        <v>343</v>
      </c>
      <c r="Y162" s="290" t="s">
        <v>118</v>
      </c>
      <c r="Z162" s="79"/>
      <c r="AA162" s="283">
        <v>667</v>
      </c>
      <c r="AB162" s="79"/>
      <c r="AC162" s="23"/>
      <c r="AD162" s="23"/>
    </row>
    <row r="163" spans="1:30">
      <c r="A163" s="79">
        <f t="shared" si="5"/>
        <v>162</v>
      </c>
      <c r="B163" s="283">
        <f>YEAR(Table5[[#This Row],[Date]])+IF(MONTH(Table5[[#This Row],[Date]])&gt;=4,1,0)</f>
        <v>2026</v>
      </c>
      <c r="C163" s="79">
        <f>YEAR(Table5[[#This Row],[Date]])</f>
        <v>2025</v>
      </c>
      <c r="D163" s="79" t="s">
        <v>344</v>
      </c>
      <c r="E163" s="284">
        <f>Table5[[#This Row],[Date]]-DAY(Table5[[#This Row],[Date]])+1</f>
        <v>45778</v>
      </c>
      <c r="F163" s="285">
        <v>45803</v>
      </c>
      <c r="G163" s="79" t="s">
        <v>92</v>
      </c>
      <c r="H163" s="23" t="str">
        <f>IFERROR(_xlfn.XLOOKUP(Table5[[#This Row],[Affected WTG]],'Basic Data'!$A:$A,'Basic Data'!$B:$B),"")</f>
        <v>PWEPL</v>
      </c>
      <c r="I163" s="23" t="str">
        <f>IFERROR(_xlfn.XLOOKUP(Table5[[#This Row],[Affected WTG]],'Basic Data'!$A:$A,'Basic Data'!$C:$C),"")</f>
        <v>MSEDCL</v>
      </c>
      <c r="J163" s="286">
        <f>IFERROR(_xlfn.XLOOKUP(Table5[[#This Row],[Affected WTG]],'Basic Data'!$A:$A,'Basic Data'!$E:$E),"")</f>
        <v>2.2727272727272728E-2</v>
      </c>
      <c r="K163" s="79">
        <v>269</v>
      </c>
      <c r="L163" s="23" t="str">
        <f>IFERROR(_xlfn.XLOOKUP(Table5[[#This Row],[Error Code]],'Basic Data'!$W:$W,'Basic Data'!$X:$X),"Incorrect Error Code")</f>
        <v>Reboot PLC</v>
      </c>
      <c r="M163" s="23" t="s">
        <v>348</v>
      </c>
      <c r="N163" s="23"/>
      <c r="O163" s="287">
        <v>0.90972222222222221</v>
      </c>
      <c r="P163" s="287">
        <v>0.90972222222222221</v>
      </c>
      <c r="Q163" s="287">
        <v>0.95416666666666661</v>
      </c>
      <c r="R163" s="91">
        <f t="shared" si="4"/>
        <v>4.4444444444444398E-2</v>
      </c>
      <c r="S163" s="91">
        <f>(Table5[[#This Row],[Fault Clearance time]]-Table5[[#This Row],[Work Start TimeStamp]])*24</f>
        <v>1.0666666666666655</v>
      </c>
      <c r="T163" s="91">
        <f>(Table5[[#This Row],[Fault Clearance time]]-Table5[[#This Row],[Fault Start TimeStamp]])*24</f>
        <v>1.0666666666666655</v>
      </c>
      <c r="U163" s="23" t="s">
        <v>374</v>
      </c>
      <c r="V163" s="79" t="s">
        <v>339</v>
      </c>
      <c r="W163" s="289">
        <f>IFERROR(Table5[[#This Row],[Breakdown Time]]*Table5[[#This Row],[Plant Equivalent Weightage]],"")</f>
        <v>2.4242424242424218E-2</v>
      </c>
      <c r="X163" s="289" t="s">
        <v>343</v>
      </c>
      <c r="Y163" s="290" t="s">
        <v>91</v>
      </c>
      <c r="Z163" s="79"/>
      <c r="AA163" s="283">
        <v>290</v>
      </c>
      <c r="AB163" s="79"/>
      <c r="AC163" s="23"/>
      <c r="AD163" s="23"/>
    </row>
    <row r="164" spans="1:30">
      <c r="A164" s="79">
        <f t="shared" si="5"/>
        <v>163</v>
      </c>
      <c r="B164" s="283">
        <f>YEAR(Table5[[#This Row],[Date]])+IF(MONTH(Table5[[#This Row],[Date]])&gt;=4,1,0)</f>
        <v>2026</v>
      </c>
      <c r="C164" s="79">
        <f>YEAR(Table5[[#This Row],[Date]])</f>
        <v>2025</v>
      </c>
      <c r="D164" s="79" t="s">
        <v>344</v>
      </c>
      <c r="E164" s="284">
        <f>Table5[[#This Row],[Date]]-DAY(Table5[[#This Row],[Date]])+1</f>
        <v>45778</v>
      </c>
      <c r="F164" s="285">
        <v>45805</v>
      </c>
      <c r="G164" s="79" t="s">
        <v>114</v>
      </c>
      <c r="H164" s="23" t="str">
        <f>IFERROR(_xlfn.XLOOKUP(Table5[[#This Row],[Affected WTG]],'Basic Data'!$A:$A,'Basic Data'!$B:$B),"")</f>
        <v>PWEPL</v>
      </c>
      <c r="I164" s="23" t="str">
        <f>IFERROR(_xlfn.XLOOKUP(Table5[[#This Row],[Affected WTG]],'Basic Data'!$A:$A,'Basic Data'!$C:$C),"")</f>
        <v>MSEDCL</v>
      </c>
      <c r="J164" s="286">
        <f>IFERROR(_xlfn.XLOOKUP(Table5[[#This Row],[Affected WTG]],'Basic Data'!$A:$A,'Basic Data'!$E:$E),"")</f>
        <v>2.2727272727272728E-2</v>
      </c>
      <c r="K164" s="79">
        <v>3</v>
      </c>
      <c r="L164" s="23" t="str">
        <f>IFERROR(_xlfn.XLOOKUP(Table5[[#This Row],[Error Code]],'Basic Data'!$W:$W,'Basic Data'!$X:$X),"Incorrect Error Code")</f>
        <v>Manual Stop</v>
      </c>
      <c r="M164" s="23" t="s">
        <v>869</v>
      </c>
      <c r="N164" s="23"/>
      <c r="O164" s="287">
        <v>0.60833333333333328</v>
      </c>
      <c r="P164" s="287">
        <v>0.60833333333333328</v>
      </c>
      <c r="Q164" s="287">
        <v>0.65486111111111112</v>
      </c>
      <c r="R164" s="91">
        <f t="shared" si="4"/>
        <v>4.6527777777777835E-2</v>
      </c>
      <c r="S164" s="91">
        <f>(Table5[[#This Row],[Fault Clearance time]]-Table5[[#This Row],[Work Start TimeStamp]])*24</f>
        <v>1.116666666666668</v>
      </c>
      <c r="T164" s="91">
        <f>(Table5[[#This Row],[Fault Clearance time]]-Table5[[#This Row],[Fault Start TimeStamp]])*24</f>
        <v>1.116666666666668</v>
      </c>
      <c r="U164" s="23" t="s">
        <v>868</v>
      </c>
      <c r="V164" s="79" t="s">
        <v>339</v>
      </c>
      <c r="W164" s="289">
        <f>IFERROR(Table5[[#This Row],[Breakdown Time]]*Table5[[#This Row],[Plant Equivalent Weightage]],"")</f>
        <v>2.537878787878791E-2</v>
      </c>
      <c r="X164" s="289" t="s">
        <v>343</v>
      </c>
      <c r="Y164" s="290" t="s">
        <v>113</v>
      </c>
      <c r="Z164" s="79"/>
      <c r="AA164" s="283">
        <v>973</v>
      </c>
      <c r="AB164" s="79"/>
      <c r="AC164" s="23"/>
      <c r="AD164" s="23"/>
    </row>
    <row r="165" spans="1:30">
      <c r="A165" s="79">
        <f t="shared" si="5"/>
        <v>164</v>
      </c>
      <c r="B165" s="283">
        <f>YEAR(Table5[[#This Row],[Date]])+IF(MONTH(Table5[[#This Row],[Date]])&gt;=4,1,0)</f>
        <v>2026</v>
      </c>
      <c r="C165" s="79">
        <f>YEAR(Table5[[#This Row],[Date]])</f>
        <v>2025</v>
      </c>
      <c r="D165" s="79" t="s">
        <v>344</v>
      </c>
      <c r="E165" s="284">
        <f>Table5[[#This Row],[Date]]-DAY(Table5[[#This Row],[Date]])+1</f>
        <v>45778</v>
      </c>
      <c r="F165" s="285">
        <v>45805</v>
      </c>
      <c r="G165" s="79" t="s">
        <v>84</v>
      </c>
      <c r="H165" s="23" t="str">
        <f>IFERROR(_xlfn.XLOOKUP(Table5[[#This Row],[Affected WTG]],'Basic Data'!$A:$A,'Basic Data'!$B:$B),"")</f>
        <v>PWEPL</v>
      </c>
      <c r="I165" s="23" t="str">
        <f>IFERROR(_xlfn.XLOOKUP(Table5[[#This Row],[Affected WTG]],'Basic Data'!$A:$A,'Basic Data'!$C:$C),"")</f>
        <v>MSEDCL</v>
      </c>
      <c r="J165" s="286">
        <f>IFERROR(_xlfn.XLOOKUP(Table5[[#This Row],[Affected WTG]],'Basic Data'!$A:$A,'Basic Data'!$E:$E),"")</f>
        <v>2.2727272727272728E-2</v>
      </c>
      <c r="K165" s="79">
        <v>3</v>
      </c>
      <c r="L165" s="23" t="str">
        <f>IFERROR(_xlfn.XLOOKUP(Table5[[#This Row],[Error Code]],'Basic Data'!$W:$W,'Basic Data'!$X:$X),"Incorrect Error Code")</f>
        <v>Manual Stop</v>
      </c>
      <c r="M165" s="23" t="s">
        <v>869</v>
      </c>
      <c r="N165" s="23"/>
      <c r="O165" s="287">
        <v>0.70347222222222217</v>
      </c>
      <c r="P165" s="287">
        <v>0.70347222222222217</v>
      </c>
      <c r="Q165" s="287">
        <v>0.75138888888888899</v>
      </c>
      <c r="R165" s="91">
        <f t="shared" si="4"/>
        <v>4.7916666666666829E-2</v>
      </c>
      <c r="S165" s="91">
        <f>(Table5[[#This Row],[Fault Clearance time]]-Table5[[#This Row],[Work Start TimeStamp]])*24</f>
        <v>1.1500000000000039</v>
      </c>
      <c r="T165" s="91">
        <f>(Table5[[#This Row],[Fault Clearance time]]-Table5[[#This Row],[Fault Start TimeStamp]])*24</f>
        <v>1.1500000000000039</v>
      </c>
      <c r="U165" s="23" t="s">
        <v>868</v>
      </c>
      <c r="V165" s="79" t="s">
        <v>339</v>
      </c>
      <c r="W165" s="289">
        <f>IFERROR(Table5[[#This Row],[Breakdown Time]]*Table5[[#This Row],[Plant Equivalent Weightage]],"")</f>
        <v>2.6136363636363725E-2</v>
      </c>
      <c r="X165" s="289" t="s">
        <v>343</v>
      </c>
      <c r="Y165" s="290" t="s">
        <v>347</v>
      </c>
      <c r="Z165" s="79"/>
      <c r="AA165" s="283">
        <v>544</v>
      </c>
      <c r="AB165" s="79"/>
      <c r="AC165" s="23"/>
      <c r="AD165" s="23"/>
    </row>
    <row r="166" spans="1:30">
      <c r="A166" s="79">
        <f t="shared" si="5"/>
        <v>165</v>
      </c>
      <c r="B166" s="283">
        <f>YEAR(Table5[[#This Row],[Date]])+IF(MONTH(Table5[[#This Row],[Date]])&gt;=4,1,0)</f>
        <v>2026</v>
      </c>
      <c r="C166" s="79">
        <f>YEAR(Table5[[#This Row],[Date]])</f>
        <v>2025</v>
      </c>
      <c r="D166" s="79" t="s">
        <v>344</v>
      </c>
      <c r="E166" s="284">
        <f>Table5[[#This Row],[Date]]-DAY(Table5[[#This Row],[Date]])+1</f>
        <v>45778</v>
      </c>
      <c r="F166" s="285">
        <v>45806</v>
      </c>
      <c r="G166" s="79" t="s">
        <v>100</v>
      </c>
      <c r="H166" s="23" t="str">
        <f>IFERROR(_xlfn.XLOOKUP(Table5[[#This Row],[Affected WTG]],'Basic Data'!$A:$A,'Basic Data'!$B:$B),"")</f>
        <v>PWEPL</v>
      </c>
      <c r="I166" s="23" t="str">
        <f>IFERROR(_xlfn.XLOOKUP(Table5[[#This Row],[Affected WTG]],'Basic Data'!$A:$A,'Basic Data'!$C:$C),"")</f>
        <v>MSEDCL</v>
      </c>
      <c r="J166" s="286">
        <f>IFERROR(_xlfn.XLOOKUP(Table5[[#This Row],[Affected WTG]],'Basic Data'!$A:$A,'Basic Data'!$E:$E),"")</f>
        <v>2.2727272727272728E-2</v>
      </c>
      <c r="K166" s="79">
        <v>275</v>
      </c>
      <c r="L166" s="23" t="str">
        <f>IFERROR(_xlfn.XLOOKUP(Table5[[#This Row],[Error Code]],'Basic Data'!$W:$W,'Basic Data'!$X:$X),"Incorrect Error Code")</f>
        <v>Pitch thyristor 2 fault</v>
      </c>
      <c r="M166" s="23" t="s">
        <v>162</v>
      </c>
      <c r="N166" s="23"/>
      <c r="O166" s="287">
        <v>0.91736111111111107</v>
      </c>
      <c r="P166" s="287">
        <v>0.91736111111111107</v>
      </c>
      <c r="Q166" s="287">
        <v>0.99652777777777779</v>
      </c>
      <c r="R166" s="91">
        <f t="shared" si="4"/>
        <v>7.9166666666666718E-2</v>
      </c>
      <c r="S166" s="91">
        <f>(Table5[[#This Row],[Fault Clearance time]]-Table5[[#This Row],[Work Start TimeStamp]])*24</f>
        <v>1.9000000000000012</v>
      </c>
      <c r="T166" s="91">
        <f>(Table5[[#This Row],[Fault Clearance time]]-Table5[[#This Row],[Fault Start TimeStamp]])*24</f>
        <v>1.9000000000000012</v>
      </c>
      <c r="U166" s="23" t="s">
        <v>870</v>
      </c>
      <c r="V166" s="79" t="s">
        <v>339</v>
      </c>
      <c r="W166" s="289">
        <f>IFERROR(Table5[[#This Row],[Breakdown Time]]*Table5[[#This Row],[Plant Equivalent Weightage]],"")</f>
        <v>4.318181818181821E-2</v>
      </c>
      <c r="X166" s="289" t="s">
        <v>343</v>
      </c>
      <c r="Y166" s="290" t="s">
        <v>101</v>
      </c>
      <c r="Z166" s="79"/>
      <c r="AA166" s="283">
        <v>1947</v>
      </c>
      <c r="AB166" s="79"/>
      <c r="AC166" s="23"/>
      <c r="AD166" s="23"/>
    </row>
    <row r="167" spans="1:30">
      <c r="A167" s="79">
        <f t="shared" si="5"/>
        <v>166</v>
      </c>
      <c r="B167" s="283">
        <f>YEAR(Table5[[#This Row],[Date]])+IF(MONTH(Table5[[#This Row],[Date]])&gt;=4,1,0)</f>
        <v>2026</v>
      </c>
      <c r="C167" s="79">
        <f>YEAR(Table5[[#This Row],[Date]])</f>
        <v>2025</v>
      </c>
      <c r="D167" s="79" t="s">
        <v>344</v>
      </c>
      <c r="E167" s="284">
        <f>Table5[[#This Row],[Date]]-DAY(Table5[[#This Row],[Date]])+1</f>
        <v>45778</v>
      </c>
      <c r="F167" s="285">
        <v>45807</v>
      </c>
      <c r="G167" s="79" t="s">
        <v>88</v>
      </c>
      <c r="H167" s="23" t="str">
        <f>IFERROR(_xlfn.XLOOKUP(Table5[[#This Row],[Affected WTG]],'Basic Data'!$A:$A,'Basic Data'!$B:$B),"")</f>
        <v>PWEPL</v>
      </c>
      <c r="I167" s="23" t="str">
        <f>IFERROR(_xlfn.XLOOKUP(Table5[[#This Row],[Affected WTG]],'Basic Data'!$A:$A,'Basic Data'!$C:$C),"")</f>
        <v>MSEDCL</v>
      </c>
      <c r="J167" s="286">
        <f>IFERROR(_xlfn.XLOOKUP(Table5[[#This Row],[Affected WTG]],'Basic Data'!$A:$A,'Basic Data'!$E:$E),"")</f>
        <v>2.2727272727272728E-2</v>
      </c>
      <c r="K167" s="79">
        <v>275</v>
      </c>
      <c r="L167" s="23" t="str">
        <f>IFERROR(_xlfn.XLOOKUP(Table5[[#This Row],[Error Code]],'Basic Data'!$W:$W,'Basic Data'!$X:$X),"Incorrect Error Code")</f>
        <v>Pitch thyristor 2 fault</v>
      </c>
      <c r="M167" s="23" t="s">
        <v>162</v>
      </c>
      <c r="N167" s="23"/>
      <c r="O167" s="287">
        <v>0.49861111111111112</v>
      </c>
      <c r="P167" s="287">
        <v>0.49861111111111112</v>
      </c>
      <c r="Q167" s="287">
        <v>0.58333333333333337</v>
      </c>
      <c r="R167" s="91">
        <f t="shared" si="4"/>
        <v>8.4722222222222254E-2</v>
      </c>
      <c r="S167" s="91">
        <f>(Table5[[#This Row],[Fault Clearance time]]-Table5[[#This Row],[Work Start TimeStamp]])*24</f>
        <v>2.0333333333333341</v>
      </c>
      <c r="T167" s="91">
        <f>(Table5[[#This Row],[Fault Clearance time]]-Table5[[#This Row],[Fault Start TimeStamp]])*24</f>
        <v>2.0333333333333341</v>
      </c>
      <c r="U167" s="23" t="s">
        <v>870</v>
      </c>
      <c r="V167" s="79" t="s">
        <v>339</v>
      </c>
      <c r="W167" s="289">
        <f>IFERROR(Table5[[#This Row],[Breakdown Time]]*Table5[[#This Row],[Plant Equivalent Weightage]],"")</f>
        <v>4.6212121212121232E-2</v>
      </c>
      <c r="X167" s="289" t="s">
        <v>343</v>
      </c>
      <c r="Y167" s="290" t="s">
        <v>87</v>
      </c>
      <c r="Z167" s="79"/>
      <c r="AA167" s="283">
        <v>2769</v>
      </c>
      <c r="AB167" s="79"/>
      <c r="AC167" s="23"/>
      <c r="AD167" s="23"/>
    </row>
    <row r="168" spans="1:30">
      <c r="A168" s="79">
        <f t="shared" si="5"/>
        <v>167</v>
      </c>
      <c r="B168" s="283">
        <f>YEAR(Table5[[#This Row],[Date]])+IF(MONTH(Table5[[#This Row],[Date]])&gt;=4,1,0)</f>
        <v>2026</v>
      </c>
      <c r="C168" s="79">
        <f>YEAR(Table5[[#This Row],[Date]])</f>
        <v>2025</v>
      </c>
      <c r="D168" s="79" t="s">
        <v>344</v>
      </c>
      <c r="E168" s="284">
        <f>Table5[[#This Row],[Date]]-DAY(Table5[[#This Row],[Date]])+1</f>
        <v>45778</v>
      </c>
      <c r="F168" s="285">
        <v>45807</v>
      </c>
      <c r="G168" s="79" t="s">
        <v>88</v>
      </c>
      <c r="H168" s="23" t="str">
        <f>IFERROR(_xlfn.XLOOKUP(Table5[[#This Row],[Affected WTG]],'Basic Data'!$A:$A,'Basic Data'!$B:$B),"")</f>
        <v>PWEPL</v>
      </c>
      <c r="I168" s="23" t="str">
        <f>IFERROR(_xlfn.XLOOKUP(Table5[[#This Row],[Affected WTG]],'Basic Data'!$A:$A,'Basic Data'!$C:$C),"")</f>
        <v>MSEDCL</v>
      </c>
      <c r="J168" s="286">
        <f>IFERROR(_xlfn.XLOOKUP(Table5[[#This Row],[Affected WTG]],'Basic Data'!$A:$A,'Basic Data'!$E:$E),"")</f>
        <v>2.2727272727272728E-2</v>
      </c>
      <c r="K168" s="79">
        <v>142</v>
      </c>
      <c r="L168" s="23" t="str">
        <f>IFERROR(_xlfn.XLOOKUP(Table5[[#This Row],[Error Code]],'Basic Data'!$W:$W,'Basic Data'!$X:$X),"Incorrect Error Code")</f>
        <v>Line CCU collective faults</v>
      </c>
      <c r="M168" s="23" t="s">
        <v>149</v>
      </c>
      <c r="N168" s="23"/>
      <c r="O168" s="287">
        <v>0.58333333333333337</v>
      </c>
      <c r="P168" s="287">
        <v>0.58333333333333337</v>
      </c>
      <c r="Q168" s="287">
        <v>0.61458333333333337</v>
      </c>
      <c r="R168" s="91">
        <f t="shared" si="4"/>
        <v>3.125E-2</v>
      </c>
      <c r="S168" s="91">
        <f>(Table5[[#This Row],[Fault Clearance time]]-Table5[[#This Row],[Work Start TimeStamp]])*24</f>
        <v>0.75</v>
      </c>
      <c r="T168" s="91">
        <f>(Table5[[#This Row],[Fault Clearance time]]-Table5[[#This Row],[Fault Start TimeStamp]])*24</f>
        <v>0.75</v>
      </c>
      <c r="U168" s="23" t="s">
        <v>790</v>
      </c>
      <c r="V168" s="79" t="s">
        <v>339</v>
      </c>
      <c r="W168" s="289">
        <f>IFERROR(Table5[[#This Row],[Breakdown Time]]*Table5[[#This Row],[Plant Equivalent Weightage]],"")</f>
        <v>1.7045454545454544E-2</v>
      </c>
      <c r="X168" s="289" t="s">
        <v>343</v>
      </c>
      <c r="Y168" s="290" t="s">
        <v>87</v>
      </c>
      <c r="Z168" s="79"/>
      <c r="AA168" s="283">
        <v>1184</v>
      </c>
      <c r="AB168" s="79"/>
      <c r="AC168" s="23"/>
      <c r="AD168" s="23"/>
    </row>
    <row r="169" spans="1:30">
      <c r="A169" s="79">
        <f t="shared" si="5"/>
        <v>168</v>
      </c>
      <c r="B169" s="283">
        <f>YEAR(Table5[[#This Row],[Date]])+IF(MONTH(Table5[[#This Row],[Date]])&gt;=4,1,0)</f>
        <v>2026</v>
      </c>
      <c r="C169" s="79">
        <f>YEAR(Table5[[#This Row],[Date]])</f>
        <v>2025</v>
      </c>
      <c r="D169" s="79" t="s">
        <v>344</v>
      </c>
      <c r="E169" s="284">
        <f>Table5[[#This Row],[Date]]-DAY(Table5[[#This Row],[Date]])+1</f>
        <v>45778</v>
      </c>
      <c r="F169" s="285">
        <v>45807</v>
      </c>
      <c r="G169" s="79" t="s">
        <v>88</v>
      </c>
      <c r="H169" s="23" t="str">
        <f>IFERROR(_xlfn.XLOOKUP(Table5[[#This Row],[Affected WTG]],'Basic Data'!$A:$A,'Basic Data'!$B:$B),"")</f>
        <v>PWEPL</v>
      </c>
      <c r="I169" s="23" t="str">
        <f>IFERROR(_xlfn.XLOOKUP(Table5[[#This Row],[Affected WTG]],'Basic Data'!$A:$A,'Basic Data'!$C:$C),"")</f>
        <v>MSEDCL</v>
      </c>
      <c r="J169" s="286">
        <f>IFERROR(_xlfn.XLOOKUP(Table5[[#This Row],[Affected WTG]],'Basic Data'!$A:$A,'Basic Data'!$E:$E),"")</f>
        <v>2.2727272727272728E-2</v>
      </c>
      <c r="K169" s="79">
        <v>142</v>
      </c>
      <c r="L169" s="23" t="str">
        <f>IFERROR(_xlfn.XLOOKUP(Table5[[#This Row],[Error Code]],'Basic Data'!$W:$W,'Basic Data'!$X:$X),"Incorrect Error Code")</f>
        <v>Line CCU collective faults</v>
      </c>
      <c r="M169" s="23" t="s">
        <v>149</v>
      </c>
      <c r="N169" s="23"/>
      <c r="O169" s="287">
        <v>0.92013888888888884</v>
      </c>
      <c r="P169" s="287">
        <v>0.92013888888888884</v>
      </c>
      <c r="Q169" s="287">
        <v>0.93472222222222223</v>
      </c>
      <c r="R169" s="91">
        <f t="shared" si="4"/>
        <v>1.4583333333333393E-2</v>
      </c>
      <c r="S169" s="91">
        <f>(Table5[[#This Row],[Fault Clearance time]]-Table5[[#This Row],[Work Start TimeStamp]])*24</f>
        <v>0.35000000000000142</v>
      </c>
      <c r="T169" s="91">
        <f>(Table5[[#This Row],[Fault Clearance time]]-Table5[[#This Row],[Fault Start TimeStamp]])*24</f>
        <v>0.35000000000000142</v>
      </c>
      <c r="U169" s="23" t="s">
        <v>790</v>
      </c>
      <c r="V169" s="79" t="s">
        <v>339</v>
      </c>
      <c r="W169" s="289">
        <f>IFERROR(Table5[[#This Row],[Breakdown Time]]*Table5[[#This Row],[Plant Equivalent Weightage]],"")</f>
        <v>7.9545454545454867E-3</v>
      </c>
      <c r="X169" s="289" t="s">
        <v>343</v>
      </c>
      <c r="Y169" s="290" t="s">
        <v>87</v>
      </c>
      <c r="Z169" s="79"/>
      <c r="AA169" s="283">
        <v>412</v>
      </c>
      <c r="AB169" s="79"/>
      <c r="AC169" s="23"/>
      <c r="AD169" s="23"/>
    </row>
    <row r="170" spans="1:30">
      <c r="A170" s="79">
        <f t="shared" si="5"/>
        <v>169</v>
      </c>
      <c r="B170" s="283">
        <f>YEAR(Table5[[#This Row],[Date]])+IF(MONTH(Table5[[#This Row],[Date]])&gt;=4,1,0)</f>
        <v>2026</v>
      </c>
      <c r="C170" s="79">
        <f>YEAR(Table5[[#This Row],[Date]])</f>
        <v>2025</v>
      </c>
      <c r="D170" s="79" t="s">
        <v>344</v>
      </c>
      <c r="E170" s="284">
        <f>Table5[[#This Row],[Date]]-DAY(Table5[[#This Row],[Date]])+1</f>
        <v>45809</v>
      </c>
      <c r="F170" s="285">
        <v>45810</v>
      </c>
      <c r="G170" s="79" t="s">
        <v>90</v>
      </c>
      <c r="H170" s="23" t="str">
        <f>IFERROR(_xlfn.XLOOKUP(Table5[[#This Row],[Affected WTG]],'Basic Data'!$A:$A,'Basic Data'!$B:$B),"")</f>
        <v>PWEPL</v>
      </c>
      <c r="I170" s="23" t="str">
        <f>IFERROR(_xlfn.XLOOKUP(Table5[[#This Row],[Affected WTG]],'Basic Data'!$A:$A,'Basic Data'!$C:$C),"")</f>
        <v>MSEDCL</v>
      </c>
      <c r="J170" s="286">
        <f>IFERROR(_xlfn.XLOOKUP(Table5[[#This Row],[Affected WTG]],'Basic Data'!$A:$A,'Basic Data'!$E:$E),"")</f>
        <v>2.2727272727272728E-2</v>
      </c>
      <c r="K170" s="79">
        <v>120</v>
      </c>
      <c r="L170" s="23" t="str">
        <f>IFERROR(_xlfn.XLOOKUP(Table5[[#This Row],[Error Code]],'Basic Data'!$W:$W,'Basic Data'!$X:$X),"Incorrect Error Code")</f>
        <v>Communication fault Pitch controller</v>
      </c>
      <c r="M170" s="23" t="s">
        <v>871</v>
      </c>
      <c r="N170" s="23"/>
      <c r="O170" s="287">
        <v>0.25069444444444444</v>
      </c>
      <c r="P170" s="287">
        <v>0.25069444444444444</v>
      </c>
      <c r="Q170" s="287">
        <v>0.57291666666666663</v>
      </c>
      <c r="R170" s="91">
        <f t="shared" si="4"/>
        <v>0.32222222222222219</v>
      </c>
      <c r="S170" s="91">
        <f>(Table5[[#This Row],[Fault Clearance time]]-Table5[[#This Row],[Work Start TimeStamp]])*24</f>
        <v>7.7333333333333325</v>
      </c>
      <c r="T170" s="91">
        <f>(Table5[[#This Row],[Fault Clearance time]]-Table5[[#This Row],[Fault Start TimeStamp]])*24</f>
        <v>7.7333333333333325</v>
      </c>
      <c r="U170" s="23" t="s">
        <v>873</v>
      </c>
      <c r="V170" s="79" t="s">
        <v>339</v>
      </c>
      <c r="W170" s="289">
        <f>IFERROR(Table5[[#This Row],[Breakdown Time]]*Table5[[#This Row],[Plant Equivalent Weightage]],"")</f>
        <v>0.17575757575757575</v>
      </c>
      <c r="X170" s="289" t="s">
        <v>343</v>
      </c>
      <c r="Y170" s="290" t="s">
        <v>89</v>
      </c>
      <c r="Z170" s="79"/>
      <c r="AA170" s="283">
        <v>3830</v>
      </c>
      <c r="AB170" s="79"/>
      <c r="AC170" s="23"/>
      <c r="AD170" s="23"/>
    </row>
    <row r="171" spans="1:30">
      <c r="A171" s="79">
        <f t="shared" si="5"/>
        <v>170</v>
      </c>
      <c r="B171" s="283">
        <f>YEAR(Table5[[#This Row],[Date]])+IF(MONTH(Table5[[#This Row],[Date]])&gt;=4,1,0)</f>
        <v>2026</v>
      </c>
      <c r="C171" s="79">
        <f>YEAR(Table5[[#This Row],[Date]])</f>
        <v>2025</v>
      </c>
      <c r="D171" s="79" t="s">
        <v>344</v>
      </c>
      <c r="E171" s="284">
        <f>Table5[[#This Row],[Date]]-DAY(Table5[[#This Row],[Date]])+1</f>
        <v>45809</v>
      </c>
      <c r="F171" s="285">
        <v>45810</v>
      </c>
      <c r="G171" s="79" t="s">
        <v>89</v>
      </c>
      <c r="H171" s="23" t="str">
        <f>IFERROR(_xlfn.XLOOKUP(Table5[[#This Row],[Affected WTG]],'Basic Data'!$A:$A,'Basic Data'!$B:$B),"")</f>
        <v>PWEPL</v>
      </c>
      <c r="I171" s="23" t="str">
        <f>IFERROR(_xlfn.XLOOKUP(Table5[[#This Row],[Affected WTG]],'Basic Data'!$A:$A,'Basic Data'!$C:$C),"")</f>
        <v>MSEDCL</v>
      </c>
      <c r="J171" s="286">
        <f>IFERROR(_xlfn.XLOOKUP(Table5[[#This Row],[Affected WTG]],'Basic Data'!$A:$A,'Basic Data'!$E:$E),"")</f>
        <v>2.2727272727272728E-2</v>
      </c>
      <c r="K171" s="79">
        <v>142</v>
      </c>
      <c r="L171" s="23" t="str">
        <f>IFERROR(_xlfn.XLOOKUP(Table5[[#This Row],[Error Code]],'Basic Data'!$W:$W,'Basic Data'!$X:$X),"Incorrect Error Code")</f>
        <v>Line CCU collective faults</v>
      </c>
      <c r="M171" s="23" t="s">
        <v>149</v>
      </c>
      <c r="N171" s="23"/>
      <c r="O171" s="287">
        <v>0.58263888888888882</v>
      </c>
      <c r="P171" s="287">
        <v>0.58263888888888882</v>
      </c>
      <c r="Q171" s="287">
        <v>0.59722222222222221</v>
      </c>
      <c r="R171" s="91">
        <f t="shared" si="4"/>
        <v>1.4583333333333393E-2</v>
      </c>
      <c r="S171" s="91">
        <f>(Table5[[#This Row],[Fault Clearance time]]-Table5[[#This Row],[Work Start TimeStamp]])*24</f>
        <v>0.35000000000000142</v>
      </c>
      <c r="T171" s="91">
        <f>(Table5[[#This Row],[Fault Clearance time]]-Table5[[#This Row],[Fault Start TimeStamp]])*24</f>
        <v>0.35000000000000142</v>
      </c>
      <c r="U171" s="23" t="s">
        <v>353</v>
      </c>
      <c r="V171" s="79" t="s">
        <v>339</v>
      </c>
      <c r="W171" s="289">
        <f>IFERROR(Table5[[#This Row],[Breakdown Time]]*Table5[[#This Row],[Plant Equivalent Weightage]],"")</f>
        <v>7.9545454545454867E-3</v>
      </c>
      <c r="X171" s="289" t="s">
        <v>343</v>
      </c>
      <c r="Y171" s="290" t="s">
        <v>88</v>
      </c>
      <c r="Z171" s="79"/>
      <c r="AA171" s="283">
        <v>367</v>
      </c>
      <c r="AB171" s="79"/>
      <c r="AC171" s="23"/>
      <c r="AD171" s="23"/>
    </row>
    <row r="172" spans="1:30">
      <c r="A172" s="79">
        <f t="shared" si="5"/>
        <v>171</v>
      </c>
      <c r="B172" s="283">
        <f>YEAR(Table5[[#This Row],[Date]])+IF(MONTH(Table5[[#This Row],[Date]])&gt;=4,1,0)</f>
        <v>2026</v>
      </c>
      <c r="C172" s="79">
        <f>YEAR(Table5[[#This Row],[Date]])</f>
        <v>2025</v>
      </c>
      <c r="D172" s="79" t="s">
        <v>344</v>
      </c>
      <c r="E172" s="284">
        <f>Table5[[#This Row],[Date]]-DAY(Table5[[#This Row],[Date]])+1</f>
        <v>45809</v>
      </c>
      <c r="F172" s="285">
        <v>45810</v>
      </c>
      <c r="G172" s="79" t="s">
        <v>102</v>
      </c>
      <c r="H172" s="23" t="str">
        <f>IFERROR(_xlfn.XLOOKUP(Table5[[#This Row],[Affected WTG]],'Basic Data'!$A:$A,'Basic Data'!$B:$B),"")</f>
        <v>PWEPL</v>
      </c>
      <c r="I172" s="23" t="str">
        <f>IFERROR(_xlfn.XLOOKUP(Table5[[#This Row],[Affected WTG]],'Basic Data'!$A:$A,'Basic Data'!$C:$C),"")</f>
        <v>MSEDCL</v>
      </c>
      <c r="J172" s="286">
        <f>IFERROR(_xlfn.XLOOKUP(Table5[[#This Row],[Affected WTG]],'Basic Data'!$A:$A,'Basic Data'!$E:$E),"")</f>
        <v>2.2727272727272728E-2</v>
      </c>
      <c r="K172" s="79">
        <v>52</v>
      </c>
      <c r="L172" s="23" t="str">
        <f>IFERROR(_xlfn.XLOOKUP(Table5[[#This Row],[Error Code]],'Basic Data'!$W:$W,'Basic Data'!$X:$X),"Incorrect Error Code")</f>
        <v>Gearbox oil ressure too lo</v>
      </c>
      <c r="M172" s="23" t="s">
        <v>872</v>
      </c>
      <c r="N172" s="23"/>
      <c r="O172" s="287">
        <v>0.66041666666666665</v>
      </c>
      <c r="P172" s="287">
        <v>0.66041666666666665</v>
      </c>
      <c r="Q172" s="287">
        <v>0.82777777777777783</v>
      </c>
      <c r="R172" s="91">
        <f t="shared" si="4"/>
        <v>0.16736111111111118</v>
      </c>
      <c r="S172" s="91">
        <f>(Table5[[#This Row],[Fault Clearance time]]-Table5[[#This Row],[Work Start TimeStamp]])*24</f>
        <v>4.0166666666666684</v>
      </c>
      <c r="T172" s="91">
        <f>(Table5[[#This Row],[Fault Clearance time]]-Table5[[#This Row],[Fault Start TimeStamp]])*24</f>
        <v>4.0166666666666684</v>
      </c>
      <c r="U172" s="23" t="s">
        <v>352</v>
      </c>
      <c r="V172" s="79" t="s">
        <v>339</v>
      </c>
      <c r="W172" s="289">
        <f>IFERROR(Table5[[#This Row],[Breakdown Time]]*Table5[[#This Row],[Plant Equivalent Weightage]],"")</f>
        <v>9.1287878787878834E-2</v>
      </c>
      <c r="X172" s="289" t="s">
        <v>343</v>
      </c>
      <c r="Y172" s="290" t="s">
        <v>78</v>
      </c>
      <c r="Z172" s="79"/>
      <c r="AA172" s="283">
        <v>1908</v>
      </c>
      <c r="AB172" s="79"/>
      <c r="AC172" s="23"/>
      <c r="AD172" s="23"/>
    </row>
    <row r="173" spans="1:30">
      <c r="A173" s="79">
        <f t="shared" si="5"/>
        <v>172</v>
      </c>
      <c r="B173" s="283">
        <f>YEAR(Table5[[#This Row],[Date]])+IF(MONTH(Table5[[#This Row],[Date]])&gt;=4,1,0)</f>
        <v>2026</v>
      </c>
      <c r="C173" s="79">
        <f>YEAR(Table5[[#This Row],[Date]])</f>
        <v>2025</v>
      </c>
      <c r="D173" s="79" t="s">
        <v>344</v>
      </c>
      <c r="E173" s="284">
        <f>Table5[[#This Row],[Date]]-DAY(Table5[[#This Row],[Date]])+1</f>
        <v>45809</v>
      </c>
      <c r="F173" s="285">
        <v>45811</v>
      </c>
      <c r="G173" s="79" t="s">
        <v>101</v>
      </c>
      <c r="H173" s="23" t="str">
        <f>IFERROR(_xlfn.XLOOKUP(Table5[[#This Row],[Affected WTG]],'Basic Data'!$A:$A,'Basic Data'!$B:$B),"")</f>
        <v>PWEPL</v>
      </c>
      <c r="I173" s="23" t="str">
        <f>IFERROR(_xlfn.XLOOKUP(Table5[[#This Row],[Affected WTG]],'Basic Data'!$A:$A,'Basic Data'!$C:$C),"")</f>
        <v>MSEDCL</v>
      </c>
      <c r="J173" s="286">
        <f>IFERROR(_xlfn.XLOOKUP(Table5[[#This Row],[Affected WTG]],'Basic Data'!$A:$A,'Basic Data'!$E:$E),"")</f>
        <v>2.2727272727272728E-2</v>
      </c>
      <c r="K173" s="79">
        <v>3</v>
      </c>
      <c r="L173" s="23" t="str">
        <f>IFERROR(_xlfn.XLOOKUP(Table5[[#This Row],[Error Code]],'Basic Data'!$W:$W,'Basic Data'!$X:$X),"Incorrect Error Code")</f>
        <v>Manual Stop</v>
      </c>
      <c r="M173" s="23" t="s">
        <v>874</v>
      </c>
      <c r="N173" s="23"/>
      <c r="O173" s="287">
        <v>0.51111111111111118</v>
      </c>
      <c r="P173" s="287">
        <v>0.51111111111111118</v>
      </c>
      <c r="Q173" s="287">
        <v>0.75</v>
      </c>
      <c r="R173" s="91">
        <f t="shared" si="4"/>
        <v>0.23888888888888882</v>
      </c>
      <c r="S173" s="91">
        <f>(Table5[[#This Row],[Fault Clearance time]]-Table5[[#This Row],[Work Start TimeStamp]])*24</f>
        <v>5.7333333333333316</v>
      </c>
      <c r="T173" s="91">
        <f>(Table5[[#This Row],[Fault Clearance time]]-Table5[[#This Row],[Fault Start TimeStamp]])*24</f>
        <v>5.7333333333333316</v>
      </c>
      <c r="U173" s="23" t="s">
        <v>883</v>
      </c>
      <c r="V173" s="79" t="s">
        <v>339</v>
      </c>
      <c r="W173" s="289">
        <f>IFERROR(Table5[[#This Row],[Breakdown Time]]*Table5[[#This Row],[Plant Equivalent Weightage]],"")</f>
        <v>0.13030303030303025</v>
      </c>
      <c r="X173" s="289" t="s">
        <v>394</v>
      </c>
      <c r="Y173" s="290" t="s">
        <v>100</v>
      </c>
      <c r="Z173" s="79"/>
      <c r="AA173" s="283">
        <v>2526</v>
      </c>
      <c r="AB173" s="79"/>
      <c r="AC173" s="23"/>
      <c r="AD173" s="23"/>
    </row>
    <row r="174" spans="1:30">
      <c r="A174" s="79">
        <f t="shared" si="5"/>
        <v>173</v>
      </c>
      <c r="B174" s="283">
        <f>YEAR(Table5[[#This Row],[Date]])+IF(MONTH(Table5[[#This Row],[Date]])&gt;=4,1,0)</f>
        <v>2026</v>
      </c>
      <c r="C174" s="79">
        <f>YEAR(Table5[[#This Row],[Date]])</f>
        <v>2025</v>
      </c>
      <c r="D174" s="79" t="s">
        <v>344</v>
      </c>
      <c r="E174" s="284">
        <f>Table5[[#This Row],[Date]]-DAY(Table5[[#This Row],[Date]])+1</f>
        <v>45809</v>
      </c>
      <c r="F174" s="285">
        <v>45812</v>
      </c>
      <c r="G174" s="79" t="s">
        <v>101</v>
      </c>
      <c r="H174" s="23" t="str">
        <f>IFERROR(_xlfn.XLOOKUP(Table5[[#This Row],[Affected WTG]],'Basic Data'!$A:$A,'Basic Data'!$B:$B),"")</f>
        <v>PWEPL</v>
      </c>
      <c r="I174" s="23" t="str">
        <f>IFERROR(_xlfn.XLOOKUP(Table5[[#This Row],[Affected WTG]],'Basic Data'!$A:$A,'Basic Data'!$C:$C),"")</f>
        <v>MSEDCL</v>
      </c>
      <c r="J174" s="286">
        <f>IFERROR(_xlfn.XLOOKUP(Table5[[#This Row],[Affected WTG]],'Basic Data'!$A:$A,'Basic Data'!$E:$E),"")</f>
        <v>2.2727272727272728E-2</v>
      </c>
      <c r="K174" s="79">
        <v>3</v>
      </c>
      <c r="L174" s="23" t="str">
        <f>IFERROR(_xlfn.XLOOKUP(Table5[[#This Row],[Error Code]],'Basic Data'!$W:$W,'Basic Data'!$X:$X),"Incorrect Error Code")</f>
        <v>Manual Stop</v>
      </c>
      <c r="M174" s="23" t="s">
        <v>874</v>
      </c>
      <c r="N174" s="23"/>
      <c r="O174" s="287">
        <v>0.40972222222222227</v>
      </c>
      <c r="P174" s="287">
        <v>0.40972222222222227</v>
      </c>
      <c r="Q174" s="287">
        <v>0.74930555555555556</v>
      </c>
      <c r="R174" s="91">
        <f t="shared" si="4"/>
        <v>0.33958333333333329</v>
      </c>
      <c r="S174" s="91">
        <f>(Table5[[#This Row],[Fault Clearance time]]-Table5[[#This Row],[Work Start TimeStamp]])*24</f>
        <v>8.1499999999999986</v>
      </c>
      <c r="T174" s="91">
        <f>(Table5[[#This Row],[Fault Clearance time]]-Table5[[#This Row],[Fault Start TimeStamp]])*24</f>
        <v>8.1499999999999986</v>
      </c>
      <c r="U174" s="23" t="s">
        <v>884</v>
      </c>
      <c r="V174" s="79" t="s">
        <v>339</v>
      </c>
      <c r="W174" s="289">
        <f>IFERROR(Table5[[#This Row],[Breakdown Time]]*Table5[[#This Row],[Plant Equivalent Weightage]],"")</f>
        <v>0.18522727272727271</v>
      </c>
      <c r="X174" s="289" t="s">
        <v>394</v>
      </c>
      <c r="Y174" s="290" t="s">
        <v>100</v>
      </c>
      <c r="Z174" s="79"/>
      <c r="AA174" s="283">
        <v>4448</v>
      </c>
      <c r="AB174" s="79"/>
      <c r="AC174" s="23"/>
      <c r="AD174" s="23"/>
    </row>
    <row r="175" spans="1:30">
      <c r="A175" s="79">
        <f t="shared" si="5"/>
        <v>174</v>
      </c>
      <c r="B175" s="283">
        <f>YEAR(Table5[[#This Row],[Date]])+IF(MONTH(Table5[[#This Row],[Date]])&gt;=4,1,0)</f>
        <v>2026</v>
      </c>
      <c r="C175" s="79">
        <f>YEAR(Table5[[#This Row],[Date]])</f>
        <v>2025</v>
      </c>
      <c r="D175" s="79" t="s">
        <v>344</v>
      </c>
      <c r="E175" s="284">
        <f>Table5[[#This Row],[Date]]-DAY(Table5[[#This Row],[Date]])+1</f>
        <v>45809</v>
      </c>
      <c r="F175" s="285">
        <v>45812</v>
      </c>
      <c r="G175" s="79" t="s">
        <v>99</v>
      </c>
      <c r="H175" s="23" t="str">
        <f>IFERROR(_xlfn.XLOOKUP(Table5[[#This Row],[Affected WTG]],'Basic Data'!$A:$A,'Basic Data'!$B:$B),"")</f>
        <v>PWEPL</v>
      </c>
      <c r="I175" s="23" t="str">
        <f>IFERROR(_xlfn.XLOOKUP(Table5[[#This Row],[Affected WTG]],'Basic Data'!$A:$A,'Basic Data'!$C:$C),"")</f>
        <v>MSEDCL</v>
      </c>
      <c r="J175" s="286">
        <f>IFERROR(_xlfn.XLOOKUP(Table5[[#This Row],[Affected WTG]],'Basic Data'!$A:$A,'Basic Data'!$E:$E),"")</f>
        <v>2.2727272727272728E-2</v>
      </c>
      <c r="K175" s="79">
        <v>201</v>
      </c>
      <c r="L175" s="23" t="str">
        <f>IFERROR(_xlfn.XLOOKUP(Table5[[#This Row],[Error Code]],'Basic Data'!$W:$W,'Basic Data'!$X:$X),"Incorrect Error Code")</f>
        <v xml:space="preserve"> PLC fault 24V Supply</v>
      </c>
      <c r="M175" s="23" t="s">
        <v>881</v>
      </c>
      <c r="N175" s="23"/>
      <c r="O175" s="287">
        <v>0.72777777777777775</v>
      </c>
      <c r="P175" s="287">
        <v>0.72777777777777775</v>
      </c>
      <c r="Q175" s="287">
        <v>0.78611111111111109</v>
      </c>
      <c r="R175" s="91">
        <f t="shared" si="4"/>
        <v>5.8333333333333348E-2</v>
      </c>
      <c r="S175" s="91">
        <f>(Table5[[#This Row],[Fault Clearance time]]-Table5[[#This Row],[Work Start TimeStamp]])*24</f>
        <v>1.4000000000000004</v>
      </c>
      <c r="T175" s="91">
        <f>(Table5[[#This Row],[Fault Clearance time]]-Table5[[#This Row],[Fault Start TimeStamp]])*24</f>
        <v>1.4000000000000004</v>
      </c>
      <c r="U175" s="23" t="s">
        <v>882</v>
      </c>
      <c r="V175" s="79" t="s">
        <v>339</v>
      </c>
      <c r="W175" s="289">
        <f>IFERROR(Table5[[#This Row],[Breakdown Time]]*Table5[[#This Row],[Plant Equivalent Weightage]],"")</f>
        <v>3.1818181818181829E-2</v>
      </c>
      <c r="X175" s="289" t="s">
        <v>343</v>
      </c>
      <c r="Y175" s="290" t="s">
        <v>98</v>
      </c>
      <c r="Z175" s="79"/>
      <c r="AA175" s="283">
        <v>1349</v>
      </c>
      <c r="AB175" s="79"/>
      <c r="AC175" s="23"/>
      <c r="AD175" s="23"/>
    </row>
    <row r="176" spans="1:30">
      <c r="A176" s="79">
        <f t="shared" si="5"/>
        <v>175</v>
      </c>
      <c r="B176" s="283">
        <f>YEAR(Table5[[#This Row],[Date]])+IF(MONTH(Table5[[#This Row],[Date]])&gt;=4,1,0)</f>
        <v>2026</v>
      </c>
      <c r="C176" s="79">
        <f>YEAR(Table5[[#This Row],[Date]])</f>
        <v>2025</v>
      </c>
      <c r="D176" s="79" t="s">
        <v>344</v>
      </c>
      <c r="E176" s="284">
        <f>Table5[[#This Row],[Date]]-DAY(Table5[[#This Row],[Date]])+1</f>
        <v>45809</v>
      </c>
      <c r="F176" s="285">
        <v>45812</v>
      </c>
      <c r="G176" s="79" t="s">
        <v>106</v>
      </c>
      <c r="H176" s="23" t="str">
        <f>IFERROR(_xlfn.XLOOKUP(Table5[[#This Row],[Affected WTG]],'Basic Data'!$A:$A,'Basic Data'!$B:$B),"")</f>
        <v>PWEPL</v>
      </c>
      <c r="I176" s="23" t="str">
        <f>IFERROR(_xlfn.XLOOKUP(Table5[[#This Row],[Affected WTG]],'Basic Data'!$A:$A,'Basic Data'!$C:$C),"")</f>
        <v>MSEDCL</v>
      </c>
      <c r="J176" s="286">
        <f>IFERROR(_xlfn.XLOOKUP(Table5[[#This Row],[Affected WTG]],'Basic Data'!$A:$A,'Basic Data'!$E:$E),"")</f>
        <v>2.2727272727272728E-2</v>
      </c>
      <c r="K176" s="79">
        <v>134</v>
      </c>
      <c r="L176" s="23" t="str">
        <f>IFERROR(_xlfn.XLOOKUP(Table5[[#This Row],[Error Code]],'Basic Data'!$W:$W,'Basic Data'!$X:$X),"Incorrect Error Code")</f>
        <v>Battery charging voltage not OK</v>
      </c>
      <c r="M176" s="23" t="s">
        <v>586</v>
      </c>
      <c r="N176" s="23"/>
      <c r="O176" s="287">
        <v>0.50763888888888886</v>
      </c>
      <c r="P176" s="287">
        <v>0.50763888888888886</v>
      </c>
      <c r="Q176" s="287">
        <v>0.56944444444444442</v>
      </c>
      <c r="R176" s="91">
        <f t="shared" si="4"/>
        <v>6.1805555555555558E-2</v>
      </c>
      <c r="S176" s="91">
        <f>(Table5[[#This Row],[Fault Clearance time]]-Table5[[#This Row],[Work Start TimeStamp]])*24</f>
        <v>1.4833333333333334</v>
      </c>
      <c r="T176" s="91">
        <f>(Table5[[#This Row],[Fault Clearance time]]-Table5[[#This Row],[Fault Start TimeStamp]])*24</f>
        <v>1.4833333333333334</v>
      </c>
      <c r="U176" s="23" t="s">
        <v>353</v>
      </c>
      <c r="V176" s="79" t="s">
        <v>339</v>
      </c>
      <c r="W176" s="289">
        <f>IFERROR(Table5[[#This Row],[Breakdown Time]]*Table5[[#This Row],[Plant Equivalent Weightage]],"")</f>
        <v>3.3712121212121214E-2</v>
      </c>
      <c r="X176" s="289" t="s">
        <v>343</v>
      </c>
      <c r="Y176" s="290" t="s">
        <v>92</v>
      </c>
      <c r="Z176" s="79"/>
      <c r="AA176" s="283">
        <v>403</v>
      </c>
      <c r="AB176" s="79"/>
      <c r="AC176" s="23"/>
      <c r="AD176" s="23"/>
    </row>
    <row r="177" spans="1:30">
      <c r="A177" s="79">
        <f t="shared" si="5"/>
        <v>176</v>
      </c>
      <c r="B177" s="283">
        <f>YEAR(Table5[[#This Row],[Date]])+IF(MONTH(Table5[[#This Row],[Date]])&gt;=4,1,0)</f>
        <v>2026</v>
      </c>
      <c r="C177" s="79">
        <f>YEAR(Table5[[#This Row],[Date]])</f>
        <v>2025</v>
      </c>
      <c r="D177" s="79" t="s">
        <v>344</v>
      </c>
      <c r="E177" s="284">
        <f>Table5[[#This Row],[Date]]-DAY(Table5[[#This Row],[Date]])+1</f>
        <v>45809</v>
      </c>
      <c r="F177" s="285">
        <v>45813</v>
      </c>
      <c r="G177" s="79" t="s">
        <v>106</v>
      </c>
      <c r="H177" s="23" t="str">
        <f>IFERROR(_xlfn.XLOOKUP(Table5[[#This Row],[Affected WTG]],'Basic Data'!$A:$A,'Basic Data'!$B:$B),"")</f>
        <v>PWEPL</v>
      </c>
      <c r="I177" s="23" t="str">
        <f>IFERROR(_xlfn.XLOOKUP(Table5[[#This Row],[Affected WTG]],'Basic Data'!$A:$A,'Basic Data'!$C:$C),"")</f>
        <v>MSEDCL</v>
      </c>
      <c r="J177" s="286">
        <f>IFERROR(_xlfn.XLOOKUP(Table5[[#This Row],[Affected WTG]],'Basic Data'!$A:$A,'Basic Data'!$E:$E),"")</f>
        <v>2.2727272727272728E-2</v>
      </c>
      <c r="K177" s="79">
        <v>134</v>
      </c>
      <c r="L177" s="23" t="str">
        <f>IFERROR(_xlfn.XLOOKUP(Table5[[#This Row],[Error Code]],'Basic Data'!$W:$W,'Basic Data'!$X:$X),"Incorrect Error Code")</f>
        <v>Battery charging voltage not OK</v>
      </c>
      <c r="M177" s="23" t="s">
        <v>586</v>
      </c>
      <c r="N177" s="23"/>
      <c r="O177" s="287">
        <v>0.3125</v>
      </c>
      <c r="P177" s="287">
        <v>0.3125</v>
      </c>
      <c r="Q177" s="287">
        <v>0.37083333333333335</v>
      </c>
      <c r="R177" s="91">
        <f t="shared" si="4"/>
        <v>5.8333333333333348E-2</v>
      </c>
      <c r="S177" s="91">
        <f>(Table5[[#This Row],[Fault Clearance time]]-Table5[[#This Row],[Work Start TimeStamp]])*24</f>
        <v>1.4000000000000004</v>
      </c>
      <c r="T177" s="91">
        <f>(Table5[[#This Row],[Fault Clearance time]]-Table5[[#This Row],[Fault Start TimeStamp]])*24</f>
        <v>1.4000000000000004</v>
      </c>
      <c r="U177" s="23" t="s">
        <v>885</v>
      </c>
      <c r="V177" s="79" t="s">
        <v>339</v>
      </c>
      <c r="W177" s="289">
        <f>IFERROR(Table5[[#This Row],[Breakdown Time]]*Table5[[#This Row],[Plant Equivalent Weightage]],"")</f>
        <v>3.1818181818181829E-2</v>
      </c>
      <c r="X177" s="289" t="s">
        <v>343</v>
      </c>
      <c r="Y177" s="290" t="s">
        <v>92</v>
      </c>
      <c r="Z177" s="79"/>
      <c r="AA177" s="283">
        <v>128</v>
      </c>
      <c r="AB177" s="79"/>
      <c r="AC177" s="23"/>
      <c r="AD177" s="23"/>
    </row>
    <row r="178" spans="1:30">
      <c r="A178" s="79">
        <f t="shared" si="5"/>
        <v>177</v>
      </c>
      <c r="B178" s="283">
        <f>YEAR(Table5[[#This Row],[Date]])+IF(MONTH(Table5[[#This Row],[Date]])&gt;=4,1,0)</f>
        <v>2026</v>
      </c>
      <c r="C178" s="79">
        <f>YEAR(Table5[[#This Row],[Date]])</f>
        <v>2025</v>
      </c>
      <c r="D178" s="79" t="s">
        <v>344</v>
      </c>
      <c r="E178" s="284">
        <f>Table5[[#This Row],[Date]]-DAY(Table5[[#This Row],[Date]])+1</f>
        <v>45809</v>
      </c>
      <c r="F178" s="285">
        <v>45813</v>
      </c>
      <c r="G178" s="79" t="s">
        <v>101</v>
      </c>
      <c r="H178" s="23" t="str">
        <f>IFERROR(_xlfn.XLOOKUP(Table5[[#This Row],[Affected WTG]],'Basic Data'!$A:$A,'Basic Data'!$B:$B),"")</f>
        <v>PWEPL</v>
      </c>
      <c r="I178" s="23" t="str">
        <f>IFERROR(_xlfn.XLOOKUP(Table5[[#This Row],[Affected WTG]],'Basic Data'!$A:$A,'Basic Data'!$C:$C),"")</f>
        <v>MSEDCL</v>
      </c>
      <c r="J178" s="286">
        <f>IFERROR(_xlfn.XLOOKUP(Table5[[#This Row],[Affected WTG]],'Basic Data'!$A:$A,'Basic Data'!$E:$E),"")</f>
        <v>2.2727272727272728E-2</v>
      </c>
      <c r="K178" s="79">
        <v>3</v>
      </c>
      <c r="L178" s="23" t="str">
        <f>IFERROR(_xlfn.XLOOKUP(Table5[[#This Row],[Error Code]],'Basic Data'!$W:$W,'Basic Data'!$X:$X),"Incorrect Error Code")</f>
        <v>Manual Stop</v>
      </c>
      <c r="M178" s="23" t="s">
        <v>874</v>
      </c>
      <c r="N178" s="23"/>
      <c r="O178" s="287">
        <v>0.4909722222222222</v>
      </c>
      <c r="P178" s="287">
        <v>0.4909722222222222</v>
      </c>
      <c r="Q178" s="287">
        <v>0.78263888888888899</v>
      </c>
      <c r="R178" s="91">
        <f t="shared" si="4"/>
        <v>0.2916666666666668</v>
      </c>
      <c r="S178" s="91">
        <f>(Table5[[#This Row],[Fault Clearance time]]-Table5[[#This Row],[Work Start TimeStamp]])*24</f>
        <v>7.0000000000000036</v>
      </c>
      <c r="T178" s="91">
        <f>(Table5[[#This Row],[Fault Clearance time]]-Table5[[#This Row],[Fault Start TimeStamp]])*24</f>
        <v>7.0000000000000036</v>
      </c>
      <c r="U178" s="23" t="s">
        <v>883</v>
      </c>
      <c r="V178" s="79" t="s">
        <v>339</v>
      </c>
      <c r="W178" s="289">
        <f>IFERROR(Table5[[#This Row],[Breakdown Time]]*Table5[[#This Row],[Plant Equivalent Weightage]],"")</f>
        <v>0.15909090909090917</v>
      </c>
      <c r="X178" s="289" t="s">
        <v>394</v>
      </c>
      <c r="Y178" s="290" t="s">
        <v>100</v>
      </c>
      <c r="Z178" s="79"/>
      <c r="AA178" s="283">
        <v>2265</v>
      </c>
      <c r="AB178" s="79"/>
      <c r="AC178" s="23"/>
      <c r="AD178" s="23"/>
    </row>
    <row r="179" spans="1:30">
      <c r="A179" s="79">
        <f t="shared" si="5"/>
        <v>178</v>
      </c>
      <c r="B179" s="283">
        <f>YEAR(Table5[[#This Row],[Date]])+IF(MONTH(Table5[[#This Row],[Date]])&gt;=4,1,0)</f>
        <v>2026</v>
      </c>
      <c r="C179" s="79">
        <f>YEAR(Table5[[#This Row],[Date]])</f>
        <v>2025</v>
      </c>
      <c r="D179" s="79" t="s">
        <v>344</v>
      </c>
      <c r="E179" s="284">
        <f>Table5[[#This Row],[Date]]-DAY(Table5[[#This Row],[Date]])+1</f>
        <v>45809</v>
      </c>
      <c r="F179" s="285">
        <v>45814</v>
      </c>
      <c r="G179" s="79" t="s">
        <v>88</v>
      </c>
      <c r="H179" s="23" t="str">
        <f>IFERROR(_xlfn.XLOOKUP(Table5[[#This Row],[Affected WTG]],'Basic Data'!$A:$A,'Basic Data'!$B:$B),"")</f>
        <v>PWEPL</v>
      </c>
      <c r="I179" s="23" t="str">
        <f>IFERROR(_xlfn.XLOOKUP(Table5[[#This Row],[Affected WTG]],'Basic Data'!$A:$A,'Basic Data'!$C:$C),"")</f>
        <v>MSEDCL</v>
      </c>
      <c r="J179" s="286">
        <f>IFERROR(_xlfn.XLOOKUP(Table5[[#This Row],[Affected WTG]],'Basic Data'!$A:$A,'Basic Data'!$E:$E),"")</f>
        <v>2.2727272727272728E-2</v>
      </c>
      <c r="K179" s="79">
        <v>3</v>
      </c>
      <c r="L179" s="23" t="str">
        <f>IFERROR(_xlfn.XLOOKUP(Table5[[#This Row],[Error Code]],'Basic Data'!$W:$W,'Basic Data'!$X:$X),"Incorrect Error Code")</f>
        <v>Manual Stop</v>
      </c>
      <c r="M179" s="23" t="s">
        <v>874</v>
      </c>
      <c r="N179" s="23"/>
      <c r="O179" s="287">
        <v>0.46111111111111108</v>
      </c>
      <c r="P179" s="287">
        <v>0.46111111111111108</v>
      </c>
      <c r="Q179" s="287">
        <v>0.66527777777777775</v>
      </c>
      <c r="R179" s="91">
        <f t="shared" si="4"/>
        <v>0.20416666666666666</v>
      </c>
      <c r="S179" s="91">
        <f>(Table5[[#This Row],[Fault Clearance time]]-Table5[[#This Row],[Work Start TimeStamp]])*24</f>
        <v>4.9000000000000004</v>
      </c>
      <c r="T179" s="91">
        <f>(Table5[[#This Row],[Fault Clearance time]]-Table5[[#This Row],[Fault Start TimeStamp]])*24</f>
        <v>4.9000000000000004</v>
      </c>
      <c r="U179" s="23" t="s">
        <v>887</v>
      </c>
      <c r="V179" s="79" t="s">
        <v>339</v>
      </c>
      <c r="W179" s="289">
        <f>IFERROR(Table5[[#This Row],[Breakdown Time]]*Table5[[#This Row],[Plant Equivalent Weightage]],"")</f>
        <v>0.11136363636363637</v>
      </c>
      <c r="X179" s="289" t="s">
        <v>394</v>
      </c>
      <c r="Y179" s="290" t="s">
        <v>87</v>
      </c>
      <c r="Z179" s="79"/>
      <c r="AA179" s="283">
        <v>832</v>
      </c>
      <c r="AB179" s="79"/>
      <c r="AC179" s="23"/>
      <c r="AD179" s="23"/>
    </row>
    <row r="180" spans="1:30">
      <c r="A180" s="79">
        <f t="shared" si="5"/>
        <v>179</v>
      </c>
      <c r="B180" s="283">
        <f>YEAR(Table5[[#This Row],[Date]])+IF(MONTH(Table5[[#This Row],[Date]])&gt;=4,1,0)</f>
        <v>2026</v>
      </c>
      <c r="C180" s="79">
        <f>YEAR(Table5[[#This Row],[Date]])</f>
        <v>2025</v>
      </c>
      <c r="D180" s="79" t="s">
        <v>344</v>
      </c>
      <c r="E180" s="284">
        <f>Table5[[#This Row],[Date]]-DAY(Table5[[#This Row],[Date]])+1</f>
        <v>45809</v>
      </c>
      <c r="F180" s="285">
        <v>45814</v>
      </c>
      <c r="G180" s="79" t="s">
        <v>109</v>
      </c>
      <c r="H180" s="23" t="str">
        <f>IFERROR(_xlfn.XLOOKUP(Table5[[#This Row],[Affected WTG]],'Basic Data'!$A:$A,'Basic Data'!$B:$B),"")</f>
        <v>PWEPL</v>
      </c>
      <c r="I180" s="23" t="str">
        <f>IFERROR(_xlfn.XLOOKUP(Table5[[#This Row],[Affected WTG]],'Basic Data'!$A:$A,'Basic Data'!$C:$C),"")</f>
        <v>MSEDCL</v>
      </c>
      <c r="J180" s="286">
        <f>IFERROR(_xlfn.XLOOKUP(Table5[[#This Row],[Affected WTG]],'Basic Data'!$A:$A,'Basic Data'!$E:$E),"")</f>
        <v>2.2727272727272728E-2</v>
      </c>
      <c r="K180" s="79">
        <v>276</v>
      </c>
      <c r="L180" s="23" t="str">
        <f>IFERROR(_xlfn.XLOOKUP(Table5[[#This Row],[Error Code]],'Basic Data'!$W:$W,'Basic Data'!$X:$X),"Incorrect Error Code")</f>
        <v>Pitch thyristor 3 fault</v>
      </c>
      <c r="M180" s="23" t="s">
        <v>153</v>
      </c>
      <c r="N180" s="23"/>
      <c r="O180" s="287">
        <v>0.65416666666666667</v>
      </c>
      <c r="P180" s="287">
        <v>0.65416666666666667</v>
      </c>
      <c r="Q180" s="287">
        <v>0.85972222222222217</v>
      </c>
      <c r="R180" s="91">
        <f t="shared" si="4"/>
        <v>0.20555555555555549</v>
      </c>
      <c r="S180" s="91">
        <f>(Table5[[#This Row],[Fault Clearance time]]-Table5[[#This Row],[Work Start TimeStamp]])*24</f>
        <v>4.9333333333333318</v>
      </c>
      <c r="T180" s="91">
        <f>(Table5[[#This Row],[Fault Clearance time]]-Table5[[#This Row],[Fault Start TimeStamp]])*24</f>
        <v>4.9333333333333318</v>
      </c>
      <c r="U180" s="23" t="s">
        <v>888</v>
      </c>
      <c r="V180" s="79" t="s">
        <v>339</v>
      </c>
      <c r="W180" s="289">
        <f>IFERROR(Table5[[#This Row],[Breakdown Time]]*Table5[[#This Row],[Plant Equivalent Weightage]],"")</f>
        <v>0.11212121212121209</v>
      </c>
      <c r="X180" s="289" t="s">
        <v>343</v>
      </c>
      <c r="Y180" s="290" t="s">
        <v>114</v>
      </c>
      <c r="Z180" s="79"/>
      <c r="AA180" s="283">
        <v>2441</v>
      </c>
      <c r="AB180" s="79"/>
      <c r="AC180" s="23"/>
      <c r="AD180" s="23"/>
    </row>
    <row r="181" spans="1:30">
      <c r="A181" s="79">
        <f t="shared" si="5"/>
        <v>180</v>
      </c>
      <c r="B181" s="283">
        <f>YEAR(Table5[[#This Row],[Date]])+IF(MONTH(Table5[[#This Row],[Date]])&gt;=4,1,0)</f>
        <v>2026</v>
      </c>
      <c r="C181" s="79">
        <f>YEAR(Table5[[#This Row],[Date]])</f>
        <v>2025</v>
      </c>
      <c r="D181" s="79" t="s">
        <v>344</v>
      </c>
      <c r="E181" s="284">
        <f>Table5[[#This Row],[Date]]-DAY(Table5[[#This Row],[Date]])+1</f>
        <v>45809</v>
      </c>
      <c r="F181" s="285">
        <v>45815</v>
      </c>
      <c r="G181" s="79" t="s">
        <v>88</v>
      </c>
      <c r="H181" s="23" t="str">
        <f>IFERROR(_xlfn.XLOOKUP(Table5[[#This Row],[Affected WTG]],'Basic Data'!$A:$A,'Basic Data'!$B:$B),"")</f>
        <v>PWEPL</v>
      </c>
      <c r="I181" s="23" t="str">
        <f>IFERROR(_xlfn.XLOOKUP(Table5[[#This Row],[Affected WTG]],'Basic Data'!$A:$A,'Basic Data'!$C:$C),"")</f>
        <v>MSEDCL</v>
      </c>
      <c r="J181" s="286">
        <f>IFERROR(_xlfn.XLOOKUP(Table5[[#This Row],[Affected WTG]],'Basic Data'!$A:$A,'Basic Data'!$E:$E),"")</f>
        <v>2.2727272727272728E-2</v>
      </c>
      <c r="K181" s="79">
        <v>275</v>
      </c>
      <c r="L181" s="23" t="str">
        <f>IFERROR(_xlfn.XLOOKUP(Table5[[#This Row],[Error Code]],'Basic Data'!$W:$W,'Basic Data'!$X:$X),"Incorrect Error Code")</f>
        <v>Pitch thyristor 2 fault</v>
      </c>
      <c r="M181" s="23" t="s">
        <v>162</v>
      </c>
      <c r="N181" s="23"/>
      <c r="O181" s="287">
        <v>0.34166666666666662</v>
      </c>
      <c r="P181" s="287">
        <v>0.34166666666666662</v>
      </c>
      <c r="Q181" s="287">
        <v>0.48055555555555557</v>
      </c>
      <c r="R181" s="91">
        <f t="shared" si="4"/>
        <v>0.13888888888888895</v>
      </c>
      <c r="S181" s="91">
        <f>(Table5[[#This Row],[Fault Clearance time]]-Table5[[#This Row],[Work Start TimeStamp]])*24</f>
        <v>3.3333333333333348</v>
      </c>
      <c r="T181" s="91">
        <f>(Table5[[#This Row],[Fault Clearance time]]-Table5[[#This Row],[Fault Start TimeStamp]])*24</f>
        <v>3.3333333333333348</v>
      </c>
      <c r="U181" s="23" t="s">
        <v>891</v>
      </c>
      <c r="V181" s="79" t="s">
        <v>339</v>
      </c>
      <c r="W181" s="289">
        <f>IFERROR(Table5[[#This Row],[Breakdown Time]]*Table5[[#This Row],[Plant Equivalent Weightage]],"")</f>
        <v>7.5757575757575787E-2</v>
      </c>
      <c r="X181" s="289" t="s">
        <v>343</v>
      </c>
      <c r="Y181" s="290" t="s">
        <v>87</v>
      </c>
      <c r="Z181" s="79"/>
      <c r="AA181" s="283">
        <v>147</v>
      </c>
      <c r="AB181" s="79"/>
      <c r="AC181" s="23"/>
      <c r="AD181" s="23"/>
    </row>
    <row r="182" spans="1:30">
      <c r="A182" s="79">
        <f t="shared" si="5"/>
        <v>181</v>
      </c>
      <c r="B182" s="283">
        <f>YEAR(Table5[[#This Row],[Date]])+IF(MONTH(Table5[[#This Row],[Date]])&gt;=4,1,0)</f>
        <v>2026</v>
      </c>
      <c r="C182" s="79">
        <f>YEAR(Table5[[#This Row],[Date]])</f>
        <v>2025</v>
      </c>
      <c r="D182" s="79" t="s">
        <v>344</v>
      </c>
      <c r="E182" s="284">
        <f>Table5[[#This Row],[Date]]-DAY(Table5[[#This Row],[Date]])+1</f>
        <v>45809</v>
      </c>
      <c r="F182" s="285">
        <v>45815</v>
      </c>
      <c r="G182" s="79" t="s">
        <v>104</v>
      </c>
      <c r="H182" s="23" t="str">
        <f>IFERROR(_xlfn.XLOOKUP(Table5[[#This Row],[Affected WTG]],'Basic Data'!$A:$A,'Basic Data'!$B:$B),"")</f>
        <v>PWEPL</v>
      </c>
      <c r="I182" s="23" t="str">
        <f>IFERROR(_xlfn.XLOOKUP(Table5[[#This Row],[Affected WTG]],'Basic Data'!$A:$A,'Basic Data'!$C:$C),"")</f>
        <v>MSEDCL</v>
      </c>
      <c r="J182" s="286">
        <f>IFERROR(_xlfn.XLOOKUP(Table5[[#This Row],[Affected WTG]],'Basic Data'!$A:$A,'Basic Data'!$E:$E),"")</f>
        <v>2.2727272727272728E-2</v>
      </c>
      <c r="K182" s="79">
        <v>3</v>
      </c>
      <c r="L182" s="23" t="str">
        <f>IFERROR(_xlfn.XLOOKUP(Table5[[#This Row],[Error Code]],'Basic Data'!$W:$W,'Basic Data'!$X:$X),"Incorrect Error Code")</f>
        <v>Manual Stop</v>
      </c>
      <c r="M182" s="23" t="s">
        <v>889</v>
      </c>
      <c r="N182" s="23"/>
      <c r="O182" s="287">
        <v>0.59236111111111112</v>
      </c>
      <c r="P182" s="287">
        <v>0.59236111111111112</v>
      </c>
      <c r="Q182" s="287">
        <v>0.69930555555555562</v>
      </c>
      <c r="R182" s="91">
        <f t="shared" si="4"/>
        <v>0.10694444444444451</v>
      </c>
      <c r="S182" s="91">
        <f>(Table5[[#This Row],[Fault Clearance time]]-Table5[[#This Row],[Work Start TimeStamp]])*24</f>
        <v>2.5666666666666682</v>
      </c>
      <c r="T182" s="91">
        <f>(Table5[[#This Row],[Fault Clearance time]]-Table5[[#This Row],[Fault Start TimeStamp]])*24</f>
        <v>2.5666666666666682</v>
      </c>
      <c r="U182" s="23" t="s">
        <v>890</v>
      </c>
      <c r="V182" s="79" t="s">
        <v>339</v>
      </c>
      <c r="W182" s="289">
        <f>IFERROR(Table5[[#This Row],[Breakdown Time]]*Table5[[#This Row],[Plant Equivalent Weightage]],"")</f>
        <v>5.8333333333333369E-2</v>
      </c>
      <c r="X182" s="289" t="s">
        <v>394</v>
      </c>
      <c r="Y182" s="290" t="s">
        <v>79</v>
      </c>
      <c r="Z182" s="79"/>
      <c r="AA182" s="283">
        <v>692</v>
      </c>
      <c r="AB182" s="79"/>
      <c r="AC182" s="23"/>
      <c r="AD182" s="23"/>
    </row>
    <row r="183" spans="1:30">
      <c r="A183" s="79">
        <f t="shared" si="5"/>
        <v>182</v>
      </c>
      <c r="B183" s="283">
        <f>YEAR(Table5[[#This Row],[Date]])+IF(MONTH(Table5[[#This Row],[Date]])&gt;=4,1,0)</f>
        <v>2026</v>
      </c>
      <c r="C183" s="79">
        <f>YEAR(Table5[[#This Row],[Date]])</f>
        <v>2025</v>
      </c>
      <c r="D183" s="79" t="s">
        <v>344</v>
      </c>
      <c r="E183" s="284">
        <f>Table5[[#This Row],[Date]]-DAY(Table5[[#This Row],[Date]])+1</f>
        <v>45809</v>
      </c>
      <c r="F183" s="285">
        <v>45816</v>
      </c>
      <c r="G183" s="79" t="s">
        <v>87</v>
      </c>
      <c r="H183" s="23" t="str">
        <f>IFERROR(_xlfn.XLOOKUP(Table5[[#This Row],[Affected WTG]],'Basic Data'!$A:$A,'Basic Data'!$B:$B),"")</f>
        <v>PWEPL</v>
      </c>
      <c r="I183" s="23" t="str">
        <f>IFERROR(_xlfn.XLOOKUP(Table5[[#This Row],[Affected WTG]],'Basic Data'!$A:$A,'Basic Data'!$C:$C),"")</f>
        <v>MSEDCL</v>
      </c>
      <c r="J183" s="286">
        <f>IFERROR(_xlfn.XLOOKUP(Table5[[#This Row],[Affected WTG]],'Basic Data'!$A:$A,'Basic Data'!$E:$E),"")</f>
        <v>2.2727272727272728E-2</v>
      </c>
      <c r="K183" s="79">
        <v>142</v>
      </c>
      <c r="L183" s="23" t="str">
        <f>IFERROR(_xlfn.XLOOKUP(Table5[[#This Row],[Error Code]],'Basic Data'!$W:$W,'Basic Data'!$X:$X),"Incorrect Error Code")</f>
        <v>Line CCU collective faults</v>
      </c>
      <c r="M183" s="23" t="s">
        <v>149</v>
      </c>
      <c r="N183" s="23"/>
      <c r="O183" s="287">
        <v>0.44236111111111115</v>
      </c>
      <c r="P183" s="287">
        <v>0.44236111111111115</v>
      </c>
      <c r="Q183" s="287">
        <v>0.4458333333333333</v>
      </c>
      <c r="R183" s="91">
        <f t="shared" si="4"/>
        <v>3.4722222222221544E-3</v>
      </c>
      <c r="S183" s="91">
        <f>(Table5[[#This Row],[Fault Clearance time]]-Table5[[#This Row],[Work Start TimeStamp]])*24</f>
        <v>8.3333333333331705E-2</v>
      </c>
      <c r="T183" s="91">
        <f>(Table5[[#This Row],[Fault Clearance time]]-Table5[[#This Row],[Fault Start TimeStamp]])*24</f>
        <v>8.3333333333331705E-2</v>
      </c>
      <c r="U183" s="23" t="s">
        <v>353</v>
      </c>
      <c r="V183" s="79" t="s">
        <v>339</v>
      </c>
      <c r="W183" s="289">
        <f>IFERROR(Table5[[#This Row],[Breakdown Time]]*Table5[[#This Row],[Plant Equivalent Weightage]],"")</f>
        <v>1.8939393939393569E-3</v>
      </c>
      <c r="X183" s="289" t="s">
        <v>343</v>
      </c>
      <c r="Y183" s="290" t="s">
        <v>86</v>
      </c>
      <c r="Z183" s="79"/>
      <c r="AA183" s="283">
        <v>45</v>
      </c>
      <c r="AB183" s="79"/>
      <c r="AC183" s="23"/>
      <c r="AD183" s="23"/>
    </row>
    <row r="184" spans="1:30">
      <c r="A184" s="79">
        <f t="shared" si="5"/>
        <v>183</v>
      </c>
      <c r="B184" s="283">
        <f>YEAR(Table5[[#This Row],[Date]])+IF(MONTH(Table5[[#This Row],[Date]])&gt;=4,1,0)</f>
        <v>2026</v>
      </c>
      <c r="C184" s="79">
        <f>YEAR(Table5[[#This Row],[Date]])</f>
        <v>2025</v>
      </c>
      <c r="D184" s="79" t="s">
        <v>344</v>
      </c>
      <c r="E184" s="284">
        <f>Table5[[#This Row],[Date]]-DAY(Table5[[#This Row],[Date]])+1</f>
        <v>45809</v>
      </c>
      <c r="F184" s="285">
        <v>45816</v>
      </c>
      <c r="G184" s="79" t="s">
        <v>114</v>
      </c>
      <c r="H184" s="23" t="str">
        <f>IFERROR(_xlfn.XLOOKUP(Table5[[#This Row],[Affected WTG]],'Basic Data'!$A:$A,'Basic Data'!$B:$B),"")</f>
        <v>PWEPL</v>
      </c>
      <c r="I184" s="23" t="str">
        <f>IFERROR(_xlfn.XLOOKUP(Table5[[#This Row],[Affected WTG]],'Basic Data'!$A:$A,'Basic Data'!$C:$C),"")</f>
        <v>MSEDCL</v>
      </c>
      <c r="J184" s="286">
        <f>IFERROR(_xlfn.XLOOKUP(Table5[[#This Row],[Affected WTG]],'Basic Data'!$A:$A,'Basic Data'!$E:$E),"")</f>
        <v>2.2727272727272728E-2</v>
      </c>
      <c r="K184" s="79">
        <v>3</v>
      </c>
      <c r="L184" s="23" t="str">
        <f>IFERROR(_xlfn.XLOOKUP(Table5[[#This Row],[Error Code]],'Basic Data'!$W:$W,'Basic Data'!$X:$X),"Incorrect Error Code")</f>
        <v>Manual Stop</v>
      </c>
      <c r="M184" s="23" t="s">
        <v>889</v>
      </c>
      <c r="N184" s="23"/>
      <c r="O184" s="287">
        <v>0.57291666666666663</v>
      </c>
      <c r="P184" s="287">
        <v>0.57291666666666663</v>
      </c>
      <c r="Q184" s="287">
        <v>0.61527777777777781</v>
      </c>
      <c r="R184" s="91">
        <f t="shared" si="4"/>
        <v>4.2361111111111183E-2</v>
      </c>
      <c r="S184" s="91">
        <f>(Table5[[#This Row],[Fault Clearance time]]-Table5[[#This Row],[Work Start TimeStamp]])*24</f>
        <v>1.0166666666666684</v>
      </c>
      <c r="T184" s="91">
        <f>(Table5[[#This Row],[Fault Clearance time]]-Table5[[#This Row],[Fault Start TimeStamp]])*24</f>
        <v>1.0166666666666684</v>
      </c>
      <c r="U184" s="23" t="s">
        <v>890</v>
      </c>
      <c r="V184" s="79" t="s">
        <v>339</v>
      </c>
      <c r="W184" s="289">
        <f>IFERROR(Table5[[#This Row],[Breakdown Time]]*Table5[[#This Row],[Plant Equivalent Weightage]],"")</f>
        <v>2.3106060606060647E-2</v>
      </c>
      <c r="X184" s="289" t="s">
        <v>394</v>
      </c>
      <c r="Y184" s="290" t="s">
        <v>113</v>
      </c>
      <c r="Z184" s="79"/>
      <c r="AA184" s="283">
        <v>562</v>
      </c>
      <c r="AB184" s="79"/>
      <c r="AC184" s="23"/>
      <c r="AD184" s="23"/>
    </row>
    <row r="185" spans="1:30">
      <c r="A185" s="79">
        <f t="shared" si="5"/>
        <v>184</v>
      </c>
      <c r="B185" s="283">
        <f>YEAR(Table5[[#This Row],[Date]])+IF(MONTH(Table5[[#This Row],[Date]])&gt;=4,1,0)</f>
        <v>2026</v>
      </c>
      <c r="C185" s="79">
        <f>YEAR(Table5[[#This Row],[Date]])</f>
        <v>2025</v>
      </c>
      <c r="D185" s="79" t="s">
        <v>344</v>
      </c>
      <c r="E185" s="284">
        <f>Table5[[#This Row],[Date]]-DAY(Table5[[#This Row],[Date]])+1</f>
        <v>45809</v>
      </c>
      <c r="F185" s="285">
        <v>45817</v>
      </c>
      <c r="G185" s="79" t="s">
        <v>104</v>
      </c>
      <c r="H185" s="23" t="str">
        <f>IFERROR(_xlfn.XLOOKUP(Table5[[#This Row],[Affected WTG]],'Basic Data'!$A:$A,'Basic Data'!$B:$B),"")</f>
        <v>PWEPL</v>
      </c>
      <c r="I185" s="23" t="str">
        <f>IFERROR(_xlfn.XLOOKUP(Table5[[#This Row],[Affected WTG]],'Basic Data'!$A:$A,'Basic Data'!$C:$C),"")</f>
        <v>MSEDCL</v>
      </c>
      <c r="J185" s="286">
        <f>IFERROR(_xlfn.XLOOKUP(Table5[[#This Row],[Affected WTG]],'Basic Data'!$A:$A,'Basic Data'!$E:$E),"")</f>
        <v>2.2727272727272728E-2</v>
      </c>
      <c r="K185" s="79">
        <v>201</v>
      </c>
      <c r="L185" s="23" t="str">
        <f>IFERROR(_xlfn.XLOOKUP(Table5[[#This Row],[Error Code]],'Basic Data'!$W:$W,'Basic Data'!$X:$X),"Incorrect Error Code")</f>
        <v xml:space="preserve"> PLC fault 24V Supply</v>
      </c>
      <c r="M185" s="23" t="s">
        <v>366</v>
      </c>
      <c r="N185" s="23"/>
      <c r="O185" s="287">
        <v>0.89583333333333337</v>
      </c>
      <c r="P185" s="287">
        <v>0.89583333333333337</v>
      </c>
      <c r="Q185" s="287">
        <v>0.90347222222222223</v>
      </c>
      <c r="R185" s="91">
        <f t="shared" si="4"/>
        <v>7.6388888888888618E-3</v>
      </c>
      <c r="S185" s="91">
        <f>(Table5[[#This Row],[Fault Clearance time]]-Table5[[#This Row],[Work Start TimeStamp]])*24</f>
        <v>0.18333333333333268</v>
      </c>
      <c r="T185" s="91">
        <f>(Table5[[#This Row],[Fault Clearance time]]-Table5[[#This Row],[Fault Start TimeStamp]])*24</f>
        <v>0.18333333333333268</v>
      </c>
      <c r="U185" s="23" t="s">
        <v>353</v>
      </c>
      <c r="V185" s="79" t="s">
        <v>339</v>
      </c>
      <c r="W185" s="289">
        <f>IFERROR(Table5[[#This Row],[Breakdown Time]]*Table5[[#This Row],[Plant Equivalent Weightage]],"")</f>
        <v>4.1666666666666519E-3</v>
      </c>
      <c r="X185" s="289" t="s">
        <v>343</v>
      </c>
      <c r="Y185" s="290" t="s">
        <v>79</v>
      </c>
      <c r="Z185" s="79"/>
      <c r="AA185" s="283">
        <v>172</v>
      </c>
      <c r="AB185" s="79"/>
      <c r="AC185" s="23"/>
      <c r="AD185" s="23"/>
    </row>
    <row r="186" spans="1:30">
      <c r="A186" s="79">
        <f t="shared" si="5"/>
        <v>185</v>
      </c>
      <c r="B186" s="283">
        <f>YEAR(Table5[[#This Row],[Date]])+IF(MONTH(Table5[[#This Row],[Date]])&gt;=4,1,0)</f>
        <v>2026</v>
      </c>
      <c r="C186" s="79">
        <f>YEAR(Table5[[#This Row],[Date]])</f>
        <v>2025</v>
      </c>
      <c r="D186" s="79" t="s">
        <v>344</v>
      </c>
      <c r="E186" s="284">
        <f>Table5[[#This Row],[Date]]-DAY(Table5[[#This Row],[Date]])+1</f>
        <v>45809</v>
      </c>
      <c r="F186" s="285">
        <v>45818</v>
      </c>
      <c r="G186" s="79" t="s">
        <v>99</v>
      </c>
      <c r="H186" s="23" t="str">
        <f>IFERROR(_xlfn.XLOOKUP(Table5[[#This Row],[Affected WTG]],'Basic Data'!$A:$A,'Basic Data'!$B:$B),"")</f>
        <v>PWEPL</v>
      </c>
      <c r="I186" s="23" t="str">
        <f>IFERROR(_xlfn.XLOOKUP(Table5[[#This Row],[Affected WTG]],'Basic Data'!$A:$A,'Basic Data'!$C:$C),"")</f>
        <v>MSEDCL</v>
      </c>
      <c r="J186" s="286">
        <f>IFERROR(_xlfn.XLOOKUP(Table5[[#This Row],[Affected WTG]],'Basic Data'!$A:$A,'Basic Data'!$E:$E),"")</f>
        <v>2.2727272727272728E-2</v>
      </c>
      <c r="K186" s="79">
        <v>201</v>
      </c>
      <c r="L186" s="23" t="str">
        <f>IFERROR(_xlfn.XLOOKUP(Table5[[#This Row],[Error Code]],'Basic Data'!$W:$W,'Basic Data'!$X:$X),"Incorrect Error Code")</f>
        <v xml:space="preserve"> PLC fault 24V Supply</v>
      </c>
      <c r="M186" s="23" t="s">
        <v>366</v>
      </c>
      <c r="N186" s="23"/>
      <c r="O186" s="287">
        <v>0.57638888888888895</v>
      </c>
      <c r="P186" s="287">
        <v>0.57638888888888895</v>
      </c>
      <c r="Q186" s="287">
        <v>0.59027777777777779</v>
      </c>
      <c r="R186" s="91">
        <f t="shared" si="4"/>
        <v>1.388888888888884E-2</v>
      </c>
      <c r="S186" s="91">
        <f>(Table5[[#This Row],[Fault Clearance time]]-Table5[[#This Row],[Work Start TimeStamp]])*24</f>
        <v>0.33333333333333215</v>
      </c>
      <c r="T186" s="91">
        <f>(Table5[[#This Row],[Fault Clearance time]]-Table5[[#This Row],[Fault Start TimeStamp]])*24</f>
        <v>0.33333333333333215</v>
      </c>
      <c r="U186" s="23" t="s">
        <v>349</v>
      </c>
      <c r="V186" s="79" t="s">
        <v>339</v>
      </c>
      <c r="W186" s="289">
        <f>IFERROR(Table5[[#This Row],[Breakdown Time]]*Table5[[#This Row],[Plant Equivalent Weightage]],"")</f>
        <v>7.5757575757575491E-3</v>
      </c>
      <c r="X186" s="289" t="s">
        <v>343</v>
      </c>
      <c r="Y186" s="290" t="s">
        <v>98</v>
      </c>
      <c r="Z186" s="79"/>
      <c r="AA186" s="283">
        <v>98</v>
      </c>
      <c r="AB186" s="79"/>
      <c r="AC186" s="23"/>
      <c r="AD186" s="23"/>
    </row>
    <row r="187" spans="1:30">
      <c r="A187" s="79">
        <f t="shared" si="5"/>
        <v>186</v>
      </c>
      <c r="B187" s="283">
        <f>YEAR(Table5[[#This Row],[Date]])+IF(MONTH(Table5[[#This Row],[Date]])&gt;=4,1,0)</f>
        <v>2026</v>
      </c>
      <c r="C187" s="79">
        <f>YEAR(Table5[[#This Row],[Date]])</f>
        <v>2025</v>
      </c>
      <c r="D187" s="79" t="s">
        <v>344</v>
      </c>
      <c r="E187" s="284">
        <f>Table5[[#This Row],[Date]]-DAY(Table5[[#This Row],[Date]])+1</f>
        <v>45809</v>
      </c>
      <c r="F187" s="285">
        <v>45818</v>
      </c>
      <c r="G187" s="79" t="s">
        <v>99</v>
      </c>
      <c r="H187" s="23" t="str">
        <f>IFERROR(_xlfn.XLOOKUP(Table5[[#This Row],[Affected WTG]],'Basic Data'!$A:$A,'Basic Data'!$B:$B),"")</f>
        <v>PWEPL</v>
      </c>
      <c r="I187" s="23" t="str">
        <f>IFERROR(_xlfn.XLOOKUP(Table5[[#This Row],[Affected WTG]],'Basic Data'!$A:$A,'Basic Data'!$C:$C),"")</f>
        <v>MSEDCL</v>
      </c>
      <c r="J187" s="286">
        <f>IFERROR(_xlfn.XLOOKUP(Table5[[#This Row],[Affected WTG]],'Basic Data'!$A:$A,'Basic Data'!$E:$E),"")</f>
        <v>2.2727272727272728E-2</v>
      </c>
      <c r="K187" s="79">
        <v>201</v>
      </c>
      <c r="L187" s="23" t="str">
        <f>IFERROR(_xlfn.XLOOKUP(Table5[[#This Row],[Error Code]],'Basic Data'!$W:$W,'Basic Data'!$X:$X),"Incorrect Error Code")</f>
        <v xml:space="preserve"> PLC fault 24V Supply</v>
      </c>
      <c r="M187" s="23" t="s">
        <v>881</v>
      </c>
      <c r="N187" s="23"/>
      <c r="O187" s="287">
        <v>0.67361111111111116</v>
      </c>
      <c r="P187" s="287">
        <v>0.67361111111111116</v>
      </c>
      <c r="Q187" s="287">
        <v>0.7270833333333333</v>
      </c>
      <c r="R187" s="91">
        <f t="shared" si="4"/>
        <v>5.3472222222222143E-2</v>
      </c>
      <c r="S187" s="91">
        <f>(Table5[[#This Row],[Fault Clearance time]]-Table5[[#This Row],[Work Start TimeStamp]])*24</f>
        <v>1.2833333333333314</v>
      </c>
      <c r="T187" s="91">
        <f>(Table5[[#This Row],[Fault Clearance time]]-Table5[[#This Row],[Fault Start TimeStamp]])*24</f>
        <v>1.2833333333333314</v>
      </c>
      <c r="U187" s="23" t="s">
        <v>882</v>
      </c>
      <c r="V187" s="79" t="s">
        <v>339</v>
      </c>
      <c r="W187" s="289">
        <f>IFERROR(Table5[[#This Row],[Breakdown Time]]*Table5[[#This Row],[Plant Equivalent Weightage]],"")</f>
        <v>2.9166666666666625E-2</v>
      </c>
      <c r="X187" s="289" t="s">
        <v>343</v>
      </c>
      <c r="Y187" s="290" t="s">
        <v>98</v>
      </c>
      <c r="Z187" s="79"/>
      <c r="AA187" s="283">
        <v>1117</v>
      </c>
      <c r="AB187" s="79"/>
      <c r="AC187" s="23"/>
      <c r="AD187" s="23"/>
    </row>
    <row r="188" spans="1:30">
      <c r="A188" s="79">
        <f t="shared" si="5"/>
        <v>187</v>
      </c>
      <c r="B188" s="283">
        <f>YEAR(Table5[[#This Row],[Date]])+IF(MONTH(Table5[[#This Row],[Date]])&gt;=4,1,0)</f>
        <v>2026</v>
      </c>
      <c r="C188" s="79">
        <f>YEAR(Table5[[#This Row],[Date]])</f>
        <v>2025</v>
      </c>
      <c r="D188" s="79" t="s">
        <v>344</v>
      </c>
      <c r="E188" s="284">
        <f>Table5[[#This Row],[Date]]-DAY(Table5[[#This Row],[Date]])+1</f>
        <v>45809</v>
      </c>
      <c r="F188" s="285">
        <v>45818</v>
      </c>
      <c r="G188" s="79" t="s">
        <v>92</v>
      </c>
      <c r="H188" s="23" t="str">
        <f>IFERROR(_xlfn.XLOOKUP(Table5[[#This Row],[Affected WTG]],'Basic Data'!$A:$A,'Basic Data'!$B:$B),"")</f>
        <v>PWEPL</v>
      </c>
      <c r="I188" s="23" t="str">
        <f>IFERROR(_xlfn.XLOOKUP(Table5[[#This Row],[Affected WTG]],'Basic Data'!$A:$A,'Basic Data'!$C:$C),"")</f>
        <v>MSEDCL</v>
      </c>
      <c r="J188" s="286">
        <f>IFERROR(_xlfn.XLOOKUP(Table5[[#This Row],[Affected WTG]],'Basic Data'!$A:$A,'Basic Data'!$E:$E),"")</f>
        <v>2.2727272727272728E-2</v>
      </c>
      <c r="K188" s="79">
        <v>269</v>
      </c>
      <c r="L188" s="23" t="str">
        <f>IFERROR(_xlfn.XLOOKUP(Table5[[#This Row],[Error Code]],'Basic Data'!$W:$W,'Basic Data'!$X:$X),"Incorrect Error Code")</f>
        <v>Reboot PLC</v>
      </c>
      <c r="M188" s="23" t="s">
        <v>348</v>
      </c>
      <c r="N188" s="23"/>
      <c r="O188" s="287">
        <v>0.5708333333333333</v>
      </c>
      <c r="P188" s="287">
        <v>0.5708333333333333</v>
      </c>
      <c r="Q188" s="287">
        <v>0.57986111111111105</v>
      </c>
      <c r="R188" s="91">
        <f t="shared" si="4"/>
        <v>9.0277777777777457E-3</v>
      </c>
      <c r="S188" s="91">
        <f>(Table5[[#This Row],[Fault Clearance time]]-Table5[[#This Row],[Work Start TimeStamp]])*24</f>
        <v>0.2166666666666659</v>
      </c>
      <c r="T188" s="91">
        <f>(Table5[[#This Row],[Fault Clearance time]]-Table5[[#This Row],[Fault Start TimeStamp]])*24</f>
        <v>0.2166666666666659</v>
      </c>
      <c r="U188" s="23" t="s">
        <v>353</v>
      </c>
      <c r="V188" s="79" t="s">
        <v>339</v>
      </c>
      <c r="W188" s="289">
        <f>IFERROR(Table5[[#This Row],[Breakdown Time]]*Table5[[#This Row],[Plant Equivalent Weightage]],"")</f>
        <v>4.9242424242424065E-3</v>
      </c>
      <c r="X188" s="289" t="s">
        <v>343</v>
      </c>
      <c r="Y188" s="290" t="s">
        <v>91</v>
      </c>
      <c r="Z188" s="79"/>
      <c r="AA188" s="283">
        <v>2</v>
      </c>
      <c r="AB188" s="79"/>
      <c r="AC188" s="23"/>
      <c r="AD188" s="23"/>
    </row>
    <row r="189" spans="1:30">
      <c r="A189" s="79">
        <f t="shared" si="5"/>
        <v>188</v>
      </c>
      <c r="B189" s="283">
        <f>YEAR(Table5[[#This Row],[Date]])+IF(MONTH(Table5[[#This Row],[Date]])&gt;=4,1,0)</f>
        <v>2026</v>
      </c>
      <c r="C189" s="79">
        <f>YEAR(Table5[[#This Row],[Date]])</f>
        <v>2025</v>
      </c>
      <c r="D189" s="79" t="s">
        <v>344</v>
      </c>
      <c r="E189" s="284">
        <f>Table5[[#This Row],[Date]]-DAY(Table5[[#This Row],[Date]])+1</f>
        <v>45809</v>
      </c>
      <c r="F189" s="285">
        <v>45818</v>
      </c>
      <c r="G189" s="79" t="s">
        <v>94</v>
      </c>
      <c r="H189" s="23" t="str">
        <f>IFERROR(_xlfn.XLOOKUP(Table5[[#This Row],[Affected WTG]],'Basic Data'!$A:$A,'Basic Data'!$B:$B),"")</f>
        <v>PWEPL</v>
      </c>
      <c r="I189" s="23" t="str">
        <f>IFERROR(_xlfn.XLOOKUP(Table5[[#This Row],[Affected WTG]],'Basic Data'!$A:$A,'Basic Data'!$C:$C),"")</f>
        <v>MSEDCL</v>
      </c>
      <c r="J189" s="286">
        <f>IFERROR(_xlfn.XLOOKUP(Table5[[#This Row],[Affected WTG]],'Basic Data'!$A:$A,'Basic Data'!$E:$E),"")</f>
        <v>2.2727272727272728E-2</v>
      </c>
      <c r="K189" s="79">
        <v>269</v>
      </c>
      <c r="L189" s="23" t="str">
        <f>IFERROR(_xlfn.XLOOKUP(Table5[[#This Row],[Error Code]],'Basic Data'!$W:$W,'Basic Data'!$X:$X),"Incorrect Error Code")</f>
        <v>Reboot PLC</v>
      </c>
      <c r="M189" s="23" t="s">
        <v>348</v>
      </c>
      <c r="N189" s="23"/>
      <c r="O189" s="287">
        <v>0.5708333333333333</v>
      </c>
      <c r="P189" s="287">
        <v>0.5708333333333333</v>
      </c>
      <c r="Q189" s="287">
        <v>0.57638888888888895</v>
      </c>
      <c r="R189" s="91">
        <f t="shared" si="4"/>
        <v>5.5555555555556468E-3</v>
      </c>
      <c r="S189" s="91">
        <f>(Table5[[#This Row],[Fault Clearance time]]-Table5[[#This Row],[Work Start TimeStamp]])*24</f>
        <v>0.13333333333333552</v>
      </c>
      <c r="T189" s="91">
        <f>(Table5[[#This Row],[Fault Clearance time]]-Table5[[#This Row],[Fault Start TimeStamp]])*24</f>
        <v>0.13333333333333552</v>
      </c>
      <c r="U189" s="23" t="s">
        <v>353</v>
      </c>
      <c r="V189" s="79" t="s">
        <v>339</v>
      </c>
      <c r="W189" s="289">
        <f>IFERROR(Table5[[#This Row],[Breakdown Time]]*Table5[[#This Row],[Plant Equivalent Weightage]],"")</f>
        <v>3.0303030303030802E-3</v>
      </c>
      <c r="X189" s="289" t="s">
        <v>343</v>
      </c>
      <c r="Y189" s="290" t="s">
        <v>92</v>
      </c>
      <c r="Z189" s="79"/>
      <c r="AA189" s="283">
        <v>94</v>
      </c>
      <c r="AB189" s="79"/>
      <c r="AC189" s="23"/>
      <c r="AD189" s="23"/>
    </row>
    <row r="190" spans="1:30">
      <c r="A190" s="79">
        <f t="shared" si="5"/>
        <v>189</v>
      </c>
      <c r="B190" s="283">
        <f>YEAR(Table5[[#This Row],[Date]])+IF(MONTH(Table5[[#This Row],[Date]])&gt;=4,1,0)</f>
        <v>2026</v>
      </c>
      <c r="C190" s="79">
        <f>YEAR(Table5[[#This Row],[Date]])</f>
        <v>2025</v>
      </c>
      <c r="D190" s="79" t="s">
        <v>344</v>
      </c>
      <c r="E190" s="284">
        <f>Table5[[#This Row],[Date]]-DAY(Table5[[#This Row],[Date]])+1</f>
        <v>45809</v>
      </c>
      <c r="F190" s="285">
        <v>45818</v>
      </c>
      <c r="G190" s="79" t="s">
        <v>95</v>
      </c>
      <c r="H190" s="23" t="str">
        <f>IFERROR(_xlfn.XLOOKUP(Table5[[#This Row],[Affected WTG]],'Basic Data'!$A:$A,'Basic Data'!$B:$B),"")</f>
        <v>PWEPL</v>
      </c>
      <c r="I190" s="23" t="str">
        <f>IFERROR(_xlfn.XLOOKUP(Table5[[#This Row],[Affected WTG]],'Basic Data'!$A:$A,'Basic Data'!$C:$C),"")</f>
        <v>MSEDCL</v>
      </c>
      <c r="J190" s="286">
        <f>IFERROR(_xlfn.XLOOKUP(Table5[[#This Row],[Affected WTG]],'Basic Data'!$A:$A,'Basic Data'!$E:$E),"")</f>
        <v>2.2727272727272728E-2</v>
      </c>
      <c r="K190" s="79">
        <v>269</v>
      </c>
      <c r="L190" s="23" t="str">
        <f>IFERROR(_xlfn.XLOOKUP(Table5[[#This Row],[Error Code]],'Basic Data'!$W:$W,'Basic Data'!$X:$X),"Incorrect Error Code")</f>
        <v>Reboot PLC</v>
      </c>
      <c r="M190" s="23" t="s">
        <v>348</v>
      </c>
      <c r="N190" s="23"/>
      <c r="O190" s="287">
        <v>0.5708333333333333</v>
      </c>
      <c r="P190" s="287">
        <v>0.5708333333333333</v>
      </c>
      <c r="Q190" s="287">
        <v>0.57708333333333328</v>
      </c>
      <c r="R190" s="91">
        <f t="shared" si="4"/>
        <v>6.2499999999999778E-3</v>
      </c>
      <c r="S190" s="91">
        <f>(Table5[[#This Row],[Fault Clearance time]]-Table5[[#This Row],[Work Start TimeStamp]])*24</f>
        <v>0.14999999999999947</v>
      </c>
      <c r="T190" s="91">
        <f>(Table5[[#This Row],[Fault Clearance time]]-Table5[[#This Row],[Fault Start TimeStamp]])*24</f>
        <v>0.14999999999999947</v>
      </c>
      <c r="U190" s="23" t="s">
        <v>353</v>
      </c>
      <c r="V190" s="79" t="s">
        <v>339</v>
      </c>
      <c r="W190" s="289">
        <f>IFERROR(Table5[[#This Row],[Breakdown Time]]*Table5[[#This Row],[Plant Equivalent Weightage]],"")</f>
        <v>3.4090909090908972E-3</v>
      </c>
      <c r="X190" s="289" t="s">
        <v>343</v>
      </c>
      <c r="Y190" s="290" t="s">
        <v>94</v>
      </c>
      <c r="Z190" s="79"/>
      <c r="AA190" s="283">
        <v>106</v>
      </c>
      <c r="AB190" s="79"/>
      <c r="AC190" s="23"/>
      <c r="AD190" s="23"/>
    </row>
    <row r="191" spans="1:30">
      <c r="A191" s="79">
        <f t="shared" si="5"/>
        <v>190</v>
      </c>
      <c r="B191" s="283">
        <f>YEAR(Table5[[#This Row],[Date]])+IF(MONTH(Table5[[#This Row],[Date]])&gt;=4,1,0)</f>
        <v>2026</v>
      </c>
      <c r="C191" s="79">
        <f>YEAR(Table5[[#This Row],[Date]])</f>
        <v>2025</v>
      </c>
      <c r="D191" s="79" t="s">
        <v>344</v>
      </c>
      <c r="E191" s="284">
        <f>Table5[[#This Row],[Date]]-DAY(Table5[[#This Row],[Date]])+1</f>
        <v>45809</v>
      </c>
      <c r="F191" s="285">
        <v>45818</v>
      </c>
      <c r="G191" s="79" t="s">
        <v>106</v>
      </c>
      <c r="H191" s="23" t="str">
        <f>IFERROR(_xlfn.XLOOKUP(Table5[[#This Row],[Affected WTG]],'Basic Data'!$A:$A,'Basic Data'!$B:$B),"")</f>
        <v>PWEPL</v>
      </c>
      <c r="I191" s="23" t="str">
        <f>IFERROR(_xlfn.XLOOKUP(Table5[[#This Row],[Affected WTG]],'Basic Data'!$A:$A,'Basic Data'!$C:$C),"")</f>
        <v>MSEDCL</v>
      </c>
      <c r="J191" s="286">
        <f>IFERROR(_xlfn.XLOOKUP(Table5[[#This Row],[Affected WTG]],'Basic Data'!$A:$A,'Basic Data'!$E:$E),"")</f>
        <v>2.2727272727272728E-2</v>
      </c>
      <c r="K191" s="79">
        <v>269</v>
      </c>
      <c r="L191" s="23" t="str">
        <f>IFERROR(_xlfn.XLOOKUP(Table5[[#This Row],[Error Code]],'Basic Data'!$W:$W,'Basic Data'!$X:$X),"Incorrect Error Code")</f>
        <v>Reboot PLC</v>
      </c>
      <c r="M191" s="23" t="s">
        <v>348</v>
      </c>
      <c r="N191" s="23"/>
      <c r="O191" s="287">
        <v>0.5708333333333333</v>
      </c>
      <c r="P191" s="287">
        <v>0.5708333333333333</v>
      </c>
      <c r="Q191" s="287">
        <v>0.57708333333333328</v>
      </c>
      <c r="R191" s="91">
        <f t="shared" si="4"/>
        <v>6.2499999999999778E-3</v>
      </c>
      <c r="S191" s="91">
        <f>(Table5[[#This Row],[Fault Clearance time]]-Table5[[#This Row],[Work Start TimeStamp]])*24</f>
        <v>0.14999999999999947</v>
      </c>
      <c r="T191" s="91">
        <f>(Table5[[#This Row],[Fault Clearance time]]-Table5[[#This Row],[Fault Start TimeStamp]])*24</f>
        <v>0.14999999999999947</v>
      </c>
      <c r="U191" s="23" t="s">
        <v>353</v>
      </c>
      <c r="V191" s="79" t="s">
        <v>339</v>
      </c>
      <c r="W191" s="289">
        <f>IFERROR(Table5[[#This Row],[Breakdown Time]]*Table5[[#This Row],[Plant Equivalent Weightage]],"")</f>
        <v>3.4090909090908972E-3</v>
      </c>
      <c r="X191" s="289" t="s">
        <v>343</v>
      </c>
      <c r="Y191" s="290" t="s">
        <v>92</v>
      </c>
      <c r="Z191" s="79"/>
      <c r="AA191" s="283">
        <v>106</v>
      </c>
      <c r="AB191" s="79"/>
      <c r="AC191" s="23"/>
      <c r="AD191" s="23"/>
    </row>
    <row r="192" spans="1:30">
      <c r="A192" s="79">
        <f t="shared" si="5"/>
        <v>191</v>
      </c>
      <c r="B192" s="283">
        <f>YEAR(Table5[[#This Row],[Date]])+IF(MONTH(Table5[[#This Row],[Date]])&gt;=4,1,0)</f>
        <v>2026</v>
      </c>
      <c r="C192" s="79">
        <f>YEAR(Table5[[#This Row],[Date]])</f>
        <v>2025</v>
      </c>
      <c r="D192" s="79" t="s">
        <v>344</v>
      </c>
      <c r="E192" s="284">
        <f>Table5[[#This Row],[Date]]-DAY(Table5[[#This Row],[Date]])+1</f>
        <v>45809</v>
      </c>
      <c r="F192" s="285">
        <v>45819</v>
      </c>
      <c r="G192" s="79" t="s">
        <v>104</v>
      </c>
      <c r="H192" s="23" t="str">
        <f>IFERROR(_xlfn.XLOOKUP(Table5[[#This Row],[Affected WTG]],'Basic Data'!$A:$A,'Basic Data'!$B:$B),"")</f>
        <v>PWEPL</v>
      </c>
      <c r="I192" s="23" t="str">
        <f>IFERROR(_xlfn.XLOOKUP(Table5[[#This Row],[Affected WTG]],'Basic Data'!$A:$A,'Basic Data'!$C:$C),"")</f>
        <v>MSEDCL</v>
      </c>
      <c r="J192" s="286">
        <f>IFERROR(_xlfn.XLOOKUP(Table5[[#This Row],[Affected WTG]],'Basic Data'!$A:$A,'Basic Data'!$E:$E),"")</f>
        <v>2.2727272727272728E-2</v>
      </c>
      <c r="K192" s="79">
        <v>201</v>
      </c>
      <c r="L192" s="23" t="str">
        <f>IFERROR(_xlfn.XLOOKUP(Table5[[#This Row],[Error Code]],'Basic Data'!$W:$W,'Basic Data'!$X:$X),"Incorrect Error Code")</f>
        <v xml:space="preserve"> PLC fault 24V Supply</v>
      </c>
      <c r="M192" s="23" t="s">
        <v>881</v>
      </c>
      <c r="N192" s="23"/>
      <c r="O192" s="287">
        <v>0.375</v>
      </c>
      <c r="P192" s="287">
        <v>0.375</v>
      </c>
      <c r="Q192" s="287">
        <v>0.48819444444444443</v>
      </c>
      <c r="R192" s="91">
        <f t="shared" si="4"/>
        <v>0.11319444444444443</v>
      </c>
      <c r="S192" s="91">
        <f>(Table5[[#This Row],[Fault Clearance time]]-Table5[[#This Row],[Work Start TimeStamp]])*24</f>
        <v>2.7166666666666663</v>
      </c>
      <c r="T192" s="91">
        <f>(Table5[[#This Row],[Fault Clearance time]]-Table5[[#This Row],[Fault Start TimeStamp]])*24</f>
        <v>2.7166666666666663</v>
      </c>
      <c r="U192" s="23" t="s">
        <v>894</v>
      </c>
      <c r="V192" s="79" t="s">
        <v>339</v>
      </c>
      <c r="W192" s="289">
        <f>IFERROR(Table5[[#This Row],[Breakdown Time]]*Table5[[#This Row],[Plant Equivalent Weightage]],"")</f>
        <v>6.1742424242424238E-2</v>
      </c>
      <c r="X192" s="289" t="s">
        <v>343</v>
      </c>
      <c r="Y192" s="290" t="s">
        <v>79</v>
      </c>
      <c r="Z192" s="79"/>
      <c r="AA192" s="283">
        <v>3094</v>
      </c>
      <c r="AB192" s="79"/>
      <c r="AC192" s="23"/>
      <c r="AD192" s="23"/>
    </row>
    <row r="193" spans="1:30">
      <c r="A193" s="79">
        <f t="shared" si="5"/>
        <v>192</v>
      </c>
      <c r="B193" s="283">
        <f>YEAR(Table5[[#This Row],[Date]])+IF(MONTH(Table5[[#This Row],[Date]])&gt;=4,1,0)</f>
        <v>2026</v>
      </c>
      <c r="C193" s="79">
        <f>YEAR(Table5[[#This Row],[Date]])</f>
        <v>2025</v>
      </c>
      <c r="D193" s="79" t="s">
        <v>344</v>
      </c>
      <c r="E193" s="284">
        <f>Table5[[#This Row],[Date]]-DAY(Table5[[#This Row],[Date]])+1</f>
        <v>45809</v>
      </c>
      <c r="F193" s="285">
        <v>45821</v>
      </c>
      <c r="G193" s="79" t="s">
        <v>104</v>
      </c>
      <c r="H193" s="23" t="str">
        <f>IFERROR(_xlfn.XLOOKUP(Table5[[#This Row],[Affected WTG]],'Basic Data'!$A:$A,'Basic Data'!$B:$B),"")</f>
        <v>PWEPL</v>
      </c>
      <c r="I193" s="23" t="str">
        <f>IFERROR(_xlfn.XLOOKUP(Table5[[#This Row],[Affected WTG]],'Basic Data'!$A:$A,'Basic Data'!$C:$C),"")</f>
        <v>MSEDCL</v>
      </c>
      <c r="J193" s="286">
        <f>IFERROR(_xlfn.XLOOKUP(Table5[[#This Row],[Affected WTG]],'Basic Data'!$A:$A,'Basic Data'!$E:$E),"")</f>
        <v>2.2727272727272728E-2</v>
      </c>
      <c r="K193" s="79">
        <v>201</v>
      </c>
      <c r="L193" s="23" t="str">
        <f>IFERROR(_xlfn.XLOOKUP(Table5[[#This Row],[Error Code]],'Basic Data'!$W:$W,'Basic Data'!$X:$X),"Incorrect Error Code")</f>
        <v xml:space="preserve"> PLC fault 24V Supply</v>
      </c>
      <c r="M193" s="23" t="s">
        <v>366</v>
      </c>
      <c r="N193" s="23"/>
      <c r="O193" s="287">
        <v>6.9444444444444441E-3</v>
      </c>
      <c r="P193" s="287">
        <v>6.9444444444444441E-3</v>
      </c>
      <c r="Q193" s="287">
        <v>1.5277777777777777E-2</v>
      </c>
      <c r="R193" s="91">
        <f t="shared" si="4"/>
        <v>8.3333333333333332E-3</v>
      </c>
      <c r="S193" s="91">
        <f>(Table5[[#This Row],[Fault Clearance time]]-Table5[[#This Row],[Work Start TimeStamp]])*24</f>
        <v>0.2</v>
      </c>
      <c r="T193" s="91">
        <f>(Table5[[#This Row],[Fault Clearance time]]-Table5[[#This Row],[Fault Start TimeStamp]])*24</f>
        <v>0.2</v>
      </c>
      <c r="U193" s="23" t="s">
        <v>353</v>
      </c>
      <c r="V193" s="79" t="s">
        <v>339</v>
      </c>
      <c r="W193" s="289">
        <f>IFERROR(Table5[[#This Row],[Breakdown Time]]*Table5[[#This Row],[Plant Equivalent Weightage]],"")</f>
        <v>4.5454545454545461E-3</v>
      </c>
      <c r="X193" s="289" t="s">
        <v>343</v>
      </c>
      <c r="Y193" s="290" t="s">
        <v>79</v>
      </c>
      <c r="Z193" s="79"/>
      <c r="AA193" s="283">
        <v>60</v>
      </c>
      <c r="AB193" s="79"/>
      <c r="AC193" s="23"/>
      <c r="AD193" s="23"/>
    </row>
    <row r="194" spans="1:30">
      <c r="A194" s="79">
        <f t="shared" si="5"/>
        <v>193</v>
      </c>
      <c r="B194" s="283">
        <f>YEAR(Table5[[#This Row],[Date]])+IF(MONTH(Table5[[#This Row],[Date]])&gt;=4,1,0)</f>
        <v>2026</v>
      </c>
      <c r="C194" s="79">
        <f>YEAR(Table5[[#This Row],[Date]])</f>
        <v>2025</v>
      </c>
      <c r="D194" s="79" t="s">
        <v>344</v>
      </c>
      <c r="E194" s="284">
        <f>Table5[[#This Row],[Date]]-DAY(Table5[[#This Row],[Date]])+1</f>
        <v>45809</v>
      </c>
      <c r="F194" s="285">
        <v>45821</v>
      </c>
      <c r="G194" s="79" t="s">
        <v>109</v>
      </c>
      <c r="H194" s="23" t="str">
        <f>IFERROR(_xlfn.XLOOKUP(Table5[[#This Row],[Affected WTG]],'Basic Data'!$A:$A,'Basic Data'!$B:$B),"")</f>
        <v>PWEPL</v>
      </c>
      <c r="I194" s="23" t="str">
        <f>IFERROR(_xlfn.XLOOKUP(Table5[[#This Row],[Affected WTG]],'Basic Data'!$A:$A,'Basic Data'!$C:$C),"")</f>
        <v>MSEDCL</v>
      </c>
      <c r="J194" s="286">
        <f>IFERROR(_xlfn.XLOOKUP(Table5[[#This Row],[Affected WTG]],'Basic Data'!$A:$A,'Basic Data'!$E:$E),"")</f>
        <v>2.2727272727272728E-2</v>
      </c>
      <c r="K194" s="79">
        <v>201</v>
      </c>
      <c r="L194" s="23" t="str">
        <f>IFERROR(_xlfn.XLOOKUP(Table5[[#This Row],[Error Code]],'Basic Data'!$W:$W,'Basic Data'!$X:$X),"Incorrect Error Code")</f>
        <v xml:space="preserve"> PLC fault 24V Supply</v>
      </c>
      <c r="M194" s="23" t="s">
        <v>366</v>
      </c>
      <c r="N194" s="23"/>
      <c r="O194" s="287">
        <v>9.7916666666666666E-2</v>
      </c>
      <c r="P194" s="287">
        <v>9.7916666666666666E-2</v>
      </c>
      <c r="Q194" s="287">
        <v>0.2298611111111111</v>
      </c>
      <c r="R194" s="91">
        <f t="shared" ref="R194:R257" si="6">Q194-O194</f>
        <v>0.13194444444444442</v>
      </c>
      <c r="S194" s="91">
        <f>(Table5[[#This Row],[Fault Clearance time]]-Table5[[#This Row],[Work Start TimeStamp]])*24</f>
        <v>3.1666666666666661</v>
      </c>
      <c r="T194" s="91">
        <f>(Table5[[#This Row],[Fault Clearance time]]-Table5[[#This Row],[Fault Start TimeStamp]])*24</f>
        <v>3.1666666666666661</v>
      </c>
      <c r="U194" s="23" t="s">
        <v>895</v>
      </c>
      <c r="V194" s="79" t="s">
        <v>339</v>
      </c>
      <c r="W194" s="289">
        <f>IFERROR(Table5[[#This Row],[Breakdown Time]]*Table5[[#This Row],[Plant Equivalent Weightage]],"")</f>
        <v>7.1969696969696961E-2</v>
      </c>
      <c r="X194" s="289" t="s">
        <v>343</v>
      </c>
      <c r="Y194" s="290" t="s">
        <v>114</v>
      </c>
      <c r="Z194" s="79"/>
      <c r="AA194" s="283">
        <v>8</v>
      </c>
      <c r="AB194" s="79"/>
      <c r="AC194" s="23"/>
      <c r="AD194" s="23"/>
    </row>
    <row r="195" spans="1:30">
      <c r="A195" s="79">
        <f t="shared" si="5"/>
        <v>194</v>
      </c>
      <c r="B195" s="283">
        <f>YEAR(Table5[[#This Row],[Date]])+IF(MONTH(Table5[[#This Row],[Date]])&gt;=4,1,0)</f>
        <v>2026</v>
      </c>
      <c r="C195" s="79">
        <f>YEAR(Table5[[#This Row],[Date]])</f>
        <v>2025</v>
      </c>
      <c r="D195" s="79" t="s">
        <v>344</v>
      </c>
      <c r="E195" s="284">
        <f>Table5[[#This Row],[Date]]-DAY(Table5[[#This Row],[Date]])+1</f>
        <v>45809</v>
      </c>
      <c r="F195" s="285">
        <v>45821</v>
      </c>
      <c r="G195" s="79" t="s">
        <v>97</v>
      </c>
      <c r="H195" s="23" t="str">
        <f>IFERROR(_xlfn.XLOOKUP(Table5[[#This Row],[Affected WTG]],'Basic Data'!$A:$A,'Basic Data'!$B:$B),"")</f>
        <v>PWEPL</v>
      </c>
      <c r="I195" s="23" t="str">
        <f>IFERROR(_xlfn.XLOOKUP(Table5[[#This Row],[Affected WTG]],'Basic Data'!$A:$A,'Basic Data'!$C:$C),"")</f>
        <v>MSEDCL</v>
      </c>
      <c r="J195" s="286">
        <f>IFERROR(_xlfn.XLOOKUP(Table5[[#This Row],[Affected WTG]],'Basic Data'!$A:$A,'Basic Data'!$E:$E),"")</f>
        <v>2.2727272727272728E-2</v>
      </c>
      <c r="K195" s="79">
        <v>274</v>
      </c>
      <c r="L195" s="23" t="str">
        <f>IFERROR(_xlfn.XLOOKUP(Table5[[#This Row],[Error Code]],'Basic Data'!$W:$W,'Basic Data'!$X:$X),"Incorrect Error Code")</f>
        <v>Pitch thyristor 1 fault</v>
      </c>
      <c r="M195" s="23" t="s">
        <v>158</v>
      </c>
      <c r="N195" s="23"/>
      <c r="O195" s="287">
        <v>0.20486111111111113</v>
      </c>
      <c r="P195" s="287">
        <v>0.20486111111111113</v>
      </c>
      <c r="Q195" s="287">
        <v>0.22708333333333333</v>
      </c>
      <c r="R195" s="91">
        <f t="shared" si="6"/>
        <v>2.2222222222222199E-2</v>
      </c>
      <c r="S195" s="91">
        <f>(Table5[[#This Row],[Fault Clearance time]]-Table5[[#This Row],[Work Start TimeStamp]])*24</f>
        <v>0.53333333333333277</v>
      </c>
      <c r="T195" s="91">
        <f>(Table5[[#This Row],[Fault Clearance time]]-Table5[[#This Row],[Fault Start TimeStamp]])*24</f>
        <v>0.53333333333333277</v>
      </c>
      <c r="U195" s="23" t="s">
        <v>353</v>
      </c>
      <c r="V195" s="79" t="s">
        <v>339</v>
      </c>
      <c r="W195" s="289">
        <f>IFERROR(Table5[[#This Row],[Breakdown Time]]*Table5[[#This Row],[Plant Equivalent Weightage]],"")</f>
        <v>1.2121212121212109E-2</v>
      </c>
      <c r="X195" s="289" t="s">
        <v>343</v>
      </c>
      <c r="Y195" s="290" t="s">
        <v>96</v>
      </c>
      <c r="Z195" s="79"/>
      <c r="AA195" s="283">
        <v>10</v>
      </c>
      <c r="AB195" s="79"/>
      <c r="AC195" s="23"/>
      <c r="AD195" s="23"/>
    </row>
    <row r="196" spans="1:30">
      <c r="A196" s="79">
        <f t="shared" ref="A196:A259" si="7">A195+1</f>
        <v>195</v>
      </c>
      <c r="B196" s="283">
        <f>YEAR(Table5[[#This Row],[Date]])+IF(MONTH(Table5[[#This Row],[Date]])&gt;=4,1,0)</f>
        <v>2026</v>
      </c>
      <c r="C196" s="79">
        <f>YEAR(Table5[[#This Row],[Date]])</f>
        <v>2025</v>
      </c>
      <c r="D196" s="79" t="s">
        <v>344</v>
      </c>
      <c r="E196" s="284">
        <f>Table5[[#This Row],[Date]]-DAY(Table5[[#This Row],[Date]])+1</f>
        <v>45809</v>
      </c>
      <c r="F196" s="285">
        <v>45821</v>
      </c>
      <c r="G196" s="79" t="s">
        <v>97</v>
      </c>
      <c r="H196" s="23" t="str">
        <f>IFERROR(_xlfn.XLOOKUP(Table5[[#This Row],[Affected WTG]],'Basic Data'!$A:$A,'Basic Data'!$B:$B),"")</f>
        <v>PWEPL</v>
      </c>
      <c r="I196" s="23" t="str">
        <f>IFERROR(_xlfn.XLOOKUP(Table5[[#This Row],[Affected WTG]],'Basic Data'!$A:$A,'Basic Data'!$C:$C),"")</f>
        <v>MSEDCL</v>
      </c>
      <c r="J196" s="286">
        <f>IFERROR(_xlfn.XLOOKUP(Table5[[#This Row],[Affected WTG]],'Basic Data'!$A:$A,'Basic Data'!$E:$E),"")</f>
        <v>2.2727272727272728E-2</v>
      </c>
      <c r="K196" s="79">
        <v>274</v>
      </c>
      <c r="L196" s="23" t="str">
        <f>IFERROR(_xlfn.XLOOKUP(Table5[[#This Row],[Error Code]],'Basic Data'!$W:$W,'Basic Data'!$X:$X),"Incorrect Error Code")</f>
        <v>Pitch thyristor 1 fault</v>
      </c>
      <c r="M196" s="23" t="s">
        <v>896</v>
      </c>
      <c r="N196" s="23"/>
      <c r="O196" s="287">
        <v>0.43611111111111112</v>
      </c>
      <c r="P196" s="287">
        <v>0.43611111111111112</v>
      </c>
      <c r="Q196" s="287">
        <v>0.5493055555555556</v>
      </c>
      <c r="R196" s="91">
        <f t="shared" si="6"/>
        <v>0.11319444444444449</v>
      </c>
      <c r="S196" s="91">
        <f>(Table5[[#This Row],[Fault Clearance time]]-Table5[[#This Row],[Work Start TimeStamp]])*24</f>
        <v>2.7166666666666677</v>
      </c>
      <c r="T196" s="91">
        <f>(Table5[[#This Row],[Fault Clearance time]]-Table5[[#This Row],[Fault Start TimeStamp]])*24</f>
        <v>2.7166666666666677</v>
      </c>
      <c r="U196" s="23" t="s">
        <v>897</v>
      </c>
      <c r="V196" s="79" t="s">
        <v>339</v>
      </c>
      <c r="W196" s="289">
        <f>IFERROR(Table5[[#This Row],[Breakdown Time]]*Table5[[#This Row],[Plant Equivalent Weightage]],"")</f>
        <v>6.1742424242424265E-2</v>
      </c>
      <c r="X196" s="289" t="s">
        <v>343</v>
      </c>
      <c r="Y196" s="290" t="s">
        <v>96</v>
      </c>
      <c r="Z196" s="79"/>
      <c r="AA196" s="283">
        <v>126</v>
      </c>
      <c r="AB196" s="79"/>
      <c r="AC196" s="23"/>
      <c r="AD196" s="23"/>
    </row>
    <row r="197" spans="1:30">
      <c r="A197" s="79">
        <f t="shared" si="7"/>
        <v>196</v>
      </c>
      <c r="B197" s="283">
        <f>YEAR(Table5[[#This Row],[Date]])+IF(MONTH(Table5[[#This Row],[Date]])&gt;=4,1,0)</f>
        <v>2026</v>
      </c>
      <c r="C197" s="79">
        <f>YEAR(Table5[[#This Row],[Date]])</f>
        <v>2025</v>
      </c>
      <c r="D197" s="79" t="s">
        <v>344</v>
      </c>
      <c r="E197" s="284">
        <f>Table5[[#This Row],[Date]]-DAY(Table5[[#This Row],[Date]])+1</f>
        <v>45809</v>
      </c>
      <c r="F197" s="285">
        <v>45821</v>
      </c>
      <c r="G197" s="79" t="s">
        <v>90</v>
      </c>
      <c r="H197" s="23" t="str">
        <f>IFERROR(_xlfn.XLOOKUP(Table5[[#This Row],[Affected WTG]],'Basic Data'!$A:$A,'Basic Data'!$B:$B),"")</f>
        <v>PWEPL</v>
      </c>
      <c r="I197" s="23" t="str">
        <f>IFERROR(_xlfn.XLOOKUP(Table5[[#This Row],[Affected WTG]],'Basic Data'!$A:$A,'Basic Data'!$C:$C),"")</f>
        <v>MSEDCL</v>
      </c>
      <c r="J197" s="286">
        <f>IFERROR(_xlfn.XLOOKUP(Table5[[#This Row],[Affected WTG]],'Basic Data'!$A:$A,'Basic Data'!$E:$E),"")</f>
        <v>2.2727272727272728E-2</v>
      </c>
      <c r="K197" s="79">
        <v>3</v>
      </c>
      <c r="L197" s="23" t="str">
        <f>IFERROR(_xlfn.XLOOKUP(Table5[[#This Row],[Error Code]],'Basic Data'!$W:$W,'Basic Data'!$X:$X),"Incorrect Error Code")</f>
        <v>Manual Stop</v>
      </c>
      <c r="M197" s="23" t="s">
        <v>874</v>
      </c>
      <c r="N197" s="23"/>
      <c r="O197" s="287">
        <v>0.45347222222222222</v>
      </c>
      <c r="P197" s="287">
        <v>0.45347222222222222</v>
      </c>
      <c r="Q197" s="287">
        <v>0.75347222222222221</v>
      </c>
      <c r="R197" s="91">
        <f t="shared" si="6"/>
        <v>0.3</v>
      </c>
      <c r="S197" s="91">
        <f>(Table5[[#This Row],[Fault Clearance time]]-Table5[[#This Row],[Work Start TimeStamp]])*24</f>
        <v>7.1999999999999993</v>
      </c>
      <c r="T197" s="91">
        <f>(Table5[[#This Row],[Fault Clearance time]]-Table5[[#This Row],[Fault Start TimeStamp]])*24</f>
        <v>7.1999999999999993</v>
      </c>
      <c r="U197" s="23" t="s">
        <v>898</v>
      </c>
      <c r="V197" s="79" t="s">
        <v>339</v>
      </c>
      <c r="W197" s="289">
        <f>IFERROR(Table5[[#This Row],[Breakdown Time]]*Table5[[#This Row],[Plant Equivalent Weightage]],"")</f>
        <v>0.16363636363636364</v>
      </c>
      <c r="X197" s="289" t="s">
        <v>394</v>
      </c>
      <c r="Y197" s="290" t="s">
        <v>89</v>
      </c>
      <c r="Z197" s="79"/>
      <c r="AA197" s="283">
        <v>209</v>
      </c>
      <c r="AB197" s="79"/>
      <c r="AC197" s="23"/>
      <c r="AD197" s="23"/>
    </row>
    <row r="198" spans="1:30">
      <c r="A198" s="79">
        <f t="shared" si="7"/>
        <v>197</v>
      </c>
      <c r="B198" s="283">
        <f>YEAR(Table5[[#This Row],[Date]])+IF(MONTH(Table5[[#This Row],[Date]])&gt;=4,1,0)</f>
        <v>2026</v>
      </c>
      <c r="C198" s="79">
        <f>YEAR(Table5[[#This Row],[Date]])</f>
        <v>2025</v>
      </c>
      <c r="D198" s="79" t="s">
        <v>344</v>
      </c>
      <c r="E198" s="284">
        <f>Table5[[#This Row],[Date]]-DAY(Table5[[#This Row],[Date]])+1</f>
        <v>45809</v>
      </c>
      <c r="F198" s="285">
        <v>45821</v>
      </c>
      <c r="G198" s="79" t="s">
        <v>104</v>
      </c>
      <c r="H198" s="23" t="str">
        <f>IFERROR(_xlfn.XLOOKUP(Table5[[#This Row],[Affected WTG]],'Basic Data'!$A:$A,'Basic Data'!$B:$B),"")</f>
        <v>PWEPL</v>
      </c>
      <c r="I198" s="23" t="str">
        <f>IFERROR(_xlfn.XLOOKUP(Table5[[#This Row],[Affected WTG]],'Basic Data'!$A:$A,'Basic Data'!$C:$C),"")</f>
        <v>MSEDCL</v>
      </c>
      <c r="J198" s="286">
        <f>IFERROR(_xlfn.XLOOKUP(Table5[[#This Row],[Affected WTG]],'Basic Data'!$A:$A,'Basic Data'!$E:$E),"")</f>
        <v>2.2727272727272728E-2</v>
      </c>
      <c r="K198" s="79">
        <v>201</v>
      </c>
      <c r="L198" s="23" t="str">
        <f>IFERROR(_xlfn.XLOOKUP(Table5[[#This Row],[Error Code]],'Basic Data'!$W:$W,'Basic Data'!$X:$X),"Incorrect Error Code")</f>
        <v xml:space="preserve"> PLC fault 24V Supply</v>
      </c>
      <c r="M198" s="23" t="s">
        <v>899</v>
      </c>
      <c r="N198" s="23"/>
      <c r="O198" s="287">
        <v>0.54166666666666663</v>
      </c>
      <c r="P198" s="287">
        <v>0.54166666666666663</v>
      </c>
      <c r="Q198" s="287">
        <v>0.57708333333333328</v>
      </c>
      <c r="R198" s="91">
        <f t="shared" si="6"/>
        <v>3.5416666666666652E-2</v>
      </c>
      <c r="S198" s="91">
        <f>(Table5[[#This Row],[Fault Clearance time]]-Table5[[#This Row],[Work Start TimeStamp]])*24</f>
        <v>0.84999999999999964</v>
      </c>
      <c r="T198" s="91">
        <f>(Table5[[#This Row],[Fault Clearance time]]-Table5[[#This Row],[Fault Start TimeStamp]])*24</f>
        <v>0.84999999999999964</v>
      </c>
      <c r="U198" s="23" t="s">
        <v>900</v>
      </c>
      <c r="V198" s="79" t="s">
        <v>339</v>
      </c>
      <c r="W198" s="289">
        <f>IFERROR(Table5[[#This Row],[Breakdown Time]]*Table5[[#This Row],[Plant Equivalent Weightage]],"")</f>
        <v>1.9318181818181811E-2</v>
      </c>
      <c r="X198" s="289" t="s">
        <v>343</v>
      </c>
      <c r="Y198" s="290" t="s">
        <v>79</v>
      </c>
      <c r="Z198" s="79"/>
      <c r="AA198" s="283">
        <v>0</v>
      </c>
      <c r="AB198" s="79"/>
      <c r="AC198" s="23"/>
      <c r="AD198" s="23"/>
    </row>
    <row r="199" spans="1:30">
      <c r="A199" s="79">
        <f t="shared" si="7"/>
        <v>198</v>
      </c>
      <c r="B199" s="283">
        <f>YEAR(Table5[[#This Row],[Date]])+IF(MONTH(Table5[[#This Row],[Date]])&gt;=4,1,0)</f>
        <v>2026</v>
      </c>
      <c r="C199" s="79">
        <f>YEAR(Table5[[#This Row],[Date]])</f>
        <v>2025</v>
      </c>
      <c r="D199" s="79" t="s">
        <v>344</v>
      </c>
      <c r="E199" s="284">
        <f>Table5[[#This Row],[Date]]-DAY(Table5[[#This Row],[Date]])+1</f>
        <v>45809</v>
      </c>
      <c r="F199" s="285">
        <v>45822</v>
      </c>
      <c r="G199" s="79" t="s">
        <v>90</v>
      </c>
      <c r="H199" s="23" t="str">
        <f>IFERROR(_xlfn.XLOOKUP(Table5[[#This Row],[Affected WTG]],'Basic Data'!$A:$A,'Basic Data'!$B:$B),"")</f>
        <v>PWEPL</v>
      </c>
      <c r="I199" s="23" t="str">
        <f>IFERROR(_xlfn.XLOOKUP(Table5[[#This Row],[Affected WTG]],'Basic Data'!$A:$A,'Basic Data'!$C:$C),"")</f>
        <v>MSEDCL</v>
      </c>
      <c r="J199" s="286">
        <f>IFERROR(_xlfn.XLOOKUP(Table5[[#This Row],[Affected WTG]],'Basic Data'!$A:$A,'Basic Data'!$E:$E),"")</f>
        <v>2.2727272727272728E-2</v>
      </c>
      <c r="K199" s="79">
        <v>3</v>
      </c>
      <c r="L199" s="23" t="str">
        <f>IFERROR(_xlfn.XLOOKUP(Table5[[#This Row],[Error Code]],'Basic Data'!$W:$W,'Basic Data'!$X:$X),"Incorrect Error Code")</f>
        <v>Manual Stop</v>
      </c>
      <c r="M199" s="23" t="s">
        <v>874</v>
      </c>
      <c r="N199" s="23"/>
      <c r="O199" s="287">
        <v>0.42569444444444443</v>
      </c>
      <c r="P199" s="287">
        <v>0.42569444444444443</v>
      </c>
      <c r="Q199" s="287">
        <v>0.71111111111111114</v>
      </c>
      <c r="R199" s="91">
        <f t="shared" si="6"/>
        <v>0.28541666666666671</v>
      </c>
      <c r="S199" s="91">
        <f>(Table5[[#This Row],[Fault Clearance time]]-Table5[[#This Row],[Work Start TimeStamp]])*24</f>
        <v>6.8500000000000014</v>
      </c>
      <c r="T199" s="91">
        <f>(Table5[[#This Row],[Fault Clearance time]]-Table5[[#This Row],[Fault Start TimeStamp]])*24</f>
        <v>6.8500000000000014</v>
      </c>
      <c r="U199" s="23" t="s">
        <v>901</v>
      </c>
      <c r="V199" s="79" t="s">
        <v>339</v>
      </c>
      <c r="W199" s="289">
        <f>IFERROR(Table5[[#This Row],[Breakdown Time]]*Table5[[#This Row],[Plant Equivalent Weightage]],"")</f>
        <v>0.15568181818181823</v>
      </c>
      <c r="X199" s="289" t="s">
        <v>394</v>
      </c>
      <c r="Y199" s="290" t="s">
        <v>89</v>
      </c>
      <c r="Z199" s="79"/>
      <c r="AA199" s="283">
        <v>413</v>
      </c>
      <c r="AB199" s="79"/>
      <c r="AC199" s="23"/>
      <c r="AD199" s="23"/>
    </row>
    <row r="200" spans="1:30">
      <c r="A200" s="79">
        <f t="shared" si="7"/>
        <v>199</v>
      </c>
      <c r="B200" s="283">
        <f>YEAR(Table5[[#This Row],[Date]])+IF(MONTH(Table5[[#This Row],[Date]])&gt;=4,1,0)</f>
        <v>2026</v>
      </c>
      <c r="C200" s="79">
        <f>YEAR(Table5[[#This Row],[Date]])</f>
        <v>2025</v>
      </c>
      <c r="D200" s="79" t="s">
        <v>344</v>
      </c>
      <c r="E200" s="284">
        <f>Table5[[#This Row],[Date]]-DAY(Table5[[#This Row],[Date]])+1</f>
        <v>45809</v>
      </c>
      <c r="F200" s="285">
        <v>45823</v>
      </c>
      <c r="G200" s="79" t="s">
        <v>88</v>
      </c>
      <c r="H200" s="23" t="str">
        <f>IFERROR(_xlfn.XLOOKUP(Table5[[#This Row],[Affected WTG]],'Basic Data'!$A:$A,'Basic Data'!$B:$B),"")</f>
        <v>PWEPL</v>
      </c>
      <c r="I200" s="23" t="str">
        <f>IFERROR(_xlfn.XLOOKUP(Table5[[#This Row],[Affected WTG]],'Basic Data'!$A:$A,'Basic Data'!$C:$C),"")</f>
        <v>MSEDCL</v>
      </c>
      <c r="J200" s="286">
        <f>IFERROR(_xlfn.XLOOKUP(Table5[[#This Row],[Affected WTG]],'Basic Data'!$A:$A,'Basic Data'!$E:$E),"")</f>
        <v>2.2727272727272728E-2</v>
      </c>
      <c r="K200" s="79">
        <v>275</v>
      </c>
      <c r="L200" s="23" t="str">
        <f>IFERROR(_xlfn.XLOOKUP(Table5[[#This Row],[Error Code]],'Basic Data'!$W:$W,'Basic Data'!$X:$X),"Incorrect Error Code")</f>
        <v>Pitch thyristor 2 fault</v>
      </c>
      <c r="M200" s="23" t="s">
        <v>162</v>
      </c>
      <c r="N200" s="23"/>
      <c r="O200" s="287">
        <v>0.60763888888888895</v>
      </c>
      <c r="P200" s="287">
        <v>0.60763888888888895</v>
      </c>
      <c r="Q200" s="287">
        <v>0.6333333333333333</v>
      </c>
      <c r="R200" s="91">
        <f t="shared" si="6"/>
        <v>2.5694444444444353E-2</v>
      </c>
      <c r="S200" s="91">
        <f>(Table5[[#This Row],[Fault Clearance time]]-Table5[[#This Row],[Work Start TimeStamp]])*24</f>
        <v>0.61666666666666448</v>
      </c>
      <c r="T200" s="91">
        <f>(Table5[[#This Row],[Fault Clearance time]]-Table5[[#This Row],[Fault Start TimeStamp]])*24</f>
        <v>0.61666666666666448</v>
      </c>
      <c r="U200" s="23" t="s">
        <v>353</v>
      </c>
      <c r="V200" s="79" t="s">
        <v>339</v>
      </c>
      <c r="W200" s="289">
        <f>IFERROR(Table5[[#This Row],[Breakdown Time]]*Table5[[#This Row],[Plant Equivalent Weightage]],"")</f>
        <v>1.4015151515151465E-2</v>
      </c>
      <c r="X200" s="289" t="s">
        <v>343</v>
      </c>
      <c r="Y200" s="290" t="s">
        <v>87</v>
      </c>
      <c r="Z200" s="79"/>
      <c r="AA200" s="283">
        <v>120</v>
      </c>
      <c r="AB200" s="79"/>
      <c r="AC200" s="23"/>
      <c r="AD200" s="23"/>
    </row>
    <row r="201" spans="1:30">
      <c r="A201" s="79">
        <f t="shared" si="7"/>
        <v>200</v>
      </c>
      <c r="B201" s="283">
        <f>YEAR(Table5[[#This Row],[Date]])+IF(MONTH(Table5[[#This Row],[Date]])&gt;=4,1,0)</f>
        <v>2026</v>
      </c>
      <c r="C201" s="79">
        <f>YEAR(Table5[[#This Row],[Date]])</f>
        <v>2025</v>
      </c>
      <c r="D201" s="79" t="s">
        <v>344</v>
      </c>
      <c r="E201" s="284">
        <f>Table5[[#This Row],[Date]]-DAY(Table5[[#This Row],[Date]])+1</f>
        <v>45809</v>
      </c>
      <c r="F201" s="285">
        <v>45823</v>
      </c>
      <c r="G201" s="79" t="s">
        <v>88</v>
      </c>
      <c r="H201" s="23" t="str">
        <f>IFERROR(_xlfn.XLOOKUP(Table5[[#This Row],[Affected WTG]],'Basic Data'!$A:$A,'Basic Data'!$B:$B),"")</f>
        <v>PWEPL</v>
      </c>
      <c r="I201" s="23" t="str">
        <f>IFERROR(_xlfn.XLOOKUP(Table5[[#This Row],[Affected WTG]],'Basic Data'!$A:$A,'Basic Data'!$C:$C),"")</f>
        <v>MSEDCL</v>
      </c>
      <c r="J201" s="286">
        <f>IFERROR(_xlfn.XLOOKUP(Table5[[#This Row],[Affected WTG]],'Basic Data'!$A:$A,'Basic Data'!$E:$E),"")</f>
        <v>2.2727272727272728E-2</v>
      </c>
      <c r="K201" s="79">
        <v>275</v>
      </c>
      <c r="L201" s="23" t="str">
        <f>IFERROR(_xlfn.XLOOKUP(Table5[[#This Row],[Error Code]],'Basic Data'!$W:$W,'Basic Data'!$X:$X),"Incorrect Error Code")</f>
        <v>Pitch thyristor 2 fault</v>
      </c>
      <c r="M201" s="23" t="s">
        <v>896</v>
      </c>
      <c r="N201" s="23"/>
      <c r="O201" s="287">
        <v>0.73125000000000007</v>
      </c>
      <c r="P201" s="287">
        <v>0.73125000000000007</v>
      </c>
      <c r="Q201" s="287">
        <v>0.92499999999999993</v>
      </c>
      <c r="R201" s="91">
        <f t="shared" si="6"/>
        <v>0.19374999999999987</v>
      </c>
      <c r="S201" s="91">
        <f>(Table5[[#This Row],[Fault Clearance time]]-Table5[[#This Row],[Work Start TimeStamp]])*24</f>
        <v>4.6499999999999968</v>
      </c>
      <c r="T201" s="91">
        <f>(Table5[[#This Row],[Fault Clearance time]]-Table5[[#This Row],[Fault Start TimeStamp]])*24</f>
        <v>4.6499999999999968</v>
      </c>
      <c r="U201" s="23" t="s">
        <v>897</v>
      </c>
      <c r="V201" s="79" t="s">
        <v>339</v>
      </c>
      <c r="W201" s="289">
        <f>IFERROR(Table5[[#This Row],[Breakdown Time]]*Table5[[#This Row],[Plant Equivalent Weightage]],"")</f>
        <v>0.10568181818181811</v>
      </c>
      <c r="X201" s="289" t="s">
        <v>343</v>
      </c>
      <c r="Y201" s="290" t="s">
        <v>87</v>
      </c>
      <c r="Z201" s="79"/>
      <c r="AA201" s="283">
        <v>2462</v>
      </c>
      <c r="AB201" s="79"/>
      <c r="AC201" s="23"/>
      <c r="AD201" s="23"/>
    </row>
    <row r="202" spans="1:30">
      <c r="A202" s="79">
        <f t="shared" si="7"/>
        <v>201</v>
      </c>
      <c r="B202" s="283">
        <f>YEAR(Table5[[#This Row],[Date]])+IF(MONTH(Table5[[#This Row],[Date]])&gt;=4,1,0)</f>
        <v>2026</v>
      </c>
      <c r="C202" s="79">
        <f>YEAR(Table5[[#This Row],[Date]])</f>
        <v>2025</v>
      </c>
      <c r="D202" s="79" t="s">
        <v>344</v>
      </c>
      <c r="E202" s="284">
        <f>Table5[[#This Row],[Date]]-DAY(Table5[[#This Row],[Date]])+1</f>
        <v>45809</v>
      </c>
      <c r="F202" s="285">
        <v>45824</v>
      </c>
      <c r="G202" s="79" t="s">
        <v>88</v>
      </c>
      <c r="H202" s="23" t="str">
        <f>IFERROR(_xlfn.XLOOKUP(Table5[[#This Row],[Affected WTG]],'Basic Data'!$A:$A,'Basic Data'!$B:$B),"")</f>
        <v>PWEPL</v>
      </c>
      <c r="I202" s="23" t="str">
        <f>IFERROR(_xlfn.XLOOKUP(Table5[[#This Row],[Affected WTG]],'Basic Data'!$A:$A,'Basic Data'!$C:$C),"")</f>
        <v>MSEDCL</v>
      </c>
      <c r="J202" s="286">
        <f>IFERROR(_xlfn.XLOOKUP(Table5[[#This Row],[Affected WTG]],'Basic Data'!$A:$A,'Basic Data'!$E:$E),"")</f>
        <v>2.2727272727272728E-2</v>
      </c>
      <c r="K202" s="79">
        <v>275</v>
      </c>
      <c r="L202" s="23" t="str">
        <f>IFERROR(_xlfn.XLOOKUP(Table5[[#This Row],[Error Code]],'Basic Data'!$W:$W,'Basic Data'!$X:$X),"Incorrect Error Code")</f>
        <v>Pitch thyristor 2 fault</v>
      </c>
      <c r="M202" s="23" t="s">
        <v>902</v>
      </c>
      <c r="N202" s="23"/>
      <c r="O202" s="287">
        <v>0.11388888888888889</v>
      </c>
      <c r="P202" s="287">
        <v>0.11388888888888889</v>
      </c>
      <c r="Q202" s="287">
        <v>0.75763888888888886</v>
      </c>
      <c r="R202" s="91">
        <f t="shared" si="6"/>
        <v>0.64374999999999993</v>
      </c>
      <c r="S202" s="91">
        <f>(Table5[[#This Row],[Fault Clearance time]]-Table5[[#This Row],[Work Start TimeStamp]])*24</f>
        <v>15.45</v>
      </c>
      <c r="T202" s="91">
        <f>(Table5[[#This Row],[Fault Clearance time]]-Table5[[#This Row],[Fault Start TimeStamp]])*24</f>
        <v>15.45</v>
      </c>
      <c r="U202" s="23" t="s">
        <v>903</v>
      </c>
      <c r="V202" s="79" t="s">
        <v>339</v>
      </c>
      <c r="W202" s="289">
        <f>IFERROR(Table5[[#This Row],[Breakdown Time]]*Table5[[#This Row],[Plant Equivalent Weightage]],"")</f>
        <v>0.35113636363636364</v>
      </c>
      <c r="X202" s="289" t="s">
        <v>343</v>
      </c>
      <c r="Y202" s="290" t="s">
        <v>87</v>
      </c>
      <c r="Z202" s="79"/>
      <c r="AA202" s="283">
        <v>22312</v>
      </c>
      <c r="AB202" s="79"/>
      <c r="AC202" s="23"/>
      <c r="AD202" s="23"/>
    </row>
    <row r="203" spans="1:30">
      <c r="A203" s="79">
        <f t="shared" si="7"/>
        <v>202</v>
      </c>
      <c r="B203" s="283">
        <f>YEAR(Table5[[#This Row],[Date]])+IF(MONTH(Table5[[#This Row],[Date]])&gt;=4,1,0)</f>
        <v>2026</v>
      </c>
      <c r="C203" s="79">
        <f>YEAR(Table5[[#This Row],[Date]])</f>
        <v>2025</v>
      </c>
      <c r="D203" s="79" t="s">
        <v>344</v>
      </c>
      <c r="E203" s="284">
        <f>Table5[[#This Row],[Date]]-DAY(Table5[[#This Row],[Date]])+1</f>
        <v>45809</v>
      </c>
      <c r="F203" s="285">
        <v>45824</v>
      </c>
      <c r="G203" s="79" t="s">
        <v>95</v>
      </c>
      <c r="H203" s="23" t="str">
        <f>IFERROR(_xlfn.XLOOKUP(Table5[[#This Row],[Affected WTG]],'Basic Data'!$A:$A,'Basic Data'!$B:$B),"")</f>
        <v>PWEPL</v>
      </c>
      <c r="I203" s="23" t="str">
        <f>IFERROR(_xlfn.XLOOKUP(Table5[[#This Row],[Affected WTG]],'Basic Data'!$A:$A,'Basic Data'!$C:$C),"")</f>
        <v>MSEDCL</v>
      </c>
      <c r="J203" s="286">
        <f>IFERROR(_xlfn.XLOOKUP(Table5[[#This Row],[Affected WTG]],'Basic Data'!$A:$A,'Basic Data'!$E:$E),"")</f>
        <v>2.2727272727272728E-2</v>
      </c>
      <c r="K203" s="79">
        <v>101</v>
      </c>
      <c r="L203" s="23" t="str">
        <f>IFERROR(_xlfn.XLOOKUP(Table5[[#This Row],[Error Code]],'Basic Data'!$W:$W,'Basic Data'!$X:$X),"Incorrect Error Code")</f>
        <v>TopBox DIN21 motor protection aux contact string</v>
      </c>
      <c r="M203" s="23" t="s">
        <v>904</v>
      </c>
      <c r="N203" s="23"/>
      <c r="O203" s="287">
        <v>0.18263888888888891</v>
      </c>
      <c r="P203" s="287">
        <v>0.18263888888888891</v>
      </c>
      <c r="Q203" s="287">
        <v>0.20138888888888887</v>
      </c>
      <c r="R203" s="91">
        <f t="shared" si="6"/>
        <v>1.8749999999999961E-2</v>
      </c>
      <c r="S203" s="91">
        <f>(Table5[[#This Row],[Fault Clearance time]]-Table5[[#This Row],[Work Start TimeStamp]])*24</f>
        <v>0.44999999999999907</v>
      </c>
      <c r="T203" s="91">
        <f>(Table5[[#This Row],[Fault Clearance time]]-Table5[[#This Row],[Fault Start TimeStamp]])*24</f>
        <v>0.44999999999999907</v>
      </c>
      <c r="U203" s="23" t="s">
        <v>905</v>
      </c>
      <c r="V203" s="79" t="s">
        <v>339</v>
      </c>
      <c r="W203" s="289">
        <f>IFERROR(Table5[[#This Row],[Breakdown Time]]*Table5[[#This Row],[Plant Equivalent Weightage]],"")</f>
        <v>1.0227272727272706E-2</v>
      </c>
      <c r="X203" s="289" t="s">
        <v>343</v>
      </c>
      <c r="Y203" s="290" t="s">
        <v>106</v>
      </c>
      <c r="Z203" s="79"/>
      <c r="AA203" s="283">
        <v>1024</v>
      </c>
      <c r="AB203" s="79"/>
      <c r="AC203" s="23"/>
      <c r="AD203" s="23"/>
    </row>
    <row r="204" spans="1:30">
      <c r="A204" s="79">
        <f t="shared" si="7"/>
        <v>203</v>
      </c>
      <c r="B204" s="283">
        <f>YEAR(Table5[[#This Row],[Date]])+IF(MONTH(Table5[[#This Row],[Date]])&gt;=4,1,0)</f>
        <v>2026</v>
      </c>
      <c r="C204" s="79">
        <f>YEAR(Table5[[#This Row],[Date]])</f>
        <v>2025</v>
      </c>
      <c r="D204" s="79" t="s">
        <v>344</v>
      </c>
      <c r="E204" s="284">
        <f>Table5[[#This Row],[Date]]-DAY(Table5[[#This Row],[Date]])+1</f>
        <v>45809</v>
      </c>
      <c r="F204" s="285">
        <v>45824</v>
      </c>
      <c r="G204" s="79" t="s">
        <v>104</v>
      </c>
      <c r="H204" s="23" t="str">
        <f>IFERROR(_xlfn.XLOOKUP(Table5[[#This Row],[Affected WTG]],'Basic Data'!$A:$A,'Basic Data'!$B:$B),"")</f>
        <v>PWEPL</v>
      </c>
      <c r="I204" s="23" t="str">
        <f>IFERROR(_xlfn.XLOOKUP(Table5[[#This Row],[Affected WTG]],'Basic Data'!$A:$A,'Basic Data'!$C:$C),"")</f>
        <v>MSEDCL</v>
      </c>
      <c r="J204" s="286">
        <f>IFERROR(_xlfn.XLOOKUP(Table5[[#This Row],[Affected WTG]],'Basic Data'!$A:$A,'Basic Data'!$E:$E),"")</f>
        <v>2.2727272727272728E-2</v>
      </c>
      <c r="K204" s="79">
        <v>201</v>
      </c>
      <c r="L204" s="23" t="str">
        <f>IFERROR(_xlfn.XLOOKUP(Table5[[#This Row],[Error Code]],'Basic Data'!$W:$W,'Basic Data'!$X:$X),"Incorrect Error Code")</f>
        <v xml:space="preserve"> PLC fault 24V Supply</v>
      </c>
      <c r="M204" s="23" t="s">
        <v>906</v>
      </c>
      <c r="N204" s="23"/>
      <c r="O204" s="287">
        <v>0.78749999999999998</v>
      </c>
      <c r="P204" s="287">
        <v>0.78749999999999998</v>
      </c>
      <c r="Q204" s="287">
        <v>0.86805555555555547</v>
      </c>
      <c r="R204" s="91">
        <f t="shared" si="6"/>
        <v>8.0555555555555491E-2</v>
      </c>
      <c r="S204" s="91">
        <f>(Table5[[#This Row],[Fault Clearance time]]-Table5[[#This Row],[Work Start TimeStamp]])*24</f>
        <v>1.9333333333333318</v>
      </c>
      <c r="T204" s="91">
        <f>(Table5[[#This Row],[Fault Clearance time]]-Table5[[#This Row],[Fault Start TimeStamp]])*24</f>
        <v>1.9333333333333318</v>
      </c>
      <c r="U204" s="23" t="s">
        <v>907</v>
      </c>
      <c r="V204" s="79" t="s">
        <v>339</v>
      </c>
      <c r="W204" s="289">
        <f>IFERROR(Table5[[#This Row],[Breakdown Time]]*Table5[[#This Row],[Plant Equivalent Weightage]],"")</f>
        <v>4.3939393939393903E-2</v>
      </c>
      <c r="X204" s="289" t="s">
        <v>343</v>
      </c>
      <c r="Y204" s="290" t="s">
        <v>79</v>
      </c>
      <c r="Z204" s="79"/>
      <c r="AA204" s="283">
        <v>3430</v>
      </c>
      <c r="AB204" s="79"/>
      <c r="AC204" s="23"/>
      <c r="AD204" s="23"/>
    </row>
    <row r="205" spans="1:30">
      <c r="A205" s="79">
        <f t="shared" si="7"/>
        <v>204</v>
      </c>
      <c r="B205" s="283">
        <f>YEAR(Table5[[#This Row],[Date]])+IF(MONTH(Table5[[#This Row],[Date]])&gt;=4,1,0)</f>
        <v>2026</v>
      </c>
      <c r="C205" s="79">
        <f>YEAR(Table5[[#This Row],[Date]])</f>
        <v>2025</v>
      </c>
      <c r="D205" s="79" t="s">
        <v>344</v>
      </c>
      <c r="E205" s="284">
        <f>Table5[[#This Row],[Date]]-DAY(Table5[[#This Row],[Date]])+1</f>
        <v>45809</v>
      </c>
      <c r="F205" s="285">
        <v>45824</v>
      </c>
      <c r="G205" s="79" t="s">
        <v>104</v>
      </c>
      <c r="H205" s="23" t="str">
        <f>IFERROR(_xlfn.XLOOKUP(Table5[[#This Row],[Affected WTG]],'Basic Data'!$A:$A,'Basic Data'!$B:$B),"")</f>
        <v>PWEPL</v>
      </c>
      <c r="I205" s="23" t="str">
        <f>IFERROR(_xlfn.XLOOKUP(Table5[[#This Row],[Affected WTG]],'Basic Data'!$A:$A,'Basic Data'!$C:$C),"")</f>
        <v>MSEDCL</v>
      </c>
      <c r="J205" s="286">
        <f>IFERROR(_xlfn.XLOOKUP(Table5[[#This Row],[Affected WTG]],'Basic Data'!$A:$A,'Basic Data'!$E:$E),"")</f>
        <v>2.2727272727272728E-2</v>
      </c>
      <c r="K205" s="79">
        <v>201</v>
      </c>
      <c r="L205" s="23" t="str">
        <f>IFERROR(_xlfn.XLOOKUP(Table5[[#This Row],[Error Code]],'Basic Data'!$W:$W,'Basic Data'!$X:$X),"Incorrect Error Code")</f>
        <v xml:space="preserve"> PLC fault 24V Supply</v>
      </c>
      <c r="M205" s="23" t="s">
        <v>366</v>
      </c>
      <c r="N205" s="23"/>
      <c r="O205" s="287">
        <v>0.89930555555555547</v>
      </c>
      <c r="P205" s="287">
        <v>0.89930555555555547</v>
      </c>
      <c r="Q205" s="287">
        <v>0.99930555555555556</v>
      </c>
      <c r="R205" s="91">
        <f t="shared" si="6"/>
        <v>0.10000000000000009</v>
      </c>
      <c r="S205" s="91">
        <f>(Table5[[#This Row],[Fault Clearance time]]-Table5[[#This Row],[Work Start TimeStamp]])*24</f>
        <v>2.4000000000000021</v>
      </c>
      <c r="T205" s="91">
        <f>(Table5[[#This Row],[Fault Clearance time]]-Table5[[#This Row],[Fault Start TimeStamp]])*24</f>
        <v>2.4000000000000021</v>
      </c>
      <c r="U205" s="23" t="s">
        <v>456</v>
      </c>
      <c r="V205" s="79" t="s">
        <v>339</v>
      </c>
      <c r="W205" s="289">
        <f>IFERROR(Table5[[#This Row],[Breakdown Time]]*Table5[[#This Row],[Plant Equivalent Weightage]],"")</f>
        <v>5.4545454545454598E-2</v>
      </c>
      <c r="X205" s="289" t="s">
        <v>343</v>
      </c>
      <c r="Y205" s="290" t="s">
        <v>79</v>
      </c>
      <c r="Z205" s="79"/>
      <c r="AA205" s="283">
        <v>4085</v>
      </c>
      <c r="AB205" s="79"/>
      <c r="AC205" s="23"/>
      <c r="AD205" s="23"/>
    </row>
    <row r="206" spans="1:30">
      <c r="A206" s="79">
        <f t="shared" si="7"/>
        <v>205</v>
      </c>
      <c r="B206" s="283">
        <f>YEAR(Table5[[#This Row],[Date]])+IF(MONTH(Table5[[#This Row],[Date]])&gt;=4,1,0)</f>
        <v>2026</v>
      </c>
      <c r="C206" s="79">
        <f>YEAR(Table5[[#This Row],[Date]])</f>
        <v>2025</v>
      </c>
      <c r="D206" s="79" t="s">
        <v>344</v>
      </c>
      <c r="E206" s="284">
        <f>Table5[[#This Row],[Date]]-DAY(Table5[[#This Row],[Date]])+1</f>
        <v>45809</v>
      </c>
      <c r="F206" s="285">
        <v>45825</v>
      </c>
      <c r="G206" s="79" t="s">
        <v>79</v>
      </c>
      <c r="H206" s="23" t="str">
        <f>IFERROR(_xlfn.XLOOKUP(Table5[[#This Row],[Affected WTG]],'Basic Data'!$A:$A,'Basic Data'!$B:$B),"")</f>
        <v>PWEPL</v>
      </c>
      <c r="I206" s="23" t="str">
        <f>IFERROR(_xlfn.XLOOKUP(Table5[[#This Row],[Affected WTG]],'Basic Data'!$A:$A,'Basic Data'!$C:$C),"")</f>
        <v>MSEDCL</v>
      </c>
      <c r="J206" s="286">
        <f>IFERROR(_xlfn.XLOOKUP(Table5[[#This Row],[Affected WTG]],'Basic Data'!$A:$A,'Basic Data'!$E:$E),"")</f>
        <v>2.2727272727272728E-2</v>
      </c>
      <c r="K206" s="79">
        <v>157</v>
      </c>
      <c r="L206" s="23" t="str">
        <f>IFERROR(_xlfn.XLOOKUP(Table5[[#This Row],[Error Code]],'Basic Data'!$W:$W,'Basic Data'!$X:$X),"Incorrect Error Code")</f>
        <v>Brake does not close</v>
      </c>
      <c r="M206" s="23" t="s">
        <v>908</v>
      </c>
      <c r="N206" s="23"/>
      <c r="O206" s="287">
        <v>0.2986111111111111</v>
      </c>
      <c r="P206" s="287">
        <v>0.2986111111111111</v>
      </c>
      <c r="Q206" s="287">
        <v>0.45694444444444443</v>
      </c>
      <c r="R206" s="91">
        <f t="shared" si="6"/>
        <v>0.15833333333333333</v>
      </c>
      <c r="S206" s="91">
        <f>(Table5[[#This Row],[Fault Clearance time]]-Table5[[#This Row],[Work Start TimeStamp]])*24</f>
        <v>3.8</v>
      </c>
      <c r="T206" s="91">
        <f>(Table5[[#This Row],[Fault Clearance time]]-Table5[[#This Row],[Fault Start TimeStamp]])*24</f>
        <v>3.8</v>
      </c>
      <c r="U206" s="23" t="s">
        <v>908</v>
      </c>
      <c r="V206" s="79" t="s">
        <v>339</v>
      </c>
      <c r="W206" s="289">
        <f>IFERROR(Table5[[#This Row],[Breakdown Time]]*Table5[[#This Row],[Plant Equivalent Weightage]],"")</f>
        <v>8.6363636363636365E-2</v>
      </c>
      <c r="X206" s="289" t="s">
        <v>343</v>
      </c>
      <c r="Y206" s="290" t="s">
        <v>96</v>
      </c>
      <c r="Z206" s="79"/>
      <c r="AA206" s="283">
        <v>6064</v>
      </c>
      <c r="AB206" s="79"/>
      <c r="AC206" s="23"/>
      <c r="AD206" s="23"/>
    </row>
    <row r="207" spans="1:30">
      <c r="A207" s="79">
        <f t="shared" si="7"/>
        <v>206</v>
      </c>
      <c r="B207" s="283">
        <f>YEAR(Table5[[#This Row],[Date]])+IF(MONTH(Table5[[#This Row],[Date]])&gt;=4,1,0)</f>
        <v>2026</v>
      </c>
      <c r="C207" s="79">
        <f>YEAR(Table5[[#This Row],[Date]])</f>
        <v>2025</v>
      </c>
      <c r="D207" s="79" t="s">
        <v>344</v>
      </c>
      <c r="E207" s="284">
        <f>Table5[[#This Row],[Date]]-DAY(Table5[[#This Row],[Date]])+1</f>
        <v>45809</v>
      </c>
      <c r="F207" s="285">
        <v>45825</v>
      </c>
      <c r="G207" s="79" t="s">
        <v>101</v>
      </c>
      <c r="H207" s="23" t="str">
        <f>IFERROR(_xlfn.XLOOKUP(Table5[[#This Row],[Affected WTG]],'Basic Data'!$A:$A,'Basic Data'!$B:$B),"")</f>
        <v>PWEPL</v>
      </c>
      <c r="I207" s="23" t="str">
        <f>IFERROR(_xlfn.XLOOKUP(Table5[[#This Row],[Affected WTG]],'Basic Data'!$A:$A,'Basic Data'!$C:$C),"")</f>
        <v>MSEDCL</v>
      </c>
      <c r="J207" s="286">
        <f>IFERROR(_xlfn.XLOOKUP(Table5[[#This Row],[Affected WTG]],'Basic Data'!$A:$A,'Basic Data'!$E:$E),"")</f>
        <v>2.2727272727272728E-2</v>
      </c>
      <c r="K207" s="79">
        <v>174</v>
      </c>
      <c r="L207" s="23" t="str">
        <f>IFERROR(_xlfn.XLOOKUP(Table5[[#This Row],[Error Code]],'Basic Data'!$W:$W,'Basic Data'!$X:$X),"Incorrect Error Code")</f>
        <v>Overtemperature transformer warning</v>
      </c>
      <c r="M207" s="23" t="s">
        <v>158</v>
      </c>
      <c r="N207" s="23"/>
      <c r="O207" s="287">
        <v>0.39999999999999997</v>
      </c>
      <c r="P207" s="287">
        <v>0.39999999999999997</v>
      </c>
      <c r="Q207" s="287">
        <v>0.42777777777777781</v>
      </c>
      <c r="R207" s="91">
        <f t="shared" si="6"/>
        <v>2.7777777777777846E-2</v>
      </c>
      <c r="S207" s="91">
        <f>(Table5[[#This Row],[Fault Clearance time]]-Table5[[#This Row],[Work Start TimeStamp]])*24</f>
        <v>0.66666666666666829</v>
      </c>
      <c r="T207" s="91">
        <f>(Table5[[#This Row],[Fault Clearance time]]-Table5[[#This Row],[Fault Start TimeStamp]])*24</f>
        <v>0.66666666666666829</v>
      </c>
      <c r="U207" s="23" t="s">
        <v>353</v>
      </c>
      <c r="V207" s="79" t="s">
        <v>339</v>
      </c>
      <c r="W207" s="289">
        <f>IFERROR(Table5[[#This Row],[Breakdown Time]]*Table5[[#This Row],[Plant Equivalent Weightage]],"")</f>
        <v>1.5151515151515188E-2</v>
      </c>
      <c r="X207" s="289" t="s">
        <v>343</v>
      </c>
      <c r="Y207" s="290" t="s">
        <v>100</v>
      </c>
      <c r="Z207" s="79"/>
      <c r="AA207" s="283">
        <v>1194</v>
      </c>
      <c r="AB207" s="79"/>
      <c r="AC207" s="23"/>
      <c r="AD207" s="23"/>
    </row>
    <row r="208" spans="1:30">
      <c r="A208" s="79">
        <f t="shared" si="7"/>
        <v>207</v>
      </c>
      <c r="B208" s="283">
        <f>YEAR(Table5[[#This Row],[Date]])+IF(MONTH(Table5[[#This Row],[Date]])&gt;=4,1,0)</f>
        <v>2026</v>
      </c>
      <c r="C208" s="79">
        <f>YEAR(Table5[[#This Row],[Date]])</f>
        <v>2025</v>
      </c>
      <c r="D208" s="79" t="s">
        <v>344</v>
      </c>
      <c r="E208" s="284">
        <f>Table5[[#This Row],[Date]]-DAY(Table5[[#This Row],[Date]])+1</f>
        <v>45809</v>
      </c>
      <c r="F208" s="285">
        <v>45826</v>
      </c>
      <c r="G208" s="79" t="s">
        <v>104</v>
      </c>
      <c r="H208" s="23" t="str">
        <f>IFERROR(_xlfn.XLOOKUP(Table5[[#This Row],[Affected WTG]],'Basic Data'!$A:$A,'Basic Data'!$B:$B),"")</f>
        <v>PWEPL</v>
      </c>
      <c r="I208" s="23" t="str">
        <f>IFERROR(_xlfn.XLOOKUP(Table5[[#This Row],[Affected WTG]],'Basic Data'!$A:$A,'Basic Data'!$C:$C),"")</f>
        <v>MSEDCL</v>
      </c>
      <c r="J208" s="286">
        <f>IFERROR(_xlfn.XLOOKUP(Table5[[#This Row],[Affected WTG]],'Basic Data'!$A:$A,'Basic Data'!$E:$E),"")</f>
        <v>2.2727272727272728E-2</v>
      </c>
      <c r="K208" s="79">
        <v>201</v>
      </c>
      <c r="L208" s="23" t="str">
        <f>IFERROR(_xlfn.XLOOKUP(Table5[[#This Row],[Error Code]],'Basic Data'!$W:$W,'Basic Data'!$X:$X),"Incorrect Error Code")</f>
        <v xml:space="preserve"> PLC fault 24V Supply</v>
      </c>
      <c r="M208" s="23" t="s">
        <v>366</v>
      </c>
      <c r="N208" s="23"/>
      <c r="O208" s="287">
        <v>0</v>
      </c>
      <c r="P208" s="287">
        <v>0</v>
      </c>
      <c r="Q208" s="287">
        <v>0.13680555555555554</v>
      </c>
      <c r="R208" s="91">
        <f t="shared" si="6"/>
        <v>0.13680555555555554</v>
      </c>
      <c r="S208" s="91">
        <f>(Table5[[#This Row],[Fault Clearance time]]-Table5[[#This Row],[Work Start TimeStamp]])*24</f>
        <v>3.2833333333333332</v>
      </c>
      <c r="T208" s="91">
        <f>(Table5[[#This Row],[Fault Clearance time]]-Table5[[#This Row],[Fault Start TimeStamp]])*24</f>
        <v>3.2833333333333332</v>
      </c>
      <c r="U208" s="23" t="s">
        <v>882</v>
      </c>
      <c r="V208" s="79" t="s">
        <v>339</v>
      </c>
      <c r="W208" s="289">
        <f>IFERROR(Table5[[#This Row],[Breakdown Time]]*Table5[[#This Row],[Plant Equivalent Weightage]],"")</f>
        <v>7.4621212121212116E-2</v>
      </c>
      <c r="X208" s="289" t="s">
        <v>343</v>
      </c>
      <c r="Y208" s="290" t="s">
        <v>79</v>
      </c>
      <c r="Z208" s="79"/>
      <c r="AA208" s="283">
        <v>5432</v>
      </c>
      <c r="AB208" s="79"/>
      <c r="AC208" s="23"/>
      <c r="AD208" s="23"/>
    </row>
    <row r="209" spans="1:30">
      <c r="A209" s="79">
        <f t="shared" si="7"/>
        <v>208</v>
      </c>
      <c r="B209" s="283">
        <f>YEAR(Table5[[#This Row],[Date]])+IF(MONTH(Table5[[#This Row],[Date]])&gt;=4,1,0)</f>
        <v>2026</v>
      </c>
      <c r="C209" s="79">
        <f>YEAR(Table5[[#This Row],[Date]])</f>
        <v>2025</v>
      </c>
      <c r="D209" s="79" t="s">
        <v>344</v>
      </c>
      <c r="E209" s="284">
        <f>Table5[[#This Row],[Date]]-DAY(Table5[[#This Row],[Date]])+1</f>
        <v>45809</v>
      </c>
      <c r="F209" s="285">
        <v>45826</v>
      </c>
      <c r="G209" s="79" t="s">
        <v>79</v>
      </c>
      <c r="H209" s="23" t="str">
        <f>IFERROR(_xlfn.XLOOKUP(Table5[[#This Row],[Affected WTG]],'Basic Data'!$A:$A,'Basic Data'!$B:$B),"")</f>
        <v>PWEPL</v>
      </c>
      <c r="I209" s="23" t="str">
        <f>IFERROR(_xlfn.XLOOKUP(Table5[[#This Row],[Affected WTG]],'Basic Data'!$A:$A,'Basic Data'!$C:$C),"")</f>
        <v>MSEDCL</v>
      </c>
      <c r="J209" s="286">
        <f>IFERROR(_xlfn.XLOOKUP(Table5[[#This Row],[Affected WTG]],'Basic Data'!$A:$A,'Basic Data'!$E:$E),"")</f>
        <v>2.2727272727272728E-2</v>
      </c>
      <c r="K209" s="79">
        <v>34</v>
      </c>
      <c r="L209" s="23" t="str">
        <f>IFERROR(_xlfn.XLOOKUP(Table5[[#This Row],[Error Code]],'Basic Data'!$W:$W,'Basic Data'!$X:$X),"Incorrect Error Code")</f>
        <v>Brake not released secondary brake</v>
      </c>
      <c r="M209" s="23" t="s">
        <v>912</v>
      </c>
      <c r="N209" s="23"/>
      <c r="O209" s="287">
        <v>0</v>
      </c>
      <c r="P209" s="287">
        <v>0</v>
      </c>
      <c r="Q209" s="287">
        <v>0.60486111111111118</v>
      </c>
      <c r="R209" s="91">
        <f t="shared" si="6"/>
        <v>0.60486111111111118</v>
      </c>
      <c r="S209" s="91">
        <f>(Table5[[#This Row],[Fault Clearance time]]-Table5[[#This Row],[Work Start TimeStamp]])*24</f>
        <v>14.516666666666669</v>
      </c>
      <c r="T209" s="91">
        <f>(Table5[[#This Row],[Fault Clearance time]]-Table5[[#This Row],[Fault Start TimeStamp]])*24</f>
        <v>14.516666666666669</v>
      </c>
      <c r="U209" s="23" t="s">
        <v>913</v>
      </c>
      <c r="V209" s="79" t="s">
        <v>339</v>
      </c>
      <c r="W209" s="289">
        <f>IFERROR(Table5[[#This Row],[Breakdown Time]]*Table5[[#This Row],[Plant Equivalent Weightage]],"")</f>
        <v>0.32992424242424251</v>
      </c>
      <c r="X209" s="289" t="s">
        <v>343</v>
      </c>
      <c r="Y209" s="290" t="s">
        <v>96</v>
      </c>
      <c r="Z209" s="79"/>
      <c r="AA209" s="283">
        <v>22835</v>
      </c>
      <c r="AB209" s="79"/>
      <c r="AC209" s="23"/>
      <c r="AD209" s="23"/>
    </row>
    <row r="210" spans="1:30">
      <c r="A210" s="79">
        <f t="shared" si="7"/>
        <v>209</v>
      </c>
      <c r="B210" s="283">
        <f>YEAR(Table5[[#This Row],[Date]])+IF(MONTH(Table5[[#This Row],[Date]])&gt;=4,1,0)</f>
        <v>2026</v>
      </c>
      <c r="C210" s="79">
        <f>YEAR(Table5[[#This Row],[Date]])</f>
        <v>2025</v>
      </c>
      <c r="D210" s="79" t="s">
        <v>344</v>
      </c>
      <c r="E210" s="284">
        <f>Table5[[#This Row],[Date]]-DAY(Table5[[#This Row],[Date]])+1</f>
        <v>45809</v>
      </c>
      <c r="F210" s="285">
        <v>45826</v>
      </c>
      <c r="G210" s="79" t="s">
        <v>91</v>
      </c>
      <c r="H210" s="23" t="str">
        <f>IFERROR(_xlfn.XLOOKUP(Table5[[#This Row],[Affected WTG]],'Basic Data'!$A:$A,'Basic Data'!$B:$B),"")</f>
        <v>PWEPL</v>
      </c>
      <c r="I210" s="23" t="str">
        <f>IFERROR(_xlfn.XLOOKUP(Table5[[#This Row],[Affected WTG]],'Basic Data'!$A:$A,'Basic Data'!$C:$C),"")</f>
        <v>MSEDCL</v>
      </c>
      <c r="J210" s="286">
        <f>IFERROR(_xlfn.XLOOKUP(Table5[[#This Row],[Affected WTG]],'Basic Data'!$A:$A,'Basic Data'!$E:$E),"")</f>
        <v>2.2727272727272728E-2</v>
      </c>
      <c r="K210" s="79">
        <v>276</v>
      </c>
      <c r="L210" s="23" t="str">
        <f>IFERROR(_xlfn.XLOOKUP(Table5[[#This Row],[Error Code]],'Basic Data'!$W:$W,'Basic Data'!$X:$X),"Incorrect Error Code")</f>
        <v>Pitch thyristor 3 fault</v>
      </c>
      <c r="M210" s="23" t="s">
        <v>153</v>
      </c>
      <c r="N210" s="23"/>
      <c r="O210" s="287">
        <v>0.51041666666666663</v>
      </c>
      <c r="P210" s="287">
        <v>0.51041666666666663</v>
      </c>
      <c r="Q210" s="287">
        <v>0.73402777777777783</v>
      </c>
      <c r="R210" s="91">
        <f t="shared" si="6"/>
        <v>0.2236111111111112</v>
      </c>
      <c r="S210" s="91">
        <f>(Table5[[#This Row],[Fault Clearance time]]-Table5[[#This Row],[Work Start TimeStamp]])*24</f>
        <v>5.3666666666666689</v>
      </c>
      <c r="T210" s="91">
        <f>(Table5[[#This Row],[Fault Clearance time]]-Table5[[#This Row],[Fault Start TimeStamp]])*24</f>
        <v>5.3666666666666689</v>
      </c>
      <c r="U210" s="23" t="s">
        <v>891</v>
      </c>
      <c r="V210" s="79" t="s">
        <v>339</v>
      </c>
      <c r="W210" s="289">
        <f>IFERROR(Table5[[#This Row],[Breakdown Time]]*Table5[[#This Row],[Plant Equivalent Weightage]],"")</f>
        <v>0.12196969696969702</v>
      </c>
      <c r="X210" s="289" t="s">
        <v>343</v>
      </c>
      <c r="Y210" s="290" t="s">
        <v>90</v>
      </c>
      <c r="Z210" s="79"/>
      <c r="AA210" s="283">
        <v>8299</v>
      </c>
      <c r="AB210" s="79"/>
      <c r="AC210" s="23"/>
      <c r="AD210" s="23"/>
    </row>
    <row r="211" spans="1:30">
      <c r="A211" s="79">
        <f t="shared" si="7"/>
        <v>210</v>
      </c>
      <c r="B211" s="283">
        <f>YEAR(Table5[[#This Row],[Date]])+IF(MONTH(Table5[[#This Row],[Date]])&gt;=4,1,0)</f>
        <v>2026</v>
      </c>
      <c r="C211" s="79">
        <f>YEAR(Table5[[#This Row],[Date]])</f>
        <v>2025</v>
      </c>
      <c r="D211" s="79" t="s">
        <v>344</v>
      </c>
      <c r="E211" s="284">
        <f>Table5[[#This Row],[Date]]-DAY(Table5[[#This Row],[Date]])+1</f>
        <v>45809</v>
      </c>
      <c r="F211" s="285">
        <v>45826</v>
      </c>
      <c r="G211" s="79" t="s">
        <v>101</v>
      </c>
      <c r="H211" s="23" t="str">
        <f>IFERROR(_xlfn.XLOOKUP(Table5[[#This Row],[Affected WTG]],'Basic Data'!$A:$A,'Basic Data'!$B:$B),"")</f>
        <v>PWEPL</v>
      </c>
      <c r="I211" s="23" t="str">
        <f>IFERROR(_xlfn.XLOOKUP(Table5[[#This Row],[Affected WTG]],'Basic Data'!$A:$A,'Basic Data'!$C:$C),"")</f>
        <v>MSEDCL</v>
      </c>
      <c r="J211" s="286">
        <f>IFERROR(_xlfn.XLOOKUP(Table5[[#This Row],[Affected WTG]],'Basic Data'!$A:$A,'Basic Data'!$E:$E),"")</f>
        <v>2.2727272727272728E-2</v>
      </c>
      <c r="K211" s="79">
        <v>274</v>
      </c>
      <c r="L211" s="23" t="str">
        <f>IFERROR(_xlfn.XLOOKUP(Table5[[#This Row],[Error Code]],'Basic Data'!$W:$W,'Basic Data'!$X:$X),"Incorrect Error Code")</f>
        <v>Pitch thyristor 1 fault</v>
      </c>
      <c r="M211" s="23" t="s">
        <v>158</v>
      </c>
      <c r="N211" s="23"/>
      <c r="O211" s="287">
        <v>0.37777777777777777</v>
      </c>
      <c r="P211" s="287">
        <v>0.37777777777777777</v>
      </c>
      <c r="Q211" s="287">
        <v>0.4284722222222222</v>
      </c>
      <c r="R211" s="91">
        <f t="shared" si="6"/>
        <v>5.0694444444444431E-2</v>
      </c>
      <c r="S211" s="91">
        <f>(Table5[[#This Row],[Fault Clearance time]]-Table5[[#This Row],[Work Start TimeStamp]])*24</f>
        <v>1.2166666666666663</v>
      </c>
      <c r="T211" s="91">
        <f>(Table5[[#This Row],[Fault Clearance time]]-Table5[[#This Row],[Fault Start TimeStamp]])*24</f>
        <v>1.2166666666666663</v>
      </c>
      <c r="U211" s="23" t="s">
        <v>353</v>
      </c>
      <c r="V211" s="79" t="s">
        <v>339</v>
      </c>
      <c r="W211" s="289">
        <f>IFERROR(Table5[[#This Row],[Breakdown Time]]*Table5[[#This Row],[Plant Equivalent Weightage]],"")</f>
        <v>2.7651515151515146E-2</v>
      </c>
      <c r="X211" s="289" t="s">
        <v>343</v>
      </c>
      <c r="Y211" s="290" t="s">
        <v>100</v>
      </c>
      <c r="Z211" s="79"/>
      <c r="AA211" s="283">
        <v>1301</v>
      </c>
      <c r="AB211" s="79"/>
      <c r="AC211" s="23"/>
      <c r="AD211" s="23"/>
    </row>
    <row r="212" spans="1:30">
      <c r="A212" s="79">
        <f t="shared" si="7"/>
        <v>211</v>
      </c>
      <c r="B212" s="283">
        <f>YEAR(Table5[[#This Row],[Date]])+IF(MONTH(Table5[[#This Row],[Date]])&gt;=4,1,0)</f>
        <v>2026</v>
      </c>
      <c r="C212" s="79">
        <f>YEAR(Table5[[#This Row],[Date]])</f>
        <v>2025</v>
      </c>
      <c r="D212" s="79" t="s">
        <v>344</v>
      </c>
      <c r="E212" s="284">
        <f>Table5[[#This Row],[Date]]-DAY(Table5[[#This Row],[Date]])+1</f>
        <v>45809</v>
      </c>
      <c r="F212" s="285">
        <v>45826</v>
      </c>
      <c r="G212" s="79" t="s">
        <v>101</v>
      </c>
      <c r="H212" s="23" t="str">
        <f>IFERROR(_xlfn.XLOOKUP(Table5[[#This Row],[Affected WTG]],'Basic Data'!$A:$A,'Basic Data'!$B:$B),"")</f>
        <v>PWEPL</v>
      </c>
      <c r="I212" s="23" t="str">
        <f>IFERROR(_xlfn.XLOOKUP(Table5[[#This Row],[Affected WTG]],'Basic Data'!$A:$A,'Basic Data'!$C:$C),"")</f>
        <v>MSEDCL</v>
      </c>
      <c r="J212" s="286">
        <f>IFERROR(_xlfn.XLOOKUP(Table5[[#This Row],[Affected WTG]],'Basic Data'!$A:$A,'Basic Data'!$E:$E),"")</f>
        <v>2.2727272727272728E-2</v>
      </c>
      <c r="K212" s="79">
        <v>274</v>
      </c>
      <c r="L212" s="23" t="str">
        <f>IFERROR(_xlfn.XLOOKUP(Table5[[#This Row],[Error Code]],'Basic Data'!$W:$W,'Basic Data'!$X:$X),"Incorrect Error Code")</f>
        <v>Pitch thyristor 1 fault</v>
      </c>
      <c r="M212" s="23" t="s">
        <v>158</v>
      </c>
      <c r="N212" s="23"/>
      <c r="O212" s="287">
        <v>0.88611111111111107</v>
      </c>
      <c r="P212" s="287">
        <v>0.88611111111111107</v>
      </c>
      <c r="Q212" s="287">
        <v>0.99236111111111114</v>
      </c>
      <c r="R212" s="91">
        <f t="shared" si="6"/>
        <v>0.10625000000000007</v>
      </c>
      <c r="S212" s="91">
        <f>(Table5[[#This Row],[Fault Clearance time]]-Table5[[#This Row],[Work Start TimeStamp]])*24</f>
        <v>2.5500000000000016</v>
      </c>
      <c r="T212" s="91">
        <f>(Table5[[#This Row],[Fault Clearance time]]-Table5[[#This Row],[Fault Start TimeStamp]])*24</f>
        <v>2.5500000000000016</v>
      </c>
      <c r="U212" s="23" t="s">
        <v>914</v>
      </c>
      <c r="V212" s="79" t="s">
        <v>339</v>
      </c>
      <c r="W212" s="289">
        <f>IFERROR(Table5[[#This Row],[Breakdown Time]]*Table5[[#This Row],[Plant Equivalent Weightage]],"")</f>
        <v>5.7954545454545495E-2</v>
      </c>
      <c r="X212" s="289" t="s">
        <v>343</v>
      </c>
      <c r="Y212" s="290" t="s">
        <v>100</v>
      </c>
      <c r="Z212" s="79"/>
      <c r="AA212" s="283">
        <v>3918</v>
      </c>
      <c r="AB212" s="79"/>
      <c r="AC212" s="23"/>
      <c r="AD212" s="23"/>
    </row>
    <row r="213" spans="1:30">
      <c r="A213" s="79">
        <f t="shared" si="7"/>
        <v>212</v>
      </c>
      <c r="B213" s="283">
        <f>YEAR(Table5[[#This Row],[Date]])+IF(MONTH(Table5[[#This Row],[Date]])&gt;=4,1,0)</f>
        <v>2026</v>
      </c>
      <c r="C213" s="79">
        <f>YEAR(Table5[[#This Row],[Date]])</f>
        <v>2025</v>
      </c>
      <c r="D213" s="79" t="s">
        <v>344</v>
      </c>
      <c r="E213" s="284">
        <f>Table5[[#This Row],[Date]]-DAY(Table5[[#This Row],[Date]])+1</f>
        <v>45809</v>
      </c>
      <c r="F213" s="285">
        <v>45826</v>
      </c>
      <c r="G213" s="79" t="s">
        <v>119</v>
      </c>
      <c r="H213" s="23" t="str">
        <f>IFERROR(_xlfn.XLOOKUP(Table5[[#This Row],[Affected WTG]],'Basic Data'!$A:$A,'Basic Data'!$B:$B),"")</f>
        <v>PWEPL</v>
      </c>
      <c r="I213" s="23" t="str">
        <f>IFERROR(_xlfn.XLOOKUP(Table5[[#This Row],[Affected WTG]],'Basic Data'!$A:$A,'Basic Data'!$C:$C),"")</f>
        <v>MSEDCL</v>
      </c>
      <c r="J213" s="286">
        <f>IFERROR(_xlfn.XLOOKUP(Table5[[#This Row],[Affected WTG]],'Basic Data'!$A:$A,'Basic Data'!$E:$E),"")</f>
        <v>2.2727272727272728E-2</v>
      </c>
      <c r="K213" s="79">
        <v>142</v>
      </c>
      <c r="L213" s="23" t="str">
        <f>IFERROR(_xlfn.XLOOKUP(Table5[[#This Row],[Error Code]],'Basic Data'!$W:$W,'Basic Data'!$X:$X),"Incorrect Error Code")</f>
        <v>Line CCU collective faults</v>
      </c>
      <c r="M213" s="23" t="s">
        <v>149</v>
      </c>
      <c r="N213" s="23"/>
      <c r="O213" s="287">
        <v>0.83263888888888893</v>
      </c>
      <c r="P213" s="287">
        <v>0.83263888888888893</v>
      </c>
      <c r="Q213" s="287">
        <v>0.85416666666666663</v>
      </c>
      <c r="R213" s="91">
        <f t="shared" si="6"/>
        <v>2.1527777777777701E-2</v>
      </c>
      <c r="S213" s="91">
        <f>(Table5[[#This Row],[Fault Clearance time]]-Table5[[#This Row],[Work Start TimeStamp]])*24</f>
        <v>0.51666666666666483</v>
      </c>
      <c r="T213" s="91">
        <f>(Table5[[#This Row],[Fault Clearance time]]-Table5[[#This Row],[Fault Start TimeStamp]])*24</f>
        <v>0.51666666666666483</v>
      </c>
      <c r="U213" s="23" t="s">
        <v>353</v>
      </c>
      <c r="V213" s="79" t="s">
        <v>339</v>
      </c>
      <c r="W213" s="289">
        <f>IFERROR(Table5[[#This Row],[Breakdown Time]]*Table5[[#This Row],[Plant Equivalent Weightage]],"")</f>
        <v>1.1742424242424202E-2</v>
      </c>
      <c r="X213" s="289" t="s">
        <v>343</v>
      </c>
      <c r="Y213" s="290" t="s">
        <v>119</v>
      </c>
      <c r="Z213" s="79"/>
      <c r="AA213" s="283">
        <v>825</v>
      </c>
      <c r="AB213" s="79"/>
      <c r="AC213" s="23"/>
      <c r="AD213" s="23"/>
    </row>
    <row r="214" spans="1:30">
      <c r="A214" s="79">
        <f t="shared" si="7"/>
        <v>213</v>
      </c>
      <c r="B214" s="283">
        <f>YEAR(Table5[[#This Row],[Date]])+IF(MONTH(Table5[[#This Row],[Date]])&gt;=4,1,0)</f>
        <v>2026</v>
      </c>
      <c r="C214" s="79">
        <f>YEAR(Table5[[#This Row],[Date]])</f>
        <v>2025</v>
      </c>
      <c r="D214" s="79" t="s">
        <v>344</v>
      </c>
      <c r="E214" s="284">
        <f>Table5[[#This Row],[Date]]-DAY(Table5[[#This Row],[Date]])+1</f>
        <v>45809</v>
      </c>
      <c r="F214" s="285">
        <v>45827</v>
      </c>
      <c r="G214" s="79" t="s">
        <v>79</v>
      </c>
      <c r="H214" s="23" t="str">
        <f>IFERROR(_xlfn.XLOOKUP(Table5[[#This Row],[Affected WTG]],'Basic Data'!$A:$A,'Basic Data'!$B:$B),"")</f>
        <v>PWEPL</v>
      </c>
      <c r="I214" s="23" t="str">
        <f>IFERROR(_xlfn.XLOOKUP(Table5[[#This Row],[Affected WTG]],'Basic Data'!$A:$A,'Basic Data'!$C:$C),"")</f>
        <v>MSEDCL</v>
      </c>
      <c r="J214" s="286">
        <f>IFERROR(_xlfn.XLOOKUP(Table5[[#This Row],[Affected WTG]],'Basic Data'!$A:$A,'Basic Data'!$E:$E),"")</f>
        <v>2.2727272727272728E-2</v>
      </c>
      <c r="K214" s="79">
        <v>34</v>
      </c>
      <c r="L214" s="23" t="str">
        <f>IFERROR(_xlfn.XLOOKUP(Table5[[#This Row],[Error Code]],'Basic Data'!$W:$W,'Basic Data'!$X:$X),"Incorrect Error Code")</f>
        <v>Brake not released secondary brake</v>
      </c>
      <c r="M214" s="23" t="s">
        <v>912</v>
      </c>
      <c r="N214" s="23"/>
      <c r="O214" s="287">
        <v>3.3333333333333333E-2</v>
      </c>
      <c r="P214" s="287">
        <v>3.3333333333333333E-2</v>
      </c>
      <c r="Q214" s="287">
        <v>0.24791666666666667</v>
      </c>
      <c r="R214" s="91">
        <f t="shared" si="6"/>
        <v>0.21458333333333335</v>
      </c>
      <c r="S214" s="91">
        <f>(Table5[[#This Row],[Fault Clearance time]]-Table5[[#This Row],[Work Start TimeStamp]])*24</f>
        <v>5.15</v>
      </c>
      <c r="T214" s="91">
        <f>(Table5[[#This Row],[Fault Clearance time]]-Table5[[#This Row],[Fault Start TimeStamp]])*24</f>
        <v>5.15</v>
      </c>
      <c r="U214" s="23" t="s">
        <v>918</v>
      </c>
      <c r="V214" s="79" t="s">
        <v>339</v>
      </c>
      <c r="W214" s="289">
        <f>IFERROR(Table5[[#This Row],[Breakdown Time]]*Table5[[#This Row],[Plant Equivalent Weightage]],"")</f>
        <v>0.11704545454545456</v>
      </c>
      <c r="X214" s="289" t="s">
        <v>343</v>
      </c>
      <c r="Y214" s="290" t="s">
        <v>96</v>
      </c>
      <c r="Z214" s="79"/>
      <c r="AA214" s="283">
        <v>8443</v>
      </c>
      <c r="AB214" s="79"/>
      <c r="AC214" s="23"/>
      <c r="AD214" s="23"/>
    </row>
    <row r="215" spans="1:30">
      <c r="A215" s="79">
        <f t="shared" si="7"/>
        <v>214</v>
      </c>
      <c r="B215" s="283">
        <f>YEAR(Table5[[#This Row],[Date]])+IF(MONTH(Table5[[#This Row],[Date]])&gt;=4,1,0)</f>
        <v>2026</v>
      </c>
      <c r="C215" s="79">
        <f>YEAR(Table5[[#This Row],[Date]])</f>
        <v>2025</v>
      </c>
      <c r="D215" s="79" t="s">
        <v>344</v>
      </c>
      <c r="E215" s="284">
        <f>Table5[[#This Row],[Date]]-DAY(Table5[[#This Row],[Date]])+1</f>
        <v>45809</v>
      </c>
      <c r="F215" s="285">
        <v>45827</v>
      </c>
      <c r="G215" s="79" t="s">
        <v>88</v>
      </c>
      <c r="H215" s="23" t="str">
        <f>IFERROR(_xlfn.XLOOKUP(Table5[[#This Row],[Affected WTG]],'Basic Data'!$A:$A,'Basic Data'!$B:$B),"")</f>
        <v>PWEPL</v>
      </c>
      <c r="I215" s="23" t="str">
        <f>IFERROR(_xlfn.XLOOKUP(Table5[[#This Row],[Affected WTG]],'Basic Data'!$A:$A,'Basic Data'!$C:$C),"")</f>
        <v>MSEDCL</v>
      </c>
      <c r="J215" s="286">
        <f>IFERROR(_xlfn.XLOOKUP(Table5[[#This Row],[Affected WTG]],'Basic Data'!$A:$A,'Basic Data'!$E:$E),"")</f>
        <v>2.2727272727272728E-2</v>
      </c>
      <c r="K215" s="79">
        <v>14</v>
      </c>
      <c r="L215" s="23" t="str">
        <f>IFERROR(_xlfn.XLOOKUP(Table5[[#This Row],[Error Code]],'Basic Data'!$W:$W,'Basic Data'!$X:$X),"Incorrect Error Code")</f>
        <v>Generator overspeed</v>
      </c>
      <c r="M215" s="23" t="s">
        <v>915</v>
      </c>
      <c r="N215" s="23"/>
      <c r="O215" s="287">
        <v>0.36874999999999997</v>
      </c>
      <c r="P215" s="287">
        <v>0.36874999999999997</v>
      </c>
      <c r="Q215" s="287">
        <v>0.49583333333333335</v>
      </c>
      <c r="R215" s="91">
        <f t="shared" si="6"/>
        <v>0.12708333333333338</v>
      </c>
      <c r="S215" s="91">
        <f>(Table5[[#This Row],[Fault Clearance time]]-Table5[[#This Row],[Work Start TimeStamp]])*24</f>
        <v>3.0500000000000012</v>
      </c>
      <c r="T215" s="91">
        <f>(Table5[[#This Row],[Fault Clearance time]]-Table5[[#This Row],[Fault Start TimeStamp]])*24</f>
        <v>3.0500000000000012</v>
      </c>
      <c r="U215" s="23" t="s">
        <v>916</v>
      </c>
      <c r="V215" s="79" t="s">
        <v>339</v>
      </c>
      <c r="W215" s="289">
        <f>IFERROR(Table5[[#This Row],[Breakdown Time]]*Table5[[#This Row],[Plant Equivalent Weightage]],"")</f>
        <v>6.9318181818181848E-2</v>
      </c>
      <c r="X215" s="289" t="s">
        <v>343</v>
      </c>
      <c r="Y215" s="290" t="s">
        <v>87</v>
      </c>
      <c r="Z215" s="79"/>
      <c r="AA215" s="283">
        <v>4907</v>
      </c>
      <c r="AB215" s="79"/>
      <c r="AC215" s="23"/>
      <c r="AD215" s="23"/>
    </row>
    <row r="216" spans="1:30">
      <c r="A216" s="79">
        <f t="shared" si="7"/>
        <v>215</v>
      </c>
      <c r="B216" s="283">
        <f>YEAR(Table5[[#This Row],[Date]])+IF(MONTH(Table5[[#This Row],[Date]])&gt;=4,1,0)</f>
        <v>2026</v>
      </c>
      <c r="C216" s="79">
        <f>YEAR(Table5[[#This Row],[Date]])</f>
        <v>2025</v>
      </c>
      <c r="D216" s="79" t="s">
        <v>344</v>
      </c>
      <c r="E216" s="284">
        <f>Table5[[#This Row],[Date]]-DAY(Table5[[#This Row],[Date]])+1</f>
        <v>45809</v>
      </c>
      <c r="F216" s="285">
        <v>45827</v>
      </c>
      <c r="G216" s="79" t="s">
        <v>90</v>
      </c>
      <c r="H216" s="23" t="str">
        <f>IFERROR(_xlfn.XLOOKUP(Table5[[#This Row],[Affected WTG]],'Basic Data'!$A:$A,'Basic Data'!$B:$B),"")</f>
        <v>PWEPL</v>
      </c>
      <c r="I216" s="23" t="str">
        <f>IFERROR(_xlfn.XLOOKUP(Table5[[#This Row],[Affected WTG]],'Basic Data'!$A:$A,'Basic Data'!$C:$C),"")</f>
        <v>MSEDCL</v>
      </c>
      <c r="J216" s="286">
        <f>IFERROR(_xlfn.XLOOKUP(Table5[[#This Row],[Affected WTG]],'Basic Data'!$A:$A,'Basic Data'!$E:$E),"")</f>
        <v>2.2727272727272728E-2</v>
      </c>
      <c r="K216" s="79">
        <v>63</v>
      </c>
      <c r="L216" s="23" t="str">
        <f>IFERROR(_xlfn.XLOOKUP(Table5[[#This Row],[Error Code]],'Basic Data'!$W:$W,'Basic Data'!$X:$X),"Incorrect Error Code")</f>
        <v>Safety chain</v>
      </c>
      <c r="M216" s="23" t="s">
        <v>189</v>
      </c>
      <c r="N216" s="23"/>
      <c r="O216" s="287">
        <v>0.43541666666666662</v>
      </c>
      <c r="P216" s="287">
        <v>0.43541666666666662</v>
      </c>
      <c r="Q216" s="287">
        <v>0.49444444444444446</v>
      </c>
      <c r="R216" s="91">
        <f t="shared" si="6"/>
        <v>5.9027777777777846E-2</v>
      </c>
      <c r="S216" s="91">
        <f>(Table5[[#This Row],[Fault Clearance time]]-Table5[[#This Row],[Work Start TimeStamp]])*24</f>
        <v>1.4166666666666683</v>
      </c>
      <c r="T216" s="91">
        <f>(Table5[[#This Row],[Fault Clearance time]]-Table5[[#This Row],[Fault Start TimeStamp]])*24</f>
        <v>1.4166666666666683</v>
      </c>
      <c r="U216" s="23" t="s">
        <v>917</v>
      </c>
      <c r="V216" s="79" t="s">
        <v>339</v>
      </c>
      <c r="W216" s="289">
        <f>IFERROR(Table5[[#This Row],[Breakdown Time]]*Table5[[#This Row],[Plant Equivalent Weightage]],"")</f>
        <v>3.2196969696969738E-2</v>
      </c>
      <c r="X216" s="289" t="s">
        <v>343</v>
      </c>
      <c r="Y216" s="290" t="s">
        <v>89</v>
      </c>
      <c r="Z216" s="79"/>
      <c r="AA216" s="283">
        <v>2218</v>
      </c>
      <c r="AB216" s="79"/>
      <c r="AC216" s="23"/>
      <c r="AD216" s="23"/>
    </row>
    <row r="217" spans="1:30">
      <c r="A217" s="79">
        <f t="shared" si="7"/>
        <v>216</v>
      </c>
      <c r="B217" s="283">
        <f>YEAR(Table5[[#This Row],[Date]])+IF(MONTH(Table5[[#This Row],[Date]])&gt;=4,1,0)</f>
        <v>2026</v>
      </c>
      <c r="C217" s="79">
        <f>YEAR(Table5[[#This Row],[Date]])</f>
        <v>2025</v>
      </c>
      <c r="D217" s="79" t="s">
        <v>344</v>
      </c>
      <c r="E217" s="284">
        <f>Table5[[#This Row],[Date]]-DAY(Table5[[#This Row],[Date]])+1</f>
        <v>45809</v>
      </c>
      <c r="F217" s="285">
        <v>45827</v>
      </c>
      <c r="G217" s="79" t="s">
        <v>79</v>
      </c>
      <c r="H217" s="23" t="str">
        <f>IFERROR(_xlfn.XLOOKUP(Table5[[#This Row],[Affected WTG]],'Basic Data'!$A:$A,'Basic Data'!$B:$B),"")</f>
        <v>PWEPL</v>
      </c>
      <c r="I217" s="23" t="str">
        <f>IFERROR(_xlfn.XLOOKUP(Table5[[#This Row],[Affected WTG]],'Basic Data'!$A:$A,'Basic Data'!$C:$C),"")</f>
        <v>MSEDCL</v>
      </c>
      <c r="J217" s="286">
        <f>IFERROR(_xlfn.XLOOKUP(Table5[[#This Row],[Affected WTG]],'Basic Data'!$A:$A,'Basic Data'!$E:$E),"")</f>
        <v>2.2727272727272728E-2</v>
      </c>
      <c r="K217" s="79">
        <v>34</v>
      </c>
      <c r="L217" s="23" t="str">
        <f>IFERROR(_xlfn.XLOOKUP(Table5[[#This Row],[Error Code]],'Basic Data'!$W:$W,'Basic Data'!$X:$X),"Incorrect Error Code")</f>
        <v>Brake not released secondary brake</v>
      </c>
      <c r="M217" s="23" t="s">
        <v>912</v>
      </c>
      <c r="N217" s="23"/>
      <c r="O217" s="287">
        <v>0.71111111111111114</v>
      </c>
      <c r="P217" s="287">
        <v>0.71111111111111114</v>
      </c>
      <c r="Q217" s="287">
        <v>0.99930555555555556</v>
      </c>
      <c r="R217" s="91">
        <f t="shared" si="6"/>
        <v>0.28819444444444442</v>
      </c>
      <c r="S217" s="91">
        <f>(Table5[[#This Row],[Fault Clearance time]]-Table5[[#This Row],[Work Start TimeStamp]])*24</f>
        <v>6.9166666666666661</v>
      </c>
      <c r="T217" s="91">
        <f>(Table5[[#This Row],[Fault Clearance time]]-Table5[[#This Row],[Fault Start TimeStamp]])*24</f>
        <v>6.9166666666666661</v>
      </c>
      <c r="U217" s="23" t="s">
        <v>456</v>
      </c>
      <c r="V217" s="79" t="s">
        <v>339</v>
      </c>
      <c r="W217" s="289">
        <f>IFERROR(Table5[[#This Row],[Breakdown Time]]*Table5[[#This Row],[Plant Equivalent Weightage]],"")</f>
        <v>0.1571969696969697</v>
      </c>
      <c r="X217" s="289" t="s">
        <v>343</v>
      </c>
      <c r="Y217" s="290" t="s">
        <v>96</v>
      </c>
      <c r="Z217" s="79"/>
      <c r="AA217" s="283">
        <v>9810</v>
      </c>
      <c r="AB217" s="79"/>
      <c r="AC217" s="23"/>
      <c r="AD217" s="23"/>
    </row>
    <row r="218" spans="1:30">
      <c r="A218" s="79">
        <f t="shared" si="7"/>
        <v>217</v>
      </c>
      <c r="B218" s="283">
        <f>YEAR(Table5[[#This Row],[Date]])+IF(MONTH(Table5[[#This Row],[Date]])&gt;=4,1,0)</f>
        <v>2026</v>
      </c>
      <c r="C218" s="79">
        <f>YEAR(Table5[[#This Row],[Date]])</f>
        <v>2025</v>
      </c>
      <c r="D218" s="79" t="s">
        <v>344</v>
      </c>
      <c r="E218" s="284">
        <f>Table5[[#This Row],[Date]]-DAY(Table5[[#This Row],[Date]])+1</f>
        <v>45809</v>
      </c>
      <c r="F218" s="285">
        <v>45827</v>
      </c>
      <c r="G218" s="79" t="s">
        <v>105</v>
      </c>
      <c r="H218" s="23" t="str">
        <f>IFERROR(_xlfn.XLOOKUP(Table5[[#This Row],[Affected WTG]],'Basic Data'!$A:$A,'Basic Data'!$B:$B),"")</f>
        <v>PWEPL</v>
      </c>
      <c r="I218" s="23" t="str">
        <f>IFERROR(_xlfn.XLOOKUP(Table5[[#This Row],[Affected WTG]],'Basic Data'!$A:$A,'Basic Data'!$C:$C),"")</f>
        <v>MSEDCL</v>
      </c>
      <c r="J218" s="286">
        <f>IFERROR(_xlfn.XLOOKUP(Table5[[#This Row],[Affected WTG]],'Basic Data'!$A:$A,'Basic Data'!$E:$E),"")</f>
        <v>2.2727272727272728E-2</v>
      </c>
      <c r="K218" s="79">
        <v>269</v>
      </c>
      <c r="L218" s="23" t="str">
        <f>IFERROR(_xlfn.XLOOKUP(Table5[[#This Row],[Error Code]],'Basic Data'!$W:$W,'Basic Data'!$X:$X),"Incorrect Error Code")</f>
        <v>Reboot PLC</v>
      </c>
      <c r="M218" s="23" t="s">
        <v>348</v>
      </c>
      <c r="N218" s="23"/>
      <c r="O218" s="287">
        <v>0.23402777777777781</v>
      </c>
      <c r="P218" s="287">
        <v>0.23402777777777781</v>
      </c>
      <c r="Q218" s="287">
        <v>0.32708333333333334</v>
      </c>
      <c r="R218" s="91">
        <f t="shared" si="6"/>
        <v>9.305555555555553E-2</v>
      </c>
      <c r="S218" s="91">
        <f>(Table5[[#This Row],[Fault Clearance time]]-Table5[[#This Row],[Work Start TimeStamp]])*24</f>
        <v>2.2333333333333325</v>
      </c>
      <c r="T218" s="91">
        <f>(Table5[[#This Row],[Fault Clearance time]]-Table5[[#This Row],[Fault Start TimeStamp]])*24</f>
        <v>2.2333333333333325</v>
      </c>
      <c r="U218" s="23" t="s">
        <v>353</v>
      </c>
      <c r="V218" s="79" t="s">
        <v>339</v>
      </c>
      <c r="W218" s="289">
        <f>IFERROR(Table5[[#This Row],[Breakdown Time]]*Table5[[#This Row],[Plant Equivalent Weightage]],"")</f>
        <v>5.0757575757575737E-2</v>
      </c>
      <c r="X218" s="289" t="s">
        <v>343</v>
      </c>
      <c r="Y218" s="290" t="s">
        <v>103</v>
      </c>
      <c r="Z218" s="79"/>
      <c r="AA218" s="283">
        <v>5942</v>
      </c>
      <c r="AB218" s="79"/>
      <c r="AC218" s="23"/>
      <c r="AD218" s="23"/>
    </row>
    <row r="219" spans="1:30">
      <c r="A219" s="79">
        <f t="shared" si="7"/>
        <v>218</v>
      </c>
      <c r="B219" s="283">
        <f>YEAR(Table5[[#This Row],[Date]])+IF(MONTH(Table5[[#This Row],[Date]])&gt;=4,1,0)</f>
        <v>2026</v>
      </c>
      <c r="C219" s="79">
        <f>YEAR(Table5[[#This Row],[Date]])</f>
        <v>2025</v>
      </c>
      <c r="D219" s="79" t="s">
        <v>344</v>
      </c>
      <c r="E219" s="284">
        <f>Table5[[#This Row],[Date]]-DAY(Table5[[#This Row],[Date]])+1</f>
        <v>45809</v>
      </c>
      <c r="F219" s="285">
        <v>45827</v>
      </c>
      <c r="G219" s="79" t="s">
        <v>115</v>
      </c>
      <c r="H219" s="23" t="str">
        <f>IFERROR(_xlfn.XLOOKUP(Table5[[#This Row],[Affected WTG]],'Basic Data'!$A:$A,'Basic Data'!$B:$B),"")</f>
        <v>PWEPL</v>
      </c>
      <c r="I219" s="23" t="str">
        <f>IFERROR(_xlfn.XLOOKUP(Table5[[#This Row],[Affected WTG]],'Basic Data'!$A:$A,'Basic Data'!$C:$C),"")</f>
        <v>MSEDCL</v>
      </c>
      <c r="J219" s="286">
        <f>IFERROR(_xlfn.XLOOKUP(Table5[[#This Row],[Affected WTG]],'Basic Data'!$A:$A,'Basic Data'!$E:$E),"")</f>
        <v>2.2727272727272728E-2</v>
      </c>
      <c r="K219" s="79">
        <v>269</v>
      </c>
      <c r="L219" s="23" t="str">
        <f>IFERROR(_xlfn.XLOOKUP(Table5[[#This Row],[Error Code]],'Basic Data'!$W:$W,'Basic Data'!$X:$X),"Incorrect Error Code")</f>
        <v>Reboot PLC</v>
      </c>
      <c r="M219" s="23" t="s">
        <v>348</v>
      </c>
      <c r="N219" s="23"/>
      <c r="O219" s="287">
        <v>0.23402777777777781</v>
      </c>
      <c r="P219" s="287">
        <v>0.23402777777777781</v>
      </c>
      <c r="Q219" s="287">
        <v>0.39583333333333331</v>
      </c>
      <c r="R219" s="91">
        <f t="shared" si="6"/>
        <v>0.16180555555555551</v>
      </c>
      <c r="S219" s="91">
        <f>(Table5[[#This Row],[Fault Clearance time]]-Table5[[#This Row],[Work Start TimeStamp]])*24</f>
        <v>3.883333333333332</v>
      </c>
      <c r="T219" s="91">
        <f>(Table5[[#This Row],[Fault Clearance time]]-Table5[[#This Row],[Fault Start TimeStamp]])*24</f>
        <v>3.883333333333332</v>
      </c>
      <c r="U219" s="23" t="s">
        <v>353</v>
      </c>
      <c r="V219" s="79" t="s">
        <v>339</v>
      </c>
      <c r="W219" s="289">
        <f>IFERROR(Table5[[#This Row],[Breakdown Time]]*Table5[[#This Row],[Plant Equivalent Weightage]],"")</f>
        <v>8.8257575757575729E-2</v>
      </c>
      <c r="X219" s="289" t="s">
        <v>343</v>
      </c>
      <c r="Y219" s="290" t="s">
        <v>116</v>
      </c>
      <c r="Z219" s="79"/>
      <c r="AA219" s="283">
        <v>1953</v>
      </c>
      <c r="AB219" s="79"/>
      <c r="AC219" s="23"/>
      <c r="AD219" s="23"/>
    </row>
    <row r="220" spans="1:30">
      <c r="A220" s="79">
        <f t="shared" si="7"/>
        <v>219</v>
      </c>
      <c r="B220" s="283">
        <f>YEAR(Table5[[#This Row],[Date]])+IF(MONTH(Table5[[#This Row],[Date]])&gt;=4,1,0)</f>
        <v>2026</v>
      </c>
      <c r="C220" s="79">
        <f>YEAR(Table5[[#This Row],[Date]])</f>
        <v>2025</v>
      </c>
      <c r="D220" s="79" t="s">
        <v>344</v>
      </c>
      <c r="E220" s="284">
        <f>Table5[[#This Row],[Date]]-DAY(Table5[[#This Row],[Date]])+1</f>
        <v>45809</v>
      </c>
      <c r="F220" s="285">
        <v>45827</v>
      </c>
      <c r="G220" s="79" t="s">
        <v>116</v>
      </c>
      <c r="H220" s="23" t="str">
        <f>IFERROR(_xlfn.XLOOKUP(Table5[[#This Row],[Affected WTG]],'Basic Data'!$A:$A,'Basic Data'!$B:$B),"")</f>
        <v>PWEPL</v>
      </c>
      <c r="I220" s="23" t="str">
        <f>IFERROR(_xlfn.XLOOKUP(Table5[[#This Row],[Affected WTG]],'Basic Data'!$A:$A,'Basic Data'!$C:$C),"")</f>
        <v>MSEDCL</v>
      </c>
      <c r="J220" s="286">
        <f>IFERROR(_xlfn.XLOOKUP(Table5[[#This Row],[Affected WTG]],'Basic Data'!$A:$A,'Basic Data'!$E:$E),"")</f>
        <v>2.2727272727272728E-2</v>
      </c>
      <c r="K220" s="79">
        <v>269</v>
      </c>
      <c r="L220" s="23" t="str">
        <f>IFERROR(_xlfn.XLOOKUP(Table5[[#This Row],[Error Code]],'Basic Data'!$W:$W,'Basic Data'!$X:$X),"Incorrect Error Code")</f>
        <v>Reboot PLC</v>
      </c>
      <c r="M220" s="23" t="s">
        <v>348</v>
      </c>
      <c r="N220" s="23"/>
      <c r="O220" s="287">
        <v>0.23402777777777781</v>
      </c>
      <c r="P220" s="287">
        <v>0.23402777777777781</v>
      </c>
      <c r="Q220" s="287">
        <v>0.39583333333333331</v>
      </c>
      <c r="R220" s="91">
        <f t="shared" si="6"/>
        <v>0.16180555555555551</v>
      </c>
      <c r="S220" s="91">
        <f>(Table5[[#This Row],[Fault Clearance time]]-Table5[[#This Row],[Work Start TimeStamp]])*24</f>
        <v>3.883333333333332</v>
      </c>
      <c r="T220" s="91">
        <f>(Table5[[#This Row],[Fault Clearance time]]-Table5[[#This Row],[Fault Start TimeStamp]])*24</f>
        <v>3.883333333333332</v>
      </c>
      <c r="U220" s="23" t="s">
        <v>353</v>
      </c>
      <c r="V220" s="79" t="s">
        <v>339</v>
      </c>
      <c r="W220" s="289">
        <f>IFERROR(Table5[[#This Row],[Breakdown Time]]*Table5[[#This Row],[Plant Equivalent Weightage]],"")</f>
        <v>8.8257575757575729E-2</v>
      </c>
      <c r="X220" s="289" t="s">
        <v>343</v>
      </c>
      <c r="Y220" s="290" t="s">
        <v>117</v>
      </c>
      <c r="Z220" s="79"/>
      <c r="AA220" s="283">
        <v>8137</v>
      </c>
      <c r="AB220" s="79"/>
      <c r="AC220" s="23"/>
      <c r="AD220" s="23"/>
    </row>
    <row r="221" spans="1:30">
      <c r="A221" s="79">
        <f t="shared" si="7"/>
        <v>220</v>
      </c>
      <c r="B221" s="283">
        <f>YEAR(Table5[[#This Row],[Date]])+IF(MONTH(Table5[[#This Row],[Date]])&gt;=4,1,0)</f>
        <v>2026</v>
      </c>
      <c r="C221" s="79">
        <f>YEAR(Table5[[#This Row],[Date]])</f>
        <v>2025</v>
      </c>
      <c r="D221" s="79" t="s">
        <v>344</v>
      </c>
      <c r="E221" s="284">
        <f>Table5[[#This Row],[Date]]-DAY(Table5[[#This Row],[Date]])+1</f>
        <v>45809</v>
      </c>
      <c r="F221" s="285">
        <v>45827</v>
      </c>
      <c r="G221" s="79" t="s">
        <v>117</v>
      </c>
      <c r="H221" s="23" t="str">
        <f>IFERROR(_xlfn.XLOOKUP(Table5[[#This Row],[Affected WTG]],'Basic Data'!$A:$A,'Basic Data'!$B:$B),"")</f>
        <v>PWEPL</v>
      </c>
      <c r="I221" s="23" t="str">
        <f>IFERROR(_xlfn.XLOOKUP(Table5[[#This Row],[Affected WTG]],'Basic Data'!$A:$A,'Basic Data'!$C:$C),"")</f>
        <v>MSEDCL</v>
      </c>
      <c r="J221" s="286">
        <f>IFERROR(_xlfn.XLOOKUP(Table5[[#This Row],[Affected WTG]],'Basic Data'!$A:$A,'Basic Data'!$E:$E),"")</f>
        <v>2.2727272727272728E-2</v>
      </c>
      <c r="K221" s="79">
        <v>269</v>
      </c>
      <c r="L221" s="23" t="str">
        <f>IFERROR(_xlfn.XLOOKUP(Table5[[#This Row],[Error Code]],'Basic Data'!$W:$W,'Basic Data'!$X:$X),"Incorrect Error Code")</f>
        <v>Reboot PLC</v>
      </c>
      <c r="M221" s="23" t="s">
        <v>348</v>
      </c>
      <c r="N221" s="23"/>
      <c r="O221" s="287">
        <v>0.234027777777778</v>
      </c>
      <c r="P221" s="287">
        <v>0.234027777777778</v>
      </c>
      <c r="Q221" s="287">
        <v>0.27569444444444446</v>
      </c>
      <c r="R221" s="91">
        <f t="shared" si="6"/>
        <v>4.1666666666666463E-2</v>
      </c>
      <c r="S221" s="91">
        <f>(Table5[[#This Row],[Fault Clearance time]]-Table5[[#This Row],[Work Start TimeStamp]])*24</f>
        <v>0.99999999999999512</v>
      </c>
      <c r="T221" s="91">
        <f>(Table5[[#This Row],[Fault Clearance time]]-Table5[[#This Row],[Fault Start TimeStamp]])*24</f>
        <v>0.99999999999999512</v>
      </c>
      <c r="U221" s="23" t="s">
        <v>353</v>
      </c>
      <c r="V221" s="79" t="s">
        <v>339</v>
      </c>
      <c r="W221" s="289">
        <f>IFERROR(Table5[[#This Row],[Breakdown Time]]*Table5[[#This Row],[Plant Equivalent Weightage]],"")</f>
        <v>2.2727272727272617E-2</v>
      </c>
      <c r="X221" s="289" t="s">
        <v>343</v>
      </c>
      <c r="Y221" s="290" t="s">
        <v>115</v>
      </c>
      <c r="Z221" s="79"/>
      <c r="AA221" s="283">
        <v>0</v>
      </c>
      <c r="AB221" s="79"/>
      <c r="AC221" s="23"/>
      <c r="AD221" s="23"/>
    </row>
    <row r="222" spans="1:30">
      <c r="A222" s="79">
        <f t="shared" si="7"/>
        <v>221</v>
      </c>
      <c r="B222" s="283">
        <f>YEAR(Table5[[#This Row],[Date]])+IF(MONTH(Table5[[#This Row],[Date]])&gt;=4,1,0)</f>
        <v>2026</v>
      </c>
      <c r="C222" s="79">
        <f>YEAR(Table5[[#This Row],[Date]])</f>
        <v>2025</v>
      </c>
      <c r="D222" s="79" t="s">
        <v>344</v>
      </c>
      <c r="E222" s="284">
        <f>Table5[[#This Row],[Date]]-DAY(Table5[[#This Row],[Date]])+1</f>
        <v>45809</v>
      </c>
      <c r="F222" s="285">
        <v>45827</v>
      </c>
      <c r="G222" s="79" t="s">
        <v>119</v>
      </c>
      <c r="H222" s="23" t="str">
        <f>IFERROR(_xlfn.XLOOKUP(Table5[[#This Row],[Affected WTG]],'Basic Data'!$A:$A,'Basic Data'!$B:$B),"")</f>
        <v>PWEPL</v>
      </c>
      <c r="I222" s="23" t="str">
        <f>IFERROR(_xlfn.XLOOKUP(Table5[[#This Row],[Affected WTG]],'Basic Data'!$A:$A,'Basic Data'!$C:$C),"")</f>
        <v>MSEDCL</v>
      </c>
      <c r="J222" s="286">
        <f>IFERROR(_xlfn.XLOOKUP(Table5[[#This Row],[Affected WTG]],'Basic Data'!$A:$A,'Basic Data'!$E:$E),"")</f>
        <v>2.2727272727272728E-2</v>
      </c>
      <c r="K222" s="79">
        <v>269</v>
      </c>
      <c r="L222" s="23" t="str">
        <f>IFERROR(_xlfn.XLOOKUP(Table5[[#This Row],[Error Code]],'Basic Data'!$W:$W,'Basic Data'!$X:$X),"Incorrect Error Code")</f>
        <v>Reboot PLC</v>
      </c>
      <c r="M222" s="23" t="s">
        <v>348</v>
      </c>
      <c r="N222" s="23"/>
      <c r="O222" s="287">
        <v>0.23402777777777781</v>
      </c>
      <c r="P222" s="287">
        <v>0.23402777777777781</v>
      </c>
      <c r="Q222" s="287">
        <v>0.2986111111111111</v>
      </c>
      <c r="R222" s="91">
        <f t="shared" si="6"/>
        <v>6.4583333333333298E-2</v>
      </c>
      <c r="S222" s="91">
        <f>(Table5[[#This Row],[Fault Clearance time]]-Table5[[#This Row],[Work Start TimeStamp]])*24</f>
        <v>1.5499999999999992</v>
      </c>
      <c r="T222" s="91">
        <f>(Table5[[#This Row],[Fault Clearance time]]-Table5[[#This Row],[Fault Start TimeStamp]])*24</f>
        <v>1.5499999999999992</v>
      </c>
      <c r="U222" s="23" t="s">
        <v>353</v>
      </c>
      <c r="V222" s="79" t="s">
        <v>339</v>
      </c>
      <c r="W222" s="289">
        <f>IFERROR(Table5[[#This Row],[Breakdown Time]]*Table5[[#This Row],[Plant Equivalent Weightage]],"")</f>
        <v>3.5227272727272711E-2</v>
      </c>
      <c r="X222" s="289" t="s">
        <v>343</v>
      </c>
      <c r="Y222" s="290" t="s">
        <v>82</v>
      </c>
      <c r="Z222" s="79"/>
      <c r="AA222" s="283">
        <v>1502</v>
      </c>
      <c r="AB222" s="79"/>
      <c r="AC222" s="23"/>
      <c r="AD222" s="23"/>
    </row>
    <row r="223" spans="1:30">
      <c r="A223" s="79">
        <f t="shared" si="7"/>
        <v>222</v>
      </c>
      <c r="B223" s="283">
        <f>YEAR(Table5[[#This Row],[Date]])+IF(MONTH(Table5[[#This Row],[Date]])&gt;=4,1,0)</f>
        <v>2026</v>
      </c>
      <c r="C223" s="79">
        <f>YEAR(Table5[[#This Row],[Date]])</f>
        <v>2025</v>
      </c>
      <c r="D223" s="79" t="s">
        <v>344</v>
      </c>
      <c r="E223" s="284">
        <f>Table5[[#This Row],[Date]]-DAY(Table5[[#This Row],[Date]])+1</f>
        <v>45809</v>
      </c>
      <c r="F223" s="285">
        <v>45827</v>
      </c>
      <c r="G223" s="79" t="s">
        <v>119</v>
      </c>
      <c r="H223" s="23" t="str">
        <f>IFERROR(_xlfn.XLOOKUP(Table5[[#This Row],[Affected WTG]],'Basic Data'!$A:$A,'Basic Data'!$B:$B),"")</f>
        <v>PWEPL</v>
      </c>
      <c r="I223" s="23" t="str">
        <f>IFERROR(_xlfn.XLOOKUP(Table5[[#This Row],[Affected WTG]],'Basic Data'!$A:$A,'Basic Data'!$C:$C),"")</f>
        <v>MSEDCL</v>
      </c>
      <c r="J223" s="286">
        <f>IFERROR(_xlfn.XLOOKUP(Table5[[#This Row],[Affected WTG]],'Basic Data'!$A:$A,'Basic Data'!$E:$E),"")</f>
        <v>2.2727272727272728E-2</v>
      </c>
      <c r="K223" s="79">
        <v>274</v>
      </c>
      <c r="L223" s="23" t="str">
        <f>IFERROR(_xlfn.XLOOKUP(Table5[[#This Row],[Error Code]],'Basic Data'!$W:$W,'Basic Data'!$X:$X),"Incorrect Error Code")</f>
        <v>Pitch thyristor 1 fault</v>
      </c>
      <c r="M223" s="23" t="s">
        <v>158</v>
      </c>
      <c r="N223" s="23"/>
      <c r="O223" s="287">
        <v>0.71736111111111101</v>
      </c>
      <c r="P223" s="287">
        <v>0.71736111111111101</v>
      </c>
      <c r="Q223" s="287">
        <v>0.99930555555555556</v>
      </c>
      <c r="R223" s="91">
        <f t="shared" si="6"/>
        <v>0.28194444444444455</v>
      </c>
      <c r="S223" s="91">
        <f>(Table5[[#This Row],[Fault Clearance time]]-Table5[[#This Row],[Work Start TimeStamp]])*24</f>
        <v>6.7666666666666693</v>
      </c>
      <c r="T223" s="91">
        <f>(Table5[[#This Row],[Fault Clearance time]]-Table5[[#This Row],[Fault Start TimeStamp]])*24</f>
        <v>6.7666666666666693</v>
      </c>
      <c r="U223" s="23" t="s">
        <v>456</v>
      </c>
      <c r="V223" s="79" t="s">
        <v>339</v>
      </c>
      <c r="W223" s="289">
        <f>IFERROR(Table5[[#This Row],[Breakdown Time]]*Table5[[#This Row],[Plant Equivalent Weightage]],"")</f>
        <v>0.15378787878787886</v>
      </c>
      <c r="X223" s="289" t="s">
        <v>343</v>
      </c>
      <c r="Y223" s="290" t="s">
        <v>82</v>
      </c>
      <c r="Z223" s="79"/>
      <c r="AA223" s="283">
        <v>9523</v>
      </c>
      <c r="AB223" s="79"/>
      <c r="AC223" s="23"/>
      <c r="AD223" s="23"/>
    </row>
    <row r="224" spans="1:30">
      <c r="A224" s="79">
        <f t="shared" si="7"/>
        <v>223</v>
      </c>
      <c r="B224" s="283">
        <f>YEAR(Table5[[#This Row],[Date]])+IF(MONTH(Table5[[#This Row],[Date]])&gt;=4,1,0)</f>
        <v>2026</v>
      </c>
      <c r="C224" s="79">
        <f>YEAR(Table5[[#This Row],[Date]])</f>
        <v>2025</v>
      </c>
      <c r="D224" s="79" t="s">
        <v>344</v>
      </c>
      <c r="E224" s="284">
        <f>Table5[[#This Row],[Date]]-DAY(Table5[[#This Row],[Date]])+1</f>
        <v>45809</v>
      </c>
      <c r="F224" s="285">
        <v>45828</v>
      </c>
      <c r="G224" s="79" t="s">
        <v>119</v>
      </c>
      <c r="H224" s="23" t="str">
        <f>IFERROR(_xlfn.XLOOKUP(Table5[[#This Row],[Affected WTG]],'Basic Data'!$A:$A,'Basic Data'!$B:$B),"")</f>
        <v>PWEPL</v>
      </c>
      <c r="I224" s="23" t="str">
        <f>IFERROR(_xlfn.XLOOKUP(Table5[[#This Row],[Affected WTG]],'Basic Data'!$A:$A,'Basic Data'!$C:$C),"")</f>
        <v>MSEDCL</v>
      </c>
      <c r="J224" s="286">
        <f>IFERROR(_xlfn.XLOOKUP(Table5[[#This Row],[Affected WTG]],'Basic Data'!$A:$A,'Basic Data'!$E:$E),"")</f>
        <v>2.2727272727272728E-2</v>
      </c>
      <c r="K224" s="79">
        <v>274</v>
      </c>
      <c r="L224" s="23" t="str">
        <f>IFERROR(_xlfn.XLOOKUP(Table5[[#This Row],[Error Code]],'Basic Data'!$W:$W,'Basic Data'!$X:$X),"Incorrect Error Code")</f>
        <v>Pitch thyristor 1 fault</v>
      </c>
      <c r="M224" s="23" t="s">
        <v>158</v>
      </c>
      <c r="N224" s="23"/>
      <c r="O224" s="306">
        <v>0</v>
      </c>
      <c r="P224" s="306">
        <v>0</v>
      </c>
      <c r="Q224" s="306">
        <v>1.8055555555555557E-2</v>
      </c>
      <c r="R224" s="305">
        <f t="shared" si="6"/>
        <v>1.8055555555555557E-2</v>
      </c>
      <c r="S224" s="307">
        <f>(Table5[[#This Row],[Fault Clearance time]]-Table5[[#This Row],[Work Start TimeStamp]])*24</f>
        <v>0.43333333333333335</v>
      </c>
      <c r="T224" s="307">
        <f>(Table5[[#This Row],[Fault Clearance time]]-Table5[[#This Row],[Fault Start TimeStamp]])*24</f>
        <v>0.43333333333333335</v>
      </c>
      <c r="U224" s="23" t="s">
        <v>938</v>
      </c>
      <c r="V224" s="79" t="s">
        <v>339</v>
      </c>
      <c r="W224" s="308">
        <f>IFERROR(Table5[[#This Row],[Breakdown Time]]*Table5[[#This Row],[Plant Equivalent Weightage]],"")</f>
        <v>9.8484848484848495E-3</v>
      </c>
      <c r="X224" s="289" t="s">
        <v>343</v>
      </c>
      <c r="Y224" s="290" t="s">
        <v>118</v>
      </c>
      <c r="Z224" s="79"/>
      <c r="AA224" s="283">
        <v>1020</v>
      </c>
      <c r="AB224" s="79"/>
      <c r="AC224" s="23"/>
      <c r="AD224" s="23"/>
    </row>
    <row r="225" spans="1:30">
      <c r="A225" s="79">
        <f t="shared" si="7"/>
        <v>224</v>
      </c>
      <c r="B225" s="283">
        <f>YEAR(Table5[[#This Row],[Date]])+IF(MONTH(Table5[[#This Row],[Date]])&gt;=4,1,0)</f>
        <v>2026</v>
      </c>
      <c r="C225" s="79">
        <f>YEAR(Table5[[#This Row],[Date]])</f>
        <v>2025</v>
      </c>
      <c r="D225" s="79" t="s">
        <v>344</v>
      </c>
      <c r="E225" s="284">
        <f>Table5[[#This Row],[Date]]-DAY(Table5[[#This Row],[Date]])+1</f>
        <v>45809</v>
      </c>
      <c r="F225" s="285">
        <v>45828</v>
      </c>
      <c r="G225" s="79" t="s">
        <v>79</v>
      </c>
      <c r="H225" s="23" t="str">
        <f>IFERROR(_xlfn.XLOOKUP(Table5[[#This Row],[Affected WTG]],'Basic Data'!$A:$A,'Basic Data'!$B:$B),"")</f>
        <v>PWEPL</v>
      </c>
      <c r="I225" s="23" t="str">
        <f>IFERROR(_xlfn.XLOOKUP(Table5[[#This Row],[Affected WTG]],'Basic Data'!$A:$A,'Basic Data'!$C:$C),"")</f>
        <v>MSEDCL</v>
      </c>
      <c r="J225" s="286">
        <f>IFERROR(_xlfn.XLOOKUP(Table5[[#This Row],[Affected WTG]],'Basic Data'!$A:$A,'Basic Data'!$E:$E),"")</f>
        <v>2.2727272727272728E-2</v>
      </c>
      <c r="K225" s="79">
        <v>34</v>
      </c>
      <c r="L225" s="23" t="str">
        <f>IFERROR(_xlfn.XLOOKUP(Table5[[#This Row],[Error Code]],'Basic Data'!$W:$W,'Basic Data'!$X:$X),"Incorrect Error Code")</f>
        <v>Brake not released secondary brake</v>
      </c>
      <c r="M225" s="23" t="s">
        <v>912</v>
      </c>
      <c r="N225" s="23"/>
      <c r="O225" s="306">
        <v>0</v>
      </c>
      <c r="P225" s="306">
        <v>0</v>
      </c>
      <c r="Q225" s="306">
        <v>7.9861111111111105E-2</v>
      </c>
      <c r="R225" s="305">
        <f t="shared" si="6"/>
        <v>7.9861111111111105E-2</v>
      </c>
      <c r="S225" s="307">
        <f>(Table5[[#This Row],[Fault Clearance time]]-Table5[[#This Row],[Work Start TimeStamp]])*24</f>
        <v>1.9166666666666665</v>
      </c>
      <c r="T225" s="307">
        <f>(Table5[[#This Row],[Fault Clearance time]]-Table5[[#This Row],[Fault Start TimeStamp]])*24</f>
        <v>1.9166666666666665</v>
      </c>
      <c r="U225" s="23" t="s">
        <v>939</v>
      </c>
      <c r="V225" s="79" t="s">
        <v>339</v>
      </c>
      <c r="W225" s="308">
        <f>IFERROR(Table5[[#This Row],[Breakdown Time]]*Table5[[#This Row],[Plant Equivalent Weightage]],"")</f>
        <v>4.3560606060606057E-2</v>
      </c>
      <c r="X225" s="289" t="s">
        <v>343</v>
      </c>
      <c r="Y225" s="290" t="s">
        <v>96</v>
      </c>
      <c r="Z225" s="79"/>
      <c r="AA225" s="283">
        <v>2711</v>
      </c>
      <c r="AB225" s="79"/>
      <c r="AC225" s="23"/>
      <c r="AD225" s="23"/>
    </row>
    <row r="226" spans="1:30">
      <c r="A226" s="79">
        <f t="shared" si="7"/>
        <v>225</v>
      </c>
      <c r="B226" s="283">
        <f>YEAR(Table5[[#This Row],[Date]])+IF(MONTH(Table5[[#This Row],[Date]])&gt;=4,1,0)</f>
        <v>2026</v>
      </c>
      <c r="C226" s="79">
        <f>YEAR(Table5[[#This Row],[Date]])</f>
        <v>2025</v>
      </c>
      <c r="D226" s="79" t="s">
        <v>344</v>
      </c>
      <c r="E226" s="284">
        <f>Table5[[#This Row],[Date]]-DAY(Table5[[#This Row],[Date]])+1</f>
        <v>45809</v>
      </c>
      <c r="F226" s="285">
        <v>45828</v>
      </c>
      <c r="G226" s="79" t="s">
        <v>115</v>
      </c>
      <c r="H226" s="23" t="str">
        <f>IFERROR(_xlfn.XLOOKUP(Table5[[#This Row],[Affected WTG]],'Basic Data'!$A:$A,'Basic Data'!$B:$B),"")</f>
        <v>PWEPL</v>
      </c>
      <c r="I226" s="23" t="str">
        <f>IFERROR(_xlfn.XLOOKUP(Table5[[#This Row],[Affected WTG]],'Basic Data'!$A:$A,'Basic Data'!$C:$C),"")</f>
        <v>MSEDCL</v>
      </c>
      <c r="J226" s="286">
        <f>IFERROR(_xlfn.XLOOKUP(Table5[[#This Row],[Affected WTG]],'Basic Data'!$A:$A,'Basic Data'!$E:$E),"")</f>
        <v>2.2727272727272728E-2</v>
      </c>
      <c r="K226" s="79">
        <v>269</v>
      </c>
      <c r="L226" s="23" t="str">
        <f>IFERROR(_xlfn.XLOOKUP(Table5[[#This Row],[Error Code]],'Basic Data'!$W:$W,'Basic Data'!$X:$X),"Incorrect Error Code")</f>
        <v>Reboot PLC</v>
      </c>
      <c r="M226" s="23" t="s">
        <v>348</v>
      </c>
      <c r="N226" s="23"/>
      <c r="O226" s="306">
        <v>0.12222222222222223</v>
      </c>
      <c r="P226" s="306">
        <v>0.12222222222222223</v>
      </c>
      <c r="Q226" s="306">
        <v>0.23680555555555557</v>
      </c>
      <c r="R226" s="305">
        <f t="shared" si="6"/>
        <v>0.11458333333333334</v>
      </c>
      <c r="S226" s="307">
        <f>(Table5[[#This Row],[Fault Clearance time]]-Table5[[#This Row],[Work Start TimeStamp]])*24</f>
        <v>2.75</v>
      </c>
      <c r="T226" s="307">
        <f>(Table5[[#This Row],[Fault Clearance time]]-Table5[[#This Row],[Fault Start TimeStamp]])*24</f>
        <v>2.75</v>
      </c>
      <c r="U226" s="23" t="s">
        <v>353</v>
      </c>
      <c r="V226" s="79" t="s">
        <v>339</v>
      </c>
      <c r="W226" s="308">
        <f>IFERROR(Table5[[#This Row],[Breakdown Time]]*Table5[[#This Row],[Plant Equivalent Weightage]],"")</f>
        <v>6.25E-2</v>
      </c>
      <c r="X226" s="289" t="s">
        <v>343</v>
      </c>
      <c r="Y226" s="290" t="s">
        <v>116</v>
      </c>
      <c r="Z226" s="79"/>
      <c r="AA226" s="283">
        <v>1737</v>
      </c>
      <c r="AB226" s="79"/>
      <c r="AC226" s="23"/>
      <c r="AD226" s="23"/>
    </row>
    <row r="227" spans="1:30">
      <c r="A227" s="79">
        <f t="shared" si="7"/>
        <v>226</v>
      </c>
      <c r="B227" s="283">
        <f>YEAR(Table5[[#This Row],[Date]])+IF(MONTH(Table5[[#This Row],[Date]])&gt;=4,1,0)</f>
        <v>2026</v>
      </c>
      <c r="C227" s="79">
        <f>YEAR(Table5[[#This Row],[Date]])</f>
        <v>2025</v>
      </c>
      <c r="D227" s="79" t="s">
        <v>344</v>
      </c>
      <c r="E227" s="284">
        <f>Table5[[#This Row],[Date]]-DAY(Table5[[#This Row],[Date]])+1</f>
        <v>45809</v>
      </c>
      <c r="F227" s="285">
        <v>45828</v>
      </c>
      <c r="G227" s="79" t="s">
        <v>116</v>
      </c>
      <c r="H227" s="23" t="str">
        <f>IFERROR(_xlfn.XLOOKUP(Table5[[#This Row],[Affected WTG]],'Basic Data'!$A:$A,'Basic Data'!$B:$B),"")</f>
        <v>PWEPL</v>
      </c>
      <c r="I227" s="23" t="str">
        <f>IFERROR(_xlfn.XLOOKUP(Table5[[#This Row],[Affected WTG]],'Basic Data'!$A:$A,'Basic Data'!$C:$C),"")</f>
        <v>MSEDCL</v>
      </c>
      <c r="J227" s="286">
        <f>IFERROR(_xlfn.XLOOKUP(Table5[[#This Row],[Affected WTG]],'Basic Data'!$A:$A,'Basic Data'!$E:$E),"")</f>
        <v>2.2727272727272728E-2</v>
      </c>
      <c r="K227" s="79">
        <v>269</v>
      </c>
      <c r="L227" s="23" t="str">
        <f>IFERROR(_xlfn.XLOOKUP(Table5[[#This Row],[Error Code]],'Basic Data'!$W:$W,'Basic Data'!$X:$X),"Incorrect Error Code")</f>
        <v>Reboot PLC</v>
      </c>
      <c r="M227" s="23" t="s">
        <v>348</v>
      </c>
      <c r="N227" s="23"/>
      <c r="O227" s="306">
        <v>0.12222222222222223</v>
      </c>
      <c r="P227" s="306">
        <v>0.12222222222222223</v>
      </c>
      <c r="Q227" s="306">
        <v>0.15555555555555556</v>
      </c>
      <c r="R227" s="305">
        <f t="shared" si="6"/>
        <v>3.3333333333333326E-2</v>
      </c>
      <c r="S227" s="307">
        <f>(Table5[[#This Row],[Fault Clearance time]]-Table5[[#This Row],[Work Start TimeStamp]])*24</f>
        <v>0.79999999999999982</v>
      </c>
      <c r="T227" s="307">
        <f>(Table5[[#This Row],[Fault Clearance time]]-Table5[[#This Row],[Fault Start TimeStamp]])*24</f>
        <v>0.79999999999999982</v>
      </c>
      <c r="U227" s="23" t="s">
        <v>353</v>
      </c>
      <c r="V227" s="79" t="s">
        <v>339</v>
      </c>
      <c r="W227" s="308">
        <f>IFERROR(Table5[[#This Row],[Breakdown Time]]*Table5[[#This Row],[Plant Equivalent Weightage]],"")</f>
        <v>1.8181818181818177E-2</v>
      </c>
      <c r="X227" s="289" t="s">
        <v>343</v>
      </c>
      <c r="Y227" s="290" t="s">
        <v>117</v>
      </c>
      <c r="Z227" s="79"/>
      <c r="AA227" s="283">
        <v>0</v>
      </c>
      <c r="AB227" s="79"/>
      <c r="AC227" s="23"/>
      <c r="AD227" s="23"/>
    </row>
    <row r="228" spans="1:30">
      <c r="A228" s="79">
        <f t="shared" si="7"/>
        <v>227</v>
      </c>
      <c r="B228" s="283">
        <f>YEAR(Table5[[#This Row],[Date]])+IF(MONTH(Table5[[#This Row],[Date]])&gt;=4,1,0)</f>
        <v>2026</v>
      </c>
      <c r="C228" s="79">
        <f>YEAR(Table5[[#This Row],[Date]])</f>
        <v>2025</v>
      </c>
      <c r="D228" s="79" t="s">
        <v>344</v>
      </c>
      <c r="E228" s="284">
        <f>Table5[[#This Row],[Date]]-DAY(Table5[[#This Row],[Date]])+1</f>
        <v>45809</v>
      </c>
      <c r="F228" s="285">
        <v>45828</v>
      </c>
      <c r="G228" s="79" t="s">
        <v>105</v>
      </c>
      <c r="H228" s="23" t="str">
        <f>IFERROR(_xlfn.XLOOKUP(Table5[[#This Row],[Affected WTG]],'Basic Data'!$A:$A,'Basic Data'!$B:$B),"")</f>
        <v>PWEPL</v>
      </c>
      <c r="I228" s="23" t="str">
        <f>IFERROR(_xlfn.XLOOKUP(Table5[[#This Row],[Affected WTG]],'Basic Data'!$A:$A,'Basic Data'!$C:$C),"")</f>
        <v>MSEDCL</v>
      </c>
      <c r="J228" s="286">
        <f>IFERROR(_xlfn.XLOOKUP(Table5[[#This Row],[Affected WTG]],'Basic Data'!$A:$A,'Basic Data'!$E:$E),"")</f>
        <v>2.2727272727272728E-2</v>
      </c>
      <c r="K228" s="79">
        <v>269</v>
      </c>
      <c r="L228" s="23" t="str">
        <f>IFERROR(_xlfn.XLOOKUP(Table5[[#This Row],[Error Code]],'Basic Data'!$W:$W,'Basic Data'!$X:$X),"Incorrect Error Code")</f>
        <v>Reboot PLC</v>
      </c>
      <c r="M228" s="23" t="s">
        <v>348</v>
      </c>
      <c r="N228" s="23"/>
      <c r="O228" s="306">
        <v>0.12222222222222223</v>
      </c>
      <c r="P228" s="306">
        <v>0.12222222222222223</v>
      </c>
      <c r="Q228" s="306">
        <v>0.18888888888888888</v>
      </c>
      <c r="R228" s="305">
        <f t="shared" si="6"/>
        <v>6.6666666666666652E-2</v>
      </c>
      <c r="S228" s="307">
        <f>(Table5[[#This Row],[Fault Clearance time]]-Table5[[#This Row],[Work Start TimeStamp]])*24</f>
        <v>1.5999999999999996</v>
      </c>
      <c r="T228" s="307">
        <f>(Table5[[#This Row],[Fault Clearance time]]-Table5[[#This Row],[Fault Start TimeStamp]])*24</f>
        <v>1.5999999999999996</v>
      </c>
      <c r="U228" s="23" t="s">
        <v>353</v>
      </c>
      <c r="V228" s="79" t="s">
        <v>339</v>
      </c>
      <c r="W228" s="308">
        <f>IFERROR(Table5[[#This Row],[Breakdown Time]]*Table5[[#This Row],[Plant Equivalent Weightage]],"")</f>
        <v>3.6363636363636355E-2</v>
      </c>
      <c r="X228" s="289" t="s">
        <v>343</v>
      </c>
      <c r="Y228" s="290" t="s">
        <v>116</v>
      </c>
      <c r="Z228" s="79"/>
      <c r="AA228" s="283">
        <v>124</v>
      </c>
      <c r="AB228" s="79"/>
      <c r="AC228" s="23"/>
      <c r="AD228" s="23"/>
    </row>
    <row r="229" spans="1:30">
      <c r="A229" s="79">
        <f t="shared" si="7"/>
        <v>228</v>
      </c>
      <c r="B229" s="283">
        <f>YEAR(Table5[[#This Row],[Date]])+IF(MONTH(Table5[[#This Row],[Date]])&gt;=4,1,0)</f>
        <v>2026</v>
      </c>
      <c r="C229" s="79">
        <f>YEAR(Table5[[#This Row],[Date]])</f>
        <v>2025</v>
      </c>
      <c r="D229" s="79" t="s">
        <v>344</v>
      </c>
      <c r="E229" s="284">
        <f>Table5[[#This Row],[Date]]-DAY(Table5[[#This Row],[Date]])+1</f>
        <v>45809</v>
      </c>
      <c r="F229" s="285">
        <v>45828</v>
      </c>
      <c r="G229" s="79" t="s">
        <v>119</v>
      </c>
      <c r="H229" s="23" t="str">
        <f>IFERROR(_xlfn.XLOOKUP(Table5[[#This Row],[Affected WTG]],'Basic Data'!$A:$A,'Basic Data'!$B:$B),"")</f>
        <v>PWEPL</v>
      </c>
      <c r="I229" s="23" t="str">
        <f>IFERROR(_xlfn.XLOOKUP(Table5[[#This Row],[Affected WTG]],'Basic Data'!$A:$A,'Basic Data'!$C:$C),"")</f>
        <v>MSEDCL</v>
      </c>
      <c r="J229" s="286">
        <f>IFERROR(_xlfn.XLOOKUP(Table5[[#This Row],[Affected WTG]],'Basic Data'!$A:$A,'Basic Data'!$E:$E),"")</f>
        <v>2.2727272727272728E-2</v>
      </c>
      <c r="K229" s="79">
        <v>275</v>
      </c>
      <c r="L229" s="23" t="str">
        <f>IFERROR(_xlfn.XLOOKUP(Table5[[#This Row],[Error Code]],'Basic Data'!$W:$W,'Basic Data'!$X:$X),"Incorrect Error Code")</f>
        <v>Pitch thyristor 2 fault</v>
      </c>
      <c r="M229" s="23" t="s">
        <v>162</v>
      </c>
      <c r="N229" s="23"/>
      <c r="O229" s="306">
        <v>0.29583333333333334</v>
      </c>
      <c r="P229" s="306">
        <v>0.29583333333333334</v>
      </c>
      <c r="Q229" s="306">
        <v>0.50694444444444442</v>
      </c>
      <c r="R229" s="305">
        <f t="shared" si="6"/>
        <v>0.21111111111111108</v>
      </c>
      <c r="S229" s="307">
        <f>(Table5[[#This Row],[Fault Clearance time]]-Table5[[#This Row],[Work Start TimeStamp]])*24</f>
        <v>5.0666666666666664</v>
      </c>
      <c r="T229" s="307">
        <f>(Table5[[#This Row],[Fault Clearance time]]-Table5[[#This Row],[Fault Start TimeStamp]])*24</f>
        <v>5.0666666666666664</v>
      </c>
      <c r="U229" s="23" t="s">
        <v>914</v>
      </c>
      <c r="V229" s="79" t="s">
        <v>339</v>
      </c>
      <c r="W229" s="308">
        <f>IFERROR(Table5[[#This Row],[Breakdown Time]]*Table5[[#This Row],[Plant Equivalent Weightage]],"")</f>
        <v>0.11515151515151514</v>
      </c>
      <c r="X229" s="289" t="s">
        <v>343</v>
      </c>
      <c r="Y229" s="290" t="s">
        <v>118</v>
      </c>
      <c r="Z229" s="79"/>
      <c r="AA229" s="283">
        <v>7231</v>
      </c>
      <c r="AB229" s="79"/>
      <c r="AC229" s="23"/>
      <c r="AD229" s="23"/>
    </row>
    <row r="230" spans="1:30">
      <c r="A230" s="79">
        <f t="shared" si="7"/>
        <v>229</v>
      </c>
      <c r="B230" s="283">
        <f>YEAR(Table5[[#This Row],[Date]])+IF(MONTH(Table5[[#This Row],[Date]])&gt;=4,1,0)</f>
        <v>2026</v>
      </c>
      <c r="C230" s="79">
        <f>YEAR(Table5[[#This Row],[Date]])</f>
        <v>2025</v>
      </c>
      <c r="D230" s="79" t="s">
        <v>344</v>
      </c>
      <c r="E230" s="284">
        <f>Table5[[#This Row],[Date]]-DAY(Table5[[#This Row],[Date]])+1</f>
        <v>45809</v>
      </c>
      <c r="F230" s="285">
        <v>45828</v>
      </c>
      <c r="G230" s="79" t="s">
        <v>115</v>
      </c>
      <c r="H230" s="23" t="str">
        <f>IFERROR(_xlfn.XLOOKUP(Table5[[#This Row],[Affected WTG]],'Basic Data'!$A:$A,'Basic Data'!$B:$B),"")</f>
        <v>PWEPL</v>
      </c>
      <c r="I230" s="23" t="str">
        <f>IFERROR(_xlfn.XLOOKUP(Table5[[#This Row],[Affected WTG]],'Basic Data'!$A:$A,'Basic Data'!$C:$C),"")</f>
        <v>MSEDCL</v>
      </c>
      <c r="J230" s="286">
        <f>IFERROR(_xlfn.XLOOKUP(Table5[[#This Row],[Affected WTG]],'Basic Data'!$A:$A,'Basic Data'!$E:$E),"")</f>
        <v>2.2727272727272728E-2</v>
      </c>
      <c r="K230" s="79">
        <v>142</v>
      </c>
      <c r="L230" s="23" t="str">
        <f>IFERROR(_xlfn.XLOOKUP(Table5[[#This Row],[Error Code]],'Basic Data'!$W:$W,'Basic Data'!$X:$X),"Incorrect Error Code")</f>
        <v>Line CCU collective faults</v>
      </c>
      <c r="M230" s="23" t="s">
        <v>149</v>
      </c>
      <c r="N230" s="23"/>
      <c r="O230" s="306">
        <v>0.29652777777777778</v>
      </c>
      <c r="P230" s="306">
        <v>0.29652777777777778</v>
      </c>
      <c r="Q230" s="306">
        <v>0.33819444444444446</v>
      </c>
      <c r="R230" s="305">
        <f t="shared" si="6"/>
        <v>4.1666666666666685E-2</v>
      </c>
      <c r="S230" s="307">
        <f>(Table5[[#This Row],[Fault Clearance time]]-Table5[[#This Row],[Work Start TimeStamp]])*24</f>
        <v>1.0000000000000004</v>
      </c>
      <c r="T230" s="307">
        <f>(Table5[[#This Row],[Fault Clearance time]]-Table5[[#This Row],[Fault Start TimeStamp]])*24</f>
        <v>1.0000000000000004</v>
      </c>
      <c r="U230" s="23" t="s">
        <v>940</v>
      </c>
      <c r="V230" s="79" t="s">
        <v>339</v>
      </c>
      <c r="W230" s="308">
        <f>IFERROR(Table5[[#This Row],[Breakdown Time]]*Table5[[#This Row],[Plant Equivalent Weightage]],"")</f>
        <v>2.2727272727272738E-2</v>
      </c>
      <c r="X230" s="289" t="s">
        <v>343</v>
      </c>
      <c r="Y230" s="290" t="s">
        <v>116</v>
      </c>
      <c r="Z230" s="79"/>
      <c r="AA230" s="283">
        <v>1218</v>
      </c>
      <c r="AB230" s="79"/>
      <c r="AC230" s="23"/>
      <c r="AD230" s="23"/>
    </row>
    <row r="231" spans="1:30">
      <c r="A231" s="79">
        <f t="shared" si="7"/>
        <v>230</v>
      </c>
      <c r="B231" s="283">
        <f>YEAR(Table5[[#This Row],[Date]])+IF(MONTH(Table5[[#This Row],[Date]])&gt;=4,1,0)</f>
        <v>2026</v>
      </c>
      <c r="C231" s="79">
        <f>YEAR(Table5[[#This Row],[Date]])</f>
        <v>2025</v>
      </c>
      <c r="D231" s="79" t="s">
        <v>344</v>
      </c>
      <c r="E231" s="284">
        <f>Table5[[#This Row],[Date]]-DAY(Table5[[#This Row],[Date]])+1</f>
        <v>45809</v>
      </c>
      <c r="F231" s="285">
        <v>45829</v>
      </c>
      <c r="G231" s="79" t="s">
        <v>105</v>
      </c>
      <c r="H231" s="23" t="str">
        <f>IFERROR(_xlfn.XLOOKUP(Table5[[#This Row],[Affected WTG]],'Basic Data'!$A:$A,'Basic Data'!$B:$B),"")</f>
        <v>PWEPL</v>
      </c>
      <c r="I231" s="23" t="str">
        <f>IFERROR(_xlfn.XLOOKUP(Table5[[#This Row],[Affected WTG]],'Basic Data'!$A:$A,'Basic Data'!$C:$C),"")</f>
        <v>MSEDCL</v>
      </c>
      <c r="J231" s="286">
        <f>IFERROR(_xlfn.XLOOKUP(Table5[[#This Row],[Affected WTG]],'Basic Data'!$A:$A,'Basic Data'!$E:$E),"")</f>
        <v>2.2727272727272728E-2</v>
      </c>
      <c r="K231" s="79">
        <v>142</v>
      </c>
      <c r="L231" s="23" t="str">
        <f>IFERROR(_xlfn.XLOOKUP(Table5[[#This Row],[Error Code]],'Basic Data'!$W:$W,'Basic Data'!$X:$X),"Incorrect Error Code")</f>
        <v>Line CCU collective faults</v>
      </c>
      <c r="M231" s="23" t="s">
        <v>149</v>
      </c>
      <c r="N231" s="23"/>
      <c r="O231" s="306">
        <v>0.38194444444444442</v>
      </c>
      <c r="P231" s="306">
        <v>0.38194444444444442</v>
      </c>
      <c r="Q231" s="306">
        <v>0.51736111111111105</v>
      </c>
      <c r="R231" s="298">
        <f t="shared" si="6"/>
        <v>0.13541666666666663</v>
      </c>
      <c r="S231" s="317">
        <f>(Table5[[#This Row],[Fault Clearance time]]-Table5[[#This Row],[Work Start TimeStamp]])*24</f>
        <v>3.2499999999999991</v>
      </c>
      <c r="T231" s="317">
        <f>(Table5[[#This Row],[Fault Clearance time]]-Table5[[#This Row],[Fault Start TimeStamp]])*24</f>
        <v>3.2499999999999991</v>
      </c>
      <c r="U231" s="23" t="s">
        <v>940</v>
      </c>
      <c r="V231" s="79" t="s">
        <v>339</v>
      </c>
      <c r="W231" s="308">
        <f>IFERROR(Table5[[#This Row],[Breakdown Time]]*Table5[[#This Row],[Plant Equivalent Weightage]],"")</f>
        <v>7.386363636363634E-2</v>
      </c>
      <c r="X231" s="289" t="s">
        <v>343</v>
      </c>
      <c r="Y231" s="290" t="s">
        <v>103</v>
      </c>
      <c r="Z231" s="79"/>
      <c r="AA231" s="283">
        <v>3185</v>
      </c>
      <c r="AB231" s="79"/>
      <c r="AC231" s="23"/>
      <c r="AD231" s="23"/>
    </row>
    <row r="232" spans="1:30">
      <c r="A232" s="79">
        <f t="shared" si="7"/>
        <v>231</v>
      </c>
      <c r="B232" s="283">
        <f>YEAR(Table5[[#This Row],[Date]])+IF(MONTH(Table5[[#This Row],[Date]])&gt;=4,1,0)</f>
        <v>2026</v>
      </c>
      <c r="C232" s="79">
        <f>YEAR(Table5[[#This Row],[Date]])</f>
        <v>2025</v>
      </c>
      <c r="D232" s="79" t="s">
        <v>344</v>
      </c>
      <c r="E232" s="284">
        <f>Table5[[#This Row],[Date]]-DAY(Table5[[#This Row],[Date]])+1</f>
        <v>45809</v>
      </c>
      <c r="F232" s="285">
        <v>45829</v>
      </c>
      <c r="G232" s="79" t="s">
        <v>81</v>
      </c>
      <c r="H232" s="23" t="str">
        <f>IFERROR(_xlfn.XLOOKUP(Table5[[#This Row],[Affected WTG]],'Basic Data'!$A:$A,'Basic Data'!$B:$B),"")</f>
        <v>PWEPL</v>
      </c>
      <c r="I232" s="23" t="str">
        <f>IFERROR(_xlfn.XLOOKUP(Table5[[#This Row],[Affected WTG]],'Basic Data'!$A:$A,'Basic Data'!$C:$C),"")</f>
        <v>MSEDCL</v>
      </c>
      <c r="J232" s="286">
        <f>IFERROR(_xlfn.XLOOKUP(Table5[[#This Row],[Affected WTG]],'Basic Data'!$A:$A,'Basic Data'!$E:$E),"")</f>
        <v>2.2727272727272728E-2</v>
      </c>
      <c r="K232" s="79">
        <v>3</v>
      </c>
      <c r="L232" s="23" t="str">
        <f>IFERROR(_xlfn.XLOOKUP(Table5[[#This Row],[Error Code]],'Basic Data'!$W:$W,'Basic Data'!$X:$X),"Incorrect Error Code")</f>
        <v>Manual Stop</v>
      </c>
      <c r="M232" s="23" t="s">
        <v>941</v>
      </c>
      <c r="N232" s="23"/>
      <c r="O232" s="306">
        <v>0.65763888888888888</v>
      </c>
      <c r="P232" s="306">
        <v>0.65763888888888888</v>
      </c>
      <c r="Q232" s="306">
        <v>0.68194444444444446</v>
      </c>
      <c r="R232" s="298">
        <f t="shared" si="6"/>
        <v>2.430555555555558E-2</v>
      </c>
      <c r="S232" s="317">
        <f>(Table5[[#This Row],[Fault Clearance time]]-Table5[[#This Row],[Work Start TimeStamp]])*24</f>
        <v>0.58333333333333393</v>
      </c>
      <c r="T232" s="317">
        <f>(Table5[[#This Row],[Fault Clearance time]]-Table5[[#This Row],[Fault Start TimeStamp]])*24</f>
        <v>0.58333333333333393</v>
      </c>
      <c r="U232" s="23" t="s">
        <v>941</v>
      </c>
      <c r="V232" s="79" t="s">
        <v>339</v>
      </c>
      <c r="W232" s="308">
        <f>IFERROR(Table5[[#This Row],[Breakdown Time]]*Table5[[#This Row],[Plant Equivalent Weightage]],"")</f>
        <v>1.3257575757575772E-2</v>
      </c>
      <c r="X232" s="289" t="s">
        <v>343</v>
      </c>
      <c r="Y232" s="290" t="s">
        <v>108</v>
      </c>
      <c r="Z232" s="79"/>
      <c r="AA232" s="283">
        <v>913</v>
      </c>
      <c r="AB232" s="79"/>
      <c r="AC232" s="23"/>
      <c r="AD232" s="23"/>
    </row>
    <row r="233" spans="1:30">
      <c r="A233" s="79">
        <f t="shared" si="7"/>
        <v>232</v>
      </c>
      <c r="B233" s="283">
        <f>YEAR(Table5[[#This Row],[Date]])+IF(MONTH(Table5[[#This Row],[Date]])&gt;=4,1,0)</f>
        <v>2026</v>
      </c>
      <c r="C233" s="79">
        <f>YEAR(Table5[[#This Row],[Date]])</f>
        <v>2025</v>
      </c>
      <c r="D233" s="79" t="s">
        <v>344</v>
      </c>
      <c r="E233" s="284">
        <f>Table5[[#This Row],[Date]]-DAY(Table5[[#This Row],[Date]])+1</f>
        <v>45809</v>
      </c>
      <c r="F233" s="285">
        <v>45829</v>
      </c>
      <c r="G233" s="79" t="s">
        <v>111</v>
      </c>
      <c r="H233" s="23" t="str">
        <f>IFERROR(_xlfn.XLOOKUP(Table5[[#This Row],[Affected WTG]],'Basic Data'!$A:$A,'Basic Data'!$B:$B),"")</f>
        <v>PWEPL</v>
      </c>
      <c r="I233" s="23" t="str">
        <f>IFERROR(_xlfn.XLOOKUP(Table5[[#This Row],[Affected WTG]],'Basic Data'!$A:$A,'Basic Data'!$C:$C),"")</f>
        <v>MSEDCL</v>
      </c>
      <c r="J233" s="286">
        <f>IFERROR(_xlfn.XLOOKUP(Table5[[#This Row],[Affected WTG]],'Basic Data'!$A:$A,'Basic Data'!$E:$E),"")</f>
        <v>2.2727272727272728E-2</v>
      </c>
      <c r="K233" s="79">
        <v>142</v>
      </c>
      <c r="L233" s="23" t="str">
        <f>IFERROR(_xlfn.XLOOKUP(Table5[[#This Row],[Error Code]],'Basic Data'!$W:$W,'Basic Data'!$X:$X),"Incorrect Error Code")</f>
        <v>Line CCU collective faults</v>
      </c>
      <c r="M233" s="23" t="s">
        <v>149</v>
      </c>
      <c r="N233" s="23"/>
      <c r="O233" s="306">
        <v>0.6743055555555556</v>
      </c>
      <c r="P233" s="306">
        <v>0.6743055555555556</v>
      </c>
      <c r="Q233" s="306">
        <v>0.68888888888888899</v>
      </c>
      <c r="R233" s="298">
        <f t="shared" si="6"/>
        <v>1.4583333333333393E-2</v>
      </c>
      <c r="S233" s="317">
        <f>(Table5[[#This Row],[Fault Clearance time]]-Table5[[#This Row],[Work Start TimeStamp]])*24</f>
        <v>0.35000000000000142</v>
      </c>
      <c r="T233" s="317">
        <f>(Table5[[#This Row],[Fault Clearance time]]-Table5[[#This Row],[Fault Start TimeStamp]])*24</f>
        <v>0.35000000000000142</v>
      </c>
      <c r="U233" s="23" t="s">
        <v>353</v>
      </c>
      <c r="V233" s="79" t="s">
        <v>339</v>
      </c>
      <c r="W233" s="308">
        <f>IFERROR(Table5[[#This Row],[Breakdown Time]]*Table5[[#This Row],[Plant Equivalent Weightage]],"")</f>
        <v>7.9545454545454867E-3</v>
      </c>
      <c r="X233" s="289" t="s">
        <v>343</v>
      </c>
      <c r="Y233" s="290" t="s">
        <v>112</v>
      </c>
      <c r="Z233" s="79"/>
      <c r="AA233" s="283">
        <v>750</v>
      </c>
      <c r="AB233" s="79"/>
      <c r="AC233" s="23"/>
      <c r="AD233" s="23"/>
    </row>
    <row r="234" spans="1:30">
      <c r="A234" s="79">
        <f t="shared" si="7"/>
        <v>233</v>
      </c>
      <c r="B234" s="283">
        <f>YEAR(Table5[[#This Row],[Date]])+IF(MONTH(Table5[[#This Row],[Date]])&gt;=4,1,0)</f>
        <v>2026</v>
      </c>
      <c r="C234" s="79">
        <f>YEAR(Table5[[#This Row],[Date]])</f>
        <v>2025</v>
      </c>
      <c r="D234" s="79" t="s">
        <v>344</v>
      </c>
      <c r="E234" s="284">
        <f>Table5[[#This Row],[Date]]-DAY(Table5[[#This Row],[Date]])+1</f>
        <v>45809</v>
      </c>
      <c r="F234" s="285">
        <v>45829</v>
      </c>
      <c r="G234" s="79" t="s">
        <v>82</v>
      </c>
      <c r="H234" s="23" t="str">
        <f>IFERROR(_xlfn.XLOOKUP(Table5[[#This Row],[Affected WTG]],'Basic Data'!$A:$A,'Basic Data'!$B:$B),"")</f>
        <v>PWEPL</v>
      </c>
      <c r="I234" s="23" t="str">
        <f>IFERROR(_xlfn.XLOOKUP(Table5[[#This Row],[Affected WTG]],'Basic Data'!$A:$A,'Basic Data'!$C:$C),"")</f>
        <v>MSEDCL</v>
      </c>
      <c r="J234" s="286">
        <f>IFERROR(_xlfn.XLOOKUP(Table5[[#This Row],[Affected WTG]],'Basic Data'!$A:$A,'Basic Data'!$E:$E),"")</f>
        <v>2.2727272727272728E-2</v>
      </c>
      <c r="K234" s="79">
        <v>275</v>
      </c>
      <c r="L234" s="23" t="str">
        <f>IFERROR(_xlfn.XLOOKUP(Table5[[#This Row],[Error Code]],'Basic Data'!$W:$W,'Basic Data'!$X:$X),"Incorrect Error Code")</f>
        <v>Pitch thyristor 2 fault</v>
      </c>
      <c r="M234" s="23" t="s">
        <v>162</v>
      </c>
      <c r="N234" s="23"/>
      <c r="O234" s="306">
        <v>0.70277777777777783</v>
      </c>
      <c r="P234" s="306">
        <v>0.70277777777777783</v>
      </c>
      <c r="Q234" s="306">
        <v>0.7104166666666667</v>
      </c>
      <c r="R234" s="298">
        <f t="shared" si="6"/>
        <v>7.6388888888888618E-3</v>
      </c>
      <c r="S234" s="317">
        <f>(Table5[[#This Row],[Fault Clearance time]]-Table5[[#This Row],[Work Start TimeStamp]])*24</f>
        <v>0.18333333333333268</v>
      </c>
      <c r="T234" s="317">
        <f>(Table5[[#This Row],[Fault Clearance time]]-Table5[[#This Row],[Fault Start TimeStamp]])*24</f>
        <v>0.18333333333333268</v>
      </c>
      <c r="U234" s="23" t="s">
        <v>353</v>
      </c>
      <c r="V234" s="79" t="s">
        <v>339</v>
      </c>
      <c r="W234" s="308">
        <f>IFERROR(Table5[[#This Row],[Breakdown Time]]*Table5[[#This Row],[Plant Equivalent Weightage]],"")</f>
        <v>4.1666666666666519E-3</v>
      </c>
      <c r="X234" s="289" t="s">
        <v>343</v>
      </c>
      <c r="Y234" s="290" t="s">
        <v>93</v>
      </c>
      <c r="Z234" s="79"/>
      <c r="AA234" s="283">
        <v>184</v>
      </c>
      <c r="AB234" s="79"/>
      <c r="AC234" s="23"/>
      <c r="AD234" s="23"/>
    </row>
    <row r="235" spans="1:30">
      <c r="A235" s="79">
        <f t="shared" si="7"/>
        <v>234</v>
      </c>
      <c r="B235" s="283">
        <f>YEAR(Table5[[#This Row],[Date]])+IF(MONTH(Table5[[#This Row],[Date]])&gt;=4,1,0)</f>
        <v>2026</v>
      </c>
      <c r="C235" s="79">
        <f>YEAR(Table5[[#This Row],[Date]])</f>
        <v>2025</v>
      </c>
      <c r="D235" s="79" t="s">
        <v>344</v>
      </c>
      <c r="E235" s="284">
        <f>Table5[[#This Row],[Date]]-DAY(Table5[[#This Row],[Date]])+1</f>
        <v>45809</v>
      </c>
      <c r="F235" s="285">
        <v>45829</v>
      </c>
      <c r="G235" s="79" t="s">
        <v>76</v>
      </c>
      <c r="H235" s="23" t="str">
        <f>IFERROR(_xlfn.XLOOKUP(Table5[[#This Row],[Affected WTG]],'Basic Data'!$A:$A,'Basic Data'!$B:$B),"")</f>
        <v>PWEPL</v>
      </c>
      <c r="I235" s="23" t="str">
        <f>IFERROR(_xlfn.XLOOKUP(Table5[[#This Row],[Affected WTG]],'Basic Data'!$A:$A,'Basic Data'!$C:$C),"")</f>
        <v>MSEDCL</v>
      </c>
      <c r="J235" s="286">
        <f>IFERROR(_xlfn.XLOOKUP(Table5[[#This Row],[Affected WTG]],'Basic Data'!$A:$A,'Basic Data'!$E:$E),"")</f>
        <v>2.2727272727272728E-2</v>
      </c>
      <c r="K235" s="79">
        <v>142</v>
      </c>
      <c r="L235" s="23" t="str">
        <f>IFERROR(_xlfn.XLOOKUP(Table5[[#This Row],[Error Code]],'Basic Data'!$W:$W,'Basic Data'!$X:$X),"Incorrect Error Code")</f>
        <v>Line CCU collective faults</v>
      </c>
      <c r="M235" s="23" t="s">
        <v>149</v>
      </c>
      <c r="N235" s="23"/>
      <c r="O235" s="306">
        <v>0.7090277777777777</v>
      </c>
      <c r="P235" s="306">
        <v>0.7090277777777777</v>
      </c>
      <c r="Q235" s="306">
        <v>0.72430555555555554</v>
      </c>
      <c r="R235" s="298">
        <f t="shared" si="6"/>
        <v>1.5277777777777835E-2</v>
      </c>
      <c r="S235" s="317">
        <f>(Table5[[#This Row],[Fault Clearance time]]-Table5[[#This Row],[Work Start TimeStamp]])*24</f>
        <v>0.36666666666666803</v>
      </c>
      <c r="T235" s="317">
        <f>(Table5[[#This Row],[Fault Clearance time]]-Table5[[#This Row],[Fault Start TimeStamp]])*24</f>
        <v>0.36666666666666803</v>
      </c>
      <c r="U235" s="23" t="s">
        <v>353</v>
      </c>
      <c r="V235" s="79" t="s">
        <v>339</v>
      </c>
      <c r="W235" s="308">
        <f>IFERROR(Table5[[#This Row],[Breakdown Time]]*Table5[[#This Row],[Plant Equivalent Weightage]],"")</f>
        <v>8.3333333333333644E-3</v>
      </c>
      <c r="X235" s="289" t="s">
        <v>343</v>
      </c>
      <c r="Y235" s="290" t="s">
        <v>82</v>
      </c>
      <c r="Z235" s="79"/>
      <c r="AA235" s="283">
        <v>20</v>
      </c>
      <c r="AB235" s="79"/>
      <c r="AC235" s="23"/>
      <c r="AD235" s="23"/>
    </row>
    <row r="236" spans="1:30">
      <c r="A236" s="79">
        <f t="shared" si="7"/>
        <v>235</v>
      </c>
      <c r="B236" s="283">
        <f>YEAR(Table5[[#This Row],[Date]])+IF(MONTH(Table5[[#This Row],[Date]])&gt;=4,1,0)</f>
        <v>2026</v>
      </c>
      <c r="C236" s="79">
        <f>YEAR(Table5[[#This Row],[Date]])</f>
        <v>2025</v>
      </c>
      <c r="D236" s="79" t="s">
        <v>344</v>
      </c>
      <c r="E236" s="284">
        <f>Table5[[#This Row],[Date]]-DAY(Table5[[#This Row],[Date]])+1</f>
        <v>45809</v>
      </c>
      <c r="F236" s="285">
        <v>45830</v>
      </c>
      <c r="G236" s="79" t="s">
        <v>86</v>
      </c>
      <c r="H236" s="23" t="str">
        <f>IFERROR(_xlfn.XLOOKUP(Table5[[#This Row],[Affected WTG]],'Basic Data'!$A:$A,'Basic Data'!$B:$B),"")</f>
        <v>PWEPL</v>
      </c>
      <c r="I236" s="23" t="str">
        <f>IFERROR(_xlfn.XLOOKUP(Table5[[#This Row],[Affected WTG]],'Basic Data'!$A:$A,'Basic Data'!$C:$C),"")</f>
        <v>MSEDCL</v>
      </c>
      <c r="J236" s="286">
        <f>IFERROR(_xlfn.XLOOKUP(Table5[[#This Row],[Affected WTG]],'Basic Data'!$A:$A,'Basic Data'!$E:$E),"")</f>
        <v>2.2727272727272728E-2</v>
      </c>
      <c r="K236" s="79">
        <v>275</v>
      </c>
      <c r="L236" s="23" t="str">
        <f>IFERROR(_xlfn.XLOOKUP(Table5[[#This Row],[Error Code]],'Basic Data'!$W:$W,'Basic Data'!$X:$X),"Incorrect Error Code")</f>
        <v>Pitch thyristor 2 fault</v>
      </c>
      <c r="M236" s="23" t="s">
        <v>162</v>
      </c>
      <c r="N236" s="23"/>
      <c r="O236" s="306">
        <v>0.35972222222222222</v>
      </c>
      <c r="P236" s="306">
        <v>0.35972222222222222</v>
      </c>
      <c r="Q236" s="306">
        <v>0.45555555555555555</v>
      </c>
      <c r="R236" s="298">
        <f t="shared" si="6"/>
        <v>9.5833333333333326E-2</v>
      </c>
      <c r="S236" s="317">
        <f>(Table5[[#This Row],[Fault Clearance time]]-Table5[[#This Row],[Work Start TimeStamp]])*24</f>
        <v>2.2999999999999998</v>
      </c>
      <c r="T236" s="317">
        <f>(Table5[[#This Row],[Fault Clearance time]]-Table5[[#This Row],[Fault Start TimeStamp]])*24</f>
        <v>2.2999999999999998</v>
      </c>
      <c r="U236" s="23" t="s">
        <v>914</v>
      </c>
      <c r="V236" s="79" t="s">
        <v>339</v>
      </c>
      <c r="W236" s="308">
        <f>IFERROR(Table5[[#This Row],[Breakdown Time]]*Table5[[#This Row],[Plant Equivalent Weightage]],"")</f>
        <v>5.2272727272727269E-2</v>
      </c>
      <c r="X236" s="289" t="s">
        <v>343</v>
      </c>
      <c r="Y236" s="290" t="s">
        <v>85</v>
      </c>
      <c r="Z236" s="79"/>
      <c r="AA236" s="283">
        <v>1968</v>
      </c>
      <c r="AB236" s="79"/>
      <c r="AC236" s="23"/>
      <c r="AD236" s="23"/>
    </row>
    <row r="237" spans="1:30">
      <c r="A237" s="79">
        <f t="shared" si="7"/>
        <v>236</v>
      </c>
      <c r="B237" s="283">
        <f>YEAR(Table5[[#This Row],[Date]])+IF(MONTH(Table5[[#This Row],[Date]])&gt;=4,1,0)</f>
        <v>2026</v>
      </c>
      <c r="C237" s="79">
        <f>YEAR(Table5[[#This Row],[Date]])</f>
        <v>2025</v>
      </c>
      <c r="D237" s="79" t="s">
        <v>344</v>
      </c>
      <c r="E237" s="284">
        <f>Table5[[#This Row],[Date]]-DAY(Table5[[#This Row],[Date]])+1</f>
        <v>45809</v>
      </c>
      <c r="F237" s="285">
        <v>45830</v>
      </c>
      <c r="G237" s="79" t="s">
        <v>105</v>
      </c>
      <c r="H237" s="23" t="str">
        <f>IFERROR(_xlfn.XLOOKUP(Table5[[#This Row],[Affected WTG]],'Basic Data'!$A:$A,'Basic Data'!$B:$B),"")</f>
        <v>PWEPL</v>
      </c>
      <c r="I237" s="23" t="str">
        <f>IFERROR(_xlfn.XLOOKUP(Table5[[#This Row],[Affected WTG]],'Basic Data'!$A:$A,'Basic Data'!$C:$C),"")</f>
        <v>MSEDCL</v>
      </c>
      <c r="J237" s="286">
        <f>IFERROR(_xlfn.XLOOKUP(Table5[[#This Row],[Affected WTG]],'Basic Data'!$A:$A,'Basic Data'!$E:$E),"")</f>
        <v>2.2727272727272728E-2</v>
      </c>
      <c r="K237" s="79">
        <v>142</v>
      </c>
      <c r="L237" s="23" t="str">
        <f>IFERROR(_xlfn.XLOOKUP(Table5[[#This Row],[Error Code]],'Basic Data'!$W:$W,'Basic Data'!$X:$X),"Incorrect Error Code")</f>
        <v>Line CCU collective faults</v>
      </c>
      <c r="M237" s="23" t="s">
        <v>149</v>
      </c>
      <c r="N237" s="23"/>
      <c r="O237" s="306">
        <v>0.82430555555555562</v>
      </c>
      <c r="P237" s="306">
        <v>0.82430555555555562</v>
      </c>
      <c r="Q237" s="306">
        <v>0.85138888888888886</v>
      </c>
      <c r="R237" s="298">
        <f t="shared" si="6"/>
        <v>2.7083333333333237E-2</v>
      </c>
      <c r="S237" s="317">
        <f>(Table5[[#This Row],[Fault Clearance time]]-Table5[[#This Row],[Work Start TimeStamp]])*24</f>
        <v>0.64999999999999769</v>
      </c>
      <c r="T237" s="317">
        <f>(Table5[[#This Row],[Fault Clearance time]]-Table5[[#This Row],[Fault Start TimeStamp]])*24</f>
        <v>0.64999999999999769</v>
      </c>
      <c r="U237" s="23" t="s">
        <v>940</v>
      </c>
      <c r="V237" s="79" t="s">
        <v>339</v>
      </c>
      <c r="W237" s="308">
        <f>IFERROR(Table5[[#This Row],[Breakdown Time]]*Table5[[#This Row],[Plant Equivalent Weightage]],"")</f>
        <v>1.477272727272722E-2</v>
      </c>
      <c r="X237" s="289" t="s">
        <v>343</v>
      </c>
      <c r="Y237" s="290" t="s">
        <v>103</v>
      </c>
      <c r="Z237" s="79"/>
      <c r="AA237" s="283">
        <v>1046</v>
      </c>
      <c r="AB237" s="79"/>
      <c r="AC237" s="23"/>
      <c r="AD237" s="23"/>
    </row>
    <row r="238" spans="1:30">
      <c r="A238" s="79">
        <f t="shared" si="7"/>
        <v>237</v>
      </c>
      <c r="B238" s="283">
        <f>YEAR(Table5[[#This Row],[Date]])+IF(MONTH(Table5[[#This Row],[Date]])&gt;=4,1,0)</f>
        <v>2026</v>
      </c>
      <c r="C238" s="79">
        <f>YEAR(Table5[[#This Row],[Date]])</f>
        <v>2025</v>
      </c>
      <c r="D238" s="79" t="s">
        <v>344</v>
      </c>
      <c r="E238" s="284">
        <f>Table5[[#This Row],[Date]]-DAY(Table5[[#This Row],[Date]])+1</f>
        <v>45809</v>
      </c>
      <c r="F238" s="285">
        <v>45830</v>
      </c>
      <c r="G238" s="79" t="s">
        <v>84</v>
      </c>
      <c r="H238" s="23" t="str">
        <f>IFERROR(_xlfn.XLOOKUP(Table5[[#This Row],[Affected WTG]],'Basic Data'!$A:$A,'Basic Data'!$B:$B),"")</f>
        <v>PWEPL</v>
      </c>
      <c r="I238" s="23" t="str">
        <f>IFERROR(_xlfn.XLOOKUP(Table5[[#This Row],[Affected WTG]],'Basic Data'!$A:$A,'Basic Data'!$C:$C),"")</f>
        <v>MSEDCL</v>
      </c>
      <c r="J238" s="286">
        <f>IFERROR(_xlfn.XLOOKUP(Table5[[#This Row],[Affected WTG]],'Basic Data'!$A:$A,'Basic Data'!$E:$E),"")</f>
        <v>2.2727272727272728E-2</v>
      </c>
      <c r="K238" s="79">
        <v>142</v>
      </c>
      <c r="L238" s="23" t="str">
        <f>IFERROR(_xlfn.XLOOKUP(Table5[[#This Row],[Error Code]],'Basic Data'!$W:$W,'Basic Data'!$X:$X),"Incorrect Error Code")</f>
        <v>Line CCU collective faults</v>
      </c>
      <c r="M238" s="23" t="s">
        <v>149</v>
      </c>
      <c r="N238" s="23"/>
      <c r="O238" s="306">
        <v>0.45763888888888887</v>
      </c>
      <c r="P238" s="306">
        <v>0.45763888888888887</v>
      </c>
      <c r="Q238" s="306">
        <v>0.4604166666666667</v>
      </c>
      <c r="R238" s="298">
        <f t="shared" si="6"/>
        <v>2.7777777777778234E-3</v>
      </c>
      <c r="S238" s="317">
        <f>(Table5[[#This Row],[Fault Clearance time]]-Table5[[#This Row],[Work Start TimeStamp]])*24</f>
        <v>6.6666666666667762E-2</v>
      </c>
      <c r="T238" s="317">
        <f>(Table5[[#This Row],[Fault Clearance time]]-Table5[[#This Row],[Fault Start TimeStamp]])*24</f>
        <v>6.6666666666667762E-2</v>
      </c>
      <c r="U238" s="23" t="s">
        <v>353</v>
      </c>
      <c r="V238" s="79" t="s">
        <v>339</v>
      </c>
      <c r="W238" s="308">
        <f>IFERROR(Table5[[#This Row],[Breakdown Time]]*Table5[[#This Row],[Plant Equivalent Weightage]],"")</f>
        <v>1.5151515151515401E-3</v>
      </c>
      <c r="X238" s="289" t="s">
        <v>343</v>
      </c>
      <c r="Y238" s="290" t="s">
        <v>83</v>
      </c>
      <c r="Z238" s="79"/>
      <c r="AA238" s="283">
        <v>176</v>
      </c>
      <c r="AB238" s="79"/>
      <c r="AC238" s="23"/>
      <c r="AD238" s="23"/>
    </row>
    <row r="239" spans="1:30">
      <c r="A239" s="79">
        <f t="shared" si="7"/>
        <v>238</v>
      </c>
      <c r="B239" s="283">
        <f>YEAR(Table5[[#This Row],[Date]])+IF(MONTH(Table5[[#This Row],[Date]])&gt;=4,1,0)</f>
        <v>2026</v>
      </c>
      <c r="C239" s="79">
        <f>YEAR(Table5[[#This Row],[Date]])</f>
        <v>2025</v>
      </c>
      <c r="D239" s="79" t="s">
        <v>344</v>
      </c>
      <c r="E239" s="284">
        <f>Table5[[#This Row],[Date]]-DAY(Table5[[#This Row],[Date]])+1</f>
        <v>45809</v>
      </c>
      <c r="F239" s="285">
        <v>45830</v>
      </c>
      <c r="G239" s="79" t="s">
        <v>85</v>
      </c>
      <c r="H239" s="23" t="str">
        <f>IFERROR(_xlfn.XLOOKUP(Table5[[#This Row],[Affected WTG]],'Basic Data'!$A:$A,'Basic Data'!$B:$B),"")</f>
        <v>PWEPL</v>
      </c>
      <c r="I239" s="23" t="str">
        <f>IFERROR(_xlfn.XLOOKUP(Table5[[#This Row],[Affected WTG]],'Basic Data'!$A:$A,'Basic Data'!$C:$C),"")</f>
        <v>MSEDCL</v>
      </c>
      <c r="J239" s="286">
        <f>IFERROR(_xlfn.XLOOKUP(Table5[[#This Row],[Affected WTG]],'Basic Data'!$A:$A,'Basic Data'!$E:$E),"")</f>
        <v>2.2727272727272728E-2</v>
      </c>
      <c r="K239" s="79">
        <v>63</v>
      </c>
      <c r="L239" s="23" t="str">
        <f>IFERROR(_xlfn.XLOOKUP(Table5[[#This Row],[Error Code]],'Basic Data'!$W:$W,'Basic Data'!$X:$X),"Incorrect Error Code")</f>
        <v>Safety chain</v>
      </c>
      <c r="M239" s="23" t="s">
        <v>189</v>
      </c>
      <c r="N239" s="23"/>
      <c r="O239" s="306">
        <v>0.50555555555555554</v>
      </c>
      <c r="P239" s="306">
        <v>0.50555555555555554</v>
      </c>
      <c r="Q239" s="306">
        <v>0.51180555555555551</v>
      </c>
      <c r="R239" s="298">
        <f t="shared" si="6"/>
        <v>6.2499999999999778E-3</v>
      </c>
      <c r="S239" s="317">
        <f>(Table5[[#This Row],[Fault Clearance time]]-Table5[[#This Row],[Work Start TimeStamp]])*24</f>
        <v>0.14999999999999947</v>
      </c>
      <c r="T239" s="317">
        <f>(Table5[[#This Row],[Fault Clearance time]]-Table5[[#This Row],[Fault Start TimeStamp]])*24</f>
        <v>0.14999999999999947</v>
      </c>
      <c r="U239" s="23" t="s">
        <v>353</v>
      </c>
      <c r="V239" s="79" t="s">
        <v>339</v>
      </c>
      <c r="W239" s="308">
        <f>IFERROR(Table5[[#This Row],[Breakdown Time]]*Table5[[#This Row],[Plant Equivalent Weightage]],"")</f>
        <v>3.4090909090908972E-3</v>
      </c>
      <c r="X239" s="289" t="s">
        <v>343</v>
      </c>
      <c r="Y239" s="290" t="s">
        <v>84</v>
      </c>
      <c r="Z239" s="79"/>
      <c r="AA239" s="283">
        <v>288</v>
      </c>
      <c r="AB239" s="79"/>
      <c r="AC239" s="23"/>
      <c r="AD239" s="23"/>
    </row>
    <row r="240" spans="1:30">
      <c r="A240" s="79">
        <f t="shared" si="7"/>
        <v>239</v>
      </c>
      <c r="B240" s="283">
        <f>YEAR(Table5[[#This Row],[Date]])+IF(MONTH(Table5[[#This Row],[Date]])&gt;=4,1,0)</f>
        <v>2026</v>
      </c>
      <c r="C240" s="79">
        <f>YEAR(Table5[[#This Row],[Date]])</f>
        <v>2025</v>
      </c>
      <c r="D240" s="79" t="s">
        <v>344</v>
      </c>
      <c r="E240" s="284">
        <f>Table5[[#This Row],[Date]]-DAY(Table5[[#This Row],[Date]])+1</f>
        <v>45809</v>
      </c>
      <c r="F240" s="285">
        <v>45830</v>
      </c>
      <c r="G240" s="79" t="s">
        <v>94</v>
      </c>
      <c r="H240" s="23" t="str">
        <f>IFERROR(_xlfn.XLOOKUP(Table5[[#This Row],[Affected WTG]],'Basic Data'!$A:$A,'Basic Data'!$B:$B),"")</f>
        <v>PWEPL</v>
      </c>
      <c r="I240" s="23" t="str">
        <f>IFERROR(_xlfn.XLOOKUP(Table5[[#This Row],[Affected WTG]],'Basic Data'!$A:$A,'Basic Data'!$C:$C),"")</f>
        <v>MSEDCL</v>
      </c>
      <c r="J240" s="286">
        <f>IFERROR(_xlfn.XLOOKUP(Table5[[#This Row],[Affected WTG]],'Basic Data'!$A:$A,'Basic Data'!$E:$E),"")</f>
        <v>2.2727272727272728E-2</v>
      </c>
      <c r="K240" s="79">
        <v>142</v>
      </c>
      <c r="L240" s="23" t="str">
        <f>IFERROR(_xlfn.XLOOKUP(Table5[[#This Row],[Error Code]],'Basic Data'!$W:$W,'Basic Data'!$X:$X),"Incorrect Error Code")</f>
        <v>Line CCU collective faults</v>
      </c>
      <c r="M240" s="23" t="s">
        <v>149</v>
      </c>
      <c r="N240" s="23"/>
      <c r="O240" s="306">
        <v>0.55625000000000002</v>
      </c>
      <c r="P240" s="306">
        <v>0.55625000000000002</v>
      </c>
      <c r="Q240" s="306">
        <v>0.55902777777777779</v>
      </c>
      <c r="R240" s="298">
        <f t="shared" si="6"/>
        <v>2.7777777777777679E-3</v>
      </c>
      <c r="S240" s="317">
        <f>(Table5[[#This Row],[Fault Clearance time]]-Table5[[#This Row],[Work Start TimeStamp]])*24</f>
        <v>6.666666666666643E-2</v>
      </c>
      <c r="T240" s="317">
        <f>(Table5[[#This Row],[Fault Clearance time]]-Table5[[#This Row],[Fault Start TimeStamp]])*24</f>
        <v>6.666666666666643E-2</v>
      </c>
      <c r="U240" s="23" t="s">
        <v>353</v>
      </c>
      <c r="V240" s="79" t="s">
        <v>339</v>
      </c>
      <c r="W240" s="308">
        <f>IFERROR(Table5[[#This Row],[Breakdown Time]]*Table5[[#This Row],[Plant Equivalent Weightage]],"")</f>
        <v>1.5151515151515097E-3</v>
      </c>
      <c r="X240" s="289" t="s">
        <v>343</v>
      </c>
      <c r="Y240" s="290" t="s">
        <v>95</v>
      </c>
      <c r="Z240" s="79"/>
      <c r="AA240" s="283">
        <v>199</v>
      </c>
      <c r="AB240" s="79"/>
      <c r="AC240" s="23"/>
      <c r="AD240" s="23"/>
    </row>
    <row r="241" spans="1:30">
      <c r="A241" s="79">
        <f t="shared" si="7"/>
        <v>240</v>
      </c>
      <c r="B241" s="283">
        <f>YEAR(Table5[[#This Row],[Date]])+IF(MONTH(Table5[[#This Row],[Date]])&gt;=4,1,0)</f>
        <v>2026</v>
      </c>
      <c r="C241" s="79">
        <f>YEAR(Table5[[#This Row],[Date]])</f>
        <v>2025</v>
      </c>
      <c r="D241" s="79" t="s">
        <v>344</v>
      </c>
      <c r="E241" s="284">
        <f>Table5[[#This Row],[Date]]-DAY(Table5[[#This Row],[Date]])+1</f>
        <v>45809</v>
      </c>
      <c r="F241" s="285">
        <v>45830</v>
      </c>
      <c r="G241" s="79" t="s">
        <v>97</v>
      </c>
      <c r="H241" s="23" t="str">
        <f>IFERROR(_xlfn.XLOOKUP(Table5[[#This Row],[Affected WTG]],'Basic Data'!$A:$A,'Basic Data'!$B:$B),"")</f>
        <v>PWEPL</v>
      </c>
      <c r="I241" s="23" t="str">
        <f>IFERROR(_xlfn.XLOOKUP(Table5[[#This Row],[Affected WTG]],'Basic Data'!$A:$A,'Basic Data'!$C:$C),"")</f>
        <v>MSEDCL</v>
      </c>
      <c r="J241" s="286">
        <f>IFERROR(_xlfn.XLOOKUP(Table5[[#This Row],[Affected WTG]],'Basic Data'!$A:$A,'Basic Data'!$E:$E),"")</f>
        <v>2.2727272727272728E-2</v>
      </c>
      <c r="K241" s="79">
        <v>276</v>
      </c>
      <c r="L241" s="23" t="str">
        <f>IFERROR(_xlfn.XLOOKUP(Table5[[#This Row],[Error Code]],'Basic Data'!$W:$W,'Basic Data'!$X:$X),"Incorrect Error Code")</f>
        <v>Pitch thyristor 3 fault</v>
      </c>
      <c r="M241" s="23" t="s">
        <v>153</v>
      </c>
      <c r="N241" s="23"/>
      <c r="O241" s="306">
        <v>0.57291666666666663</v>
      </c>
      <c r="P241" s="306">
        <v>0.57291666666666663</v>
      </c>
      <c r="Q241" s="306">
        <v>0.5756944444444444</v>
      </c>
      <c r="R241" s="298">
        <f t="shared" si="6"/>
        <v>2.7777777777777679E-3</v>
      </c>
      <c r="S241" s="317">
        <f>(Table5[[#This Row],[Fault Clearance time]]-Table5[[#This Row],[Work Start TimeStamp]])*24</f>
        <v>6.666666666666643E-2</v>
      </c>
      <c r="T241" s="317">
        <f>(Table5[[#This Row],[Fault Clearance time]]-Table5[[#This Row],[Fault Start TimeStamp]])*24</f>
        <v>6.666666666666643E-2</v>
      </c>
      <c r="U241" s="23" t="s">
        <v>353</v>
      </c>
      <c r="V241" s="79" t="s">
        <v>339</v>
      </c>
      <c r="W241" s="308">
        <f>IFERROR(Table5[[#This Row],[Breakdown Time]]*Table5[[#This Row],[Plant Equivalent Weightage]],"")</f>
        <v>1.5151515151515097E-3</v>
      </c>
      <c r="X241" s="289" t="s">
        <v>343</v>
      </c>
      <c r="Y241" s="290" t="s">
        <v>96</v>
      </c>
      <c r="Z241" s="79"/>
      <c r="AA241" s="283">
        <v>266</v>
      </c>
      <c r="AB241" s="79"/>
      <c r="AC241" s="23"/>
      <c r="AD241" s="23"/>
    </row>
    <row r="242" spans="1:30">
      <c r="A242" s="79">
        <f t="shared" si="7"/>
        <v>241</v>
      </c>
      <c r="B242" s="283">
        <f>YEAR(Table5[[#This Row],[Date]])+IF(MONTH(Table5[[#This Row],[Date]])&gt;=4,1,0)</f>
        <v>2026</v>
      </c>
      <c r="C242" s="79">
        <f>YEAR(Table5[[#This Row],[Date]])</f>
        <v>2025</v>
      </c>
      <c r="D242" s="79" t="s">
        <v>344</v>
      </c>
      <c r="E242" s="284">
        <f>Table5[[#This Row],[Date]]-DAY(Table5[[#This Row],[Date]])+1</f>
        <v>45809</v>
      </c>
      <c r="F242" s="285">
        <v>45830</v>
      </c>
      <c r="G242" s="79" t="s">
        <v>99</v>
      </c>
      <c r="H242" s="23" t="str">
        <f>IFERROR(_xlfn.XLOOKUP(Table5[[#This Row],[Affected WTG]],'Basic Data'!$A:$A,'Basic Data'!$B:$B),"")</f>
        <v>PWEPL</v>
      </c>
      <c r="I242" s="23" t="str">
        <f>IFERROR(_xlfn.XLOOKUP(Table5[[#This Row],[Affected WTG]],'Basic Data'!$A:$A,'Basic Data'!$C:$C),"")</f>
        <v>MSEDCL</v>
      </c>
      <c r="J242" s="286">
        <f>IFERROR(_xlfn.XLOOKUP(Table5[[#This Row],[Affected WTG]],'Basic Data'!$A:$A,'Basic Data'!$E:$E),"")</f>
        <v>2.2727272727272728E-2</v>
      </c>
      <c r="K242" s="79">
        <v>3</v>
      </c>
      <c r="L242" s="23" t="str">
        <f>IFERROR(_xlfn.XLOOKUP(Table5[[#This Row],[Error Code]],'Basic Data'!$W:$W,'Basic Data'!$X:$X),"Incorrect Error Code")</f>
        <v>Manual Stop</v>
      </c>
      <c r="M242" s="23" t="s">
        <v>941</v>
      </c>
      <c r="N242" s="23"/>
      <c r="O242" s="306">
        <v>0.58472222222222225</v>
      </c>
      <c r="P242" s="306">
        <v>0.58472222222222225</v>
      </c>
      <c r="Q242" s="306">
        <v>0.59861111111111109</v>
      </c>
      <c r="R242" s="298">
        <f t="shared" si="6"/>
        <v>1.388888888888884E-2</v>
      </c>
      <c r="S242" s="317">
        <f>(Table5[[#This Row],[Fault Clearance time]]-Table5[[#This Row],[Work Start TimeStamp]])*24</f>
        <v>0.33333333333333215</v>
      </c>
      <c r="T242" s="317">
        <f>(Table5[[#This Row],[Fault Clearance time]]-Table5[[#This Row],[Fault Start TimeStamp]])*24</f>
        <v>0.33333333333333215</v>
      </c>
      <c r="U242" s="23" t="s">
        <v>941</v>
      </c>
      <c r="V242" s="79" t="s">
        <v>339</v>
      </c>
      <c r="W242" s="308">
        <f>IFERROR(Table5[[#This Row],[Breakdown Time]]*Table5[[#This Row],[Plant Equivalent Weightage]],"")</f>
        <v>7.5757575757575491E-3</v>
      </c>
      <c r="X242" s="289" t="s">
        <v>343</v>
      </c>
      <c r="Y242" s="290" t="s">
        <v>98</v>
      </c>
      <c r="Z242" s="79"/>
      <c r="AA242" s="283">
        <v>791</v>
      </c>
      <c r="AB242" s="79"/>
      <c r="AC242" s="23"/>
      <c r="AD242" s="23"/>
    </row>
    <row r="243" spans="1:30">
      <c r="A243" s="79">
        <f t="shared" si="7"/>
        <v>242</v>
      </c>
      <c r="B243" s="283">
        <f>YEAR(Table5[[#This Row],[Date]])+IF(MONTH(Table5[[#This Row],[Date]])&gt;=4,1,0)</f>
        <v>2026</v>
      </c>
      <c r="C243" s="79">
        <f>YEAR(Table5[[#This Row],[Date]])</f>
        <v>2025</v>
      </c>
      <c r="D243" s="79" t="s">
        <v>344</v>
      </c>
      <c r="E243" s="284">
        <f>Table5[[#This Row],[Date]]-DAY(Table5[[#This Row],[Date]])+1</f>
        <v>45809</v>
      </c>
      <c r="F243" s="285">
        <v>45830</v>
      </c>
      <c r="G243" s="79" t="s">
        <v>104</v>
      </c>
      <c r="H243" s="23" t="str">
        <f>IFERROR(_xlfn.XLOOKUP(Table5[[#This Row],[Affected WTG]],'Basic Data'!$A:$A,'Basic Data'!$B:$B),"")</f>
        <v>PWEPL</v>
      </c>
      <c r="I243" s="23" t="str">
        <f>IFERROR(_xlfn.XLOOKUP(Table5[[#This Row],[Affected WTG]],'Basic Data'!$A:$A,'Basic Data'!$C:$C),"")</f>
        <v>MSEDCL</v>
      </c>
      <c r="J243" s="286">
        <f>IFERROR(_xlfn.XLOOKUP(Table5[[#This Row],[Affected WTG]],'Basic Data'!$A:$A,'Basic Data'!$E:$E),"")</f>
        <v>2.2727272727272728E-2</v>
      </c>
      <c r="K243" s="79">
        <v>142</v>
      </c>
      <c r="L243" s="23" t="str">
        <f>IFERROR(_xlfn.XLOOKUP(Table5[[#This Row],[Error Code]],'Basic Data'!$W:$W,'Basic Data'!$X:$X),"Incorrect Error Code")</f>
        <v>Line CCU collective faults</v>
      </c>
      <c r="M243" s="23" t="s">
        <v>149</v>
      </c>
      <c r="N243" s="23"/>
      <c r="O243" s="306">
        <v>0.55972222222222223</v>
      </c>
      <c r="P243" s="306">
        <v>0.55972222222222223</v>
      </c>
      <c r="Q243" s="306">
        <v>0.56527777777777777</v>
      </c>
      <c r="R243" s="298">
        <f t="shared" si="6"/>
        <v>5.5555555555555358E-3</v>
      </c>
      <c r="S243" s="317">
        <f>(Table5[[#This Row],[Fault Clearance time]]-Table5[[#This Row],[Work Start TimeStamp]])*24</f>
        <v>0.13333333333333286</v>
      </c>
      <c r="T243" s="317">
        <f>(Table5[[#This Row],[Fault Clearance time]]-Table5[[#This Row],[Fault Start TimeStamp]])*24</f>
        <v>0.13333333333333286</v>
      </c>
      <c r="U243" s="23" t="s">
        <v>353</v>
      </c>
      <c r="V243" s="79" t="s">
        <v>339</v>
      </c>
      <c r="W243" s="308">
        <f>IFERROR(Table5[[#This Row],[Breakdown Time]]*Table5[[#This Row],[Plant Equivalent Weightage]],"")</f>
        <v>3.0303030303030195E-3</v>
      </c>
      <c r="X243" s="289" t="s">
        <v>343</v>
      </c>
      <c r="Y243" s="290" t="s">
        <v>79</v>
      </c>
      <c r="Z243" s="79"/>
      <c r="AA243" s="283">
        <v>261</v>
      </c>
      <c r="AB243" s="79"/>
      <c r="AC243" s="23"/>
      <c r="AD243" s="23"/>
    </row>
    <row r="244" spans="1:30">
      <c r="A244" s="79">
        <f t="shared" si="7"/>
        <v>243</v>
      </c>
      <c r="B244" s="283">
        <f>YEAR(Table5[[#This Row],[Date]])+IF(MONTH(Table5[[#This Row],[Date]])&gt;=4,1,0)</f>
        <v>2026</v>
      </c>
      <c r="C244" s="79">
        <f>YEAR(Table5[[#This Row],[Date]])</f>
        <v>2025</v>
      </c>
      <c r="D244" s="79" t="s">
        <v>344</v>
      </c>
      <c r="E244" s="284">
        <f>Table5[[#This Row],[Date]]-DAY(Table5[[#This Row],[Date]])+1</f>
        <v>45809</v>
      </c>
      <c r="F244" s="285">
        <v>45830</v>
      </c>
      <c r="G244" s="79" t="s">
        <v>106</v>
      </c>
      <c r="H244" s="23" t="str">
        <f>IFERROR(_xlfn.XLOOKUP(Table5[[#This Row],[Affected WTG]],'Basic Data'!$A:$A,'Basic Data'!$B:$B),"")</f>
        <v>PWEPL</v>
      </c>
      <c r="I244" s="23" t="str">
        <f>IFERROR(_xlfn.XLOOKUP(Table5[[#This Row],[Affected WTG]],'Basic Data'!$A:$A,'Basic Data'!$C:$C),"")</f>
        <v>MSEDCL</v>
      </c>
      <c r="J244" s="286">
        <f>IFERROR(_xlfn.XLOOKUP(Table5[[#This Row],[Affected WTG]],'Basic Data'!$A:$A,'Basic Data'!$E:$E),"")</f>
        <v>2.2727272727272728E-2</v>
      </c>
      <c r="K244" s="79">
        <v>141</v>
      </c>
      <c r="L244" s="23" t="str">
        <f>IFERROR(_xlfn.XLOOKUP(Table5[[#This Row],[Error Code]],'Basic Data'!$W:$W,'Basic Data'!$X:$X),"Incorrect Error Code")</f>
        <v>Rotor CCU collective faults</v>
      </c>
      <c r="M244" s="23" t="s">
        <v>942</v>
      </c>
      <c r="N244" s="23"/>
      <c r="O244" s="306">
        <v>0.53333333333333333</v>
      </c>
      <c r="P244" s="306">
        <v>0.53333333333333333</v>
      </c>
      <c r="Q244" s="306">
        <v>0.53611111111111109</v>
      </c>
      <c r="R244" s="298">
        <f t="shared" si="6"/>
        <v>2.7777777777777679E-3</v>
      </c>
      <c r="S244" s="317">
        <f>(Table5[[#This Row],[Fault Clearance time]]-Table5[[#This Row],[Work Start TimeStamp]])*24</f>
        <v>6.666666666666643E-2</v>
      </c>
      <c r="T244" s="317">
        <f>(Table5[[#This Row],[Fault Clearance time]]-Table5[[#This Row],[Fault Start TimeStamp]])*24</f>
        <v>6.666666666666643E-2</v>
      </c>
      <c r="U244" s="23" t="s">
        <v>353</v>
      </c>
      <c r="V244" s="79" t="s">
        <v>339</v>
      </c>
      <c r="W244" s="308">
        <f>IFERROR(Table5[[#This Row],[Breakdown Time]]*Table5[[#This Row],[Plant Equivalent Weightage]],"")</f>
        <v>1.5151515151515097E-3</v>
      </c>
      <c r="X244" s="289" t="s">
        <v>343</v>
      </c>
      <c r="Y244" s="290" t="s">
        <v>92</v>
      </c>
      <c r="Z244" s="79"/>
      <c r="AA244" s="283">
        <v>270</v>
      </c>
      <c r="AB244" s="79"/>
      <c r="AC244" s="23"/>
      <c r="AD244" s="23"/>
    </row>
    <row r="245" spans="1:30">
      <c r="A245" s="79">
        <f t="shared" si="7"/>
        <v>244</v>
      </c>
      <c r="B245" s="283">
        <f>YEAR(Table5[[#This Row],[Date]])+IF(MONTH(Table5[[#This Row],[Date]])&gt;=4,1,0)</f>
        <v>2026</v>
      </c>
      <c r="C245" s="79">
        <f>YEAR(Table5[[#This Row],[Date]])</f>
        <v>2025</v>
      </c>
      <c r="D245" s="79" t="s">
        <v>344</v>
      </c>
      <c r="E245" s="284">
        <f>Table5[[#This Row],[Date]]-DAY(Table5[[#This Row],[Date]])+1</f>
        <v>45809</v>
      </c>
      <c r="F245" s="285">
        <v>45831</v>
      </c>
      <c r="G245" s="79" t="s">
        <v>83</v>
      </c>
      <c r="H245" s="23" t="str">
        <f>IFERROR(_xlfn.XLOOKUP(Table5[[#This Row],[Affected WTG]],'Basic Data'!$A:$A,'Basic Data'!$B:$B),"")</f>
        <v>PWEPL</v>
      </c>
      <c r="I245" s="23" t="str">
        <f>IFERROR(_xlfn.XLOOKUP(Table5[[#This Row],[Affected WTG]],'Basic Data'!$A:$A,'Basic Data'!$C:$C),"")</f>
        <v>MSEDCL</v>
      </c>
      <c r="J245" s="286">
        <f>IFERROR(_xlfn.XLOOKUP(Table5[[#This Row],[Affected WTG]],'Basic Data'!$A:$A,'Basic Data'!$E:$E),"")</f>
        <v>2.2727272727272728E-2</v>
      </c>
      <c r="K245" s="79">
        <v>430</v>
      </c>
      <c r="L245" s="23" t="str">
        <f>IFERROR(_xlfn.XLOOKUP(Table5[[#This Row],[Error Code]],'Basic Data'!$W:$W,'Basic Data'!$X:$X),"Incorrect Error Code")</f>
        <v xml:space="preserve">Yaw tooth sensor 1 timeout </v>
      </c>
      <c r="M245" s="23" t="s">
        <v>377</v>
      </c>
      <c r="N245" s="23"/>
      <c r="O245" s="306">
        <v>0.61875000000000002</v>
      </c>
      <c r="P245" s="306">
        <v>0.61875000000000002</v>
      </c>
      <c r="Q245" s="306">
        <v>0.66249999999999998</v>
      </c>
      <c r="R245" s="298">
        <f t="shared" si="6"/>
        <v>4.3749999999999956E-2</v>
      </c>
      <c r="S245" s="317">
        <f>(Table5[[#This Row],[Fault Clearance time]]-Table5[[#This Row],[Work Start TimeStamp]])*24</f>
        <v>1.0499999999999989</v>
      </c>
      <c r="T245" s="317">
        <f>(Table5[[#This Row],[Fault Clearance time]]-Table5[[#This Row],[Fault Start TimeStamp]])*24</f>
        <v>1.0499999999999989</v>
      </c>
      <c r="U245" s="23" t="s">
        <v>799</v>
      </c>
      <c r="V245" s="79" t="s">
        <v>339</v>
      </c>
      <c r="W245" s="308">
        <f>IFERROR(Table5[[#This Row],[Breakdown Time]]*Table5[[#This Row],[Plant Equivalent Weightage]],"")</f>
        <v>2.386363636363634E-2</v>
      </c>
      <c r="X245" s="289" t="s">
        <v>343</v>
      </c>
      <c r="Y245" s="290" t="s">
        <v>98</v>
      </c>
      <c r="Z245" s="79"/>
      <c r="AA245" s="283">
        <v>1573</v>
      </c>
      <c r="AB245" s="79"/>
      <c r="AC245" s="23"/>
      <c r="AD245" s="23"/>
    </row>
    <row r="246" spans="1:30">
      <c r="A246" s="79">
        <f t="shared" si="7"/>
        <v>245</v>
      </c>
      <c r="B246" s="283">
        <f>YEAR(Table5[[#This Row],[Date]])+IF(MONTH(Table5[[#This Row],[Date]])&gt;=4,1,0)</f>
        <v>2026</v>
      </c>
      <c r="C246" s="79">
        <f>YEAR(Table5[[#This Row],[Date]])</f>
        <v>2025</v>
      </c>
      <c r="D246" s="79" t="s">
        <v>344</v>
      </c>
      <c r="E246" s="284">
        <f>Table5[[#This Row],[Date]]-DAY(Table5[[#This Row],[Date]])+1</f>
        <v>45809</v>
      </c>
      <c r="F246" s="285">
        <v>45831</v>
      </c>
      <c r="G246" s="79" t="s">
        <v>84</v>
      </c>
      <c r="H246" s="23" t="str">
        <f>IFERROR(_xlfn.XLOOKUP(Table5[[#This Row],[Affected WTG]],'Basic Data'!$A:$A,'Basic Data'!$B:$B),"")</f>
        <v>PWEPL</v>
      </c>
      <c r="I246" s="23" t="str">
        <f>IFERROR(_xlfn.XLOOKUP(Table5[[#This Row],[Affected WTG]],'Basic Data'!$A:$A,'Basic Data'!$C:$C),"")</f>
        <v>MSEDCL</v>
      </c>
      <c r="J246" s="286">
        <f>IFERROR(_xlfn.XLOOKUP(Table5[[#This Row],[Affected WTG]],'Basic Data'!$A:$A,'Basic Data'!$E:$E),"")</f>
        <v>2.2727272727272728E-2</v>
      </c>
      <c r="K246" s="79">
        <v>77</v>
      </c>
      <c r="L246" s="23" t="str">
        <f>IFERROR(_xlfn.XLOOKUP(Table5[[#This Row],[Error Code]],'Basic Data'!$W:$W,'Basic Data'!$X:$X),"Incorrect Error Code")</f>
        <v>Gearbox oil overtemperature</v>
      </c>
      <c r="M246" s="23" t="s">
        <v>943</v>
      </c>
      <c r="N246" s="23"/>
      <c r="O246" s="306">
        <v>0.65277777777777779</v>
      </c>
      <c r="P246" s="306">
        <v>0.65277777777777779</v>
      </c>
      <c r="Q246" s="306">
        <v>0.76388888888888884</v>
      </c>
      <c r="R246" s="298">
        <f t="shared" si="6"/>
        <v>0.11111111111111105</v>
      </c>
      <c r="S246" s="317">
        <f>(Table5[[#This Row],[Fault Clearance time]]-Table5[[#This Row],[Work Start TimeStamp]])*24</f>
        <v>2.6666666666666652</v>
      </c>
      <c r="T246" s="317">
        <f>(Table5[[#This Row],[Fault Clearance time]]-Table5[[#This Row],[Fault Start TimeStamp]])*24</f>
        <v>2.6666666666666652</v>
      </c>
      <c r="U246" s="23" t="s">
        <v>944</v>
      </c>
      <c r="V246" s="79" t="s">
        <v>339</v>
      </c>
      <c r="W246" s="308">
        <f>IFERROR(Table5[[#This Row],[Breakdown Time]]*Table5[[#This Row],[Plant Equivalent Weightage]],"")</f>
        <v>6.0606060606060573E-2</v>
      </c>
      <c r="X246" s="289" t="s">
        <v>343</v>
      </c>
      <c r="Y246" s="290" t="s">
        <v>85</v>
      </c>
      <c r="Z246" s="79"/>
      <c r="AA246" s="283">
        <v>3601</v>
      </c>
      <c r="AB246" s="79"/>
      <c r="AC246" s="23"/>
      <c r="AD246" s="23"/>
    </row>
    <row r="247" spans="1:30">
      <c r="A247" s="79">
        <f t="shared" si="7"/>
        <v>246</v>
      </c>
      <c r="B247" s="283">
        <f>YEAR(Table5[[#This Row],[Date]])+IF(MONTH(Table5[[#This Row],[Date]])&gt;=4,1,0)</f>
        <v>2026</v>
      </c>
      <c r="C247" s="79">
        <f>YEAR(Table5[[#This Row],[Date]])</f>
        <v>2025</v>
      </c>
      <c r="D247" s="79" t="s">
        <v>344</v>
      </c>
      <c r="E247" s="284">
        <f>Table5[[#This Row],[Date]]-DAY(Table5[[#This Row],[Date]])+1</f>
        <v>45809</v>
      </c>
      <c r="F247" s="285">
        <v>45831</v>
      </c>
      <c r="G247" s="79" t="s">
        <v>79</v>
      </c>
      <c r="H247" s="23" t="str">
        <f>IFERROR(_xlfn.XLOOKUP(Table5[[#This Row],[Affected WTG]],'Basic Data'!$A:$A,'Basic Data'!$B:$B),"")</f>
        <v>PWEPL</v>
      </c>
      <c r="I247" s="23" t="str">
        <f>IFERROR(_xlfn.XLOOKUP(Table5[[#This Row],[Affected WTG]],'Basic Data'!$A:$A,'Basic Data'!$C:$C),"")</f>
        <v>MSEDCL</v>
      </c>
      <c r="J247" s="286">
        <f>IFERROR(_xlfn.XLOOKUP(Table5[[#This Row],[Affected WTG]],'Basic Data'!$A:$A,'Basic Data'!$E:$E),"")</f>
        <v>2.2727272727272728E-2</v>
      </c>
      <c r="K247" s="79">
        <v>352</v>
      </c>
      <c r="L247" s="23" t="str">
        <f>IFERROR(_xlfn.XLOOKUP(Table5[[#This Row],[Error Code]],'Basic Data'!$W:$W,'Basic Data'!$X:$X),"Incorrect Error Code")</f>
        <v>Communication fault wind measurement device</v>
      </c>
      <c r="M247" s="23" t="s">
        <v>945</v>
      </c>
      <c r="N247" s="23"/>
      <c r="O247" s="306">
        <v>0.76388888888888884</v>
      </c>
      <c r="P247" s="306">
        <v>0.76388888888888884</v>
      </c>
      <c r="Q247" s="306">
        <v>0.7944444444444444</v>
      </c>
      <c r="R247" s="298">
        <f t="shared" si="6"/>
        <v>3.0555555555555558E-2</v>
      </c>
      <c r="S247" s="317">
        <f>(Table5[[#This Row],[Fault Clearance time]]-Table5[[#This Row],[Work Start TimeStamp]])*24</f>
        <v>0.73333333333333339</v>
      </c>
      <c r="T247" s="317">
        <f>(Table5[[#This Row],[Fault Clearance time]]-Table5[[#This Row],[Fault Start TimeStamp]])*24</f>
        <v>0.73333333333333339</v>
      </c>
      <c r="U247" s="23" t="s">
        <v>946</v>
      </c>
      <c r="V247" s="79" t="s">
        <v>339</v>
      </c>
      <c r="W247" s="308">
        <f>IFERROR(Table5[[#This Row],[Breakdown Time]]*Table5[[#This Row],[Plant Equivalent Weightage]],"")</f>
        <v>1.666666666666667E-2</v>
      </c>
      <c r="X247" s="289" t="s">
        <v>343</v>
      </c>
      <c r="Y247" s="290" t="s">
        <v>96</v>
      </c>
      <c r="Z247" s="79"/>
      <c r="AA247" s="283">
        <v>1330</v>
      </c>
      <c r="AB247" s="79"/>
      <c r="AC247" s="23"/>
      <c r="AD247" s="23"/>
    </row>
    <row r="248" spans="1:30">
      <c r="A248" s="79">
        <f t="shared" si="7"/>
        <v>247</v>
      </c>
      <c r="B248" s="283">
        <f>YEAR(Table5[[#This Row],[Date]])+IF(MONTH(Table5[[#This Row],[Date]])&gt;=4,1,0)</f>
        <v>2026</v>
      </c>
      <c r="C248" s="79">
        <f>YEAR(Table5[[#This Row],[Date]])</f>
        <v>2025</v>
      </c>
      <c r="D248" s="79" t="s">
        <v>344</v>
      </c>
      <c r="E248" s="284">
        <f>Table5[[#This Row],[Date]]-DAY(Table5[[#This Row],[Date]])+1</f>
        <v>45809</v>
      </c>
      <c r="F248" s="285">
        <v>45831</v>
      </c>
      <c r="G248" s="79" t="s">
        <v>108</v>
      </c>
      <c r="H248" s="23" t="str">
        <f>IFERROR(_xlfn.XLOOKUP(Table5[[#This Row],[Affected WTG]],'Basic Data'!$A:$A,'Basic Data'!$B:$B),"")</f>
        <v>PWEPL</v>
      </c>
      <c r="I248" s="23" t="str">
        <f>IFERROR(_xlfn.XLOOKUP(Table5[[#This Row],[Affected WTG]],'Basic Data'!$A:$A,'Basic Data'!$C:$C),"")</f>
        <v>MSEDCL</v>
      </c>
      <c r="J248" s="286">
        <f>IFERROR(_xlfn.XLOOKUP(Table5[[#This Row],[Affected WTG]],'Basic Data'!$A:$A,'Basic Data'!$E:$E),"")</f>
        <v>2.2727272727272728E-2</v>
      </c>
      <c r="K248" s="79">
        <v>276</v>
      </c>
      <c r="L248" s="23" t="str">
        <f>IFERROR(_xlfn.XLOOKUP(Table5[[#This Row],[Error Code]],'Basic Data'!$W:$W,'Basic Data'!$X:$X),"Incorrect Error Code")</f>
        <v>Pitch thyristor 3 fault</v>
      </c>
      <c r="M248" s="23" t="s">
        <v>153</v>
      </c>
      <c r="N248" s="23"/>
      <c r="O248" s="306">
        <v>0.87638888888888899</v>
      </c>
      <c r="P248" s="306">
        <v>0.87638888888888899</v>
      </c>
      <c r="Q248" s="306">
        <v>0.93819444444444444</v>
      </c>
      <c r="R248" s="298">
        <f t="shared" si="6"/>
        <v>6.1805555555555447E-2</v>
      </c>
      <c r="S248" s="317">
        <f>(Table5[[#This Row],[Fault Clearance time]]-Table5[[#This Row],[Work Start TimeStamp]])*24</f>
        <v>1.4833333333333307</v>
      </c>
      <c r="T248" s="317">
        <f>(Table5[[#This Row],[Fault Clearance time]]-Table5[[#This Row],[Fault Start TimeStamp]])*24</f>
        <v>1.4833333333333307</v>
      </c>
      <c r="U248" s="23" t="s">
        <v>349</v>
      </c>
      <c r="V248" s="79" t="s">
        <v>339</v>
      </c>
      <c r="W248" s="308">
        <f>IFERROR(Table5[[#This Row],[Breakdown Time]]*Table5[[#This Row],[Plant Equivalent Weightage]],"")</f>
        <v>3.3712121212121152E-2</v>
      </c>
      <c r="X248" s="289" t="s">
        <v>343</v>
      </c>
      <c r="Y248" s="290" t="s">
        <v>80</v>
      </c>
      <c r="Z248" s="79"/>
      <c r="AA248" s="283">
        <v>2687</v>
      </c>
      <c r="AB248" s="79"/>
      <c r="AC248" s="23"/>
      <c r="AD248" s="23"/>
    </row>
    <row r="249" spans="1:30">
      <c r="A249" s="79">
        <f t="shared" si="7"/>
        <v>248</v>
      </c>
      <c r="B249" s="283">
        <f>YEAR(Table5[[#This Row],[Date]])+IF(MONTH(Table5[[#This Row],[Date]])&gt;=4,1,0)</f>
        <v>2026</v>
      </c>
      <c r="C249" s="79">
        <f>YEAR(Table5[[#This Row],[Date]])</f>
        <v>2025</v>
      </c>
      <c r="D249" s="79" t="s">
        <v>344</v>
      </c>
      <c r="E249" s="284">
        <f>Table5[[#This Row],[Date]]-DAY(Table5[[#This Row],[Date]])+1</f>
        <v>45809</v>
      </c>
      <c r="F249" s="285">
        <v>45831</v>
      </c>
      <c r="G249" s="79" t="s">
        <v>103</v>
      </c>
      <c r="H249" s="23" t="str">
        <f>IFERROR(_xlfn.XLOOKUP(Table5[[#This Row],[Affected WTG]],'Basic Data'!$A:$A,'Basic Data'!$B:$B),"")</f>
        <v>PWEPL</v>
      </c>
      <c r="I249" s="23" t="str">
        <f>IFERROR(_xlfn.XLOOKUP(Table5[[#This Row],[Affected WTG]],'Basic Data'!$A:$A,'Basic Data'!$C:$C),"")</f>
        <v>MSEDCL</v>
      </c>
      <c r="J249" s="286">
        <f>IFERROR(_xlfn.XLOOKUP(Table5[[#This Row],[Affected WTG]],'Basic Data'!$A:$A,'Basic Data'!$E:$E),"")</f>
        <v>2.2727272727272728E-2</v>
      </c>
      <c r="K249" s="79">
        <v>213</v>
      </c>
      <c r="L249" s="23" t="str">
        <f>IFERROR(_xlfn.XLOOKUP(Table5[[#This Row],[Error Code]],'Basic Data'!$W:$W,'Basic Data'!$X:$X),"Incorrect Error Code")</f>
        <v>Battery voltage not OK axis 2</v>
      </c>
      <c r="M249" s="23" t="s">
        <v>947</v>
      </c>
      <c r="N249" s="23"/>
      <c r="O249" s="306">
        <v>0.52222222222222225</v>
      </c>
      <c r="P249" s="306">
        <v>0.52222222222222225</v>
      </c>
      <c r="Q249" s="306">
        <v>0.60555555555555551</v>
      </c>
      <c r="R249" s="298">
        <f t="shared" si="6"/>
        <v>8.3333333333333259E-2</v>
      </c>
      <c r="S249" s="317">
        <f>(Table5[[#This Row],[Fault Clearance time]]-Table5[[#This Row],[Work Start TimeStamp]])*24</f>
        <v>1.9999999999999982</v>
      </c>
      <c r="T249" s="317">
        <f>(Table5[[#This Row],[Fault Clearance time]]-Table5[[#This Row],[Fault Start TimeStamp]])*24</f>
        <v>1.9999999999999982</v>
      </c>
      <c r="U249" s="23" t="s">
        <v>948</v>
      </c>
      <c r="V249" s="79" t="s">
        <v>339</v>
      </c>
      <c r="W249" s="308">
        <f>IFERROR(Table5[[#This Row],[Breakdown Time]]*Table5[[#This Row],[Plant Equivalent Weightage]],"")</f>
        <v>4.5454545454545414E-2</v>
      </c>
      <c r="X249" s="289" t="s">
        <v>343</v>
      </c>
      <c r="Y249" s="290" t="s">
        <v>105</v>
      </c>
      <c r="Z249" s="79"/>
      <c r="AA249" s="283">
        <v>3126</v>
      </c>
      <c r="AB249" s="79"/>
      <c r="AC249" s="23"/>
      <c r="AD249" s="23"/>
    </row>
    <row r="250" spans="1:30">
      <c r="A250" s="79">
        <f t="shared" si="7"/>
        <v>249</v>
      </c>
      <c r="B250" s="283">
        <f>YEAR(Table5[[#This Row],[Date]])+IF(MONTH(Table5[[#This Row],[Date]])&gt;=4,1,0)</f>
        <v>2026</v>
      </c>
      <c r="C250" s="79">
        <f>YEAR(Table5[[#This Row],[Date]])</f>
        <v>2025</v>
      </c>
      <c r="D250" s="79" t="s">
        <v>344</v>
      </c>
      <c r="E250" s="284">
        <f>Table5[[#This Row],[Date]]-DAY(Table5[[#This Row],[Date]])+1</f>
        <v>45809</v>
      </c>
      <c r="F250" s="285">
        <v>45832</v>
      </c>
      <c r="G250" s="79" t="s">
        <v>104</v>
      </c>
      <c r="H250" s="23" t="str">
        <f>IFERROR(_xlfn.XLOOKUP(Table5[[#This Row],[Affected WTG]],'Basic Data'!$A:$A,'Basic Data'!$B:$B),"")</f>
        <v>PWEPL</v>
      </c>
      <c r="I250" s="23" t="str">
        <f>IFERROR(_xlfn.XLOOKUP(Table5[[#This Row],[Affected WTG]],'Basic Data'!$A:$A,'Basic Data'!$C:$C),"")</f>
        <v>MSEDCL</v>
      </c>
      <c r="J250" s="286">
        <f>IFERROR(_xlfn.XLOOKUP(Table5[[#This Row],[Affected WTG]],'Basic Data'!$A:$A,'Basic Data'!$E:$E),"")</f>
        <v>2.2727272727272728E-2</v>
      </c>
      <c r="K250" s="79">
        <v>201</v>
      </c>
      <c r="L250" s="23" t="str">
        <f>IFERROR(_xlfn.XLOOKUP(Table5[[#This Row],[Error Code]],'Basic Data'!$W:$W,'Basic Data'!$X:$X),"Incorrect Error Code")</f>
        <v xml:space="preserve"> PLC fault 24V Supply</v>
      </c>
      <c r="M250" s="23" t="s">
        <v>366</v>
      </c>
      <c r="N250" s="23"/>
      <c r="O250" s="306">
        <v>6.1805555555555558E-2</v>
      </c>
      <c r="P250" s="306">
        <v>6.1805555555555558E-2</v>
      </c>
      <c r="Q250" s="306">
        <v>0.36458333333333331</v>
      </c>
      <c r="R250" s="298">
        <f t="shared" si="6"/>
        <v>0.30277777777777776</v>
      </c>
      <c r="S250" s="317">
        <f>(Table5[[#This Row],[Fault Clearance time]]-Table5[[#This Row],[Work Start TimeStamp]])*24</f>
        <v>7.2666666666666657</v>
      </c>
      <c r="T250" s="317">
        <f>(Table5[[#This Row],[Fault Clearance time]]-Table5[[#This Row],[Fault Start TimeStamp]])*24</f>
        <v>7.2666666666666657</v>
      </c>
      <c r="U250" s="23" t="s">
        <v>949</v>
      </c>
      <c r="V250" s="79" t="s">
        <v>339</v>
      </c>
      <c r="W250" s="308">
        <f>IFERROR(Table5[[#This Row],[Breakdown Time]]*Table5[[#This Row],[Plant Equivalent Weightage]],"")</f>
        <v>0.16515151515151513</v>
      </c>
      <c r="X250" s="289" t="s">
        <v>343</v>
      </c>
      <c r="Y250" s="290" t="s">
        <v>79</v>
      </c>
      <c r="Z250" s="79"/>
      <c r="AA250" s="283">
        <v>11713</v>
      </c>
      <c r="AB250" s="79"/>
      <c r="AC250" s="23"/>
      <c r="AD250" s="23"/>
    </row>
    <row r="251" spans="1:30">
      <c r="A251" s="79">
        <f t="shared" si="7"/>
        <v>250</v>
      </c>
      <c r="B251" s="283">
        <f>YEAR(Table5[[#This Row],[Date]])+IF(MONTH(Table5[[#This Row],[Date]])&gt;=4,1,0)</f>
        <v>2026</v>
      </c>
      <c r="C251" s="79">
        <f>YEAR(Table5[[#This Row],[Date]])</f>
        <v>2025</v>
      </c>
      <c r="D251" s="79" t="s">
        <v>344</v>
      </c>
      <c r="E251" s="284">
        <f>Table5[[#This Row],[Date]]-DAY(Table5[[#This Row],[Date]])+1</f>
        <v>45809</v>
      </c>
      <c r="F251" s="285">
        <v>45832</v>
      </c>
      <c r="G251" s="79" t="s">
        <v>115</v>
      </c>
      <c r="H251" s="23" t="str">
        <f>IFERROR(_xlfn.XLOOKUP(Table5[[#This Row],[Affected WTG]],'Basic Data'!$A:$A,'Basic Data'!$B:$B),"")</f>
        <v>PWEPL</v>
      </c>
      <c r="I251" s="23" t="str">
        <f>IFERROR(_xlfn.XLOOKUP(Table5[[#This Row],[Affected WTG]],'Basic Data'!$A:$A,'Basic Data'!$C:$C),"")</f>
        <v>MSEDCL</v>
      </c>
      <c r="J251" s="286">
        <f>IFERROR(_xlfn.XLOOKUP(Table5[[#This Row],[Affected WTG]],'Basic Data'!$A:$A,'Basic Data'!$E:$E),"")</f>
        <v>2.2727272727272728E-2</v>
      </c>
      <c r="K251" s="79">
        <v>77</v>
      </c>
      <c r="L251" s="23" t="str">
        <f>IFERROR(_xlfn.XLOOKUP(Table5[[#This Row],[Error Code]],'Basic Data'!$W:$W,'Basic Data'!$X:$X),"Incorrect Error Code")</f>
        <v>Gearbox oil overtemperature</v>
      </c>
      <c r="M251" s="23" t="s">
        <v>943</v>
      </c>
      <c r="N251" s="23"/>
      <c r="O251" s="306">
        <v>0.50555555555555554</v>
      </c>
      <c r="P251" s="306">
        <v>0.50555555555555554</v>
      </c>
      <c r="Q251" s="306">
        <v>0.67083333333333339</v>
      </c>
      <c r="R251" s="298">
        <f t="shared" si="6"/>
        <v>0.16527777777777786</v>
      </c>
      <c r="S251" s="317">
        <f>(Table5[[#This Row],[Fault Clearance time]]-Table5[[#This Row],[Work Start TimeStamp]])*24</f>
        <v>3.9666666666666686</v>
      </c>
      <c r="T251" s="317">
        <f>(Table5[[#This Row],[Fault Clearance time]]-Table5[[#This Row],[Fault Start TimeStamp]])*24</f>
        <v>3.9666666666666686</v>
      </c>
      <c r="U251" s="23" t="s">
        <v>944</v>
      </c>
      <c r="V251" s="79" t="s">
        <v>339</v>
      </c>
      <c r="W251" s="308">
        <f>IFERROR(Table5[[#This Row],[Breakdown Time]]*Table5[[#This Row],[Plant Equivalent Weightage]],"")</f>
        <v>9.0151515151515191E-2</v>
      </c>
      <c r="X251" s="289" t="s">
        <v>343</v>
      </c>
      <c r="Y251" s="290" t="s">
        <v>116</v>
      </c>
      <c r="Z251" s="79"/>
      <c r="AA251" s="283">
        <v>6404</v>
      </c>
      <c r="AB251" s="79"/>
      <c r="AC251" s="23"/>
      <c r="AD251" s="23"/>
    </row>
    <row r="252" spans="1:30">
      <c r="A252" s="79">
        <f t="shared" si="7"/>
        <v>251</v>
      </c>
      <c r="B252" s="283">
        <f>YEAR(Table5[[#This Row],[Date]])+IF(MONTH(Table5[[#This Row],[Date]])&gt;=4,1,0)</f>
        <v>2026</v>
      </c>
      <c r="C252" s="79">
        <f>YEAR(Table5[[#This Row],[Date]])</f>
        <v>2025</v>
      </c>
      <c r="D252" s="79" t="s">
        <v>344</v>
      </c>
      <c r="E252" s="284">
        <f>Table5[[#This Row],[Date]]-DAY(Table5[[#This Row],[Date]])+1</f>
        <v>45809</v>
      </c>
      <c r="F252" s="285">
        <v>45832</v>
      </c>
      <c r="G252" s="79" t="s">
        <v>89</v>
      </c>
      <c r="H252" s="23" t="str">
        <f>IFERROR(_xlfn.XLOOKUP(Table5[[#This Row],[Affected WTG]],'Basic Data'!$A:$A,'Basic Data'!$B:$B),"")</f>
        <v>PWEPL</v>
      </c>
      <c r="I252" s="23" t="str">
        <f>IFERROR(_xlfn.XLOOKUP(Table5[[#This Row],[Affected WTG]],'Basic Data'!$A:$A,'Basic Data'!$C:$C),"")</f>
        <v>MSEDCL</v>
      </c>
      <c r="J252" s="286">
        <f>IFERROR(_xlfn.XLOOKUP(Table5[[#This Row],[Affected WTG]],'Basic Data'!$A:$A,'Basic Data'!$E:$E),"")</f>
        <v>2.2727272727272728E-2</v>
      </c>
      <c r="K252" s="79">
        <v>430</v>
      </c>
      <c r="L252" s="23" t="str">
        <f>IFERROR(_xlfn.XLOOKUP(Table5[[#This Row],[Error Code]],'Basic Data'!$W:$W,'Basic Data'!$X:$X),"Incorrect Error Code")</f>
        <v xml:space="preserve">Yaw tooth sensor 1 timeout </v>
      </c>
      <c r="M252" s="23" t="s">
        <v>377</v>
      </c>
      <c r="N252" s="23"/>
      <c r="O252" s="306">
        <v>0.81736111111111109</v>
      </c>
      <c r="P252" s="306">
        <v>0.81736111111111109</v>
      </c>
      <c r="Q252" s="306">
        <v>0.86597222222222225</v>
      </c>
      <c r="R252" s="298">
        <f t="shared" si="6"/>
        <v>4.861111111111116E-2</v>
      </c>
      <c r="S252" s="317">
        <f>(Table5[[#This Row],[Fault Clearance time]]-Table5[[#This Row],[Work Start TimeStamp]])*24</f>
        <v>1.1666666666666679</v>
      </c>
      <c r="T252" s="317">
        <f>(Table5[[#This Row],[Fault Clearance time]]-Table5[[#This Row],[Fault Start TimeStamp]])*24</f>
        <v>1.1666666666666679</v>
      </c>
      <c r="U252" s="23" t="s">
        <v>799</v>
      </c>
      <c r="V252" s="79" t="s">
        <v>339</v>
      </c>
      <c r="W252" s="308">
        <f>IFERROR(Table5[[#This Row],[Breakdown Time]]*Table5[[#This Row],[Plant Equivalent Weightage]],"")</f>
        <v>2.6515151515151544E-2</v>
      </c>
      <c r="X252" s="289" t="s">
        <v>343</v>
      </c>
      <c r="Y252" s="290" t="s">
        <v>88</v>
      </c>
      <c r="Z252" s="79"/>
      <c r="AA252" s="283">
        <v>2111</v>
      </c>
      <c r="AB252" s="79"/>
      <c r="AC252" s="23"/>
      <c r="AD252" s="23"/>
    </row>
    <row r="253" spans="1:30">
      <c r="A253" s="79">
        <f t="shared" si="7"/>
        <v>252</v>
      </c>
      <c r="B253" s="283">
        <f>YEAR(Table5[[#This Row],[Date]])+IF(MONTH(Table5[[#This Row],[Date]])&gt;=4,1,0)</f>
        <v>2026</v>
      </c>
      <c r="C253" s="79">
        <f>YEAR(Table5[[#This Row],[Date]])</f>
        <v>2025</v>
      </c>
      <c r="D253" s="79" t="s">
        <v>344</v>
      </c>
      <c r="E253" s="284">
        <f>Table5[[#This Row],[Date]]-DAY(Table5[[#This Row],[Date]])+1</f>
        <v>45809</v>
      </c>
      <c r="F253" s="285">
        <v>45832</v>
      </c>
      <c r="G253" s="79" t="s">
        <v>79</v>
      </c>
      <c r="H253" s="23" t="str">
        <f>IFERROR(_xlfn.XLOOKUP(Table5[[#This Row],[Affected WTG]],'Basic Data'!$A:$A,'Basic Data'!$B:$B),"")</f>
        <v>PWEPL</v>
      </c>
      <c r="I253" s="23" t="str">
        <f>IFERROR(_xlfn.XLOOKUP(Table5[[#This Row],[Affected WTG]],'Basic Data'!$A:$A,'Basic Data'!$C:$C),"")</f>
        <v>MSEDCL</v>
      </c>
      <c r="J253" s="286">
        <f>IFERROR(_xlfn.XLOOKUP(Table5[[#This Row],[Affected WTG]],'Basic Data'!$A:$A,'Basic Data'!$E:$E),"")</f>
        <v>2.2727272727272728E-2</v>
      </c>
      <c r="K253" s="79">
        <v>3</v>
      </c>
      <c r="L253" s="23" t="str">
        <f>IFERROR(_xlfn.XLOOKUP(Table5[[#This Row],[Error Code]],'Basic Data'!$W:$W,'Basic Data'!$X:$X),"Incorrect Error Code")</f>
        <v>Manual Stop</v>
      </c>
      <c r="M253" s="23" t="s">
        <v>950</v>
      </c>
      <c r="N253" s="23"/>
      <c r="O253" s="306">
        <v>0.72291666666666676</v>
      </c>
      <c r="P253" s="306">
        <v>0.72291666666666676</v>
      </c>
      <c r="Q253" s="306">
        <v>0.72569444444444453</v>
      </c>
      <c r="R253" s="298">
        <f t="shared" si="6"/>
        <v>2.7777777777777679E-3</v>
      </c>
      <c r="S253" s="317">
        <f>(Table5[[#This Row],[Fault Clearance time]]-Table5[[#This Row],[Work Start TimeStamp]])*24</f>
        <v>6.666666666666643E-2</v>
      </c>
      <c r="T253" s="317">
        <f>(Table5[[#This Row],[Fault Clearance time]]-Table5[[#This Row],[Fault Start TimeStamp]])*24</f>
        <v>6.666666666666643E-2</v>
      </c>
      <c r="U253" s="23" t="s">
        <v>950</v>
      </c>
      <c r="V253" s="79" t="s">
        <v>339</v>
      </c>
      <c r="W253" s="308">
        <f>IFERROR(Table5[[#This Row],[Breakdown Time]]*Table5[[#This Row],[Plant Equivalent Weightage]],"")</f>
        <v>1.5151515151515097E-3</v>
      </c>
      <c r="X253" s="289" t="s">
        <v>394</v>
      </c>
      <c r="Y253" s="290" t="s">
        <v>96</v>
      </c>
      <c r="Z253" s="79"/>
      <c r="AA253" s="283">
        <v>262</v>
      </c>
      <c r="AB253" s="79"/>
      <c r="AC253" s="23"/>
      <c r="AD253" s="23"/>
    </row>
    <row r="254" spans="1:30">
      <c r="A254" s="79">
        <f t="shared" si="7"/>
        <v>253</v>
      </c>
      <c r="B254" s="283">
        <f>YEAR(Table5[[#This Row],[Date]])+IF(MONTH(Table5[[#This Row],[Date]])&gt;=4,1,0)</f>
        <v>2026</v>
      </c>
      <c r="C254" s="79">
        <f>YEAR(Table5[[#This Row],[Date]])</f>
        <v>2025</v>
      </c>
      <c r="D254" s="79" t="s">
        <v>344</v>
      </c>
      <c r="E254" s="284">
        <f>Table5[[#This Row],[Date]]-DAY(Table5[[#This Row],[Date]])+1</f>
        <v>45809</v>
      </c>
      <c r="F254" s="285">
        <v>45832</v>
      </c>
      <c r="G254" s="79" t="s">
        <v>104</v>
      </c>
      <c r="H254" s="23" t="str">
        <f>IFERROR(_xlfn.XLOOKUP(Table5[[#This Row],[Affected WTG]],'Basic Data'!$A:$A,'Basic Data'!$B:$B),"")</f>
        <v>PWEPL</v>
      </c>
      <c r="I254" s="23" t="str">
        <f>IFERROR(_xlfn.XLOOKUP(Table5[[#This Row],[Affected WTG]],'Basic Data'!$A:$A,'Basic Data'!$C:$C),"")</f>
        <v>MSEDCL</v>
      </c>
      <c r="J254" s="286">
        <f>IFERROR(_xlfn.XLOOKUP(Table5[[#This Row],[Affected WTG]],'Basic Data'!$A:$A,'Basic Data'!$E:$E),"")</f>
        <v>2.2727272727272728E-2</v>
      </c>
      <c r="K254" s="79">
        <v>3</v>
      </c>
      <c r="L254" s="23" t="str">
        <f>IFERROR(_xlfn.XLOOKUP(Table5[[#This Row],[Error Code]],'Basic Data'!$W:$W,'Basic Data'!$X:$X),"Incorrect Error Code")</f>
        <v>Manual Stop</v>
      </c>
      <c r="M254" s="23" t="s">
        <v>950</v>
      </c>
      <c r="N254" s="23"/>
      <c r="O254" s="306">
        <v>0.73611111111111116</v>
      </c>
      <c r="P254" s="306">
        <v>0.73611111111111116</v>
      </c>
      <c r="Q254" s="306">
        <v>0.73749999999999993</v>
      </c>
      <c r="R254" s="298">
        <f t="shared" si="6"/>
        <v>1.3888888888887729E-3</v>
      </c>
      <c r="S254" s="317">
        <f>(Table5[[#This Row],[Fault Clearance time]]-Table5[[#This Row],[Work Start TimeStamp]])*24</f>
        <v>3.333333333333055E-2</v>
      </c>
      <c r="T254" s="317">
        <f>(Table5[[#This Row],[Fault Clearance time]]-Table5[[#This Row],[Fault Start TimeStamp]])*24</f>
        <v>3.333333333333055E-2</v>
      </c>
      <c r="U254" s="23" t="s">
        <v>950</v>
      </c>
      <c r="V254" s="79" t="s">
        <v>339</v>
      </c>
      <c r="W254" s="308">
        <f>IFERROR(Table5[[#This Row],[Breakdown Time]]*Table5[[#This Row],[Plant Equivalent Weightage]],"")</f>
        <v>7.5757575757569437E-4</v>
      </c>
      <c r="X254" s="289" t="s">
        <v>394</v>
      </c>
      <c r="Y254" s="290" t="s">
        <v>79</v>
      </c>
      <c r="Z254" s="79"/>
      <c r="AA254" s="283">
        <v>261</v>
      </c>
      <c r="AB254" s="79"/>
      <c r="AC254" s="23"/>
      <c r="AD254" s="23"/>
    </row>
    <row r="255" spans="1:30">
      <c r="A255" s="79">
        <f t="shared" si="7"/>
        <v>254</v>
      </c>
      <c r="B255" s="283">
        <f>YEAR(Table5[[#This Row],[Date]])+IF(MONTH(Table5[[#This Row],[Date]])&gt;=4,1,0)</f>
        <v>2026</v>
      </c>
      <c r="C255" s="79">
        <f>YEAR(Table5[[#This Row],[Date]])</f>
        <v>2025</v>
      </c>
      <c r="D255" s="79" t="s">
        <v>344</v>
      </c>
      <c r="E255" s="284">
        <f>Table5[[#This Row],[Date]]-DAY(Table5[[#This Row],[Date]])+1</f>
        <v>45809</v>
      </c>
      <c r="F255" s="285">
        <v>45832</v>
      </c>
      <c r="G255" s="79" t="s">
        <v>97</v>
      </c>
      <c r="H255" s="23" t="str">
        <f>IFERROR(_xlfn.XLOOKUP(Table5[[#This Row],[Affected WTG]],'Basic Data'!$A:$A,'Basic Data'!$B:$B),"")</f>
        <v>PWEPL</v>
      </c>
      <c r="I255" s="23" t="str">
        <f>IFERROR(_xlfn.XLOOKUP(Table5[[#This Row],[Affected WTG]],'Basic Data'!$A:$A,'Basic Data'!$C:$C),"")</f>
        <v>MSEDCL</v>
      </c>
      <c r="J255" s="286">
        <f>IFERROR(_xlfn.XLOOKUP(Table5[[#This Row],[Affected WTG]],'Basic Data'!$A:$A,'Basic Data'!$E:$E),"")</f>
        <v>2.2727272727272728E-2</v>
      </c>
      <c r="K255" s="79">
        <v>3</v>
      </c>
      <c r="L255" s="23" t="str">
        <f>IFERROR(_xlfn.XLOOKUP(Table5[[#This Row],[Error Code]],'Basic Data'!$W:$W,'Basic Data'!$X:$X),"Incorrect Error Code")</f>
        <v>Manual Stop</v>
      </c>
      <c r="M255" s="23" t="s">
        <v>950</v>
      </c>
      <c r="N255" s="23"/>
      <c r="O255" s="306">
        <v>0.74791666666666667</v>
      </c>
      <c r="P255" s="306">
        <v>0.74791666666666667</v>
      </c>
      <c r="Q255" s="306">
        <v>0.74930555555555556</v>
      </c>
      <c r="R255" s="298">
        <f t="shared" si="6"/>
        <v>1.388888888888884E-3</v>
      </c>
      <c r="S255" s="317">
        <f>(Table5[[#This Row],[Fault Clearance time]]-Table5[[#This Row],[Work Start TimeStamp]])*24</f>
        <v>3.3333333333333215E-2</v>
      </c>
      <c r="T255" s="317">
        <f>(Table5[[#This Row],[Fault Clearance time]]-Table5[[#This Row],[Fault Start TimeStamp]])*24</f>
        <v>3.3333333333333215E-2</v>
      </c>
      <c r="U255" s="23" t="s">
        <v>950</v>
      </c>
      <c r="V255" s="79" t="s">
        <v>339</v>
      </c>
      <c r="W255" s="308">
        <f>IFERROR(Table5[[#This Row],[Breakdown Time]]*Table5[[#This Row],[Plant Equivalent Weightage]],"")</f>
        <v>7.5757575757575486E-4</v>
      </c>
      <c r="X255" s="289" t="s">
        <v>394</v>
      </c>
      <c r="Y255" s="290" t="s">
        <v>96</v>
      </c>
      <c r="Z255" s="79"/>
      <c r="AA255" s="283">
        <v>264</v>
      </c>
      <c r="AB255" s="79"/>
      <c r="AC255" s="23"/>
      <c r="AD255" s="23"/>
    </row>
    <row r="256" spans="1:30">
      <c r="A256" s="79">
        <f t="shared" si="7"/>
        <v>255</v>
      </c>
      <c r="B256" s="283">
        <f>YEAR(Table5[[#This Row],[Date]])+IF(MONTH(Table5[[#This Row],[Date]])&gt;=4,1,0)</f>
        <v>2026</v>
      </c>
      <c r="C256" s="79">
        <f>YEAR(Table5[[#This Row],[Date]])</f>
        <v>2025</v>
      </c>
      <c r="D256" s="79" t="s">
        <v>344</v>
      </c>
      <c r="E256" s="284">
        <f>Table5[[#This Row],[Date]]-DAY(Table5[[#This Row],[Date]])+1</f>
        <v>45809</v>
      </c>
      <c r="F256" s="285">
        <v>45833</v>
      </c>
      <c r="G256" s="79" t="s">
        <v>79</v>
      </c>
      <c r="H256" s="23" t="str">
        <f>IFERROR(_xlfn.XLOOKUP(Table5[[#This Row],[Affected WTG]],'Basic Data'!$A:$A,'Basic Data'!$B:$B),"")</f>
        <v>PWEPL</v>
      </c>
      <c r="I256" s="23" t="str">
        <f>IFERROR(_xlfn.XLOOKUP(Table5[[#This Row],[Affected WTG]],'Basic Data'!$A:$A,'Basic Data'!$C:$C),"")</f>
        <v>MSEDCL</v>
      </c>
      <c r="J256" s="286">
        <f>IFERROR(_xlfn.XLOOKUP(Table5[[#This Row],[Affected WTG]],'Basic Data'!$A:$A,'Basic Data'!$E:$E),"")</f>
        <v>2.2727272727272728E-2</v>
      </c>
      <c r="K256" s="79">
        <v>34</v>
      </c>
      <c r="L256" s="23" t="str">
        <f>IFERROR(_xlfn.XLOOKUP(Table5[[#This Row],[Error Code]],'Basic Data'!$W:$W,'Basic Data'!$X:$X),"Incorrect Error Code")</f>
        <v>Brake not released secondary brake</v>
      </c>
      <c r="M256" s="23" t="s">
        <v>912</v>
      </c>
      <c r="N256" s="23"/>
      <c r="O256" s="306">
        <v>0.33749999999999997</v>
      </c>
      <c r="P256" s="306">
        <v>0.33749999999999997</v>
      </c>
      <c r="Q256" s="306">
        <v>0.38541666666666669</v>
      </c>
      <c r="R256" s="298">
        <f t="shared" si="6"/>
        <v>4.7916666666666718E-2</v>
      </c>
      <c r="S256" s="317">
        <f>(Table5[[#This Row],[Fault Clearance time]]-Table5[[#This Row],[Work Start TimeStamp]])*24</f>
        <v>1.1500000000000012</v>
      </c>
      <c r="T256" s="317">
        <f>(Table5[[#This Row],[Fault Clearance time]]-Table5[[#This Row],[Fault Start TimeStamp]])*24</f>
        <v>1.1500000000000012</v>
      </c>
      <c r="U256" s="23" t="s">
        <v>951</v>
      </c>
      <c r="V256" s="79" t="s">
        <v>339</v>
      </c>
      <c r="W256" s="308">
        <f>IFERROR(Table5[[#This Row],[Breakdown Time]]*Table5[[#This Row],[Plant Equivalent Weightage]],"")</f>
        <v>2.6136363636363666E-2</v>
      </c>
      <c r="X256" s="289" t="s">
        <v>343</v>
      </c>
      <c r="Y256" s="290" t="s">
        <v>96</v>
      </c>
      <c r="Z256" s="79"/>
      <c r="AA256" s="283">
        <v>1746</v>
      </c>
      <c r="AB256" s="79"/>
      <c r="AC256" s="23"/>
      <c r="AD256" s="23"/>
    </row>
    <row r="257" spans="1:30">
      <c r="A257" s="79">
        <f t="shared" si="7"/>
        <v>256</v>
      </c>
      <c r="B257" s="283">
        <f>YEAR(Table5[[#This Row],[Date]])+IF(MONTH(Table5[[#This Row],[Date]])&gt;=4,1,0)</f>
        <v>2026</v>
      </c>
      <c r="C257" s="79">
        <f>YEAR(Table5[[#This Row],[Date]])</f>
        <v>2025</v>
      </c>
      <c r="D257" s="79" t="s">
        <v>344</v>
      </c>
      <c r="E257" s="284">
        <f>Table5[[#This Row],[Date]]-DAY(Table5[[#This Row],[Date]])+1</f>
        <v>45809</v>
      </c>
      <c r="F257" s="285">
        <v>45833</v>
      </c>
      <c r="G257" s="79" t="s">
        <v>98</v>
      </c>
      <c r="H257" s="23" t="str">
        <f>IFERROR(_xlfn.XLOOKUP(Table5[[#This Row],[Affected WTG]],'Basic Data'!$A:$A,'Basic Data'!$B:$B),"")</f>
        <v>PWEPL</v>
      </c>
      <c r="I257" s="23" t="str">
        <f>IFERROR(_xlfn.XLOOKUP(Table5[[#This Row],[Affected WTG]],'Basic Data'!$A:$A,'Basic Data'!$C:$C),"")</f>
        <v>MSEDCL</v>
      </c>
      <c r="J257" s="286">
        <f>IFERROR(_xlfn.XLOOKUP(Table5[[#This Row],[Affected WTG]],'Basic Data'!$A:$A,'Basic Data'!$E:$E),"")</f>
        <v>2.2727272727272728E-2</v>
      </c>
      <c r="K257" s="79">
        <v>3</v>
      </c>
      <c r="L257" s="23" t="str">
        <f>IFERROR(_xlfn.XLOOKUP(Table5[[#This Row],[Error Code]],'Basic Data'!$W:$W,'Basic Data'!$X:$X),"Incorrect Error Code")</f>
        <v>Manual Stop</v>
      </c>
      <c r="M257" s="23" t="s">
        <v>952</v>
      </c>
      <c r="N257" s="23"/>
      <c r="O257" s="306">
        <v>0.58958333333333335</v>
      </c>
      <c r="P257" s="306">
        <v>0.58958333333333335</v>
      </c>
      <c r="Q257" s="306">
        <v>0.65138888888888891</v>
      </c>
      <c r="R257" s="298">
        <f t="shared" si="6"/>
        <v>6.1805555555555558E-2</v>
      </c>
      <c r="S257" s="317">
        <f>(Table5[[#This Row],[Fault Clearance time]]-Table5[[#This Row],[Work Start TimeStamp]])*24</f>
        <v>1.4833333333333334</v>
      </c>
      <c r="T257" s="317">
        <f>(Table5[[#This Row],[Fault Clearance time]]-Table5[[#This Row],[Fault Start TimeStamp]])*24</f>
        <v>1.4833333333333334</v>
      </c>
      <c r="U257" s="23" t="s">
        <v>953</v>
      </c>
      <c r="V257" s="79" t="s">
        <v>339</v>
      </c>
      <c r="W257" s="308">
        <f>IFERROR(Table5[[#This Row],[Breakdown Time]]*Table5[[#This Row],[Plant Equivalent Weightage]],"")</f>
        <v>3.3712121212121214E-2</v>
      </c>
      <c r="X257" s="289" t="s">
        <v>343</v>
      </c>
      <c r="Y257" s="290" t="s">
        <v>83</v>
      </c>
      <c r="Z257" s="79"/>
      <c r="AA257" s="283">
        <v>2339</v>
      </c>
      <c r="AB257" s="79"/>
      <c r="AC257" s="23"/>
      <c r="AD257" s="23"/>
    </row>
    <row r="258" spans="1:30">
      <c r="A258" s="79">
        <f t="shared" si="7"/>
        <v>257</v>
      </c>
      <c r="B258" s="283">
        <f>YEAR(Table5[[#This Row],[Date]])+IF(MONTH(Table5[[#This Row],[Date]])&gt;=4,1,0)</f>
        <v>2026</v>
      </c>
      <c r="C258" s="79">
        <f>YEAR(Table5[[#This Row],[Date]])</f>
        <v>2025</v>
      </c>
      <c r="D258" s="79" t="s">
        <v>344</v>
      </c>
      <c r="E258" s="284">
        <f>Table5[[#This Row],[Date]]-DAY(Table5[[#This Row],[Date]])+1</f>
        <v>45809</v>
      </c>
      <c r="F258" s="285">
        <v>45833</v>
      </c>
      <c r="G258" s="79" t="s">
        <v>99</v>
      </c>
      <c r="H258" s="23" t="str">
        <f>IFERROR(_xlfn.XLOOKUP(Table5[[#This Row],[Affected WTG]],'Basic Data'!$A:$A,'Basic Data'!$B:$B),"")</f>
        <v>PWEPL</v>
      </c>
      <c r="I258" s="23" t="str">
        <f>IFERROR(_xlfn.XLOOKUP(Table5[[#This Row],[Affected WTG]],'Basic Data'!$A:$A,'Basic Data'!$C:$C),"")</f>
        <v>MSEDCL</v>
      </c>
      <c r="J258" s="286">
        <f>IFERROR(_xlfn.XLOOKUP(Table5[[#This Row],[Affected WTG]],'Basic Data'!$A:$A,'Basic Data'!$E:$E),"")</f>
        <v>2.2727272727272728E-2</v>
      </c>
      <c r="K258" s="79">
        <v>77</v>
      </c>
      <c r="L258" s="23" t="str">
        <f>IFERROR(_xlfn.XLOOKUP(Table5[[#This Row],[Error Code]],'Basic Data'!$W:$W,'Basic Data'!$X:$X),"Incorrect Error Code")</f>
        <v>Gearbox oil overtemperature</v>
      </c>
      <c r="M258" s="23" t="s">
        <v>943</v>
      </c>
      <c r="N258" s="23"/>
      <c r="O258" s="306">
        <v>0.7055555555555556</v>
      </c>
      <c r="P258" s="306">
        <v>0.7055555555555556</v>
      </c>
      <c r="Q258" s="306">
        <v>0.85069444444444453</v>
      </c>
      <c r="R258" s="298">
        <f t="shared" ref="R258:R279" si="8">Q258-O258</f>
        <v>0.14513888888888893</v>
      </c>
      <c r="S258" s="317">
        <f>(Table5[[#This Row],[Fault Clearance time]]-Table5[[#This Row],[Work Start TimeStamp]])*24</f>
        <v>3.4833333333333343</v>
      </c>
      <c r="T258" s="317">
        <f>(Table5[[#This Row],[Fault Clearance time]]-Table5[[#This Row],[Fault Start TimeStamp]])*24</f>
        <v>3.4833333333333343</v>
      </c>
      <c r="U258" s="23" t="s">
        <v>944</v>
      </c>
      <c r="V258" s="79" t="s">
        <v>339</v>
      </c>
      <c r="W258" s="308">
        <f>IFERROR(Table5[[#This Row],[Breakdown Time]]*Table5[[#This Row],[Plant Equivalent Weightage]],"")</f>
        <v>7.9166666666666691E-2</v>
      </c>
      <c r="X258" s="289" t="s">
        <v>343</v>
      </c>
      <c r="Y258" s="290" t="s">
        <v>98</v>
      </c>
      <c r="Z258" s="79"/>
      <c r="AA258" s="283">
        <v>4565</v>
      </c>
      <c r="AB258" s="79"/>
      <c r="AC258" s="23"/>
      <c r="AD258" s="23"/>
    </row>
    <row r="259" spans="1:30">
      <c r="A259" s="79">
        <f t="shared" si="7"/>
        <v>258</v>
      </c>
      <c r="B259" s="283">
        <f>YEAR(Table5[[#This Row],[Date]])+IF(MONTH(Table5[[#This Row],[Date]])&gt;=4,1,0)</f>
        <v>2026</v>
      </c>
      <c r="C259" s="79">
        <f>YEAR(Table5[[#This Row],[Date]])</f>
        <v>2025</v>
      </c>
      <c r="D259" s="79" t="s">
        <v>344</v>
      </c>
      <c r="E259" s="284">
        <f>Table5[[#This Row],[Date]]-DAY(Table5[[#This Row],[Date]])+1</f>
        <v>45809</v>
      </c>
      <c r="F259" s="285">
        <v>45833</v>
      </c>
      <c r="G259" s="79" t="s">
        <v>108</v>
      </c>
      <c r="H259" s="23" t="str">
        <f>IFERROR(_xlfn.XLOOKUP(Table5[[#This Row],[Affected WTG]],'Basic Data'!$A:$A,'Basic Data'!$B:$B),"")</f>
        <v>PWEPL</v>
      </c>
      <c r="I259" s="23" t="str">
        <f>IFERROR(_xlfn.XLOOKUP(Table5[[#This Row],[Affected WTG]],'Basic Data'!$A:$A,'Basic Data'!$C:$C),"")</f>
        <v>MSEDCL</v>
      </c>
      <c r="J259" s="286">
        <f>IFERROR(_xlfn.XLOOKUP(Table5[[#This Row],[Affected WTG]],'Basic Data'!$A:$A,'Basic Data'!$E:$E),"")</f>
        <v>2.2727272727272728E-2</v>
      </c>
      <c r="K259" s="79">
        <v>276</v>
      </c>
      <c r="L259" s="23" t="str">
        <f>IFERROR(_xlfn.XLOOKUP(Table5[[#This Row],[Error Code]],'Basic Data'!$W:$W,'Basic Data'!$X:$X),"Incorrect Error Code")</f>
        <v>Pitch thyristor 3 fault</v>
      </c>
      <c r="M259" s="23" t="s">
        <v>153</v>
      </c>
      <c r="N259" s="23"/>
      <c r="O259" s="306">
        <v>0.62777777777777777</v>
      </c>
      <c r="P259" s="306">
        <v>0.62777777777777777</v>
      </c>
      <c r="Q259" s="306">
        <v>0.7402777777777777</v>
      </c>
      <c r="R259" s="298">
        <f t="shared" si="8"/>
        <v>0.11249999999999993</v>
      </c>
      <c r="S259" s="317">
        <f>(Table5[[#This Row],[Fault Clearance time]]-Table5[[#This Row],[Work Start TimeStamp]])*24</f>
        <v>2.6999999999999984</v>
      </c>
      <c r="T259" s="317">
        <f>(Table5[[#This Row],[Fault Clearance time]]-Table5[[#This Row],[Fault Start TimeStamp]])*24</f>
        <v>2.6999999999999984</v>
      </c>
      <c r="U259" s="23" t="s">
        <v>914</v>
      </c>
      <c r="V259" s="79" t="s">
        <v>339</v>
      </c>
      <c r="W259" s="308">
        <f>IFERROR(Table5[[#This Row],[Breakdown Time]]*Table5[[#This Row],[Plant Equivalent Weightage]],"")</f>
        <v>6.1363636363636329E-2</v>
      </c>
      <c r="X259" s="289" t="s">
        <v>343</v>
      </c>
      <c r="Y259" s="290" t="s">
        <v>80</v>
      </c>
      <c r="Z259" s="79"/>
      <c r="AA259" s="283">
        <v>4748</v>
      </c>
      <c r="AB259" s="79"/>
      <c r="AC259" s="23"/>
      <c r="AD259" s="23"/>
    </row>
    <row r="260" spans="1:30">
      <c r="A260" s="79">
        <f t="shared" ref="A260:A324" si="9">A259+1</f>
        <v>259</v>
      </c>
      <c r="B260" s="283">
        <f>YEAR(Table5[[#This Row],[Date]])+IF(MONTH(Table5[[#This Row],[Date]])&gt;=4,1,0)</f>
        <v>2026</v>
      </c>
      <c r="C260" s="79">
        <f>YEAR(Table5[[#This Row],[Date]])</f>
        <v>2025</v>
      </c>
      <c r="D260" s="79" t="s">
        <v>344</v>
      </c>
      <c r="E260" s="284">
        <f>Table5[[#This Row],[Date]]-DAY(Table5[[#This Row],[Date]])+1</f>
        <v>45809</v>
      </c>
      <c r="F260" s="285">
        <v>45833</v>
      </c>
      <c r="G260" s="79" t="s">
        <v>83</v>
      </c>
      <c r="H260" s="23" t="str">
        <f>IFERROR(_xlfn.XLOOKUP(Table5[[#This Row],[Affected WTG]],'Basic Data'!$A:$A,'Basic Data'!$B:$B),"")</f>
        <v>PWEPL</v>
      </c>
      <c r="I260" s="23" t="str">
        <f>IFERROR(_xlfn.XLOOKUP(Table5[[#This Row],[Affected WTG]],'Basic Data'!$A:$A,'Basic Data'!$C:$C),"")</f>
        <v>MSEDCL</v>
      </c>
      <c r="J260" s="286">
        <f>IFERROR(_xlfn.XLOOKUP(Table5[[#This Row],[Affected WTG]],'Basic Data'!$A:$A,'Basic Data'!$E:$E),"")</f>
        <v>2.2727272727272728E-2</v>
      </c>
      <c r="K260" s="79">
        <v>3</v>
      </c>
      <c r="L260" s="23" t="str">
        <f>IFERROR(_xlfn.XLOOKUP(Table5[[#This Row],[Error Code]],'Basic Data'!$W:$W,'Basic Data'!$X:$X),"Incorrect Error Code")</f>
        <v>Manual Stop</v>
      </c>
      <c r="M260" s="23" t="s">
        <v>950</v>
      </c>
      <c r="N260" s="23"/>
      <c r="O260" s="306">
        <v>0.57916666666666672</v>
      </c>
      <c r="P260" s="306">
        <v>0.57916666666666672</v>
      </c>
      <c r="Q260" s="306">
        <v>0.58333333333333337</v>
      </c>
      <c r="R260" s="298">
        <f t="shared" si="8"/>
        <v>4.1666666666666519E-3</v>
      </c>
      <c r="S260" s="317">
        <f>(Table5[[#This Row],[Fault Clearance time]]-Table5[[#This Row],[Work Start TimeStamp]])*24</f>
        <v>9.9999999999999645E-2</v>
      </c>
      <c r="T260" s="317">
        <f>(Table5[[#This Row],[Fault Clearance time]]-Table5[[#This Row],[Fault Start TimeStamp]])*24</f>
        <v>9.9999999999999645E-2</v>
      </c>
      <c r="U260" s="23" t="s">
        <v>950</v>
      </c>
      <c r="V260" s="79" t="s">
        <v>339</v>
      </c>
      <c r="W260" s="308">
        <f>IFERROR(Table5[[#This Row],[Breakdown Time]]*Table5[[#This Row],[Plant Equivalent Weightage]],"")</f>
        <v>2.2727272727272648E-3</v>
      </c>
      <c r="X260" s="289" t="s">
        <v>394</v>
      </c>
      <c r="Y260" s="290" t="s">
        <v>98</v>
      </c>
      <c r="Z260" s="79"/>
      <c r="AA260" s="283">
        <v>224</v>
      </c>
      <c r="AB260" s="79"/>
      <c r="AC260" s="23"/>
      <c r="AD260" s="23"/>
    </row>
    <row r="261" spans="1:30">
      <c r="A261" s="79">
        <f t="shared" si="9"/>
        <v>260</v>
      </c>
      <c r="B261" s="283">
        <f>YEAR(Table5[[#This Row],[Date]])+IF(MONTH(Table5[[#This Row],[Date]])&gt;=4,1,0)</f>
        <v>2026</v>
      </c>
      <c r="C261" s="79">
        <f>YEAR(Table5[[#This Row],[Date]])</f>
        <v>2025</v>
      </c>
      <c r="D261" s="79" t="s">
        <v>344</v>
      </c>
      <c r="E261" s="284">
        <f>Table5[[#This Row],[Date]]-DAY(Table5[[#This Row],[Date]])+1</f>
        <v>45809</v>
      </c>
      <c r="F261" s="285">
        <v>45833</v>
      </c>
      <c r="G261" s="79" t="s">
        <v>96</v>
      </c>
      <c r="H261" s="23" t="str">
        <f>IFERROR(_xlfn.XLOOKUP(Table5[[#This Row],[Affected WTG]],'Basic Data'!$A:$A,'Basic Data'!$B:$B),"")</f>
        <v>PWEPL</v>
      </c>
      <c r="I261" s="23" t="str">
        <f>IFERROR(_xlfn.XLOOKUP(Table5[[#This Row],[Affected WTG]],'Basic Data'!$A:$A,'Basic Data'!$C:$C),"")</f>
        <v>MSEDCL</v>
      </c>
      <c r="J261" s="286">
        <f>IFERROR(_xlfn.XLOOKUP(Table5[[#This Row],[Affected WTG]],'Basic Data'!$A:$A,'Basic Data'!$E:$E),"")</f>
        <v>2.2727272727272728E-2</v>
      </c>
      <c r="K261" s="79">
        <v>3</v>
      </c>
      <c r="L261" s="23" t="str">
        <f>IFERROR(_xlfn.XLOOKUP(Table5[[#This Row],[Error Code]],'Basic Data'!$W:$W,'Basic Data'!$X:$X),"Incorrect Error Code")</f>
        <v>Manual Stop</v>
      </c>
      <c r="M261" s="23" t="s">
        <v>950</v>
      </c>
      <c r="N261" s="23"/>
      <c r="O261" s="306">
        <v>0.59861111111111109</v>
      </c>
      <c r="P261" s="306">
        <v>0.59861111111111109</v>
      </c>
      <c r="Q261" s="306">
        <v>0.6</v>
      </c>
      <c r="R261" s="298">
        <f t="shared" si="8"/>
        <v>1.388888888888884E-3</v>
      </c>
      <c r="S261" s="317">
        <f>(Table5[[#This Row],[Fault Clearance time]]-Table5[[#This Row],[Work Start TimeStamp]])*24</f>
        <v>3.3333333333333215E-2</v>
      </c>
      <c r="T261" s="317">
        <f>(Table5[[#This Row],[Fault Clearance time]]-Table5[[#This Row],[Fault Start TimeStamp]])*24</f>
        <v>3.3333333333333215E-2</v>
      </c>
      <c r="U261" s="23" t="s">
        <v>950</v>
      </c>
      <c r="V261" s="79" t="s">
        <v>339</v>
      </c>
      <c r="W261" s="308">
        <f>IFERROR(Table5[[#This Row],[Breakdown Time]]*Table5[[#This Row],[Plant Equivalent Weightage]],"")</f>
        <v>7.5757575757575486E-4</v>
      </c>
      <c r="X261" s="289" t="s">
        <v>394</v>
      </c>
      <c r="Y261" s="290" t="s">
        <v>79</v>
      </c>
      <c r="Z261" s="79"/>
      <c r="AA261" s="283">
        <v>269</v>
      </c>
      <c r="AB261" s="79"/>
      <c r="AC261" s="23"/>
      <c r="AD261" s="23"/>
    </row>
    <row r="262" spans="1:30">
      <c r="A262" s="79">
        <f t="shared" si="9"/>
        <v>261</v>
      </c>
      <c r="B262" s="283">
        <f>YEAR(Table5[[#This Row],[Date]])+IF(MONTH(Table5[[#This Row],[Date]])&gt;=4,1,0)</f>
        <v>2026</v>
      </c>
      <c r="C262" s="79">
        <f>YEAR(Table5[[#This Row],[Date]])</f>
        <v>2025</v>
      </c>
      <c r="D262" s="79" t="s">
        <v>344</v>
      </c>
      <c r="E262" s="284">
        <f>Table5[[#This Row],[Date]]-DAY(Table5[[#This Row],[Date]])+1</f>
        <v>45809</v>
      </c>
      <c r="F262" s="285">
        <v>45833</v>
      </c>
      <c r="G262" s="79" t="s">
        <v>110</v>
      </c>
      <c r="H262" s="23" t="str">
        <f>IFERROR(_xlfn.XLOOKUP(Table5[[#This Row],[Affected WTG]],'Basic Data'!$A:$A,'Basic Data'!$B:$B),"")</f>
        <v>PWEPL</v>
      </c>
      <c r="I262" s="23" t="str">
        <f>IFERROR(_xlfn.XLOOKUP(Table5[[#This Row],[Affected WTG]],'Basic Data'!$A:$A,'Basic Data'!$C:$C),"")</f>
        <v>MSEDCL</v>
      </c>
      <c r="J262" s="286">
        <f>IFERROR(_xlfn.XLOOKUP(Table5[[#This Row],[Affected WTG]],'Basic Data'!$A:$A,'Basic Data'!$E:$E),"")</f>
        <v>2.2727272727272728E-2</v>
      </c>
      <c r="K262" s="79">
        <v>3</v>
      </c>
      <c r="L262" s="23" t="str">
        <f>IFERROR(_xlfn.XLOOKUP(Table5[[#This Row],[Error Code]],'Basic Data'!$W:$W,'Basic Data'!$X:$X),"Incorrect Error Code")</f>
        <v>Manual Stop</v>
      </c>
      <c r="M262" s="23" t="s">
        <v>950</v>
      </c>
      <c r="N262" s="23"/>
      <c r="O262" s="306">
        <v>0.61249999999999993</v>
      </c>
      <c r="P262" s="306">
        <v>0.61249999999999993</v>
      </c>
      <c r="Q262" s="306">
        <v>0.61388888888888882</v>
      </c>
      <c r="R262" s="298">
        <f t="shared" si="8"/>
        <v>1.388888888888884E-3</v>
      </c>
      <c r="S262" s="317">
        <f>(Table5[[#This Row],[Fault Clearance time]]-Table5[[#This Row],[Work Start TimeStamp]])*24</f>
        <v>3.3333333333333215E-2</v>
      </c>
      <c r="T262" s="317">
        <f>(Table5[[#This Row],[Fault Clearance time]]-Table5[[#This Row],[Fault Start TimeStamp]])*24</f>
        <v>3.3333333333333215E-2</v>
      </c>
      <c r="U262" s="23" t="s">
        <v>950</v>
      </c>
      <c r="V262" s="79" t="s">
        <v>339</v>
      </c>
      <c r="W262" s="308">
        <f>IFERROR(Table5[[#This Row],[Breakdown Time]]*Table5[[#This Row],[Plant Equivalent Weightage]],"")</f>
        <v>7.5757575757575486E-4</v>
      </c>
      <c r="X262" s="289" t="s">
        <v>394</v>
      </c>
      <c r="Y262" s="290" t="s">
        <v>100</v>
      </c>
      <c r="Z262" s="79"/>
      <c r="AA262" s="283">
        <v>207</v>
      </c>
      <c r="AB262" s="79"/>
      <c r="AC262" s="23"/>
      <c r="AD262" s="23"/>
    </row>
    <row r="263" spans="1:30">
      <c r="A263" s="79">
        <f t="shared" si="9"/>
        <v>262</v>
      </c>
      <c r="B263" s="283">
        <f>YEAR(Table5[[#This Row],[Date]])+IF(MONTH(Table5[[#This Row],[Date]])&gt;=4,1,0)</f>
        <v>2026</v>
      </c>
      <c r="C263" s="79">
        <f>YEAR(Table5[[#This Row],[Date]])</f>
        <v>2025</v>
      </c>
      <c r="D263" s="79" t="s">
        <v>344</v>
      </c>
      <c r="E263" s="284">
        <f>Table5[[#This Row],[Date]]-DAY(Table5[[#This Row],[Date]])+1</f>
        <v>45809</v>
      </c>
      <c r="F263" s="285">
        <v>45833</v>
      </c>
      <c r="G263" s="79" t="s">
        <v>98</v>
      </c>
      <c r="H263" s="23" t="str">
        <f>IFERROR(_xlfn.XLOOKUP(Table5[[#This Row],[Affected WTG]],'Basic Data'!$A:$A,'Basic Data'!$B:$B),"")</f>
        <v>PWEPL</v>
      </c>
      <c r="I263" s="23" t="str">
        <f>IFERROR(_xlfn.XLOOKUP(Table5[[#This Row],[Affected WTG]],'Basic Data'!$A:$A,'Basic Data'!$C:$C),"")</f>
        <v>MSEDCL</v>
      </c>
      <c r="J263" s="286">
        <f>IFERROR(_xlfn.XLOOKUP(Table5[[#This Row],[Affected WTG]],'Basic Data'!$A:$A,'Basic Data'!$E:$E),"")</f>
        <v>2.2727272727272728E-2</v>
      </c>
      <c r="K263" s="79">
        <v>3</v>
      </c>
      <c r="L263" s="23" t="str">
        <f>IFERROR(_xlfn.XLOOKUP(Table5[[#This Row],[Error Code]],'Basic Data'!$W:$W,'Basic Data'!$X:$X),"Incorrect Error Code")</f>
        <v>Manual Stop</v>
      </c>
      <c r="M263" s="23" t="s">
        <v>950</v>
      </c>
      <c r="N263" s="23"/>
      <c r="O263" s="306">
        <v>0.65138888888888891</v>
      </c>
      <c r="P263" s="306">
        <v>0.65138888888888891</v>
      </c>
      <c r="Q263" s="306">
        <v>0.65486111111111112</v>
      </c>
      <c r="R263" s="298">
        <f t="shared" si="8"/>
        <v>3.4722222222222099E-3</v>
      </c>
      <c r="S263" s="317">
        <f>(Table5[[#This Row],[Fault Clearance time]]-Table5[[#This Row],[Work Start TimeStamp]])*24</f>
        <v>8.3333333333333037E-2</v>
      </c>
      <c r="T263" s="317">
        <f>(Table5[[#This Row],[Fault Clearance time]]-Table5[[#This Row],[Fault Start TimeStamp]])*24</f>
        <v>8.3333333333333037E-2</v>
      </c>
      <c r="U263" s="23" t="s">
        <v>950</v>
      </c>
      <c r="V263" s="79" t="s">
        <v>339</v>
      </c>
      <c r="W263" s="308">
        <f>IFERROR(Table5[[#This Row],[Breakdown Time]]*Table5[[#This Row],[Plant Equivalent Weightage]],"")</f>
        <v>1.8939393939393873E-3</v>
      </c>
      <c r="X263" s="289" t="s">
        <v>394</v>
      </c>
      <c r="Y263" s="290" t="s">
        <v>83</v>
      </c>
      <c r="Z263" s="79"/>
      <c r="AA263" s="283">
        <v>245</v>
      </c>
      <c r="AB263" s="79"/>
      <c r="AC263" s="23"/>
      <c r="AD263" s="23"/>
    </row>
    <row r="264" spans="1:30">
      <c r="A264" s="79">
        <f t="shared" si="9"/>
        <v>263</v>
      </c>
      <c r="B264" s="283">
        <f>YEAR(Table5[[#This Row],[Date]])+IF(MONTH(Table5[[#This Row],[Date]])&gt;=4,1,0)</f>
        <v>2026</v>
      </c>
      <c r="C264" s="79">
        <f>YEAR(Table5[[#This Row],[Date]])</f>
        <v>2025</v>
      </c>
      <c r="D264" s="79" t="s">
        <v>344</v>
      </c>
      <c r="E264" s="284">
        <f>Table5[[#This Row],[Date]]-DAY(Table5[[#This Row],[Date]])+1</f>
        <v>45809</v>
      </c>
      <c r="F264" s="285">
        <v>45834</v>
      </c>
      <c r="G264" s="79" t="s">
        <v>115</v>
      </c>
      <c r="H264" s="23" t="str">
        <f>IFERROR(_xlfn.XLOOKUP(Table5[[#This Row],[Affected WTG]],'Basic Data'!$A:$A,'Basic Data'!$B:$B),"")</f>
        <v>PWEPL</v>
      </c>
      <c r="I264" s="23" t="str">
        <f>IFERROR(_xlfn.XLOOKUP(Table5[[#This Row],[Affected WTG]],'Basic Data'!$A:$A,'Basic Data'!$C:$C),"")</f>
        <v>MSEDCL</v>
      </c>
      <c r="J264" s="286">
        <f>IFERROR(_xlfn.XLOOKUP(Table5[[#This Row],[Affected WTG]],'Basic Data'!$A:$A,'Basic Data'!$E:$E),"")</f>
        <v>2.2727272727272728E-2</v>
      </c>
      <c r="K264" s="79">
        <v>201</v>
      </c>
      <c r="L264" s="23" t="str">
        <f>IFERROR(_xlfn.XLOOKUP(Table5[[#This Row],[Error Code]],'Basic Data'!$W:$W,'Basic Data'!$X:$X),"Incorrect Error Code")</f>
        <v xml:space="preserve"> PLC fault 24V Supply</v>
      </c>
      <c r="M264" s="23" t="s">
        <v>366</v>
      </c>
      <c r="N264" s="23"/>
      <c r="O264" s="306">
        <v>1.8749999999999999E-2</v>
      </c>
      <c r="P264" s="306">
        <v>1.8749999999999999E-2</v>
      </c>
      <c r="Q264" s="306">
        <v>8.1944444444444445E-2</v>
      </c>
      <c r="R264" s="298">
        <f t="shared" si="8"/>
        <v>6.3194444444444442E-2</v>
      </c>
      <c r="S264" s="317">
        <f>(Table5[[#This Row],[Fault Clearance time]]-Table5[[#This Row],[Work Start TimeStamp]])*24</f>
        <v>1.5166666666666666</v>
      </c>
      <c r="T264" s="317">
        <f>(Table5[[#This Row],[Fault Clearance time]]-Table5[[#This Row],[Fault Start TimeStamp]])*24</f>
        <v>1.5166666666666666</v>
      </c>
      <c r="U264" s="23" t="s">
        <v>882</v>
      </c>
      <c r="V264" s="79" t="s">
        <v>339</v>
      </c>
      <c r="W264" s="308">
        <f>IFERROR(Table5[[#This Row],[Breakdown Time]]*Table5[[#This Row],[Plant Equivalent Weightage]],"")</f>
        <v>3.446969696969697E-2</v>
      </c>
      <c r="X264" s="289" t="s">
        <v>343</v>
      </c>
      <c r="Y264" s="290" t="s">
        <v>116</v>
      </c>
      <c r="Z264" s="79"/>
      <c r="AA264" s="283">
        <v>2635</v>
      </c>
      <c r="AB264" s="79"/>
      <c r="AC264" s="23"/>
      <c r="AD264" s="23"/>
    </row>
    <row r="265" spans="1:30">
      <c r="A265" s="79">
        <f t="shared" si="9"/>
        <v>264</v>
      </c>
      <c r="B265" s="283">
        <f>YEAR(Table5[[#This Row],[Date]])+IF(MONTH(Table5[[#This Row],[Date]])&gt;=4,1,0)</f>
        <v>2026</v>
      </c>
      <c r="C265" s="79">
        <f>YEAR(Table5[[#This Row],[Date]])</f>
        <v>2025</v>
      </c>
      <c r="D265" s="79" t="s">
        <v>344</v>
      </c>
      <c r="E265" s="284">
        <f>Table5[[#This Row],[Date]]-DAY(Table5[[#This Row],[Date]])+1</f>
        <v>45809</v>
      </c>
      <c r="F265" s="285">
        <v>45834</v>
      </c>
      <c r="G265" s="79" t="s">
        <v>108</v>
      </c>
      <c r="H265" s="23" t="str">
        <f>IFERROR(_xlfn.XLOOKUP(Table5[[#This Row],[Affected WTG]],'Basic Data'!$A:$A,'Basic Data'!$B:$B),"")</f>
        <v>PWEPL</v>
      </c>
      <c r="I265" s="23" t="str">
        <f>IFERROR(_xlfn.XLOOKUP(Table5[[#This Row],[Affected WTG]],'Basic Data'!$A:$A,'Basic Data'!$C:$C),"")</f>
        <v>MSEDCL</v>
      </c>
      <c r="J265" s="286">
        <f>IFERROR(_xlfn.XLOOKUP(Table5[[#This Row],[Affected WTG]],'Basic Data'!$A:$A,'Basic Data'!$E:$E),"")</f>
        <v>2.2727272727272728E-2</v>
      </c>
      <c r="K265" s="79">
        <v>276</v>
      </c>
      <c r="L265" s="23" t="str">
        <f>IFERROR(_xlfn.XLOOKUP(Table5[[#This Row],[Error Code]],'Basic Data'!$W:$W,'Basic Data'!$X:$X),"Incorrect Error Code")</f>
        <v>Pitch thyristor 3 fault</v>
      </c>
      <c r="M265" s="23" t="s">
        <v>153</v>
      </c>
      <c r="N265" s="23"/>
      <c r="O265" s="306">
        <v>0.4861111111111111</v>
      </c>
      <c r="P265" s="306">
        <v>0.4861111111111111</v>
      </c>
      <c r="Q265" s="306">
        <v>0.60833333333333328</v>
      </c>
      <c r="R265" s="298">
        <f t="shared" si="8"/>
        <v>0.12222222222222218</v>
      </c>
      <c r="S265" s="317">
        <f>(Table5[[#This Row],[Fault Clearance time]]-Table5[[#This Row],[Work Start TimeStamp]])*24</f>
        <v>2.9333333333333322</v>
      </c>
      <c r="T265" s="317">
        <f>(Table5[[#This Row],[Fault Clearance time]]-Table5[[#This Row],[Fault Start TimeStamp]])*24</f>
        <v>2.9333333333333322</v>
      </c>
      <c r="U265" s="23" t="s">
        <v>891</v>
      </c>
      <c r="V265" s="79" t="s">
        <v>339</v>
      </c>
      <c r="W265" s="308">
        <f>IFERROR(Table5[[#This Row],[Breakdown Time]]*Table5[[#This Row],[Plant Equivalent Weightage]],"")</f>
        <v>6.6666666666666638E-2</v>
      </c>
      <c r="X265" s="289" t="s">
        <v>343</v>
      </c>
      <c r="Y265" s="290" t="s">
        <v>80</v>
      </c>
      <c r="Z265" s="79"/>
      <c r="AA265" s="283">
        <v>4354</v>
      </c>
      <c r="AB265" s="79"/>
      <c r="AC265" s="23"/>
      <c r="AD265" s="23"/>
    </row>
    <row r="266" spans="1:30">
      <c r="A266" s="79">
        <f t="shared" si="9"/>
        <v>265</v>
      </c>
      <c r="B266" s="283">
        <f>YEAR(Table5[[#This Row],[Date]])+IF(MONTH(Table5[[#This Row],[Date]])&gt;=4,1,0)</f>
        <v>2026</v>
      </c>
      <c r="C266" s="79">
        <f>YEAR(Table5[[#This Row],[Date]])</f>
        <v>2025</v>
      </c>
      <c r="D266" s="79" t="s">
        <v>344</v>
      </c>
      <c r="E266" s="284">
        <f>Table5[[#This Row],[Date]]-DAY(Table5[[#This Row],[Date]])+1</f>
        <v>45809</v>
      </c>
      <c r="F266" s="285">
        <v>45834</v>
      </c>
      <c r="G266" s="79" t="s">
        <v>117</v>
      </c>
      <c r="H266" s="23" t="str">
        <f>IFERROR(_xlfn.XLOOKUP(Table5[[#This Row],[Affected WTG]],'Basic Data'!$A:$A,'Basic Data'!$B:$B),"")</f>
        <v>PWEPL</v>
      </c>
      <c r="I266" s="23" t="str">
        <f>IFERROR(_xlfn.XLOOKUP(Table5[[#This Row],[Affected WTG]],'Basic Data'!$A:$A,'Basic Data'!$C:$C),"")</f>
        <v>MSEDCL</v>
      </c>
      <c r="J266" s="286">
        <f>IFERROR(_xlfn.XLOOKUP(Table5[[#This Row],[Affected WTG]],'Basic Data'!$A:$A,'Basic Data'!$E:$E),"")</f>
        <v>2.2727272727272728E-2</v>
      </c>
      <c r="K266" s="79">
        <v>3</v>
      </c>
      <c r="L266" s="23" t="str">
        <f>IFERROR(_xlfn.XLOOKUP(Table5[[#This Row],[Error Code]],'Basic Data'!$W:$W,'Basic Data'!$X:$X),"Incorrect Error Code")</f>
        <v>Manual Stop</v>
      </c>
      <c r="M266" s="23" t="s">
        <v>954</v>
      </c>
      <c r="N266" s="23"/>
      <c r="O266" s="306">
        <v>0.78263888888888899</v>
      </c>
      <c r="P266" s="306">
        <v>0.78263888888888899</v>
      </c>
      <c r="Q266" s="306">
        <v>0.81805555555555554</v>
      </c>
      <c r="R266" s="298">
        <f t="shared" si="8"/>
        <v>3.5416666666666541E-2</v>
      </c>
      <c r="S266" s="317">
        <f>(Table5[[#This Row],[Fault Clearance time]]-Table5[[#This Row],[Work Start TimeStamp]])*24</f>
        <v>0.84999999999999698</v>
      </c>
      <c r="T266" s="317">
        <f>(Table5[[#This Row],[Fault Clearance time]]-Table5[[#This Row],[Fault Start TimeStamp]])*24</f>
        <v>0.84999999999999698</v>
      </c>
      <c r="U266" s="23" t="s">
        <v>955</v>
      </c>
      <c r="V266" s="79" t="s">
        <v>339</v>
      </c>
      <c r="W266" s="308">
        <f>IFERROR(Table5[[#This Row],[Breakdown Time]]*Table5[[#This Row],[Plant Equivalent Weightage]],"")</f>
        <v>1.9318181818181752E-2</v>
      </c>
      <c r="X266" s="289" t="s">
        <v>343</v>
      </c>
      <c r="Y266" s="290" t="s">
        <v>116</v>
      </c>
      <c r="Z266" s="79"/>
      <c r="AA266" s="283">
        <v>1455</v>
      </c>
      <c r="AB266" s="79"/>
      <c r="AC266" s="23"/>
      <c r="AD266" s="23"/>
    </row>
    <row r="267" spans="1:30">
      <c r="A267" s="79">
        <f t="shared" si="9"/>
        <v>266</v>
      </c>
      <c r="B267" s="283">
        <f>YEAR(Table5[[#This Row],[Date]])+IF(MONTH(Table5[[#This Row],[Date]])&gt;=4,1,0)</f>
        <v>2026</v>
      </c>
      <c r="C267" s="79">
        <f>YEAR(Table5[[#This Row],[Date]])</f>
        <v>2025</v>
      </c>
      <c r="D267" s="79" t="s">
        <v>344</v>
      </c>
      <c r="E267" s="284">
        <f>Table5[[#This Row],[Date]]-DAY(Table5[[#This Row],[Date]])+1</f>
        <v>45809</v>
      </c>
      <c r="F267" s="285">
        <v>45834</v>
      </c>
      <c r="G267" s="79" t="s">
        <v>100</v>
      </c>
      <c r="H267" s="23" t="str">
        <f>IFERROR(_xlfn.XLOOKUP(Table5[[#This Row],[Affected WTG]],'Basic Data'!$A:$A,'Basic Data'!$B:$B),"")</f>
        <v>PWEPL</v>
      </c>
      <c r="I267" s="23" t="str">
        <f>IFERROR(_xlfn.XLOOKUP(Table5[[#This Row],[Affected WTG]],'Basic Data'!$A:$A,'Basic Data'!$C:$C),"")</f>
        <v>MSEDCL</v>
      </c>
      <c r="J267" s="286">
        <f>IFERROR(_xlfn.XLOOKUP(Table5[[#This Row],[Affected WTG]],'Basic Data'!$A:$A,'Basic Data'!$E:$E),"")</f>
        <v>2.2727272727272728E-2</v>
      </c>
      <c r="K267" s="79">
        <v>3</v>
      </c>
      <c r="L267" s="23" t="str">
        <f>IFERROR(_xlfn.XLOOKUP(Table5[[#This Row],[Error Code]],'Basic Data'!$W:$W,'Basic Data'!$X:$X),"Incorrect Error Code")</f>
        <v>Manual Stop</v>
      </c>
      <c r="M267" s="23" t="s">
        <v>950</v>
      </c>
      <c r="N267" s="23"/>
      <c r="O267" s="306">
        <v>0.70624999999999993</v>
      </c>
      <c r="P267" s="306">
        <v>0.70624999999999993</v>
      </c>
      <c r="Q267" s="306">
        <v>0.70763888888888893</v>
      </c>
      <c r="R267" s="298">
        <f t="shared" si="8"/>
        <v>1.388888888888995E-3</v>
      </c>
      <c r="S267" s="317">
        <f>(Table5[[#This Row],[Fault Clearance time]]-Table5[[#This Row],[Work Start TimeStamp]])*24</f>
        <v>3.3333333333335879E-2</v>
      </c>
      <c r="T267" s="317">
        <f>(Table5[[#This Row],[Fault Clearance time]]-Table5[[#This Row],[Fault Start TimeStamp]])*24</f>
        <v>3.3333333333335879E-2</v>
      </c>
      <c r="U267" s="23" t="s">
        <v>950</v>
      </c>
      <c r="V267" s="79" t="s">
        <v>339</v>
      </c>
      <c r="W267" s="308">
        <f>IFERROR(Table5[[#This Row],[Breakdown Time]]*Table5[[#This Row],[Plant Equivalent Weightage]],"")</f>
        <v>7.5757575757581547E-4</v>
      </c>
      <c r="X267" s="289" t="s">
        <v>394</v>
      </c>
      <c r="Y267" s="290" t="s">
        <v>101</v>
      </c>
      <c r="Z267" s="79"/>
      <c r="AA267" s="283">
        <v>214</v>
      </c>
      <c r="AB267" s="79"/>
      <c r="AC267" s="23"/>
      <c r="AD267" s="23"/>
    </row>
    <row r="268" spans="1:30">
      <c r="A268" s="79">
        <f t="shared" si="9"/>
        <v>267</v>
      </c>
      <c r="B268" s="283">
        <f>YEAR(Table5[[#This Row],[Date]])+IF(MONTH(Table5[[#This Row],[Date]])&gt;=4,1,0)</f>
        <v>2026</v>
      </c>
      <c r="C268" s="79">
        <f>YEAR(Table5[[#This Row],[Date]])</f>
        <v>2025</v>
      </c>
      <c r="D268" s="79" t="s">
        <v>344</v>
      </c>
      <c r="E268" s="284">
        <f>Table5[[#This Row],[Date]]-DAY(Table5[[#This Row],[Date]])+1</f>
        <v>45809</v>
      </c>
      <c r="F268" s="285">
        <v>45834</v>
      </c>
      <c r="G268" s="79" t="s">
        <v>101</v>
      </c>
      <c r="H268" s="23" t="str">
        <f>IFERROR(_xlfn.XLOOKUP(Table5[[#This Row],[Affected WTG]],'Basic Data'!$A:$A,'Basic Data'!$B:$B),"")</f>
        <v>PWEPL</v>
      </c>
      <c r="I268" s="23" t="str">
        <f>IFERROR(_xlfn.XLOOKUP(Table5[[#This Row],[Affected WTG]],'Basic Data'!$A:$A,'Basic Data'!$C:$C),"")</f>
        <v>MSEDCL</v>
      </c>
      <c r="J268" s="286">
        <f>IFERROR(_xlfn.XLOOKUP(Table5[[#This Row],[Affected WTG]],'Basic Data'!$A:$A,'Basic Data'!$E:$E),"")</f>
        <v>2.2727272727272728E-2</v>
      </c>
      <c r="K268" s="79">
        <v>3</v>
      </c>
      <c r="L268" s="23" t="str">
        <f>IFERROR(_xlfn.XLOOKUP(Table5[[#This Row],[Error Code]],'Basic Data'!$W:$W,'Basic Data'!$X:$X),"Incorrect Error Code")</f>
        <v>Manual Stop</v>
      </c>
      <c r="M268" s="23" t="s">
        <v>950</v>
      </c>
      <c r="N268" s="23"/>
      <c r="O268" s="306">
        <v>0.71319444444444446</v>
      </c>
      <c r="P268" s="306">
        <v>0.71319444444444446</v>
      </c>
      <c r="Q268" s="306">
        <v>0.71527777777777779</v>
      </c>
      <c r="R268" s="298">
        <f t="shared" si="8"/>
        <v>2.0833333333333259E-3</v>
      </c>
      <c r="S268" s="317">
        <f>(Table5[[#This Row],[Fault Clearance time]]-Table5[[#This Row],[Work Start TimeStamp]])*24</f>
        <v>4.9999999999999822E-2</v>
      </c>
      <c r="T268" s="317">
        <f>(Table5[[#This Row],[Fault Clearance time]]-Table5[[#This Row],[Fault Start TimeStamp]])*24</f>
        <v>4.9999999999999822E-2</v>
      </c>
      <c r="U268" s="23" t="s">
        <v>950</v>
      </c>
      <c r="V268" s="79" t="s">
        <v>339</v>
      </c>
      <c r="W268" s="308">
        <f>IFERROR(Table5[[#This Row],[Breakdown Time]]*Table5[[#This Row],[Plant Equivalent Weightage]],"")</f>
        <v>1.1363636363636324E-3</v>
      </c>
      <c r="X268" s="289" t="s">
        <v>394</v>
      </c>
      <c r="Y268" s="290" t="s">
        <v>100</v>
      </c>
      <c r="Z268" s="79"/>
      <c r="AA268" s="283">
        <v>168</v>
      </c>
      <c r="AB268" s="79"/>
      <c r="AC268" s="23"/>
      <c r="AD268" s="23"/>
    </row>
    <row r="269" spans="1:30">
      <c r="A269" s="79">
        <f t="shared" si="9"/>
        <v>268</v>
      </c>
      <c r="B269" s="283">
        <f>YEAR(Table5[[#This Row],[Date]])+IF(MONTH(Table5[[#This Row],[Date]])&gt;=4,1,0)</f>
        <v>2026</v>
      </c>
      <c r="C269" s="79">
        <f>YEAR(Table5[[#This Row],[Date]])</f>
        <v>2025</v>
      </c>
      <c r="D269" s="79" t="s">
        <v>344</v>
      </c>
      <c r="E269" s="284">
        <f>Table5[[#This Row],[Date]]-DAY(Table5[[#This Row],[Date]])+1</f>
        <v>45809</v>
      </c>
      <c r="F269" s="285">
        <v>45834</v>
      </c>
      <c r="G269" s="79" t="s">
        <v>84</v>
      </c>
      <c r="H269" s="23" t="str">
        <f>IFERROR(_xlfn.XLOOKUP(Table5[[#This Row],[Affected WTG]],'Basic Data'!$A:$A,'Basic Data'!$B:$B),"")</f>
        <v>PWEPL</v>
      </c>
      <c r="I269" s="23" t="str">
        <f>IFERROR(_xlfn.XLOOKUP(Table5[[#This Row],[Affected WTG]],'Basic Data'!$A:$A,'Basic Data'!$C:$C),"")</f>
        <v>MSEDCL</v>
      </c>
      <c r="J269" s="286">
        <f>IFERROR(_xlfn.XLOOKUP(Table5[[#This Row],[Affected WTG]],'Basic Data'!$A:$A,'Basic Data'!$E:$E),"")</f>
        <v>2.2727272727272728E-2</v>
      </c>
      <c r="K269" s="79">
        <v>3</v>
      </c>
      <c r="L269" s="23" t="str">
        <f>IFERROR(_xlfn.XLOOKUP(Table5[[#This Row],[Error Code]],'Basic Data'!$W:$W,'Basic Data'!$X:$X),"Incorrect Error Code")</f>
        <v>Manual Stop</v>
      </c>
      <c r="M269" s="23" t="s">
        <v>950</v>
      </c>
      <c r="N269" s="23"/>
      <c r="O269" s="306">
        <v>0.72638888888888886</v>
      </c>
      <c r="P269" s="306">
        <v>0.72638888888888886</v>
      </c>
      <c r="Q269" s="306">
        <v>0.7284722222222223</v>
      </c>
      <c r="R269" s="298">
        <f t="shared" si="8"/>
        <v>2.083333333333437E-3</v>
      </c>
      <c r="S269" s="317">
        <f>(Table5[[#This Row],[Fault Clearance time]]-Table5[[#This Row],[Work Start TimeStamp]])*24</f>
        <v>5.0000000000002487E-2</v>
      </c>
      <c r="T269" s="317">
        <f>(Table5[[#This Row],[Fault Clearance time]]-Table5[[#This Row],[Fault Start TimeStamp]])*24</f>
        <v>5.0000000000002487E-2</v>
      </c>
      <c r="U269" s="23" t="s">
        <v>950</v>
      </c>
      <c r="V269" s="79" t="s">
        <v>339</v>
      </c>
      <c r="W269" s="308">
        <f>IFERROR(Table5[[#This Row],[Breakdown Time]]*Table5[[#This Row],[Plant Equivalent Weightage]],"")</f>
        <v>1.1363636363636929E-3</v>
      </c>
      <c r="X269" s="289" t="s">
        <v>394</v>
      </c>
      <c r="Y269" s="290" t="s">
        <v>85</v>
      </c>
      <c r="Z269" s="79"/>
      <c r="AA269" s="283">
        <v>214</v>
      </c>
      <c r="AB269" s="79"/>
      <c r="AC269" s="23"/>
      <c r="AD269" s="23"/>
    </row>
    <row r="270" spans="1:30">
      <c r="A270" s="79">
        <f t="shared" si="9"/>
        <v>269</v>
      </c>
      <c r="B270" s="283">
        <f>YEAR(Table5[[#This Row],[Date]])+IF(MONTH(Table5[[#This Row],[Date]])&gt;=4,1,0)</f>
        <v>2026</v>
      </c>
      <c r="C270" s="79">
        <f>YEAR(Table5[[#This Row],[Date]])</f>
        <v>2025</v>
      </c>
      <c r="D270" s="79" t="s">
        <v>344</v>
      </c>
      <c r="E270" s="284">
        <f>Table5[[#This Row],[Date]]-DAY(Table5[[#This Row],[Date]])+1</f>
        <v>45809</v>
      </c>
      <c r="F270" s="285">
        <v>45835</v>
      </c>
      <c r="G270" s="79" t="s">
        <v>99</v>
      </c>
      <c r="H270" s="23" t="str">
        <f>IFERROR(_xlfn.XLOOKUP(Table5[[#This Row],[Affected WTG]],'Basic Data'!$A:$A,'Basic Data'!$B:$B),"")</f>
        <v>PWEPL</v>
      </c>
      <c r="I270" s="23" t="str">
        <f>IFERROR(_xlfn.XLOOKUP(Table5[[#This Row],[Affected WTG]],'Basic Data'!$A:$A,'Basic Data'!$C:$C),"")</f>
        <v>MSEDCL</v>
      </c>
      <c r="J270" s="286">
        <f>IFERROR(_xlfn.XLOOKUP(Table5[[#This Row],[Affected WTG]],'Basic Data'!$A:$A,'Basic Data'!$E:$E),"")</f>
        <v>2.2727272727272728E-2</v>
      </c>
      <c r="K270" s="79">
        <v>275</v>
      </c>
      <c r="L270" s="23" t="str">
        <f>IFERROR(_xlfn.XLOOKUP(Table5[[#This Row],[Error Code]],'Basic Data'!$W:$W,'Basic Data'!$X:$X),"Incorrect Error Code")</f>
        <v>Pitch thyristor 2 fault</v>
      </c>
      <c r="M270" s="23" t="s">
        <v>162</v>
      </c>
      <c r="N270" s="23"/>
      <c r="O270" s="318">
        <v>8.5416666666666655E-2</v>
      </c>
      <c r="P270" s="318">
        <v>8.5416666666666655E-2</v>
      </c>
      <c r="Q270" s="318">
        <v>0.20694444444444446</v>
      </c>
      <c r="R270" s="298">
        <f t="shared" si="8"/>
        <v>0.1215277777777778</v>
      </c>
      <c r="S270" s="319">
        <f>(Table5[[#This Row],[Fault Clearance time]]-Table5[[#This Row],[Work Start TimeStamp]])*24</f>
        <v>2.9166666666666674</v>
      </c>
      <c r="T270" s="319">
        <f>(Table5[[#This Row],[Fault Clearance time]]-Table5[[#This Row],[Fault Start TimeStamp]])*24</f>
        <v>2.9166666666666674</v>
      </c>
      <c r="U270" s="23" t="s">
        <v>914</v>
      </c>
      <c r="V270" s="79" t="s">
        <v>339</v>
      </c>
      <c r="W270" s="320">
        <f>IFERROR(Table5[[#This Row],[Breakdown Time]]*Table5[[#This Row],[Plant Equivalent Weightage]],"")</f>
        <v>6.6287878787878812E-2</v>
      </c>
      <c r="X270" s="289" t="s">
        <v>343</v>
      </c>
      <c r="Y270" s="290" t="s">
        <v>98</v>
      </c>
      <c r="Z270" s="79"/>
      <c r="AA270" s="283">
        <v>3734</v>
      </c>
      <c r="AB270" s="79"/>
      <c r="AC270" s="23"/>
      <c r="AD270" s="23"/>
    </row>
    <row r="271" spans="1:30">
      <c r="A271" s="79">
        <f t="shared" si="9"/>
        <v>270</v>
      </c>
      <c r="B271" s="283">
        <f>YEAR(Table5[[#This Row],[Date]])+IF(MONTH(Table5[[#This Row],[Date]])&gt;=4,1,0)</f>
        <v>2026</v>
      </c>
      <c r="C271" s="79">
        <f>YEAR(Table5[[#This Row],[Date]])</f>
        <v>2025</v>
      </c>
      <c r="D271" s="79" t="s">
        <v>344</v>
      </c>
      <c r="E271" s="284">
        <f>Table5[[#This Row],[Date]]-DAY(Table5[[#This Row],[Date]])+1</f>
        <v>45809</v>
      </c>
      <c r="F271" s="285">
        <v>45835</v>
      </c>
      <c r="G271" s="79" t="s">
        <v>85</v>
      </c>
      <c r="H271" s="23" t="str">
        <f>IFERROR(_xlfn.XLOOKUP(Table5[[#This Row],[Affected WTG]],'Basic Data'!$A:$A,'Basic Data'!$B:$B),"")</f>
        <v>PWEPL</v>
      </c>
      <c r="I271" s="23" t="str">
        <f>IFERROR(_xlfn.XLOOKUP(Table5[[#This Row],[Affected WTG]],'Basic Data'!$A:$A,'Basic Data'!$C:$C),"")</f>
        <v>MSEDCL</v>
      </c>
      <c r="J271" s="286">
        <f>IFERROR(_xlfn.XLOOKUP(Table5[[#This Row],[Affected WTG]],'Basic Data'!$A:$A,'Basic Data'!$E:$E),"")</f>
        <v>2.2727272727272728E-2</v>
      </c>
      <c r="K271" s="79">
        <v>3</v>
      </c>
      <c r="L271" s="23" t="str">
        <f>IFERROR(_xlfn.XLOOKUP(Table5[[#This Row],[Error Code]],'Basic Data'!$W:$W,'Basic Data'!$X:$X),"Incorrect Error Code")</f>
        <v>Manual Stop</v>
      </c>
      <c r="M271" s="23" t="s">
        <v>950</v>
      </c>
      <c r="N271" s="23"/>
      <c r="O271" s="318">
        <v>0.6479166666666667</v>
      </c>
      <c r="P271" s="318">
        <v>0.6479166666666667</v>
      </c>
      <c r="Q271" s="318">
        <v>0.65</v>
      </c>
      <c r="R271" s="298">
        <f t="shared" si="8"/>
        <v>2.0833333333333259E-3</v>
      </c>
      <c r="S271" s="319">
        <f>(Table5[[#This Row],[Fault Clearance time]]-Table5[[#This Row],[Work Start TimeStamp]])*24</f>
        <v>4.9999999999999822E-2</v>
      </c>
      <c r="T271" s="319">
        <f>(Table5[[#This Row],[Fault Clearance time]]-Table5[[#This Row],[Fault Start TimeStamp]])*24</f>
        <v>4.9999999999999822E-2</v>
      </c>
      <c r="U271" s="23" t="s">
        <v>950</v>
      </c>
      <c r="V271" s="79" t="s">
        <v>339</v>
      </c>
      <c r="W271" s="320">
        <f>IFERROR(Table5[[#This Row],[Breakdown Time]]*Table5[[#This Row],[Plant Equivalent Weightage]],"")</f>
        <v>1.1363636363636324E-3</v>
      </c>
      <c r="X271" s="289" t="s">
        <v>394</v>
      </c>
      <c r="Y271" s="290" t="s">
        <v>84</v>
      </c>
      <c r="Z271" s="79"/>
      <c r="AA271" s="283">
        <v>155</v>
      </c>
      <c r="AB271" s="79"/>
      <c r="AC271" s="23"/>
      <c r="AD271" s="23"/>
    </row>
    <row r="272" spans="1:30">
      <c r="A272" s="79">
        <f t="shared" si="9"/>
        <v>271</v>
      </c>
      <c r="B272" s="283">
        <f>YEAR(Table5[[#This Row],[Date]])+IF(MONTH(Table5[[#This Row],[Date]])&gt;=4,1,0)</f>
        <v>2026</v>
      </c>
      <c r="C272" s="79">
        <f>YEAR(Table5[[#This Row],[Date]])</f>
        <v>2025</v>
      </c>
      <c r="D272" s="79" t="s">
        <v>344</v>
      </c>
      <c r="E272" s="284">
        <f>Table5[[#This Row],[Date]]-DAY(Table5[[#This Row],[Date]])+1</f>
        <v>45809</v>
      </c>
      <c r="F272" s="285">
        <v>45835</v>
      </c>
      <c r="G272" s="79" t="s">
        <v>86</v>
      </c>
      <c r="H272" s="23" t="str">
        <f>IFERROR(_xlfn.XLOOKUP(Table5[[#This Row],[Affected WTG]],'Basic Data'!$A:$A,'Basic Data'!$B:$B),"")</f>
        <v>PWEPL</v>
      </c>
      <c r="I272" s="23" t="str">
        <f>IFERROR(_xlfn.XLOOKUP(Table5[[#This Row],[Affected WTG]],'Basic Data'!$A:$A,'Basic Data'!$C:$C),"")</f>
        <v>MSEDCL</v>
      </c>
      <c r="J272" s="286">
        <f>IFERROR(_xlfn.XLOOKUP(Table5[[#This Row],[Affected WTG]],'Basic Data'!$A:$A,'Basic Data'!$E:$E),"")</f>
        <v>2.2727272727272728E-2</v>
      </c>
      <c r="K272" s="79">
        <v>3</v>
      </c>
      <c r="L272" s="23" t="str">
        <f>IFERROR(_xlfn.XLOOKUP(Table5[[#This Row],[Error Code]],'Basic Data'!$W:$W,'Basic Data'!$X:$X),"Incorrect Error Code")</f>
        <v>Manual Stop</v>
      </c>
      <c r="M272" s="23" t="s">
        <v>950</v>
      </c>
      <c r="N272" s="23"/>
      <c r="O272" s="318">
        <v>0.66805555555555562</v>
      </c>
      <c r="P272" s="318">
        <v>0.66805555555555562</v>
      </c>
      <c r="Q272" s="318">
        <v>0.67013888888888884</v>
      </c>
      <c r="R272" s="298">
        <f t="shared" si="8"/>
        <v>2.0833333333332149E-3</v>
      </c>
      <c r="S272" s="319">
        <f>(Table5[[#This Row],[Fault Clearance time]]-Table5[[#This Row],[Work Start TimeStamp]])*24</f>
        <v>4.9999999999997158E-2</v>
      </c>
      <c r="T272" s="319">
        <f>(Table5[[#This Row],[Fault Clearance time]]-Table5[[#This Row],[Fault Start TimeStamp]])*24</f>
        <v>4.9999999999997158E-2</v>
      </c>
      <c r="U272" s="23" t="s">
        <v>950</v>
      </c>
      <c r="V272" s="79" t="s">
        <v>339</v>
      </c>
      <c r="W272" s="320">
        <f>IFERROR(Table5[[#This Row],[Breakdown Time]]*Table5[[#This Row],[Plant Equivalent Weightage]],"")</f>
        <v>1.1363636363635719E-3</v>
      </c>
      <c r="X272" s="289" t="s">
        <v>394</v>
      </c>
      <c r="Y272" s="290" t="s">
        <v>85</v>
      </c>
      <c r="Z272" s="79"/>
      <c r="AA272" s="283">
        <v>80</v>
      </c>
      <c r="AB272" s="79"/>
      <c r="AC272" s="23"/>
      <c r="AD272" s="23"/>
    </row>
    <row r="273" spans="1:30">
      <c r="A273" s="79">
        <f t="shared" si="9"/>
        <v>272</v>
      </c>
      <c r="B273" s="283">
        <f>YEAR(Table5[[#This Row],[Date]])+IF(MONTH(Table5[[#This Row],[Date]])&gt;=4,1,0)</f>
        <v>2026</v>
      </c>
      <c r="C273" s="79">
        <f>YEAR(Table5[[#This Row],[Date]])</f>
        <v>2025</v>
      </c>
      <c r="D273" s="79" t="s">
        <v>344</v>
      </c>
      <c r="E273" s="284">
        <f>Table5[[#This Row],[Date]]-DAY(Table5[[#This Row],[Date]])+1</f>
        <v>45809</v>
      </c>
      <c r="F273" s="285">
        <v>45835</v>
      </c>
      <c r="G273" s="79" t="s">
        <v>87</v>
      </c>
      <c r="H273" s="23" t="str">
        <f>IFERROR(_xlfn.XLOOKUP(Table5[[#This Row],[Affected WTG]],'Basic Data'!$A:$A,'Basic Data'!$B:$B),"")</f>
        <v>PWEPL</v>
      </c>
      <c r="I273" s="23" t="str">
        <f>IFERROR(_xlfn.XLOOKUP(Table5[[#This Row],[Affected WTG]],'Basic Data'!$A:$A,'Basic Data'!$C:$C),"")</f>
        <v>MSEDCL</v>
      </c>
      <c r="J273" s="286">
        <f>IFERROR(_xlfn.XLOOKUP(Table5[[#This Row],[Affected WTG]],'Basic Data'!$A:$A,'Basic Data'!$E:$E),"")</f>
        <v>2.2727272727272728E-2</v>
      </c>
      <c r="K273" s="79">
        <v>3</v>
      </c>
      <c r="L273" s="23" t="str">
        <f>IFERROR(_xlfn.XLOOKUP(Table5[[#This Row],[Error Code]],'Basic Data'!$W:$W,'Basic Data'!$X:$X),"Incorrect Error Code")</f>
        <v>Manual Stop</v>
      </c>
      <c r="M273" s="23" t="s">
        <v>950</v>
      </c>
      <c r="N273" s="23"/>
      <c r="O273" s="318">
        <v>0.68402777777777779</v>
      </c>
      <c r="P273" s="318">
        <v>0.68402777777777779</v>
      </c>
      <c r="Q273" s="318">
        <v>0.68541666666666667</v>
      </c>
      <c r="R273" s="298">
        <f t="shared" si="8"/>
        <v>1.388888888888884E-3</v>
      </c>
      <c r="S273" s="319">
        <f>(Table5[[#This Row],[Fault Clearance time]]-Table5[[#This Row],[Work Start TimeStamp]])*24</f>
        <v>3.3333333333333215E-2</v>
      </c>
      <c r="T273" s="319">
        <f>(Table5[[#This Row],[Fault Clearance time]]-Table5[[#This Row],[Fault Start TimeStamp]])*24</f>
        <v>3.3333333333333215E-2</v>
      </c>
      <c r="U273" s="23" t="s">
        <v>950</v>
      </c>
      <c r="V273" s="79" t="s">
        <v>339</v>
      </c>
      <c r="W273" s="320">
        <f>IFERROR(Table5[[#This Row],[Breakdown Time]]*Table5[[#This Row],[Plant Equivalent Weightage]],"")</f>
        <v>7.5757575757575486E-4</v>
      </c>
      <c r="X273" s="289" t="s">
        <v>394</v>
      </c>
      <c r="Y273" s="290" t="s">
        <v>86</v>
      </c>
      <c r="Z273" s="79"/>
      <c r="AA273" s="283">
        <v>189</v>
      </c>
      <c r="AB273" s="79"/>
      <c r="AC273" s="23"/>
      <c r="AD273" s="23"/>
    </row>
    <row r="274" spans="1:30">
      <c r="A274" s="79">
        <f t="shared" si="9"/>
        <v>273</v>
      </c>
      <c r="B274" s="283">
        <f>YEAR(Table5[[#This Row],[Date]])+IF(MONTH(Table5[[#This Row],[Date]])&gt;=4,1,0)</f>
        <v>2026</v>
      </c>
      <c r="C274" s="79">
        <f>YEAR(Table5[[#This Row],[Date]])</f>
        <v>2025</v>
      </c>
      <c r="D274" s="79" t="s">
        <v>344</v>
      </c>
      <c r="E274" s="284">
        <f>Table5[[#This Row],[Date]]-DAY(Table5[[#This Row],[Date]])+1</f>
        <v>45809</v>
      </c>
      <c r="F274" s="285">
        <v>45836</v>
      </c>
      <c r="G274" s="79" t="s">
        <v>110</v>
      </c>
      <c r="H274" s="23" t="str">
        <f>IFERROR(_xlfn.XLOOKUP(Table5[[#This Row],[Affected WTG]],'Basic Data'!$A:$A,'Basic Data'!$B:$B),"")</f>
        <v>PWEPL</v>
      </c>
      <c r="I274" s="23" t="str">
        <f>IFERROR(_xlfn.XLOOKUP(Table5[[#This Row],[Affected WTG]],'Basic Data'!$A:$A,'Basic Data'!$C:$C),"")</f>
        <v>MSEDCL</v>
      </c>
      <c r="J274" s="286">
        <f>IFERROR(_xlfn.XLOOKUP(Table5[[#This Row],[Affected WTG]],'Basic Data'!$A:$A,'Basic Data'!$E:$E),"")</f>
        <v>2.2727272727272728E-2</v>
      </c>
      <c r="K274" s="79">
        <v>142</v>
      </c>
      <c r="L274" s="23" t="str">
        <f>IFERROR(_xlfn.XLOOKUP(Table5[[#This Row],[Error Code]],'Basic Data'!$W:$W,'Basic Data'!$X:$X),"Incorrect Error Code")</f>
        <v>Line CCU collective faults</v>
      </c>
      <c r="M274" s="23" t="s">
        <v>149</v>
      </c>
      <c r="N274" s="23"/>
      <c r="O274" s="287">
        <v>0.14583333333333334</v>
      </c>
      <c r="P274" s="287">
        <v>0.14583333333333334</v>
      </c>
      <c r="Q274" s="287">
        <v>0.21875</v>
      </c>
      <c r="R274" s="298">
        <f t="shared" si="8"/>
        <v>7.2916666666666657E-2</v>
      </c>
      <c r="S274" s="329">
        <f>(Table5[[#This Row],[Fault Clearance time]]-Table5[[#This Row],[Work Start TimeStamp]])*24</f>
        <v>1.7499999999999998</v>
      </c>
      <c r="T274" s="329">
        <f>(Table5[[#This Row],[Fault Clearance time]]-Table5[[#This Row],[Fault Start TimeStamp]])*24</f>
        <v>1.7499999999999998</v>
      </c>
      <c r="U274" s="23" t="s">
        <v>957</v>
      </c>
      <c r="V274" s="79" t="s">
        <v>339</v>
      </c>
      <c r="W274" s="289">
        <f>IFERROR(Table5[[#This Row],[Breakdown Time]]*Table5[[#This Row],[Plant Equivalent Weightage]],"")</f>
        <v>3.9772727272727272E-2</v>
      </c>
      <c r="X274" s="289" t="s">
        <v>343</v>
      </c>
      <c r="Y274" s="290" t="s">
        <v>100</v>
      </c>
      <c r="Z274" s="79"/>
      <c r="AA274" s="283">
        <v>2368</v>
      </c>
      <c r="AB274" s="79"/>
      <c r="AC274" s="23"/>
      <c r="AD274" s="23"/>
    </row>
    <row r="275" spans="1:30">
      <c r="A275" s="79">
        <f t="shared" si="9"/>
        <v>274</v>
      </c>
      <c r="B275" s="283">
        <f>YEAR(Table5[[#This Row],[Date]])+IF(MONTH(Table5[[#This Row],[Date]])&gt;=4,1,0)</f>
        <v>2026</v>
      </c>
      <c r="C275" s="79">
        <f>YEAR(Table5[[#This Row],[Date]])</f>
        <v>2025</v>
      </c>
      <c r="D275" s="79" t="s">
        <v>344</v>
      </c>
      <c r="E275" s="284">
        <f>Table5[[#This Row],[Date]]-DAY(Table5[[#This Row],[Date]])+1</f>
        <v>45809</v>
      </c>
      <c r="F275" s="285">
        <v>45836</v>
      </c>
      <c r="G275" s="79" t="s">
        <v>97</v>
      </c>
      <c r="H275" s="23" t="str">
        <f>IFERROR(_xlfn.XLOOKUP(Table5[[#This Row],[Affected WTG]],'Basic Data'!$A:$A,'Basic Data'!$B:$B),"")</f>
        <v>PWEPL</v>
      </c>
      <c r="I275" s="23" t="str">
        <f>IFERROR(_xlfn.XLOOKUP(Table5[[#This Row],[Affected WTG]],'Basic Data'!$A:$A,'Basic Data'!$C:$C),"")</f>
        <v>MSEDCL</v>
      </c>
      <c r="J275" s="286">
        <f>IFERROR(_xlfn.XLOOKUP(Table5[[#This Row],[Affected WTG]],'Basic Data'!$A:$A,'Basic Data'!$E:$E),"")</f>
        <v>2.2727272727272728E-2</v>
      </c>
      <c r="K275" s="79">
        <v>276</v>
      </c>
      <c r="L275" s="23" t="str">
        <f>IFERROR(_xlfn.XLOOKUP(Table5[[#This Row],[Error Code]],'Basic Data'!$W:$W,'Basic Data'!$X:$X),"Incorrect Error Code")</f>
        <v>Pitch thyristor 3 fault</v>
      </c>
      <c r="M275" s="23" t="s">
        <v>153</v>
      </c>
      <c r="N275" s="23"/>
      <c r="O275" s="330">
        <v>0.34861111111111115</v>
      </c>
      <c r="P275" s="330">
        <v>0.34861111111111115</v>
      </c>
      <c r="Q275" s="330">
        <v>0.36874999999999997</v>
      </c>
      <c r="R275" s="298">
        <f t="shared" si="8"/>
        <v>2.0138888888888817E-2</v>
      </c>
      <c r="S275" s="329">
        <f>(Table5[[#This Row],[Fault Clearance time]]-Table5[[#This Row],[Work Start TimeStamp]])*24</f>
        <v>0.48333333333333162</v>
      </c>
      <c r="T275" s="329">
        <f>(Table5[[#This Row],[Fault Clearance time]]-Table5[[#This Row],[Fault Start TimeStamp]])*24</f>
        <v>0.48333333333333162</v>
      </c>
      <c r="U275" s="23" t="s">
        <v>353</v>
      </c>
      <c r="V275" s="79" t="s">
        <v>339</v>
      </c>
      <c r="W275" s="289">
        <f>IFERROR(Table5[[#This Row],[Breakdown Time]]*Table5[[#This Row],[Plant Equivalent Weightage]],"")</f>
        <v>1.0984848484848446E-2</v>
      </c>
      <c r="X275" s="289" t="s">
        <v>343</v>
      </c>
      <c r="Y275" s="290" t="s">
        <v>96</v>
      </c>
      <c r="Z275" s="79"/>
      <c r="AA275" s="283">
        <v>1035</v>
      </c>
      <c r="AB275" s="79"/>
      <c r="AC275" s="23"/>
      <c r="AD275" s="23"/>
    </row>
    <row r="276" spans="1:30">
      <c r="A276" s="79">
        <f t="shared" si="9"/>
        <v>275</v>
      </c>
      <c r="B276" s="283">
        <f>YEAR(Table5[[#This Row],[Date]])+IF(MONTH(Table5[[#This Row],[Date]])&gt;=4,1,0)</f>
        <v>2026</v>
      </c>
      <c r="C276" s="79">
        <f>YEAR(Table5[[#This Row],[Date]])</f>
        <v>2025</v>
      </c>
      <c r="D276" s="79" t="s">
        <v>344</v>
      </c>
      <c r="E276" s="284">
        <f>Table5[[#This Row],[Date]]-DAY(Table5[[#This Row],[Date]])+1</f>
        <v>45809</v>
      </c>
      <c r="F276" s="285">
        <v>45836</v>
      </c>
      <c r="G276" s="79" t="s">
        <v>99</v>
      </c>
      <c r="H276" s="23" t="str">
        <f>IFERROR(_xlfn.XLOOKUP(Table5[[#This Row],[Affected WTG]],'Basic Data'!$A:$A,'Basic Data'!$B:$B),"")</f>
        <v>PWEPL</v>
      </c>
      <c r="I276" s="23" t="str">
        <f>IFERROR(_xlfn.XLOOKUP(Table5[[#This Row],[Affected WTG]],'Basic Data'!$A:$A,'Basic Data'!$C:$C),"")</f>
        <v>MSEDCL</v>
      </c>
      <c r="J276" s="286">
        <f>IFERROR(_xlfn.XLOOKUP(Table5[[#This Row],[Affected WTG]],'Basic Data'!$A:$A,'Basic Data'!$E:$E),"")</f>
        <v>2.2727272727272728E-2</v>
      </c>
      <c r="K276" s="79">
        <v>275</v>
      </c>
      <c r="L276" s="23" t="str">
        <f>IFERROR(_xlfn.XLOOKUP(Table5[[#This Row],[Error Code]],'Basic Data'!$W:$W,'Basic Data'!$X:$X),"Incorrect Error Code")</f>
        <v>Pitch thyristor 2 fault</v>
      </c>
      <c r="M276" s="23" t="s">
        <v>162</v>
      </c>
      <c r="N276" s="23"/>
      <c r="O276" s="330">
        <v>0.95763888888888893</v>
      </c>
      <c r="P276" s="330">
        <v>0.95763888888888893</v>
      </c>
      <c r="Q276" s="330">
        <v>0.99930555555555556</v>
      </c>
      <c r="R276" s="298">
        <f t="shared" si="8"/>
        <v>4.166666666666663E-2</v>
      </c>
      <c r="S276" s="329">
        <f>(Table5[[#This Row],[Fault Clearance time]]-Table5[[#This Row],[Work Start TimeStamp]])*24</f>
        <v>0.99999999999999911</v>
      </c>
      <c r="T276" s="329">
        <f>(Table5[[#This Row],[Fault Clearance time]]-Table5[[#This Row],[Fault Start TimeStamp]])*24</f>
        <v>0.99999999999999911</v>
      </c>
      <c r="U276" s="23" t="s">
        <v>956</v>
      </c>
      <c r="V276" s="79" t="s">
        <v>958</v>
      </c>
      <c r="W276" s="289">
        <f>IFERROR(Table5[[#This Row],[Breakdown Time]]*Table5[[#This Row],[Plant Equivalent Weightage]],"")</f>
        <v>2.2727272727272707E-2</v>
      </c>
      <c r="X276" s="289" t="s">
        <v>343</v>
      </c>
      <c r="Y276" s="290" t="s">
        <v>98</v>
      </c>
      <c r="Z276" s="79"/>
      <c r="AA276" s="283">
        <v>1791</v>
      </c>
      <c r="AB276" s="79"/>
      <c r="AC276" s="23"/>
      <c r="AD276" s="23"/>
    </row>
    <row r="277" spans="1:30">
      <c r="A277" s="79">
        <f t="shared" si="9"/>
        <v>276</v>
      </c>
      <c r="B277" s="283">
        <f>YEAR(Table5[[#This Row],[Date]])+IF(MONTH(Table5[[#This Row],[Date]])&gt;=4,1,0)</f>
        <v>2026</v>
      </c>
      <c r="C277" s="79">
        <f>YEAR(Table5[[#This Row],[Date]])</f>
        <v>2025</v>
      </c>
      <c r="D277" s="79" t="s">
        <v>344</v>
      </c>
      <c r="E277" s="284">
        <f>Table5[[#This Row],[Date]]-DAY(Table5[[#This Row],[Date]])+1</f>
        <v>45809</v>
      </c>
      <c r="F277" s="285">
        <v>45837</v>
      </c>
      <c r="G277" s="79" t="s">
        <v>99</v>
      </c>
      <c r="H277" s="23" t="str">
        <f>IFERROR(_xlfn.XLOOKUP(Table5[[#This Row],[Affected WTG]],'Basic Data'!$A:$A,'Basic Data'!$B:$B),"")</f>
        <v>PWEPL</v>
      </c>
      <c r="I277" s="23" t="str">
        <f>IFERROR(_xlfn.XLOOKUP(Table5[[#This Row],[Affected WTG]],'Basic Data'!$A:$A,'Basic Data'!$C:$C),"")</f>
        <v>MSEDCL</v>
      </c>
      <c r="J277" s="286">
        <f>IFERROR(_xlfn.XLOOKUP(Table5[[#This Row],[Affected WTG]],'Basic Data'!$A:$A,'Basic Data'!$E:$E),"")</f>
        <v>2.2727272727272728E-2</v>
      </c>
      <c r="K277" s="79">
        <v>275</v>
      </c>
      <c r="L277" s="23" t="str">
        <f>IFERROR(_xlfn.XLOOKUP(Table5[[#This Row],[Error Code]],'Basic Data'!$W:$W,'Basic Data'!$X:$X),"Incorrect Error Code")</f>
        <v>Pitch thyristor 2 fault</v>
      </c>
      <c r="M277" s="23" t="s">
        <v>162</v>
      </c>
      <c r="N277" s="23"/>
      <c r="O277" s="330">
        <v>0</v>
      </c>
      <c r="P277" s="330">
        <v>0</v>
      </c>
      <c r="Q277" s="330">
        <v>8.3333333333333329E-2</v>
      </c>
      <c r="R277" s="298">
        <f t="shared" si="8"/>
        <v>8.3333333333333329E-2</v>
      </c>
      <c r="S277" s="331">
        <f>(Table5[[#This Row],[Fault Clearance time]]-Table5[[#This Row],[Work Start TimeStamp]])*24</f>
        <v>2</v>
      </c>
      <c r="T277" s="331">
        <f>(Table5[[#This Row],[Fault Clearance time]]-Table5[[#This Row],[Fault Start TimeStamp]])*24</f>
        <v>2</v>
      </c>
      <c r="U277" s="23" t="s">
        <v>891</v>
      </c>
      <c r="V277" s="79" t="s">
        <v>339</v>
      </c>
      <c r="W277" s="332">
        <f>IFERROR(Table5[[#This Row],[Breakdown Time]]*Table5[[#This Row],[Plant Equivalent Weightage]],"")</f>
        <v>4.5454545454545456E-2</v>
      </c>
      <c r="X277" s="289" t="s">
        <v>343</v>
      </c>
      <c r="Y277" s="290" t="s">
        <v>98</v>
      </c>
      <c r="Z277" s="79"/>
      <c r="AA277" s="283">
        <v>3187</v>
      </c>
      <c r="AB277" s="79"/>
      <c r="AC277" s="23"/>
      <c r="AD277" s="23"/>
    </row>
    <row r="278" spans="1:30">
      <c r="A278" s="79">
        <f t="shared" si="9"/>
        <v>277</v>
      </c>
      <c r="B278" s="283">
        <f>YEAR(Table5[[#This Row],[Date]])+IF(MONTH(Table5[[#This Row],[Date]])&gt;=4,1,0)</f>
        <v>2026</v>
      </c>
      <c r="C278" s="79">
        <f>YEAR(Table5[[#This Row],[Date]])</f>
        <v>2025</v>
      </c>
      <c r="D278" s="79" t="s">
        <v>344</v>
      </c>
      <c r="E278" s="284">
        <f>Table5[[#This Row],[Date]]-DAY(Table5[[#This Row],[Date]])+1</f>
        <v>45809</v>
      </c>
      <c r="F278" s="285">
        <v>45837</v>
      </c>
      <c r="G278" s="79" t="s">
        <v>92</v>
      </c>
      <c r="H278" s="23" t="str">
        <f>IFERROR(_xlfn.XLOOKUP(Table5[[#This Row],[Affected WTG]],'Basic Data'!$A:$A,'Basic Data'!$B:$B),"")</f>
        <v>PWEPL</v>
      </c>
      <c r="I278" s="23" t="str">
        <f>IFERROR(_xlfn.XLOOKUP(Table5[[#This Row],[Affected WTG]],'Basic Data'!$A:$A,'Basic Data'!$C:$C),"")</f>
        <v>MSEDCL</v>
      </c>
      <c r="J278" s="286">
        <f>IFERROR(_xlfn.XLOOKUP(Table5[[#This Row],[Affected WTG]],'Basic Data'!$A:$A,'Basic Data'!$E:$E),"")</f>
        <v>2.2727272727272728E-2</v>
      </c>
      <c r="K278" s="79">
        <v>63</v>
      </c>
      <c r="L278" s="23" t="str">
        <f>IFERROR(_xlfn.XLOOKUP(Table5[[#This Row],[Error Code]],'Basic Data'!$W:$W,'Basic Data'!$X:$X),"Incorrect Error Code")</f>
        <v>Safety chain</v>
      </c>
      <c r="M278" s="23" t="s">
        <v>189</v>
      </c>
      <c r="N278" s="23"/>
      <c r="O278" s="330">
        <v>4.2361111111111106E-2</v>
      </c>
      <c r="P278" s="330">
        <v>4.2361111111111106E-2</v>
      </c>
      <c r="Q278" s="330">
        <v>4.6527777777777779E-2</v>
      </c>
      <c r="R278" s="298">
        <f t="shared" si="8"/>
        <v>4.1666666666666727E-3</v>
      </c>
      <c r="S278" s="331">
        <f>(Table5[[#This Row],[Fault Clearance time]]-Table5[[#This Row],[Work Start TimeStamp]])*24</f>
        <v>0.10000000000000014</v>
      </c>
      <c r="T278" s="331">
        <f>(Table5[[#This Row],[Fault Clearance time]]-Table5[[#This Row],[Fault Start TimeStamp]])*24</f>
        <v>0.10000000000000014</v>
      </c>
      <c r="U278" s="23" t="s">
        <v>353</v>
      </c>
      <c r="V278" s="79" t="s">
        <v>339</v>
      </c>
      <c r="W278" s="332">
        <f>IFERROR(Table5[[#This Row],[Breakdown Time]]*Table5[[#This Row],[Plant Equivalent Weightage]],"")</f>
        <v>2.2727272727272761E-3</v>
      </c>
      <c r="X278" s="289" t="s">
        <v>343</v>
      </c>
      <c r="Y278" s="290" t="s">
        <v>91</v>
      </c>
      <c r="Z278" s="79"/>
      <c r="AA278" s="283">
        <v>444</v>
      </c>
      <c r="AB278" s="79"/>
      <c r="AC278" s="23"/>
      <c r="AD278" s="23"/>
    </row>
    <row r="279" spans="1:30">
      <c r="A279" s="79">
        <f t="shared" si="9"/>
        <v>278</v>
      </c>
      <c r="B279" s="283">
        <f>YEAR(Table5[[#This Row],[Date]])+IF(MONTH(Table5[[#This Row],[Date]])&gt;=4,1,0)</f>
        <v>2026</v>
      </c>
      <c r="C279" s="79">
        <f>YEAR(Table5[[#This Row],[Date]])</f>
        <v>2025</v>
      </c>
      <c r="D279" s="79" t="s">
        <v>344</v>
      </c>
      <c r="E279" s="284">
        <f>Table5[[#This Row],[Date]]-DAY(Table5[[#This Row],[Date]])+1</f>
        <v>45809</v>
      </c>
      <c r="F279" s="285">
        <v>45837</v>
      </c>
      <c r="G279" s="79" t="s">
        <v>94</v>
      </c>
      <c r="H279" s="23" t="str">
        <f>IFERROR(_xlfn.XLOOKUP(Table5[[#This Row],[Affected WTG]],'Basic Data'!$A:$A,'Basic Data'!$B:$B),"")</f>
        <v>PWEPL</v>
      </c>
      <c r="I279" s="23" t="str">
        <f>IFERROR(_xlfn.XLOOKUP(Table5[[#This Row],[Affected WTG]],'Basic Data'!$A:$A,'Basic Data'!$C:$C),"")</f>
        <v>MSEDCL</v>
      </c>
      <c r="J279" s="286">
        <f>IFERROR(_xlfn.XLOOKUP(Table5[[#This Row],[Affected WTG]],'Basic Data'!$A:$A,'Basic Data'!$E:$E),"")</f>
        <v>2.2727272727272728E-2</v>
      </c>
      <c r="K279" s="79">
        <v>276</v>
      </c>
      <c r="L279" s="23" t="str">
        <f>IFERROR(_xlfn.XLOOKUP(Table5[[#This Row],[Error Code]],'Basic Data'!$W:$W,'Basic Data'!$X:$X),"Incorrect Error Code")</f>
        <v>Pitch thyristor 3 fault</v>
      </c>
      <c r="M279" s="23" t="s">
        <v>153</v>
      </c>
      <c r="N279" s="23"/>
      <c r="O279" s="330">
        <v>0.54722222222222217</v>
      </c>
      <c r="P279" s="330">
        <v>0.54722222222222217</v>
      </c>
      <c r="Q279" s="330">
        <v>0.79027777777777775</v>
      </c>
      <c r="R279" s="298">
        <f t="shared" si="8"/>
        <v>0.24305555555555558</v>
      </c>
      <c r="S279" s="331">
        <f>(Table5[[#This Row],[Fault Clearance time]]-Table5[[#This Row],[Work Start TimeStamp]])*24</f>
        <v>5.8333333333333339</v>
      </c>
      <c r="T279" s="331">
        <f>(Table5[[#This Row],[Fault Clearance time]]-Table5[[#This Row],[Fault Start TimeStamp]])*24</f>
        <v>5.8333333333333339</v>
      </c>
      <c r="U279" s="23" t="s">
        <v>959</v>
      </c>
      <c r="V279" s="79" t="s">
        <v>339</v>
      </c>
      <c r="W279" s="332">
        <f>IFERROR(Table5[[#This Row],[Breakdown Time]]*Table5[[#This Row],[Plant Equivalent Weightage]],"")</f>
        <v>0.1325757575757576</v>
      </c>
      <c r="X279" s="289" t="s">
        <v>343</v>
      </c>
      <c r="Y279" s="290" t="s">
        <v>95</v>
      </c>
      <c r="Z279" s="79"/>
      <c r="AA279" s="283">
        <v>7104</v>
      </c>
      <c r="AB279" s="79"/>
      <c r="AC279" s="23"/>
      <c r="AD279" s="23"/>
    </row>
    <row r="280" spans="1:30">
      <c r="A280" s="79">
        <f t="shared" si="9"/>
        <v>279</v>
      </c>
      <c r="B280" s="283">
        <f>YEAR(Table5[[#This Row],[Date]])+IF(MONTH(Table5[[#This Row],[Date]])&gt;=4,1,0)</f>
        <v>2026</v>
      </c>
      <c r="C280" s="79">
        <f>YEAR(Table5[[#This Row],[Date]])</f>
        <v>2025</v>
      </c>
      <c r="D280" s="79" t="s">
        <v>344</v>
      </c>
      <c r="E280" s="284">
        <f>Table5[[#This Row],[Date]]-DAY(Table5[[#This Row],[Date]])+1</f>
        <v>45809</v>
      </c>
      <c r="F280" s="285">
        <v>45838</v>
      </c>
      <c r="G280" s="79" t="s">
        <v>78</v>
      </c>
      <c r="H280" s="23" t="str">
        <f>IFERROR(_xlfn.XLOOKUP(Table5[[#This Row],[Affected WTG]],'Basic Data'!$A:$A,'Basic Data'!$B:$B),"")</f>
        <v>PWEPL</v>
      </c>
      <c r="I280" s="23" t="str">
        <f>IFERROR(_xlfn.XLOOKUP(Table5[[#This Row],[Affected WTG]],'Basic Data'!$A:$A,'Basic Data'!$C:$C),"")</f>
        <v>MSEDCL</v>
      </c>
      <c r="J280" s="286">
        <f>IFERROR(_xlfn.XLOOKUP(Table5[[#This Row],[Affected WTG]],'Basic Data'!$A:$A,'Basic Data'!$E:$E),"")</f>
        <v>2.2727272727272728E-2</v>
      </c>
      <c r="K280" s="79">
        <v>276</v>
      </c>
      <c r="L280" s="23" t="str">
        <f>IFERROR(_xlfn.XLOOKUP(Table5[[#This Row],[Error Code]],'Basic Data'!$W:$W,'Basic Data'!$X:$X),"Incorrect Error Code")</f>
        <v>Pitch thyristor 3 fault</v>
      </c>
      <c r="M280" s="23" t="s">
        <v>153</v>
      </c>
      <c r="N280" s="23"/>
      <c r="O280" s="287">
        <v>0.38263888888888886</v>
      </c>
      <c r="P280" s="287">
        <v>0.38263888888888886</v>
      </c>
      <c r="Q280" s="287">
        <v>0.99930555555555556</v>
      </c>
      <c r="R280" s="341">
        <f t="shared" ref="R280:R282" si="10">Q280-O280</f>
        <v>0.6166666666666667</v>
      </c>
      <c r="S280" s="329">
        <f>(Table5[[#This Row],[Fault Clearance time]]-Table5[[#This Row],[Work Start TimeStamp]])*24</f>
        <v>14.8</v>
      </c>
      <c r="T280" s="329">
        <f>(Table5[[#This Row],[Fault Clearance time]]-Table5[[#This Row],[Fault Start TimeStamp]])*24</f>
        <v>14.8</v>
      </c>
      <c r="U280" s="23" t="s">
        <v>956</v>
      </c>
      <c r="V280" s="79" t="s">
        <v>958</v>
      </c>
      <c r="W280" s="289">
        <f>IFERROR(Table5[[#This Row],[Breakdown Time]]*Table5[[#This Row],[Plant Equivalent Weightage]],"")</f>
        <v>0.33636363636363636</v>
      </c>
      <c r="X280" s="289" t="s">
        <v>343</v>
      </c>
      <c r="Y280" s="290" t="s">
        <v>77</v>
      </c>
      <c r="Z280" s="79"/>
      <c r="AA280" s="283">
        <v>22353</v>
      </c>
      <c r="AB280" s="79"/>
      <c r="AC280" s="23"/>
      <c r="AD280" s="23"/>
    </row>
    <row r="281" spans="1:30">
      <c r="A281" s="79">
        <f t="shared" si="9"/>
        <v>280</v>
      </c>
      <c r="B281" s="283">
        <f>YEAR(Table5[[#This Row],[Date]])+IF(MONTH(Table5[[#This Row],[Date]])&gt;=4,1,0)</f>
        <v>2026</v>
      </c>
      <c r="C281" s="79">
        <f>YEAR(Table5[[#This Row],[Date]])</f>
        <v>2025</v>
      </c>
      <c r="D281" s="79" t="s">
        <v>344</v>
      </c>
      <c r="E281" s="284">
        <f>Table5[[#This Row],[Date]]-DAY(Table5[[#This Row],[Date]])+1</f>
        <v>45809</v>
      </c>
      <c r="F281" s="285">
        <v>45838</v>
      </c>
      <c r="G281" s="79" t="s">
        <v>86</v>
      </c>
      <c r="H281" s="23" t="str">
        <f>IFERROR(_xlfn.XLOOKUP(Table5[[#This Row],[Affected WTG]],'Basic Data'!$A:$A,'Basic Data'!$B:$B),"")</f>
        <v>PWEPL</v>
      </c>
      <c r="I281" s="23" t="str">
        <f>IFERROR(_xlfn.XLOOKUP(Table5[[#This Row],[Affected WTG]],'Basic Data'!$A:$A,'Basic Data'!$C:$C),"")</f>
        <v>MSEDCL</v>
      </c>
      <c r="J281" s="286">
        <f>IFERROR(_xlfn.XLOOKUP(Table5[[#This Row],[Affected WTG]],'Basic Data'!$A:$A,'Basic Data'!$E:$E),"")</f>
        <v>2.2727272727272728E-2</v>
      </c>
      <c r="K281" s="79">
        <v>54</v>
      </c>
      <c r="L281" s="23" t="str">
        <f>IFERROR(_xlfn.XLOOKUP(Table5[[#This Row],[Error Code]],'Basic Data'!$W:$W,'Basic Data'!$X:$X),"Incorrect Error Code")</f>
        <v>Anemometer defec</v>
      </c>
      <c r="M281" s="23" t="s">
        <v>864</v>
      </c>
      <c r="N281" s="23"/>
      <c r="O281" s="287">
        <v>0.69861111111111107</v>
      </c>
      <c r="P281" s="287">
        <v>0.69861111111111107</v>
      </c>
      <c r="Q281" s="287">
        <v>0.76736111111111116</v>
      </c>
      <c r="R281" s="341">
        <f t="shared" si="10"/>
        <v>6.8750000000000089E-2</v>
      </c>
      <c r="S281" s="329">
        <f>(Table5[[#This Row],[Fault Clearance time]]-Table5[[#This Row],[Work Start TimeStamp]])*24</f>
        <v>1.6500000000000021</v>
      </c>
      <c r="T281" s="329">
        <f>(Table5[[#This Row],[Fault Clearance time]]-Table5[[#This Row],[Fault Start TimeStamp]])*24</f>
        <v>1.6500000000000021</v>
      </c>
      <c r="U281" s="23" t="s">
        <v>962</v>
      </c>
      <c r="V281" s="79" t="s">
        <v>339</v>
      </c>
      <c r="W281" s="289">
        <f>IFERROR(Table5[[#This Row],[Breakdown Time]]*Table5[[#This Row],[Plant Equivalent Weightage]],"")</f>
        <v>3.7500000000000047E-2</v>
      </c>
      <c r="X281" s="289" t="s">
        <v>343</v>
      </c>
      <c r="Y281" s="290" t="s">
        <v>85</v>
      </c>
      <c r="Z281" s="79"/>
      <c r="AA281" s="283">
        <v>2184</v>
      </c>
      <c r="AB281" s="79"/>
      <c r="AC281" s="23"/>
      <c r="AD281" s="23"/>
    </row>
    <row r="282" spans="1:30">
      <c r="A282" s="79">
        <f t="shared" si="9"/>
        <v>281</v>
      </c>
      <c r="B282" s="283">
        <f>YEAR(Table5[[#This Row],[Date]])+IF(MONTH(Table5[[#This Row],[Date]])&gt;=4,1,0)</f>
        <v>2026</v>
      </c>
      <c r="C282" s="79">
        <f>YEAR(Table5[[#This Row],[Date]])</f>
        <v>2025</v>
      </c>
      <c r="D282" s="79" t="s">
        <v>344</v>
      </c>
      <c r="E282" s="284">
        <f>Table5[[#This Row],[Date]]-DAY(Table5[[#This Row],[Date]])+1</f>
        <v>45809</v>
      </c>
      <c r="F282" s="285">
        <v>45838</v>
      </c>
      <c r="G282" s="79" t="s">
        <v>86</v>
      </c>
      <c r="H282" s="23" t="str">
        <f>IFERROR(_xlfn.XLOOKUP(Table5[[#This Row],[Affected WTG]],'Basic Data'!$A:$A,'Basic Data'!$B:$B),"")</f>
        <v>PWEPL</v>
      </c>
      <c r="I282" s="23" t="str">
        <f>IFERROR(_xlfn.XLOOKUP(Table5[[#This Row],[Affected WTG]],'Basic Data'!$A:$A,'Basic Data'!$C:$C),"")</f>
        <v>MSEDCL</v>
      </c>
      <c r="J282" s="286">
        <f>IFERROR(_xlfn.XLOOKUP(Table5[[#This Row],[Affected WTG]],'Basic Data'!$A:$A,'Basic Data'!$E:$E),"")</f>
        <v>2.2727272727272728E-2</v>
      </c>
      <c r="K282" s="79">
        <v>54</v>
      </c>
      <c r="L282" s="23" t="str">
        <f>IFERROR(_xlfn.XLOOKUP(Table5[[#This Row],[Error Code]],'Basic Data'!$W:$W,'Basic Data'!$X:$X),"Incorrect Error Code")</f>
        <v>Anemometer defec</v>
      </c>
      <c r="M282" s="23" t="s">
        <v>864</v>
      </c>
      <c r="N282" s="23"/>
      <c r="O282" s="287">
        <v>0.98611111111111116</v>
      </c>
      <c r="P282" s="287">
        <v>0.98611111111111116</v>
      </c>
      <c r="Q282" s="287">
        <v>0.99930555555555556</v>
      </c>
      <c r="R282" s="341">
        <f t="shared" si="10"/>
        <v>1.3194444444444398E-2</v>
      </c>
      <c r="S282" s="329">
        <f>(Table5[[#This Row],[Fault Clearance time]]-Table5[[#This Row],[Work Start TimeStamp]])*24</f>
        <v>0.31666666666666554</v>
      </c>
      <c r="T282" s="329">
        <f>(Table5[[#This Row],[Fault Clearance time]]-Table5[[#This Row],[Fault Start TimeStamp]])*24</f>
        <v>0.31666666666666554</v>
      </c>
      <c r="U282" s="23" t="s">
        <v>956</v>
      </c>
      <c r="V282" s="79" t="s">
        <v>958</v>
      </c>
      <c r="W282" s="289">
        <f>IFERROR(Table5[[#This Row],[Breakdown Time]]*Table5[[#This Row],[Plant Equivalent Weightage]],"")</f>
        <v>7.1969696969696713E-3</v>
      </c>
      <c r="X282" s="289" t="s">
        <v>343</v>
      </c>
      <c r="Y282" s="290" t="s">
        <v>85</v>
      </c>
      <c r="Z282" s="79"/>
      <c r="AA282" s="283">
        <v>658</v>
      </c>
      <c r="AB282" s="79"/>
      <c r="AC282" s="23"/>
      <c r="AD282" s="23"/>
    </row>
    <row r="283" spans="1:30">
      <c r="A283" s="79">
        <f t="shared" si="9"/>
        <v>282</v>
      </c>
      <c r="B283" s="283">
        <f>YEAR(Table5[[#This Row],[Date]])+IF(MONTH(Table5[[#This Row],[Date]])&gt;=4,1,0)</f>
        <v>2026</v>
      </c>
      <c r="C283" s="79">
        <f>YEAR(Table5[[#This Row],[Date]])</f>
        <v>2025</v>
      </c>
      <c r="D283" s="79" t="s">
        <v>344</v>
      </c>
      <c r="E283" s="284">
        <f>Table5[[#This Row],[Date]]-DAY(Table5[[#This Row],[Date]])+1</f>
        <v>45809</v>
      </c>
      <c r="F283" s="285">
        <v>45838</v>
      </c>
      <c r="G283" s="79" t="s">
        <v>91</v>
      </c>
      <c r="H283" s="23" t="str">
        <f>IFERROR(_xlfn.XLOOKUP(Table5[[#This Row],[Affected WTG]],'Basic Data'!$A:$A,'Basic Data'!$B:$B),"")</f>
        <v>PWEPL</v>
      </c>
      <c r="I283" s="23" t="str">
        <f>IFERROR(_xlfn.XLOOKUP(Table5[[#This Row],[Affected WTG]],'Basic Data'!$A:$A,'Basic Data'!$C:$C),"")</f>
        <v>MSEDCL</v>
      </c>
      <c r="J283" s="286">
        <f>IFERROR(_xlfn.XLOOKUP(Table5[[#This Row],[Affected WTG]],'Basic Data'!$A:$A,'Basic Data'!$E:$E),"")</f>
        <v>2.2727272727272728E-2</v>
      </c>
      <c r="K283" s="79">
        <v>3</v>
      </c>
      <c r="L283" s="23" t="str">
        <f>IFERROR(_xlfn.XLOOKUP(Table5[[#This Row],[Error Code]],'Basic Data'!$W:$W,'Basic Data'!$X:$X),"Incorrect Error Code")</f>
        <v>Manual Stop</v>
      </c>
      <c r="M283" s="23" t="s">
        <v>950</v>
      </c>
      <c r="N283" s="23"/>
      <c r="O283" s="330">
        <v>0.65555555555555556</v>
      </c>
      <c r="P283" s="330">
        <v>0.65555555555555556</v>
      </c>
      <c r="Q283" s="330">
        <v>0.65694444444444444</v>
      </c>
      <c r="R283" s="341">
        <f t="shared" ref="R283:R285" si="11">Q283-O283</f>
        <v>1.388888888888884E-3</v>
      </c>
      <c r="S283" s="342">
        <f>(Table5[[#This Row],[Fault Clearance time]]-Table5[[#This Row],[Work Start TimeStamp]])*24</f>
        <v>3.3333333333333215E-2</v>
      </c>
      <c r="T283" s="342">
        <f>(Table5[[#This Row],[Fault Clearance time]]-Table5[[#This Row],[Fault Start TimeStamp]])*24</f>
        <v>3.3333333333333215E-2</v>
      </c>
      <c r="U283" s="23" t="s">
        <v>950</v>
      </c>
      <c r="V283" s="79" t="s">
        <v>339</v>
      </c>
      <c r="W283" s="343">
        <f>IFERROR(Table5[[#This Row],[Breakdown Time]]*Table5[[#This Row],[Plant Equivalent Weightage]],"")</f>
        <v>7.5757575757575486E-4</v>
      </c>
      <c r="X283" s="289" t="s">
        <v>394</v>
      </c>
      <c r="Y283" s="290" t="s">
        <v>90</v>
      </c>
      <c r="Z283" s="79"/>
      <c r="AA283" s="283">
        <v>48</v>
      </c>
      <c r="AB283" s="79"/>
      <c r="AC283" s="23"/>
      <c r="AD283" s="23"/>
    </row>
    <row r="284" spans="1:30">
      <c r="A284" s="79">
        <f t="shared" si="9"/>
        <v>283</v>
      </c>
      <c r="B284" s="283">
        <f>YEAR(Table5[[#This Row],[Date]])+IF(MONTH(Table5[[#This Row],[Date]])&gt;=4,1,0)</f>
        <v>2026</v>
      </c>
      <c r="C284" s="79">
        <f>YEAR(Table5[[#This Row],[Date]])</f>
        <v>2025</v>
      </c>
      <c r="D284" s="79" t="s">
        <v>344</v>
      </c>
      <c r="E284" s="284">
        <f>Table5[[#This Row],[Date]]-DAY(Table5[[#This Row],[Date]])+1</f>
        <v>45809</v>
      </c>
      <c r="F284" s="285">
        <v>45838</v>
      </c>
      <c r="G284" s="79" t="s">
        <v>92</v>
      </c>
      <c r="H284" s="23" t="str">
        <f>IFERROR(_xlfn.XLOOKUP(Table5[[#This Row],[Affected WTG]],'Basic Data'!$A:$A,'Basic Data'!$B:$B),"")</f>
        <v>PWEPL</v>
      </c>
      <c r="I284" s="23" t="str">
        <f>IFERROR(_xlfn.XLOOKUP(Table5[[#This Row],[Affected WTG]],'Basic Data'!$A:$A,'Basic Data'!$C:$C),"")</f>
        <v>MSEDCL</v>
      </c>
      <c r="J284" s="286">
        <f>IFERROR(_xlfn.XLOOKUP(Table5[[#This Row],[Affected WTG]],'Basic Data'!$A:$A,'Basic Data'!$E:$E),"")</f>
        <v>2.2727272727272728E-2</v>
      </c>
      <c r="K284" s="79">
        <v>3</v>
      </c>
      <c r="L284" s="23" t="str">
        <f>IFERROR(_xlfn.XLOOKUP(Table5[[#This Row],[Error Code]],'Basic Data'!$W:$W,'Basic Data'!$X:$X),"Incorrect Error Code")</f>
        <v>Manual Stop</v>
      </c>
      <c r="M284" s="23" t="s">
        <v>950</v>
      </c>
      <c r="N284" s="23"/>
      <c r="O284" s="330">
        <v>0.6694444444444444</v>
      </c>
      <c r="P284" s="330">
        <v>0.6694444444444444</v>
      </c>
      <c r="Q284" s="330">
        <v>0.67152777777777772</v>
      </c>
      <c r="R284" s="341">
        <f t="shared" si="11"/>
        <v>2.0833333333333259E-3</v>
      </c>
      <c r="S284" s="342">
        <f>(Table5[[#This Row],[Fault Clearance time]]-Table5[[#This Row],[Work Start TimeStamp]])*24</f>
        <v>4.9999999999999822E-2</v>
      </c>
      <c r="T284" s="342">
        <f>(Table5[[#This Row],[Fault Clearance time]]-Table5[[#This Row],[Fault Start TimeStamp]])*24</f>
        <v>4.9999999999999822E-2</v>
      </c>
      <c r="U284" s="23" t="s">
        <v>950</v>
      </c>
      <c r="V284" s="79" t="s">
        <v>339</v>
      </c>
      <c r="W284" s="343">
        <f>IFERROR(Table5[[#This Row],[Breakdown Time]]*Table5[[#This Row],[Plant Equivalent Weightage]],"")</f>
        <v>1.1363636363636324E-3</v>
      </c>
      <c r="X284" s="289" t="s">
        <v>394</v>
      </c>
      <c r="Y284" s="290" t="s">
        <v>91</v>
      </c>
      <c r="Z284" s="79"/>
      <c r="AA284" s="283">
        <v>72</v>
      </c>
      <c r="AB284" s="79"/>
      <c r="AC284" s="23"/>
      <c r="AD284" s="23"/>
    </row>
    <row r="285" spans="1:30">
      <c r="A285" s="79">
        <f t="shared" si="9"/>
        <v>284</v>
      </c>
      <c r="B285" s="283">
        <f>YEAR(Table5[[#This Row],[Date]])+IF(MONTH(Table5[[#This Row],[Date]])&gt;=4,1,0)</f>
        <v>2026</v>
      </c>
      <c r="C285" s="79">
        <f>YEAR(Table5[[#This Row],[Date]])</f>
        <v>2025</v>
      </c>
      <c r="D285" s="79" t="s">
        <v>344</v>
      </c>
      <c r="E285" s="284">
        <f>Table5[[#This Row],[Date]]-DAY(Table5[[#This Row],[Date]])+1</f>
        <v>45809</v>
      </c>
      <c r="F285" s="285">
        <v>45838</v>
      </c>
      <c r="G285" s="79" t="s">
        <v>94</v>
      </c>
      <c r="H285" s="23" t="str">
        <f>IFERROR(_xlfn.XLOOKUP(Table5[[#This Row],[Affected WTG]],'Basic Data'!$A:$A,'Basic Data'!$B:$B),"")</f>
        <v>PWEPL</v>
      </c>
      <c r="I285" s="23" t="str">
        <f>IFERROR(_xlfn.XLOOKUP(Table5[[#This Row],[Affected WTG]],'Basic Data'!$A:$A,'Basic Data'!$C:$C),"")</f>
        <v>MSEDCL</v>
      </c>
      <c r="J285" s="286">
        <f>IFERROR(_xlfn.XLOOKUP(Table5[[#This Row],[Affected WTG]],'Basic Data'!$A:$A,'Basic Data'!$E:$E),"")</f>
        <v>2.2727272727272728E-2</v>
      </c>
      <c r="K285" s="79">
        <v>3</v>
      </c>
      <c r="L285" s="23" t="str">
        <f>IFERROR(_xlfn.XLOOKUP(Table5[[#This Row],[Error Code]],'Basic Data'!$W:$W,'Basic Data'!$X:$X),"Incorrect Error Code")</f>
        <v>Manual Stop</v>
      </c>
      <c r="M285" s="23" t="s">
        <v>950</v>
      </c>
      <c r="N285" s="23"/>
      <c r="O285" s="330">
        <v>0.64583333333333337</v>
      </c>
      <c r="P285" s="330">
        <v>0.64583333333333337</v>
      </c>
      <c r="Q285" s="330">
        <v>0.6479166666666667</v>
      </c>
      <c r="R285" s="341">
        <f t="shared" si="11"/>
        <v>2.0833333333333259E-3</v>
      </c>
      <c r="S285" s="342">
        <f>(Table5[[#This Row],[Fault Clearance time]]-Table5[[#This Row],[Work Start TimeStamp]])*24</f>
        <v>4.9999999999999822E-2</v>
      </c>
      <c r="T285" s="342">
        <f>(Table5[[#This Row],[Fault Clearance time]]-Table5[[#This Row],[Fault Start TimeStamp]])*24</f>
        <v>4.9999999999999822E-2</v>
      </c>
      <c r="U285" s="23" t="s">
        <v>950</v>
      </c>
      <c r="V285" s="79" t="s">
        <v>339</v>
      </c>
      <c r="W285" s="343">
        <f>IFERROR(Table5[[#This Row],[Breakdown Time]]*Table5[[#This Row],[Plant Equivalent Weightage]],"")</f>
        <v>1.1363636363636324E-3</v>
      </c>
      <c r="X285" s="289" t="s">
        <v>394</v>
      </c>
      <c r="Y285" s="290" t="s">
        <v>92</v>
      </c>
      <c r="Z285" s="79"/>
      <c r="AA285" s="283">
        <v>72</v>
      </c>
      <c r="AB285" s="79"/>
      <c r="AC285" s="23"/>
      <c r="AD285" s="23"/>
    </row>
    <row r="286" spans="1:30">
      <c r="A286" s="79">
        <f t="shared" si="9"/>
        <v>285</v>
      </c>
      <c r="B286" s="283">
        <f>YEAR(Table5[[#This Row],[Date]])+IF(MONTH(Table5[[#This Row],[Date]])&gt;=4,1,0)</f>
        <v>2026</v>
      </c>
      <c r="C286" s="79">
        <f>YEAR(Table5[[#This Row],[Date]])</f>
        <v>2025</v>
      </c>
      <c r="D286" s="79" t="s">
        <v>344</v>
      </c>
      <c r="E286" s="284">
        <f>Table5[[#This Row],[Date]]-DAY(Table5[[#This Row],[Date]])+1</f>
        <v>45839</v>
      </c>
      <c r="F286" s="285">
        <v>45839</v>
      </c>
      <c r="G286" s="79" t="s">
        <v>86</v>
      </c>
      <c r="H286" s="23" t="str">
        <f>IFERROR(_xlfn.XLOOKUP(Table5[[#This Row],[Affected WTG]],'Basic Data'!$A:$A,'Basic Data'!$B:$B),"")</f>
        <v>PWEPL</v>
      </c>
      <c r="I286" s="23" t="str">
        <f>IFERROR(_xlfn.XLOOKUP(Table5[[#This Row],[Affected WTG]],'Basic Data'!$A:$A,'Basic Data'!$C:$C),"")</f>
        <v>MSEDCL</v>
      </c>
      <c r="J286" s="286">
        <f>IFERROR(_xlfn.XLOOKUP(Table5[[#This Row],[Affected WTG]],'Basic Data'!$A:$A,'Basic Data'!$E:$E),"")</f>
        <v>2.2727272727272728E-2</v>
      </c>
      <c r="K286" s="79">
        <v>54</v>
      </c>
      <c r="L286" s="23" t="str">
        <f>IFERROR(_xlfn.XLOOKUP(Table5[[#This Row],[Error Code]],'Basic Data'!$W:$W,'Basic Data'!$X:$X),"Incorrect Error Code")</f>
        <v>Anemometer defec</v>
      </c>
      <c r="M286" s="23" t="s">
        <v>864</v>
      </c>
      <c r="N286" s="23"/>
      <c r="O286" s="344">
        <v>0</v>
      </c>
      <c r="P286" s="344">
        <v>0</v>
      </c>
      <c r="Q286" s="344">
        <v>5.6944444444444443E-2</v>
      </c>
      <c r="R286" s="341">
        <f t="shared" ref="R286:R292" si="12">Q286-O286</f>
        <v>5.6944444444444443E-2</v>
      </c>
      <c r="S286" s="342">
        <f>(Table5[[#This Row],[Fault Clearance time]]-Table5[[#This Row],[Work Start TimeStamp]])*24</f>
        <v>1.3666666666666667</v>
      </c>
      <c r="T286" s="342">
        <f>(Table5[[#This Row],[Fault Clearance time]]-Table5[[#This Row],[Fault Start TimeStamp]])*24</f>
        <v>1.3666666666666667</v>
      </c>
      <c r="U286" s="23" t="s">
        <v>962</v>
      </c>
      <c r="V286" s="79" t="s">
        <v>339</v>
      </c>
      <c r="W286" s="343">
        <f>IFERROR(Table5[[#This Row],[Breakdown Time]]*Table5[[#This Row],[Plant Equivalent Weightage]],"")</f>
        <v>3.1060606060606063E-2</v>
      </c>
      <c r="X286" s="289" t="s">
        <v>343</v>
      </c>
      <c r="Y286" s="290" t="s">
        <v>85</v>
      </c>
      <c r="Z286" s="79"/>
      <c r="AA286" s="283">
        <v>1739</v>
      </c>
      <c r="AB286" s="79"/>
      <c r="AC286" s="23"/>
      <c r="AD286" s="23"/>
    </row>
    <row r="287" spans="1:30">
      <c r="A287" s="79">
        <f t="shared" si="9"/>
        <v>286</v>
      </c>
      <c r="B287" s="283">
        <f>YEAR(Table5[[#This Row],[Date]])+IF(MONTH(Table5[[#This Row],[Date]])&gt;=4,1,0)</f>
        <v>2026</v>
      </c>
      <c r="C287" s="79">
        <f>YEAR(Table5[[#This Row],[Date]])</f>
        <v>2025</v>
      </c>
      <c r="D287" s="79" t="s">
        <v>344</v>
      </c>
      <c r="E287" s="284">
        <f>Table5[[#This Row],[Date]]-DAY(Table5[[#This Row],[Date]])+1</f>
        <v>45839</v>
      </c>
      <c r="F287" s="285">
        <v>45839</v>
      </c>
      <c r="G287" s="79" t="s">
        <v>78</v>
      </c>
      <c r="H287" s="23" t="str">
        <f>IFERROR(_xlfn.XLOOKUP(Table5[[#This Row],[Affected WTG]],'Basic Data'!$A:$A,'Basic Data'!$B:$B),"")</f>
        <v>PWEPL</v>
      </c>
      <c r="I287" s="23" t="str">
        <f>IFERROR(_xlfn.XLOOKUP(Table5[[#This Row],[Affected WTG]],'Basic Data'!$A:$A,'Basic Data'!$C:$C),"")</f>
        <v>MSEDCL</v>
      </c>
      <c r="J287" s="286">
        <f>IFERROR(_xlfn.XLOOKUP(Table5[[#This Row],[Affected WTG]],'Basic Data'!$A:$A,'Basic Data'!$E:$E),"")</f>
        <v>2.2727272727272728E-2</v>
      </c>
      <c r="K287" s="79">
        <v>276</v>
      </c>
      <c r="L287" s="23" t="str">
        <f>IFERROR(_xlfn.XLOOKUP(Table5[[#This Row],[Error Code]],'Basic Data'!$W:$W,'Basic Data'!$X:$X),"Incorrect Error Code")</f>
        <v>Pitch thyristor 3 fault</v>
      </c>
      <c r="M287" s="23" t="s">
        <v>153</v>
      </c>
      <c r="N287" s="23"/>
      <c r="O287" s="344">
        <v>0</v>
      </c>
      <c r="P287" s="344">
        <v>0</v>
      </c>
      <c r="Q287" s="344">
        <v>0.60833333333333328</v>
      </c>
      <c r="R287" s="341">
        <f t="shared" si="12"/>
        <v>0.60833333333333328</v>
      </c>
      <c r="S287" s="342">
        <f>(Table5[[#This Row],[Fault Clearance time]]-Table5[[#This Row],[Work Start TimeStamp]])*24</f>
        <v>14.599999999999998</v>
      </c>
      <c r="T287" s="342">
        <f>(Table5[[#This Row],[Fault Clearance time]]-Table5[[#This Row],[Fault Start TimeStamp]])*24</f>
        <v>14.599999999999998</v>
      </c>
      <c r="U287" s="23" t="s">
        <v>965</v>
      </c>
      <c r="V287" s="79" t="s">
        <v>339</v>
      </c>
      <c r="W287" s="343">
        <f>IFERROR(Table5[[#This Row],[Breakdown Time]]*Table5[[#This Row],[Plant Equivalent Weightage]],"")</f>
        <v>0.33181818181818179</v>
      </c>
      <c r="X287" s="289" t="s">
        <v>343</v>
      </c>
      <c r="Y287" s="290" t="s">
        <v>77</v>
      </c>
      <c r="Z287" s="79"/>
      <c r="AA287" s="283">
        <v>20182</v>
      </c>
      <c r="AB287" s="79"/>
      <c r="AC287" s="23"/>
      <c r="AD287" s="23"/>
    </row>
    <row r="288" spans="1:30">
      <c r="A288" s="79">
        <f t="shared" si="9"/>
        <v>287</v>
      </c>
      <c r="B288" s="283">
        <f>YEAR(Table5[[#This Row],[Date]])+IF(MONTH(Table5[[#This Row],[Date]])&gt;=4,1,0)</f>
        <v>2026</v>
      </c>
      <c r="C288" s="79">
        <f>YEAR(Table5[[#This Row],[Date]])</f>
        <v>2025</v>
      </c>
      <c r="D288" s="79" t="s">
        <v>344</v>
      </c>
      <c r="E288" s="284">
        <f>Table5[[#This Row],[Date]]-DAY(Table5[[#This Row],[Date]])+1</f>
        <v>45839</v>
      </c>
      <c r="F288" s="285">
        <v>45839</v>
      </c>
      <c r="G288" s="79" t="s">
        <v>81</v>
      </c>
      <c r="H288" s="23" t="str">
        <f>IFERROR(_xlfn.XLOOKUP(Table5[[#This Row],[Affected WTG]],'Basic Data'!$A:$A,'Basic Data'!$B:$B),"")</f>
        <v>PWEPL</v>
      </c>
      <c r="I288" s="23" t="str">
        <f>IFERROR(_xlfn.XLOOKUP(Table5[[#This Row],[Affected WTG]],'Basic Data'!$A:$A,'Basic Data'!$C:$C),"")</f>
        <v>MSEDCL</v>
      </c>
      <c r="J288" s="286">
        <f>IFERROR(_xlfn.XLOOKUP(Table5[[#This Row],[Affected WTG]],'Basic Data'!$A:$A,'Basic Data'!$E:$E),"")</f>
        <v>2.2727272727272728E-2</v>
      </c>
      <c r="K288" s="79">
        <v>431</v>
      </c>
      <c r="L288" s="23" t="str">
        <f>IFERROR(_xlfn.XLOOKUP(Table5[[#This Row],[Error Code]],'Basic Data'!$W:$W,'Basic Data'!$X:$X),"Incorrect Error Code")</f>
        <v xml:space="preserve">Yaw tooth sensor 2 timeout </v>
      </c>
      <c r="M288" s="23" t="s">
        <v>797</v>
      </c>
      <c r="N288" s="23"/>
      <c r="O288" s="344">
        <v>0.15972222222222224</v>
      </c>
      <c r="P288" s="344">
        <v>0.15972222222222224</v>
      </c>
      <c r="Q288" s="344">
        <v>0.17986111111111111</v>
      </c>
      <c r="R288" s="341">
        <f t="shared" si="12"/>
        <v>2.0138888888888873E-2</v>
      </c>
      <c r="S288" s="342">
        <f>(Table5[[#This Row],[Fault Clearance time]]-Table5[[#This Row],[Work Start TimeStamp]])*24</f>
        <v>0.48333333333333295</v>
      </c>
      <c r="T288" s="342">
        <f>(Table5[[#This Row],[Fault Clearance time]]-Table5[[#This Row],[Fault Start TimeStamp]])*24</f>
        <v>0.48333333333333295</v>
      </c>
      <c r="U288" s="23" t="s">
        <v>353</v>
      </c>
      <c r="V288" s="79" t="s">
        <v>339</v>
      </c>
      <c r="W288" s="343">
        <f>IFERROR(Table5[[#This Row],[Breakdown Time]]*Table5[[#This Row],[Plant Equivalent Weightage]],"")</f>
        <v>1.0984848484848476E-2</v>
      </c>
      <c r="X288" s="289" t="s">
        <v>343</v>
      </c>
      <c r="Y288" s="290" t="s">
        <v>108</v>
      </c>
      <c r="Z288" s="79"/>
      <c r="AA288" s="283">
        <v>877</v>
      </c>
      <c r="AB288" s="79"/>
      <c r="AC288" s="23"/>
      <c r="AD288" s="23"/>
    </row>
    <row r="289" spans="1:30">
      <c r="A289" s="79">
        <f t="shared" si="9"/>
        <v>288</v>
      </c>
      <c r="B289" s="283">
        <f>YEAR(Table5[[#This Row],[Date]])+IF(MONTH(Table5[[#This Row],[Date]])&gt;=4,1,0)</f>
        <v>2026</v>
      </c>
      <c r="C289" s="79">
        <f>YEAR(Table5[[#This Row],[Date]])</f>
        <v>2025</v>
      </c>
      <c r="D289" s="79" t="s">
        <v>344</v>
      </c>
      <c r="E289" s="284">
        <f>Table5[[#This Row],[Date]]-DAY(Table5[[#This Row],[Date]])+1</f>
        <v>45839</v>
      </c>
      <c r="F289" s="285">
        <v>45839</v>
      </c>
      <c r="G289" s="79" t="s">
        <v>81</v>
      </c>
      <c r="H289" s="23" t="str">
        <f>IFERROR(_xlfn.XLOOKUP(Table5[[#This Row],[Affected WTG]],'Basic Data'!$A:$A,'Basic Data'!$B:$B),"")</f>
        <v>PWEPL</v>
      </c>
      <c r="I289" s="23" t="str">
        <f>IFERROR(_xlfn.XLOOKUP(Table5[[#This Row],[Affected WTG]],'Basic Data'!$A:$A,'Basic Data'!$C:$C),"")</f>
        <v>MSEDCL</v>
      </c>
      <c r="J289" s="286">
        <f>IFERROR(_xlfn.XLOOKUP(Table5[[#This Row],[Affected WTG]],'Basic Data'!$A:$A,'Basic Data'!$E:$E),"")</f>
        <v>2.2727272727272728E-2</v>
      </c>
      <c r="K289" s="79">
        <v>431</v>
      </c>
      <c r="L289" s="23" t="str">
        <f>IFERROR(_xlfn.XLOOKUP(Table5[[#This Row],[Error Code]],'Basic Data'!$W:$W,'Basic Data'!$X:$X),"Incorrect Error Code")</f>
        <v xml:space="preserve">Yaw tooth sensor 2 timeout </v>
      </c>
      <c r="M289" s="23" t="s">
        <v>797</v>
      </c>
      <c r="N289" s="23"/>
      <c r="O289" s="344">
        <v>0.70208333333333339</v>
      </c>
      <c r="P289" s="344">
        <v>0.70208333333333339</v>
      </c>
      <c r="Q289" s="344">
        <v>0.75902777777777775</v>
      </c>
      <c r="R289" s="341">
        <f t="shared" si="12"/>
        <v>5.6944444444444353E-2</v>
      </c>
      <c r="S289" s="342">
        <f>(Table5[[#This Row],[Fault Clearance time]]-Table5[[#This Row],[Work Start TimeStamp]])*24</f>
        <v>1.3666666666666645</v>
      </c>
      <c r="T289" s="342">
        <f>(Table5[[#This Row],[Fault Clearance time]]-Table5[[#This Row],[Fault Start TimeStamp]])*24</f>
        <v>1.3666666666666645</v>
      </c>
      <c r="U289" s="23" t="s">
        <v>799</v>
      </c>
      <c r="V289" s="79" t="s">
        <v>339</v>
      </c>
      <c r="W289" s="343">
        <f>IFERROR(Table5[[#This Row],[Breakdown Time]]*Table5[[#This Row],[Plant Equivalent Weightage]],"")</f>
        <v>3.1060606060606011E-2</v>
      </c>
      <c r="X289" s="289" t="s">
        <v>343</v>
      </c>
      <c r="Y289" s="290" t="s">
        <v>108</v>
      </c>
      <c r="Z289" s="79"/>
      <c r="AA289" s="283">
        <v>2197</v>
      </c>
      <c r="AB289" s="79"/>
      <c r="AC289" s="23"/>
      <c r="AD289" s="23"/>
    </row>
    <row r="290" spans="1:30">
      <c r="A290" s="79">
        <f t="shared" si="9"/>
        <v>289</v>
      </c>
      <c r="B290" s="283">
        <f>YEAR(Table5[[#This Row],[Date]])+IF(MONTH(Table5[[#This Row],[Date]])&gt;=4,1,0)</f>
        <v>2026</v>
      </c>
      <c r="C290" s="79">
        <f>YEAR(Table5[[#This Row],[Date]])</f>
        <v>2025</v>
      </c>
      <c r="D290" s="79" t="s">
        <v>344</v>
      </c>
      <c r="E290" s="284">
        <f>Table5[[#This Row],[Date]]-DAY(Table5[[#This Row],[Date]])+1</f>
        <v>45839</v>
      </c>
      <c r="F290" s="285">
        <v>45839</v>
      </c>
      <c r="G290" s="79" t="s">
        <v>85</v>
      </c>
      <c r="H290" s="23" t="str">
        <f>IFERROR(_xlfn.XLOOKUP(Table5[[#This Row],[Affected WTG]],'Basic Data'!$A:$A,'Basic Data'!$B:$B),"")</f>
        <v>PWEPL</v>
      </c>
      <c r="I290" s="23" t="str">
        <f>IFERROR(_xlfn.XLOOKUP(Table5[[#This Row],[Affected WTG]],'Basic Data'!$A:$A,'Basic Data'!$C:$C),"")</f>
        <v>MSEDCL</v>
      </c>
      <c r="J290" s="286">
        <f>IFERROR(_xlfn.XLOOKUP(Table5[[#This Row],[Affected WTG]],'Basic Data'!$A:$A,'Basic Data'!$E:$E),"")</f>
        <v>2.2727272727272728E-2</v>
      </c>
      <c r="K290" s="79">
        <v>63</v>
      </c>
      <c r="L290" s="23" t="str">
        <f>IFERROR(_xlfn.XLOOKUP(Table5[[#This Row],[Error Code]],'Basic Data'!$W:$W,'Basic Data'!$X:$X),"Incorrect Error Code")</f>
        <v>Safety chain</v>
      </c>
      <c r="M290" s="23" t="s">
        <v>189</v>
      </c>
      <c r="N290" s="23"/>
      <c r="O290" s="344">
        <v>0.22708333333333333</v>
      </c>
      <c r="P290" s="344">
        <v>0.22708333333333333</v>
      </c>
      <c r="Q290" s="344">
        <v>0.24374999999999999</v>
      </c>
      <c r="R290" s="341">
        <f t="shared" si="12"/>
        <v>1.6666666666666663E-2</v>
      </c>
      <c r="S290" s="342">
        <f>(Table5[[#This Row],[Fault Clearance time]]-Table5[[#This Row],[Work Start TimeStamp]])*24</f>
        <v>0.39999999999999991</v>
      </c>
      <c r="T290" s="342">
        <f>(Table5[[#This Row],[Fault Clearance time]]-Table5[[#This Row],[Fault Start TimeStamp]])*24</f>
        <v>0.39999999999999991</v>
      </c>
      <c r="U290" s="23" t="s">
        <v>353</v>
      </c>
      <c r="V290" s="79" t="s">
        <v>339</v>
      </c>
      <c r="W290" s="343">
        <f>IFERROR(Table5[[#This Row],[Breakdown Time]]*Table5[[#This Row],[Plant Equivalent Weightage]],"")</f>
        <v>9.0909090909090887E-3</v>
      </c>
      <c r="X290" s="289" t="s">
        <v>343</v>
      </c>
      <c r="Y290" s="290" t="s">
        <v>84</v>
      </c>
      <c r="Z290" s="79"/>
      <c r="AA290" s="283">
        <v>462</v>
      </c>
      <c r="AB290" s="79"/>
      <c r="AC290" s="23"/>
      <c r="AD290" s="23"/>
    </row>
    <row r="291" spans="1:30">
      <c r="A291" s="79">
        <f t="shared" si="9"/>
        <v>290</v>
      </c>
      <c r="B291" s="283">
        <f>YEAR(Table5[[#This Row],[Date]])+IF(MONTH(Table5[[#This Row],[Date]])&gt;=4,1,0)</f>
        <v>2026</v>
      </c>
      <c r="C291" s="79">
        <f>YEAR(Table5[[#This Row],[Date]])</f>
        <v>2025</v>
      </c>
      <c r="D291" s="79" t="s">
        <v>344</v>
      </c>
      <c r="E291" s="284">
        <f>Table5[[#This Row],[Date]]-DAY(Table5[[#This Row],[Date]])+1</f>
        <v>45839</v>
      </c>
      <c r="F291" s="285">
        <v>45839</v>
      </c>
      <c r="G291" s="79" t="s">
        <v>95</v>
      </c>
      <c r="H291" s="23" t="str">
        <f>IFERROR(_xlfn.XLOOKUP(Table5[[#This Row],[Affected WTG]],'Basic Data'!$A:$A,'Basic Data'!$B:$B),"")</f>
        <v>PWEPL</v>
      </c>
      <c r="I291" s="23" t="str">
        <f>IFERROR(_xlfn.XLOOKUP(Table5[[#This Row],[Affected WTG]],'Basic Data'!$A:$A,'Basic Data'!$C:$C),"")</f>
        <v>MSEDCL</v>
      </c>
      <c r="J291" s="286">
        <f>IFERROR(_xlfn.XLOOKUP(Table5[[#This Row],[Affected WTG]],'Basic Data'!$A:$A,'Basic Data'!$E:$E),"")</f>
        <v>2.2727272727272728E-2</v>
      </c>
      <c r="K291" s="79">
        <v>3</v>
      </c>
      <c r="L291" s="23" t="str">
        <f>IFERROR(_xlfn.XLOOKUP(Table5[[#This Row],[Error Code]],'Basic Data'!$W:$W,'Basic Data'!$X:$X),"Incorrect Error Code")</f>
        <v>Manual Stop</v>
      </c>
      <c r="M291" s="23" t="s">
        <v>950</v>
      </c>
      <c r="N291" s="23"/>
      <c r="O291" s="344">
        <v>0.70416666666666661</v>
      </c>
      <c r="P291" s="344">
        <v>0.70416666666666661</v>
      </c>
      <c r="Q291" s="344">
        <v>0.7055555555555556</v>
      </c>
      <c r="R291" s="341">
        <f t="shared" si="12"/>
        <v>1.388888888888995E-3</v>
      </c>
      <c r="S291" s="342">
        <f>(Table5[[#This Row],[Fault Clearance time]]-Table5[[#This Row],[Work Start TimeStamp]])*24</f>
        <v>3.3333333333335879E-2</v>
      </c>
      <c r="T291" s="342">
        <f>(Table5[[#This Row],[Fault Clearance time]]-Table5[[#This Row],[Fault Start TimeStamp]])*24</f>
        <v>3.3333333333335879E-2</v>
      </c>
      <c r="U291" s="23" t="s">
        <v>950</v>
      </c>
      <c r="V291" s="79" t="s">
        <v>339</v>
      </c>
      <c r="W291" s="343">
        <f>IFERROR(Table5[[#This Row],[Breakdown Time]]*Table5[[#This Row],[Plant Equivalent Weightage]],"")</f>
        <v>7.5757575757581547E-4</v>
      </c>
      <c r="X291" s="289" t="s">
        <v>394</v>
      </c>
      <c r="Y291" s="290" t="s">
        <v>106</v>
      </c>
      <c r="Z291" s="79"/>
      <c r="AA291" s="283">
        <v>44</v>
      </c>
      <c r="AB291" s="79"/>
      <c r="AC291" s="23"/>
      <c r="AD291" s="23"/>
    </row>
    <row r="292" spans="1:30">
      <c r="A292" s="79">
        <f t="shared" si="9"/>
        <v>291</v>
      </c>
      <c r="B292" s="283">
        <f>YEAR(Table5[[#This Row],[Date]])+IF(MONTH(Table5[[#This Row],[Date]])&gt;=4,1,0)</f>
        <v>2026</v>
      </c>
      <c r="C292" s="79">
        <f>YEAR(Table5[[#This Row],[Date]])</f>
        <v>2025</v>
      </c>
      <c r="D292" s="79" t="s">
        <v>344</v>
      </c>
      <c r="E292" s="284">
        <f>Table5[[#This Row],[Date]]-DAY(Table5[[#This Row],[Date]])+1</f>
        <v>45839</v>
      </c>
      <c r="F292" s="285">
        <v>45839</v>
      </c>
      <c r="G292" s="79" t="s">
        <v>106</v>
      </c>
      <c r="H292" s="23" t="str">
        <f>IFERROR(_xlfn.XLOOKUP(Table5[[#This Row],[Affected WTG]],'Basic Data'!$A:$A,'Basic Data'!$B:$B),"")</f>
        <v>PWEPL</v>
      </c>
      <c r="I292" s="23" t="str">
        <f>IFERROR(_xlfn.XLOOKUP(Table5[[#This Row],[Affected WTG]],'Basic Data'!$A:$A,'Basic Data'!$C:$C),"")</f>
        <v>MSEDCL</v>
      </c>
      <c r="J292" s="286">
        <f>IFERROR(_xlfn.XLOOKUP(Table5[[#This Row],[Affected WTG]],'Basic Data'!$A:$A,'Basic Data'!$E:$E),"")</f>
        <v>2.2727272727272728E-2</v>
      </c>
      <c r="K292" s="79">
        <v>3</v>
      </c>
      <c r="L292" s="23" t="str">
        <f>IFERROR(_xlfn.XLOOKUP(Table5[[#This Row],[Error Code]],'Basic Data'!$W:$W,'Basic Data'!$X:$X),"Incorrect Error Code")</f>
        <v>Manual Stop</v>
      </c>
      <c r="M292" s="23" t="s">
        <v>950</v>
      </c>
      <c r="N292" s="23"/>
      <c r="O292" s="344">
        <v>0.69236111111111109</v>
      </c>
      <c r="P292" s="344">
        <v>0.69236111111111109</v>
      </c>
      <c r="Q292" s="344">
        <v>0.69444444444444453</v>
      </c>
      <c r="R292" s="341">
        <f t="shared" si="12"/>
        <v>2.083333333333437E-3</v>
      </c>
      <c r="S292" s="342">
        <f>(Table5[[#This Row],[Fault Clearance time]]-Table5[[#This Row],[Work Start TimeStamp]])*24</f>
        <v>5.0000000000002487E-2</v>
      </c>
      <c r="T292" s="342">
        <f>(Table5[[#This Row],[Fault Clearance time]]-Table5[[#This Row],[Fault Start TimeStamp]])*24</f>
        <v>5.0000000000002487E-2</v>
      </c>
      <c r="U292" s="23" t="s">
        <v>950</v>
      </c>
      <c r="V292" s="79" t="s">
        <v>339</v>
      </c>
      <c r="W292" s="343">
        <f>IFERROR(Table5[[#This Row],[Breakdown Time]]*Table5[[#This Row],[Plant Equivalent Weightage]],"")</f>
        <v>1.1363636363636929E-3</v>
      </c>
      <c r="X292" s="289" t="s">
        <v>394</v>
      </c>
      <c r="Y292" s="290" t="s">
        <v>92</v>
      </c>
      <c r="Z292" s="79"/>
      <c r="AA292" s="283">
        <v>66</v>
      </c>
      <c r="AB292" s="79"/>
      <c r="AC292" s="23"/>
      <c r="AD292" s="23"/>
    </row>
    <row r="293" spans="1:30">
      <c r="A293" s="79">
        <f t="shared" si="9"/>
        <v>292</v>
      </c>
      <c r="B293" s="283">
        <f>YEAR(Table5[[#This Row],[Date]])+IF(MONTH(Table5[[#This Row],[Date]])&gt;=4,1,0)</f>
        <v>2026</v>
      </c>
      <c r="C293" s="79">
        <f>YEAR(Table5[[#This Row],[Date]])</f>
        <v>2025</v>
      </c>
      <c r="D293" s="79" t="s">
        <v>344</v>
      </c>
      <c r="E293" s="284">
        <f>Table5[[#This Row],[Date]]-DAY(Table5[[#This Row],[Date]])+1</f>
        <v>45839</v>
      </c>
      <c r="F293" s="285">
        <v>45840</v>
      </c>
      <c r="G293" s="79" t="s">
        <v>81</v>
      </c>
      <c r="H293" s="23" t="str">
        <f>IFERROR(_xlfn.XLOOKUP(Table5[[#This Row],[Affected WTG]],'Basic Data'!$A:$A,'Basic Data'!$B:$B),"")</f>
        <v>PWEPL</v>
      </c>
      <c r="I293" s="23" t="str">
        <f>IFERROR(_xlfn.XLOOKUP(Table5[[#This Row],[Affected WTG]],'Basic Data'!$A:$A,'Basic Data'!$C:$C),"")</f>
        <v>MSEDCL</v>
      </c>
      <c r="J293" s="286">
        <f>IFERROR(_xlfn.XLOOKUP(Table5[[#This Row],[Affected WTG]],'Basic Data'!$A:$A,'Basic Data'!$E:$E),"")</f>
        <v>2.2727272727272728E-2</v>
      </c>
      <c r="K293" s="79">
        <v>431</v>
      </c>
      <c r="L293" s="23" t="str">
        <f>IFERROR(_xlfn.XLOOKUP(Table5[[#This Row],[Error Code]],'Basic Data'!$W:$W,'Basic Data'!$X:$X),"Incorrect Error Code")</f>
        <v xml:space="preserve">Yaw tooth sensor 2 timeout </v>
      </c>
      <c r="M293" s="23" t="s">
        <v>797</v>
      </c>
      <c r="N293" s="23"/>
      <c r="O293" s="344">
        <v>0.48125000000000001</v>
      </c>
      <c r="P293" s="344">
        <v>0.48125000000000001</v>
      </c>
      <c r="Q293" s="344">
        <v>0.56319444444444444</v>
      </c>
      <c r="R293" s="341">
        <f t="shared" ref="R293:R299" si="13">Q293-O293</f>
        <v>8.1944444444444431E-2</v>
      </c>
      <c r="S293" s="329">
        <f>(Table5[[#This Row],[Fault Clearance time]]-Table5[[#This Row],[Work Start TimeStamp]])*24</f>
        <v>1.9666666666666663</v>
      </c>
      <c r="T293" s="329">
        <f>(Table5[[#This Row],[Fault Clearance time]]-Table5[[#This Row],[Fault Start TimeStamp]])*24</f>
        <v>1.9666666666666663</v>
      </c>
      <c r="U293" s="23" t="s">
        <v>963</v>
      </c>
      <c r="V293" s="79" t="s">
        <v>339</v>
      </c>
      <c r="W293" s="289">
        <f>IFERROR(Table5[[#This Row],[Breakdown Time]]*Table5[[#This Row],[Plant Equivalent Weightage]],"")</f>
        <v>4.4696969696969693E-2</v>
      </c>
      <c r="X293" s="289" t="s">
        <v>343</v>
      </c>
      <c r="Y293" s="290" t="s">
        <v>108</v>
      </c>
      <c r="Z293" s="79"/>
      <c r="AA293" s="283">
        <v>3152</v>
      </c>
      <c r="AB293" s="79"/>
      <c r="AC293" s="23"/>
      <c r="AD293" s="23"/>
    </row>
    <row r="294" spans="1:30">
      <c r="A294" s="79">
        <f t="shared" si="9"/>
        <v>293</v>
      </c>
      <c r="B294" s="283">
        <f>YEAR(Table5[[#This Row],[Date]])+IF(MONTH(Table5[[#This Row],[Date]])&gt;=4,1,0)</f>
        <v>2026</v>
      </c>
      <c r="C294" s="79">
        <f>YEAR(Table5[[#This Row],[Date]])</f>
        <v>2025</v>
      </c>
      <c r="D294" s="79" t="s">
        <v>344</v>
      </c>
      <c r="E294" s="284">
        <f>Table5[[#This Row],[Date]]-DAY(Table5[[#This Row],[Date]])+1</f>
        <v>45839</v>
      </c>
      <c r="F294" s="285">
        <v>45840</v>
      </c>
      <c r="G294" s="79" t="s">
        <v>95</v>
      </c>
      <c r="H294" s="23" t="str">
        <f>IFERROR(_xlfn.XLOOKUP(Table5[[#This Row],[Affected WTG]],'Basic Data'!$A:$A,'Basic Data'!$B:$B),"")</f>
        <v>PWEPL</v>
      </c>
      <c r="I294" s="23" t="str">
        <f>IFERROR(_xlfn.XLOOKUP(Table5[[#This Row],[Affected WTG]],'Basic Data'!$A:$A,'Basic Data'!$C:$C),"")</f>
        <v>MSEDCL</v>
      </c>
      <c r="J294" s="286">
        <f>IFERROR(_xlfn.XLOOKUP(Table5[[#This Row],[Affected WTG]],'Basic Data'!$A:$A,'Basic Data'!$E:$E),"")</f>
        <v>2.2727272727272728E-2</v>
      </c>
      <c r="K294" s="79">
        <v>134</v>
      </c>
      <c r="L294" s="23" t="str">
        <f>IFERROR(_xlfn.XLOOKUP(Table5[[#This Row],[Error Code]],'Basic Data'!$W:$W,'Basic Data'!$X:$X),"Incorrect Error Code")</f>
        <v>Battery charging voltage not OK</v>
      </c>
      <c r="M294" s="23" t="s">
        <v>586</v>
      </c>
      <c r="N294" s="23"/>
      <c r="O294" s="344">
        <v>0.62708333333333333</v>
      </c>
      <c r="P294" s="344">
        <v>0.65138888888888891</v>
      </c>
      <c r="Q294" s="344">
        <v>0.72013888888888899</v>
      </c>
      <c r="R294" s="341">
        <f t="shared" si="13"/>
        <v>9.3055555555555669E-2</v>
      </c>
      <c r="S294" s="329">
        <f>(Table5[[#This Row],[Fault Clearance time]]-Table5[[#This Row],[Work Start TimeStamp]])*24</f>
        <v>1.6500000000000021</v>
      </c>
      <c r="T294" s="329">
        <f>(Table5[[#This Row],[Fault Clearance time]]-Table5[[#This Row],[Fault Start TimeStamp]])*24</f>
        <v>2.2333333333333361</v>
      </c>
      <c r="U294" s="23" t="s">
        <v>964</v>
      </c>
      <c r="V294" s="79" t="s">
        <v>339</v>
      </c>
      <c r="W294" s="289">
        <f>IFERROR(Table5[[#This Row],[Breakdown Time]]*Table5[[#This Row],[Plant Equivalent Weightage]],"")</f>
        <v>5.0757575757575821E-2</v>
      </c>
      <c r="X294" s="289" t="s">
        <v>343</v>
      </c>
      <c r="Y294" s="290" t="s">
        <v>106</v>
      </c>
      <c r="Z294" s="79"/>
      <c r="AA294" s="283">
        <v>2188</v>
      </c>
      <c r="AB294" s="79"/>
      <c r="AC294" s="23"/>
      <c r="AD294" s="23"/>
    </row>
    <row r="295" spans="1:30">
      <c r="A295" s="79">
        <f t="shared" si="9"/>
        <v>294</v>
      </c>
      <c r="B295" s="283">
        <f>YEAR(Table5[[#This Row],[Date]])+IF(MONTH(Table5[[#This Row],[Date]])&gt;=4,1,0)</f>
        <v>2026</v>
      </c>
      <c r="C295" s="79">
        <f>YEAR(Table5[[#This Row],[Date]])</f>
        <v>2025</v>
      </c>
      <c r="D295" s="79" t="s">
        <v>344</v>
      </c>
      <c r="E295" s="284">
        <f>Table5[[#This Row],[Date]]-DAY(Table5[[#This Row],[Date]])+1</f>
        <v>45839</v>
      </c>
      <c r="F295" s="285">
        <v>45840</v>
      </c>
      <c r="G295" s="79" t="s">
        <v>116</v>
      </c>
      <c r="H295" s="23" t="str">
        <f>IFERROR(_xlfn.XLOOKUP(Table5[[#This Row],[Affected WTG]],'Basic Data'!$A:$A,'Basic Data'!$B:$B),"")</f>
        <v>PWEPL</v>
      </c>
      <c r="I295" s="23" t="str">
        <f>IFERROR(_xlfn.XLOOKUP(Table5[[#This Row],[Affected WTG]],'Basic Data'!$A:$A,'Basic Data'!$C:$C),"")</f>
        <v>MSEDCL</v>
      </c>
      <c r="J295" s="286">
        <f>IFERROR(_xlfn.XLOOKUP(Table5[[#This Row],[Affected WTG]],'Basic Data'!$A:$A,'Basic Data'!$E:$E),"")</f>
        <v>2.2727272727272728E-2</v>
      </c>
      <c r="K295" s="79">
        <v>3</v>
      </c>
      <c r="L295" s="23" t="str">
        <f>IFERROR(_xlfn.XLOOKUP(Table5[[#This Row],[Error Code]],'Basic Data'!$W:$W,'Basic Data'!$X:$X),"Incorrect Error Code")</f>
        <v>Manual Stop</v>
      </c>
      <c r="M295" s="23" t="s">
        <v>950</v>
      </c>
      <c r="N295" s="23"/>
      <c r="O295" s="344">
        <v>0.8354166666666667</v>
      </c>
      <c r="P295" s="344">
        <v>0.8354166666666667</v>
      </c>
      <c r="Q295" s="344">
        <v>0.83680555555555547</v>
      </c>
      <c r="R295" s="341">
        <f t="shared" si="13"/>
        <v>1.3888888888887729E-3</v>
      </c>
      <c r="S295" s="329">
        <f>(Table5[[#This Row],[Fault Clearance time]]-Table5[[#This Row],[Work Start TimeStamp]])*24</f>
        <v>3.333333333333055E-2</v>
      </c>
      <c r="T295" s="329">
        <f>(Table5[[#This Row],[Fault Clearance time]]-Table5[[#This Row],[Fault Start TimeStamp]])*24</f>
        <v>3.333333333333055E-2</v>
      </c>
      <c r="U295" s="23" t="s">
        <v>950</v>
      </c>
      <c r="V295" s="79" t="s">
        <v>339</v>
      </c>
      <c r="W295" s="289">
        <f>IFERROR(Table5[[#This Row],[Breakdown Time]]*Table5[[#This Row],[Plant Equivalent Weightage]],"")</f>
        <v>7.5757575757569437E-4</v>
      </c>
      <c r="X295" s="289" t="s">
        <v>394</v>
      </c>
      <c r="Y295" s="290" t="s">
        <v>114</v>
      </c>
      <c r="Z295" s="79"/>
      <c r="AA295" s="283">
        <v>48</v>
      </c>
      <c r="AB295" s="79"/>
      <c r="AC295" s="23"/>
      <c r="AD295" s="23"/>
    </row>
    <row r="296" spans="1:30">
      <c r="A296" s="79">
        <f t="shared" si="9"/>
        <v>295</v>
      </c>
      <c r="B296" s="283">
        <f>YEAR(Table5[[#This Row],[Date]])+IF(MONTH(Table5[[#This Row],[Date]])&gt;=4,1,0)</f>
        <v>2026</v>
      </c>
      <c r="C296" s="79">
        <f>YEAR(Table5[[#This Row],[Date]])</f>
        <v>2025</v>
      </c>
      <c r="D296" s="79" t="s">
        <v>344</v>
      </c>
      <c r="E296" s="284">
        <f>Table5[[#This Row],[Date]]-DAY(Table5[[#This Row],[Date]])+1</f>
        <v>45839</v>
      </c>
      <c r="F296" s="285">
        <v>45840</v>
      </c>
      <c r="G296" s="79" t="s">
        <v>117</v>
      </c>
      <c r="H296" s="23" t="str">
        <f>IFERROR(_xlfn.XLOOKUP(Table5[[#This Row],[Affected WTG]],'Basic Data'!$A:$A,'Basic Data'!$B:$B),"")</f>
        <v>PWEPL</v>
      </c>
      <c r="I296" s="23" t="str">
        <f>IFERROR(_xlfn.XLOOKUP(Table5[[#This Row],[Affected WTG]],'Basic Data'!$A:$A,'Basic Data'!$C:$C),"")</f>
        <v>MSEDCL</v>
      </c>
      <c r="J296" s="286">
        <f>IFERROR(_xlfn.XLOOKUP(Table5[[#This Row],[Affected WTG]],'Basic Data'!$A:$A,'Basic Data'!$E:$E),"")</f>
        <v>2.2727272727272728E-2</v>
      </c>
      <c r="K296" s="79">
        <v>3</v>
      </c>
      <c r="L296" s="23" t="str">
        <f>IFERROR(_xlfn.XLOOKUP(Table5[[#This Row],[Error Code]],'Basic Data'!$W:$W,'Basic Data'!$X:$X),"Incorrect Error Code")</f>
        <v>Manual Stop</v>
      </c>
      <c r="M296" s="23" t="s">
        <v>950</v>
      </c>
      <c r="N296" s="23"/>
      <c r="O296" s="344">
        <v>0.64930555555555558</v>
      </c>
      <c r="P296" s="344">
        <v>0.64930555555555558</v>
      </c>
      <c r="Q296" s="344">
        <v>0.65208333333333335</v>
      </c>
      <c r="R296" s="341">
        <f t="shared" si="13"/>
        <v>2.7777777777777679E-3</v>
      </c>
      <c r="S296" s="329">
        <f>(Table5[[#This Row],[Fault Clearance time]]-Table5[[#This Row],[Work Start TimeStamp]])*24</f>
        <v>6.666666666666643E-2</v>
      </c>
      <c r="T296" s="329">
        <f>(Table5[[#This Row],[Fault Clearance time]]-Table5[[#This Row],[Fault Start TimeStamp]])*24</f>
        <v>6.666666666666643E-2</v>
      </c>
      <c r="U296" s="23" t="s">
        <v>950</v>
      </c>
      <c r="V296" s="79" t="s">
        <v>339</v>
      </c>
      <c r="W296" s="289">
        <f>IFERROR(Table5[[#This Row],[Breakdown Time]]*Table5[[#This Row],[Plant Equivalent Weightage]],"")</f>
        <v>1.5151515151515097E-3</v>
      </c>
      <c r="X296" s="289" t="s">
        <v>394</v>
      </c>
      <c r="Y296" s="290" t="s">
        <v>116</v>
      </c>
      <c r="Z296" s="79"/>
      <c r="AA296" s="283">
        <v>96</v>
      </c>
      <c r="AB296" s="79"/>
      <c r="AC296" s="23"/>
      <c r="AD296" s="23"/>
    </row>
    <row r="297" spans="1:30">
      <c r="A297" s="79">
        <f t="shared" si="9"/>
        <v>296</v>
      </c>
      <c r="B297" s="283">
        <f>YEAR(Table5[[#This Row],[Date]])+IF(MONTH(Table5[[#This Row],[Date]])&gt;=4,1,0)</f>
        <v>2026</v>
      </c>
      <c r="C297" s="79">
        <f>YEAR(Table5[[#This Row],[Date]])</f>
        <v>2025</v>
      </c>
      <c r="D297" s="79" t="s">
        <v>344</v>
      </c>
      <c r="E297" s="284">
        <f>Table5[[#This Row],[Date]]-DAY(Table5[[#This Row],[Date]])+1</f>
        <v>45839</v>
      </c>
      <c r="F297" s="285">
        <v>45840</v>
      </c>
      <c r="G297" s="79" t="s">
        <v>103</v>
      </c>
      <c r="H297" s="23" t="str">
        <f>IFERROR(_xlfn.XLOOKUP(Table5[[#This Row],[Affected WTG]],'Basic Data'!$A:$A,'Basic Data'!$B:$B),"")</f>
        <v>PWEPL</v>
      </c>
      <c r="I297" s="23" t="str">
        <f>IFERROR(_xlfn.XLOOKUP(Table5[[#This Row],[Affected WTG]],'Basic Data'!$A:$A,'Basic Data'!$C:$C),"")</f>
        <v>MSEDCL</v>
      </c>
      <c r="J297" s="286">
        <f>IFERROR(_xlfn.XLOOKUP(Table5[[#This Row],[Affected WTG]],'Basic Data'!$A:$A,'Basic Data'!$E:$E),"")</f>
        <v>2.2727272727272728E-2</v>
      </c>
      <c r="K297" s="79">
        <v>3</v>
      </c>
      <c r="L297" s="23" t="str">
        <f>IFERROR(_xlfn.XLOOKUP(Table5[[#This Row],[Error Code]],'Basic Data'!$W:$W,'Basic Data'!$X:$X),"Incorrect Error Code")</f>
        <v>Manual Stop</v>
      </c>
      <c r="M297" s="23" t="s">
        <v>950</v>
      </c>
      <c r="N297" s="23"/>
      <c r="O297" s="344">
        <v>0.67361111111111116</v>
      </c>
      <c r="P297" s="344">
        <v>0.67361111111111116</v>
      </c>
      <c r="Q297" s="344">
        <v>0.67499999999999993</v>
      </c>
      <c r="R297" s="341">
        <f t="shared" si="13"/>
        <v>1.3888888888887729E-3</v>
      </c>
      <c r="S297" s="329">
        <f>(Table5[[#This Row],[Fault Clearance time]]-Table5[[#This Row],[Work Start TimeStamp]])*24</f>
        <v>3.333333333333055E-2</v>
      </c>
      <c r="T297" s="329">
        <f>(Table5[[#This Row],[Fault Clearance time]]-Table5[[#This Row],[Fault Start TimeStamp]])*24</f>
        <v>3.333333333333055E-2</v>
      </c>
      <c r="U297" s="23" t="s">
        <v>950</v>
      </c>
      <c r="V297" s="79" t="s">
        <v>339</v>
      </c>
      <c r="W297" s="289">
        <f>IFERROR(Table5[[#This Row],[Breakdown Time]]*Table5[[#This Row],[Plant Equivalent Weightage]],"")</f>
        <v>7.5757575757569437E-4</v>
      </c>
      <c r="X297" s="289" t="s">
        <v>394</v>
      </c>
      <c r="Y297" s="290" t="s">
        <v>105</v>
      </c>
      <c r="Z297" s="79"/>
      <c r="AA297" s="283">
        <v>48</v>
      </c>
      <c r="AB297" s="79"/>
      <c r="AC297" s="23"/>
      <c r="AD297" s="23"/>
    </row>
    <row r="298" spans="1:30">
      <c r="A298" s="79">
        <f t="shared" si="9"/>
        <v>297</v>
      </c>
      <c r="B298" s="283">
        <f>YEAR(Table5[[#This Row],[Date]])+IF(MONTH(Table5[[#This Row],[Date]])&gt;=4,1,0)</f>
        <v>2026</v>
      </c>
      <c r="C298" s="79">
        <f>YEAR(Table5[[#This Row],[Date]])</f>
        <v>2025</v>
      </c>
      <c r="D298" s="79" t="s">
        <v>344</v>
      </c>
      <c r="E298" s="284">
        <f>Table5[[#This Row],[Date]]-DAY(Table5[[#This Row],[Date]])+1</f>
        <v>45839</v>
      </c>
      <c r="F298" s="285">
        <v>45840</v>
      </c>
      <c r="G298" s="79" t="s">
        <v>105</v>
      </c>
      <c r="H298" s="23" t="str">
        <f>IFERROR(_xlfn.XLOOKUP(Table5[[#This Row],[Affected WTG]],'Basic Data'!$A:$A,'Basic Data'!$B:$B),"")</f>
        <v>PWEPL</v>
      </c>
      <c r="I298" s="23" t="str">
        <f>IFERROR(_xlfn.XLOOKUP(Table5[[#This Row],[Affected WTG]],'Basic Data'!$A:$A,'Basic Data'!$C:$C),"")</f>
        <v>MSEDCL</v>
      </c>
      <c r="J298" s="286">
        <f>IFERROR(_xlfn.XLOOKUP(Table5[[#This Row],[Affected WTG]],'Basic Data'!$A:$A,'Basic Data'!$E:$E),"")</f>
        <v>2.2727272727272728E-2</v>
      </c>
      <c r="K298" s="79">
        <v>3</v>
      </c>
      <c r="L298" s="23" t="str">
        <f>IFERROR(_xlfn.XLOOKUP(Table5[[#This Row],[Error Code]],'Basic Data'!$W:$W,'Basic Data'!$X:$X),"Incorrect Error Code")</f>
        <v>Manual Stop</v>
      </c>
      <c r="M298" s="23" t="s">
        <v>950</v>
      </c>
      <c r="N298" s="23"/>
      <c r="O298" s="344">
        <v>0.68472222222222223</v>
      </c>
      <c r="P298" s="344">
        <v>0.68472222222222223</v>
      </c>
      <c r="Q298" s="344">
        <v>0.68680555555555556</v>
      </c>
      <c r="R298" s="341">
        <f t="shared" si="13"/>
        <v>2.0833333333333259E-3</v>
      </c>
      <c r="S298" s="329">
        <f>(Table5[[#This Row],[Fault Clearance time]]-Table5[[#This Row],[Work Start TimeStamp]])*24</f>
        <v>4.9999999999999822E-2</v>
      </c>
      <c r="T298" s="329">
        <f>(Table5[[#This Row],[Fault Clearance time]]-Table5[[#This Row],[Fault Start TimeStamp]])*24</f>
        <v>4.9999999999999822E-2</v>
      </c>
      <c r="U298" s="23" t="s">
        <v>950</v>
      </c>
      <c r="V298" s="79" t="s">
        <v>339</v>
      </c>
      <c r="W298" s="289">
        <f>IFERROR(Table5[[#This Row],[Breakdown Time]]*Table5[[#This Row],[Plant Equivalent Weightage]],"")</f>
        <v>1.1363636363636324E-3</v>
      </c>
      <c r="X298" s="289" t="s">
        <v>394</v>
      </c>
      <c r="Y298" s="290" t="s">
        <v>103</v>
      </c>
      <c r="Z298" s="79"/>
      <c r="AA298" s="283">
        <v>72</v>
      </c>
      <c r="AB298" s="79"/>
      <c r="AC298" s="23"/>
      <c r="AD298" s="23"/>
    </row>
    <row r="299" spans="1:30">
      <c r="A299" s="79">
        <f t="shared" si="9"/>
        <v>298</v>
      </c>
      <c r="B299" s="283">
        <f>YEAR(Table5[[#This Row],[Date]])+IF(MONTH(Table5[[#This Row],[Date]])&gt;=4,1,0)</f>
        <v>2026</v>
      </c>
      <c r="C299" s="79">
        <f>YEAR(Table5[[#This Row],[Date]])</f>
        <v>2025</v>
      </c>
      <c r="D299" s="79" t="s">
        <v>344</v>
      </c>
      <c r="E299" s="284">
        <f>Table5[[#This Row],[Date]]-DAY(Table5[[#This Row],[Date]])+1</f>
        <v>45839</v>
      </c>
      <c r="F299" s="285">
        <v>45840</v>
      </c>
      <c r="G299" s="79" t="s">
        <v>92</v>
      </c>
      <c r="H299" s="23" t="str">
        <f>IFERROR(_xlfn.XLOOKUP(Table5[[#This Row],[Affected WTG]],'Basic Data'!$A:$A,'Basic Data'!$B:$B),"")</f>
        <v>PWEPL</v>
      </c>
      <c r="I299" s="23" t="str">
        <f>IFERROR(_xlfn.XLOOKUP(Table5[[#This Row],[Affected WTG]],'Basic Data'!$A:$A,'Basic Data'!$C:$C),"")</f>
        <v>MSEDCL</v>
      </c>
      <c r="J299" s="286">
        <f>IFERROR(_xlfn.XLOOKUP(Table5[[#This Row],[Affected WTG]],'Basic Data'!$A:$A,'Basic Data'!$E:$E),"")</f>
        <v>2.2727272727272728E-2</v>
      </c>
      <c r="K299" s="79">
        <v>269</v>
      </c>
      <c r="L299" s="23" t="str">
        <f>IFERROR(_xlfn.XLOOKUP(Table5[[#This Row],[Error Code]],'Basic Data'!$W:$W,'Basic Data'!$X:$X),"Incorrect Error Code")</f>
        <v>Reboot PLC</v>
      </c>
      <c r="M299" s="23" t="s">
        <v>348</v>
      </c>
      <c r="N299" s="23"/>
      <c r="O299" s="344">
        <v>0.65138888888888891</v>
      </c>
      <c r="P299" s="344">
        <v>0.65138888888888891</v>
      </c>
      <c r="Q299" s="344">
        <v>0.67569444444444438</v>
      </c>
      <c r="R299" s="341">
        <f t="shared" si="13"/>
        <v>2.4305555555555469E-2</v>
      </c>
      <c r="S299" s="329">
        <f>(Table5[[#This Row],[Fault Clearance time]]-Table5[[#This Row],[Work Start TimeStamp]])*24</f>
        <v>0.58333333333333126</v>
      </c>
      <c r="T299" s="329">
        <f>(Table5[[#This Row],[Fault Clearance time]]-Table5[[#This Row],[Fault Start TimeStamp]])*24</f>
        <v>0.58333333333333126</v>
      </c>
      <c r="U299" s="23" t="s">
        <v>353</v>
      </c>
      <c r="V299" s="79" t="s">
        <v>339</v>
      </c>
      <c r="W299" s="289">
        <f>IFERROR(Table5[[#This Row],[Breakdown Time]]*Table5[[#This Row],[Plant Equivalent Weightage]],"")</f>
        <v>1.3257575757575711E-2</v>
      </c>
      <c r="X299" s="289" t="s">
        <v>343</v>
      </c>
      <c r="Y299" s="290" t="s">
        <v>91</v>
      </c>
      <c r="Z299" s="79"/>
      <c r="AA299" s="283">
        <v>679</v>
      </c>
      <c r="AB299" s="79"/>
      <c r="AC299" s="23"/>
      <c r="AD299" s="23"/>
    </row>
    <row r="300" spans="1:30">
      <c r="A300" s="79">
        <f t="shared" si="9"/>
        <v>299</v>
      </c>
      <c r="B300" s="283">
        <f>YEAR(Table5[[#This Row],[Date]])+IF(MONTH(Table5[[#This Row],[Date]])&gt;=4,1,0)</f>
        <v>2026</v>
      </c>
      <c r="C300" s="79">
        <f>YEAR(Table5[[#This Row],[Date]])</f>
        <v>2025</v>
      </c>
      <c r="D300" s="79" t="s">
        <v>344</v>
      </c>
      <c r="E300" s="284">
        <f>Table5[[#This Row],[Date]]-DAY(Table5[[#This Row],[Date]])+1</f>
        <v>45839</v>
      </c>
      <c r="F300" s="285">
        <v>45840</v>
      </c>
      <c r="G300" s="79" t="s">
        <v>94</v>
      </c>
      <c r="H300" s="23" t="str">
        <f>IFERROR(_xlfn.XLOOKUP(Table5[[#This Row],[Affected WTG]],'Basic Data'!$A:$A,'Basic Data'!$B:$B),"")</f>
        <v>PWEPL</v>
      </c>
      <c r="I300" s="23" t="str">
        <f>IFERROR(_xlfn.XLOOKUP(Table5[[#This Row],[Affected WTG]],'Basic Data'!$A:$A,'Basic Data'!$C:$C),"")</f>
        <v>MSEDCL</v>
      </c>
      <c r="J300" s="286">
        <f>IFERROR(_xlfn.XLOOKUP(Table5[[#This Row],[Affected WTG]],'Basic Data'!$A:$A,'Basic Data'!$E:$E),"")</f>
        <v>2.2727272727272728E-2</v>
      </c>
      <c r="K300" s="79">
        <v>269</v>
      </c>
      <c r="L300" s="23" t="str">
        <f>IFERROR(_xlfn.XLOOKUP(Table5[[#This Row],[Error Code]],'Basic Data'!$W:$W,'Basic Data'!$X:$X),"Incorrect Error Code")</f>
        <v>Reboot PLC</v>
      </c>
      <c r="M300" s="23" t="s">
        <v>348</v>
      </c>
      <c r="N300" s="23"/>
      <c r="O300" s="344">
        <v>0.65138888888888891</v>
      </c>
      <c r="P300" s="344">
        <v>0.65138888888888891</v>
      </c>
      <c r="Q300" s="344">
        <v>0.67499999999999993</v>
      </c>
      <c r="R300" s="341">
        <f t="shared" ref="R300:R301" si="14">Q300-O300</f>
        <v>2.3611111111111027E-2</v>
      </c>
      <c r="S300" s="329">
        <f>(Table5[[#This Row],[Fault Clearance time]]-Table5[[#This Row],[Work Start TimeStamp]])*24</f>
        <v>0.56666666666666465</v>
      </c>
      <c r="T300" s="329">
        <f>(Table5[[#This Row],[Fault Clearance time]]-Table5[[#This Row],[Fault Start TimeStamp]])*24</f>
        <v>0.56666666666666465</v>
      </c>
      <c r="U300" s="23" t="s">
        <v>353</v>
      </c>
      <c r="V300" s="79" t="s">
        <v>339</v>
      </c>
      <c r="W300" s="289">
        <f>IFERROR(Table5[[#This Row],[Breakdown Time]]*Table5[[#This Row],[Plant Equivalent Weightage]],"")</f>
        <v>1.2878787878787833E-2</v>
      </c>
      <c r="X300" s="289" t="s">
        <v>343</v>
      </c>
      <c r="Y300" s="290" t="s">
        <v>91</v>
      </c>
      <c r="Z300" s="79"/>
      <c r="AA300" s="283">
        <v>679</v>
      </c>
      <c r="AB300" s="79"/>
      <c r="AC300" s="23"/>
      <c r="AD300" s="23"/>
    </row>
    <row r="301" spans="1:30">
      <c r="A301" s="79">
        <f t="shared" si="9"/>
        <v>300</v>
      </c>
      <c r="B301" s="283">
        <f>YEAR(Table5[[#This Row],[Date]])+IF(MONTH(Table5[[#This Row],[Date]])&gt;=4,1,0)</f>
        <v>2026</v>
      </c>
      <c r="C301" s="79">
        <f>YEAR(Table5[[#This Row],[Date]])</f>
        <v>2025</v>
      </c>
      <c r="D301" s="79" t="s">
        <v>344</v>
      </c>
      <c r="E301" s="284">
        <f>Table5[[#This Row],[Date]]-DAY(Table5[[#This Row],[Date]])+1</f>
        <v>45839</v>
      </c>
      <c r="F301" s="285">
        <v>45840</v>
      </c>
      <c r="G301" s="79" t="s">
        <v>106</v>
      </c>
      <c r="H301" s="23" t="str">
        <f>IFERROR(_xlfn.XLOOKUP(Table5[[#This Row],[Affected WTG]],'Basic Data'!$A:$A,'Basic Data'!$B:$B),"")</f>
        <v>PWEPL</v>
      </c>
      <c r="I301" s="23" t="str">
        <f>IFERROR(_xlfn.XLOOKUP(Table5[[#This Row],[Affected WTG]],'Basic Data'!$A:$A,'Basic Data'!$C:$C),"")</f>
        <v>MSEDCL</v>
      </c>
      <c r="J301" s="286">
        <f>IFERROR(_xlfn.XLOOKUP(Table5[[#This Row],[Affected WTG]],'Basic Data'!$A:$A,'Basic Data'!$E:$E),"")</f>
        <v>2.2727272727272728E-2</v>
      </c>
      <c r="K301" s="79">
        <v>269</v>
      </c>
      <c r="L301" s="23" t="str">
        <f>IFERROR(_xlfn.XLOOKUP(Table5[[#This Row],[Error Code]],'Basic Data'!$W:$W,'Basic Data'!$X:$X),"Incorrect Error Code")</f>
        <v>Reboot PLC</v>
      </c>
      <c r="M301" s="23" t="s">
        <v>348</v>
      </c>
      <c r="N301" s="23"/>
      <c r="O301" s="344">
        <v>0.65138888888888891</v>
      </c>
      <c r="P301" s="344">
        <v>0.65138888888888891</v>
      </c>
      <c r="Q301" s="344">
        <v>0.6743055555555556</v>
      </c>
      <c r="R301" s="341">
        <f t="shared" si="14"/>
        <v>2.2916666666666696E-2</v>
      </c>
      <c r="S301" s="329">
        <f>(Table5[[#This Row],[Fault Clearance time]]-Table5[[#This Row],[Work Start TimeStamp]])*24</f>
        <v>0.55000000000000071</v>
      </c>
      <c r="T301" s="329">
        <f>(Table5[[#This Row],[Fault Clearance time]]-Table5[[#This Row],[Fault Start TimeStamp]])*24</f>
        <v>0.55000000000000071</v>
      </c>
      <c r="U301" s="23" t="s">
        <v>353</v>
      </c>
      <c r="V301" s="79" t="s">
        <v>339</v>
      </c>
      <c r="W301" s="289">
        <f>IFERROR(Table5[[#This Row],[Breakdown Time]]*Table5[[#This Row],[Plant Equivalent Weightage]],"")</f>
        <v>1.2500000000000016E-2</v>
      </c>
      <c r="X301" s="289" t="s">
        <v>343</v>
      </c>
      <c r="Y301" s="290" t="s">
        <v>91</v>
      </c>
      <c r="Z301" s="79"/>
      <c r="AA301" s="283">
        <v>679</v>
      </c>
      <c r="AB301" s="79"/>
      <c r="AC301" s="23"/>
      <c r="AD301" s="23"/>
    </row>
    <row r="302" spans="1:30">
      <c r="A302" s="79">
        <f t="shared" si="9"/>
        <v>301</v>
      </c>
      <c r="B302" s="283">
        <f>YEAR(Table5[[#This Row],[Date]])+IF(MONTH(Table5[[#This Row],[Date]])&gt;=4,1,0)</f>
        <v>2026</v>
      </c>
      <c r="C302" s="79">
        <f>YEAR(Table5[[#This Row],[Date]])</f>
        <v>2025</v>
      </c>
      <c r="D302" s="79" t="s">
        <v>344</v>
      </c>
      <c r="E302" s="284">
        <f>Table5[[#This Row],[Date]]-DAY(Table5[[#This Row],[Date]])+1</f>
        <v>45839</v>
      </c>
      <c r="F302" s="285">
        <v>45840</v>
      </c>
      <c r="G302" s="79" t="s">
        <v>104</v>
      </c>
      <c r="H302" s="23" t="str">
        <f>IFERROR(_xlfn.XLOOKUP(Table5[[#This Row],[Affected WTG]],'Basic Data'!$A:$A,'Basic Data'!$B:$B),"")</f>
        <v>PWEPL</v>
      </c>
      <c r="I302" s="23" t="str">
        <f>IFERROR(_xlfn.XLOOKUP(Table5[[#This Row],[Affected WTG]],'Basic Data'!$A:$A,'Basic Data'!$C:$C),"")</f>
        <v>MSEDCL</v>
      </c>
      <c r="J302" s="286">
        <f>IFERROR(_xlfn.XLOOKUP(Table5[[#This Row],[Affected WTG]],'Basic Data'!$A:$A,'Basic Data'!$E:$E),"")</f>
        <v>2.2727272727272728E-2</v>
      </c>
      <c r="K302" s="79">
        <v>269</v>
      </c>
      <c r="L302" s="23" t="str">
        <f>IFERROR(_xlfn.XLOOKUP(Table5[[#This Row],[Error Code]],'Basic Data'!$W:$W,'Basic Data'!$X:$X),"Incorrect Error Code")</f>
        <v>Reboot PLC</v>
      </c>
      <c r="M302" s="23" t="s">
        <v>348</v>
      </c>
      <c r="N302" s="23"/>
      <c r="O302" s="344">
        <v>0.68194444444444446</v>
      </c>
      <c r="P302" s="344">
        <v>0.68194444444444446</v>
      </c>
      <c r="Q302" s="344">
        <v>0.68888888888888899</v>
      </c>
      <c r="R302" s="341">
        <f>Q302-O302</f>
        <v>6.9444444444445308E-3</v>
      </c>
      <c r="S302" s="329">
        <f>(Table5[[#This Row],[Fault Clearance time]]-Table5[[#This Row],[Work Start TimeStamp]])*24</f>
        <v>0.16666666666666874</v>
      </c>
      <c r="T302" s="329">
        <f>(Table5[[#This Row],[Fault Clearance time]]-Table5[[#This Row],[Fault Start TimeStamp]])*24</f>
        <v>0.16666666666666874</v>
      </c>
      <c r="U302" s="23" t="s">
        <v>353</v>
      </c>
      <c r="V302" s="79" t="s">
        <v>339</v>
      </c>
      <c r="W302" s="289">
        <f>IFERROR(Table5[[#This Row],[Breakdown Time]]*Table5[[#This Row],[Plant Equivalent Weightage]],"")</f>
        <v>3.7878787878788353E-3</v>
      </c>
      <c r="X302" s="289" t="s">
        <v>343</v>
      </c>
      <c r="Y302" s="290" t="s">
        <v>79</v>
      </c>
      <c r="Z302" s="79"/>
      <c r="AA302" s="283">
        <v>13</v>
      </c>
      <c r="AB302" s="79"/>
      <c r="AC302" s="23"/>
      <c r="AD302" s="23"/>
    </row>
    <row r="303" spans="1:30">
      <c r="A303" s="79">
        <f t="shared" si="9"/>
        <v>302</v>
      </c>
      <c r="B303" s="283">
        <f>YEAR(Table5[[#This Row],[Date]])+IF(MONTH(Table5[[#This Row],[Date]])&gt;=4,1,0)</f>
        <v>2026</v>
      </c>
      <c r="C303" s="79">
        <f>YEAR(Table5[[#This Row],[Date]])</f>
        <v>2025</v>
      </c>
      <c r="D303" s="79" t="s">
        <v>344</v>
      </c>
      <c r="E303" s="284">
        <f>Table5[[#This Row],[Date]]-DAY(Table5[[#This Row],[Date]])+1</f>
        <v>45839</v>
      </c>
      <c r="F303" s="285">
        <v>45841</v>
      </c>
      <c r="G303" s="79" t="s">
        <v>109</v>
      </c>
      <c r="H303" s="23" t="str">
        <f>IFERROR(_xlfn.XLOOKUP(Table5[[#This Row],[Affected WTG]],'Basic Data'!$A:$A,'Basic Data'!$B:$B),"")</f>
        <v>PWEPL</v>
      </c>
      <c r="I303" s="23" t="str">
        <f>IFERROR(_xlfn.XLOOKUP(Table5[[#This Row],[Affected WTG]],'Basic Data'!$A:$A,'Basic Data'!$C:$C),"")</f>
        <v>MSEDCL</v>
      </c>
      <c r="J303" s="286">
        <f>IFERROR(_xlfn.XLOOKUP(Table5[[#This Row],[Affected WTG]],'Basic Data'!$A:$A,'Basic Data'!$E:$E),"")</f>
        <v>2.2727272727272728E-2</v>
      </c>
      <c r="K303" s="79">
        <v>3</v>
      </c>
      <c r="L303" s="23" t="str">
        <f>IFERROR(_xlfn.XLOOKUP(Table5[[#This Row],[Error Code]],'Basic Data'!$W:$W,'Basic Data'!$X:$X),"Incorrect Error Code")</f>
        <v>Manual Stop</v>
      </c>
      <c r="M303" s="23" t="s">
        <v>375</v>
      </c>
      <c r="N303" s="23"/>
      <c r="O303" s="287">
        <v>0.50624999999999998</v>
      </c>
      <c r="P303" s="287">
        <v>0.50624999999999998</v>
      </c>
      <c r="Q303" s="287">
        <v>0.52777777777777779</v>
      </c>
      <c r="R303" s="341">
        <f t="shared" ref="R303:R310" si="15">Q303-O303</f>
        <v>2.1527777777777812E-2</v>
      </c>
      <c r="S303" s="329">
        <f>(Table5[[#This Row],[Fault Clearance time]]-Table5[[#This Row],[Work Start TimeStamp]])*24</f>
        <v>0.5166666666666675</v>
      </c>
      <c r="T303" s="329">
        <f>(Table5[[#This Row],[Fault Clearance time]]-Table5[[#This Row],[Fault Start TimeStamp]])*24</f>
        <v>0.5166666666666675</v>
      </c>
      <c r="U303" s="23" t="s">
        <v>968</v>
      </c>
      <c r="V303" s="79" t="s">
        <v>339</v>
      </c>
      <c r="W303" s="289">
        <f>IFERROR(Table5[[#This Row],[Breakdown Time]]*Table5[[#This Row],[Plant Equivalent Weightage]],"")</f>
        <v>1.1742424242424261E-2</v>
      </c>
      <c r="X303" s="289" t="s">
        <v>343</v>
      </c>
      <c r="Y303" s="290" t="s">
        <v>114</v>
      </c>
      <c r="Z303" s="79"/>
      <c r="AA303" s="283">
        <v>980</v>
      </c>
      <c r="AB303" s="79"/>
      <c r="AC303" s="23"/>
      <c r="AD303" s="23"/>
    </row>
    <row r="304" spans="1:30">
      <c r="A304" s="79">
        <f t="shared" si="9"/>
        <v>303</v>
      </c>
      <c r="B304" s="283">
        <f>YEAR(Table5[[#This Row],[Date]])+IF(MONTH(Table5[[#This Row],[Date]])&gt;=4,1,0)</f>
        <v>2026</v>
      </c>
      <c r="C304" s="79">
        <f>YEAR(Table5[[#This Row],[Date]])</f>
        <v>2025</v>
      </c>
      <c r="D304" s="79" t="s">
        <v>344</v>
      </c>
      <c r="E304" s="284">
        <f>Table5[[#This Row],[Date]]-DAY(Table5[[#This Row],[Date]])+1</f>
        <v>45839</v>
      </c>
      <c r="F304" s="285">
        <v>45841</v>
      </c>
      <c r="G304" s="79" t="s">
        <v>109</v>
      </c>
      <c r="H304" s="23" t="str">
        <f>IFERROR(_xlfn.XLOOKUP(Table5[[#This Row],[Affected WTG]],'Basic Data'!$A:$A,'Basic Data'!$B:$B),"")</f>
        <v>PWEPL</v>
      </c>
      <c r="I304" s="23" t="str">
        <f>IFERROR(_xlfn.XLOOKUP(Table5[[#This Row],[Affected WTG]],'Basic Data'!$A:$A,'Basic Data'!$C:$C),"")</f>
        <v>MSEDCL</v>
      </c>
      <c r="J304" s="286">
        <f>IFERROR(_xlfn.XLOOKUP(Table5[[#This Row],[Affected WTG]],'Basic Data'!$A:$A,'Basic Data'!$E:$E),"")</f>
        <v>2.2727272727272728E-2</v>
      </c>
      <c r="K304" s="79">
        <v>3</v>
      </c>
      <c r="L304" s="23" t="str">
        <f>IFERROR(_xlfn.XLOOKUP(Table5[[#This Row],[Error Code]],'Basic Data'!$W:$W,'Basic Data'!$X:$X),"Incorrect Error Code")</f>
        <v>Manual Stop</v>
      </c>
      <c r="M304" s="23" t="s">
        <v>950</v>
      </c>
      <c r="N304" s="23"/>
      <c r="O304" s="287">
        <v>0.52777777777777779</v>
      </c>
      <c r="P304" s="287">
        <v>0.52777777777777779</v>
      </c>
      <c r="Q304" s="287">
        <v>0.52986111111111112</v>
      </c>
      <c r="R304" s="341">
        <f>Q304-O304</f>
        <v>2.0833333333333259E-3</v>
      </c>
      <c r="S304" s="329">
        <f>(Table5[[#This Row],[Fault Clearance time]]-Table5[[#This Row],[Work Start TimeStamp]])*24</f>
        <v>4.9999999999999822E-2</v>
      </c>
      <c r="T304" s="329">
        <f>(Table5[[#This Row],[Fault Clearance time]]-Table5[[#This Row],[Fault Start TimeStamp]])*24</f>
        <v>4.9999999999999822E-2</v>
      </c>
      <c r="U304" s="23" t="s">
        <v>950</v>
      </c>
      <c r="V304" s="79" t="s">
        <v>339</v>
      </c>
      <c r="W304" s="289">
        <f>IFERROR(Table5[[#This Row],[Breakdown Time]]*Table5[[#This Row],[Plant Equivalent Weightage]],"")</f>
        <v>1.1363636363636324E-3</v>
      </c>
      <c r="X304" s="289" t="s">
        <v>394</v>
      </c>
      <c r="Y304" s="290" t="s">
        <v>114</v>
      </c>
      <c r="Z304" s="79"/>
      <c r="AA304" s="283">
        <v>89</v>
      </c>
      <c r="AB304" s="79"/>
      <c r="AC304" s="23"/>
      <c r="AD304" s="23"/>
    </row>
    <row r="305" spans="1:30">
      <c r="A305" s="79">
        <f t="shared" si="9"/>
        <v>304</v>
      </c>
      <c r="B305" s="283">
        <f>YEAR(Table5[[#This Row],[Date]])+IF(MONTH(Table5[[#This Row],[Date]])&gt;=4,1,0)</f>
        <v>2026</v>
      </c>
      <c r="C305" s="79">
        <f>YEAR(Table5[[#This Row],[Date]])</f>
        <v>2025</v>
      </c>
      <c r="D305" s="79" t="s">
        <v>344</v>
      </c>
      <c r="E305" s="284">
        <f>Table5[[#This Row],[Date]]-DAY(Table5[[#This Row],[Date]])+1</f>
        <v>45839</v>
      </c>
      <c r="F305" s="285">
        <v>45841</v>
      </c>
      <c r="G305" s="79" t="s">
        <v>108</v>
      </c>
      <c r="H305" s="23" t="str">
        <f>IFERROR(_xlfn.XLOOKUP(Table5[[#This Row],[Affected WTG]],'Basic Data'!$A:$A,'Basic Data'!$B:$B),"")</f>
        <v>PWEPL</v>
      </c>
      <c r="I305" s="23" t="str">
        <f>IFERROR(_xlfn.XLOOKUP(Table5[[#This Row],[Affected WTG]],'Basic Data'!$A:$A,'Basic Data'!$C:$C),"")</f>
        <v>MSEDCL</v>
      </c>
      <c r="J305" s="286">
        <f>IFERROR(_xlfn.XLOOKUP(Table5[[#This Row],[Affected WTG]],'Basic Data'!$A:$A,'Basic Data'!$E:$E),"")</f>
        <v>2.2727272727272728E-2</v>
      </c>
      <c r="K305" s="79">
        <v>3</v>
      </c>
      <c r="L305" s="23" t="str">
        <f>IFERROR(_xlfn.XLOOKUP(Table5[[#This Row],[Error Code]],'Basic Data'!$W:$W,'Basic Data'!$X:$X),"Incorrect Error Code")</f>
        <v>Manual Stop</v>
      </c>
      <c r="M305" s="23" t="s">
        <v>954</v>
      </c>
      <c r="N305" s="23"/>
      <c r="O305" s="287">
        <v>0.59722222222222221</v>
      </c>
      <c r="P305" s="287">
        <v>0.59722222222222221</v>
      </c>
      <c r="Q305" s="287">
        <v>0.62569444444444444</v>
      </c>
      <c r="R305" s="341">
        <f t="shared" si="15"/>
        <v>2.8472222222222232E-2</v>
      </c>
      <c r="S305" s="329">
        <f>(Table5[[#This Row],[Fault Clearance time]]-Table5[[#This Row],[Work Start TimeStamp]])*24</f>
        <v>0.68333333333333357</v>
      </c>
      <c r="T305" s="329">
        <f>(Table5[[#This Row],[Fault Clearance time]]-Table5[[#This Row],[Fault Start TimeStamp]])*24</f>
        <v>0.68333333333333357</v>
      </c>
      <c r="U305" s="23" t="s">
        <v>970</v>
      </c>
      <c r="V305" s="79" t="s">
        <v>339</v>
      </c>
      <c r="W305" s="289">
        <f>IFERROR(Table5[[#This Row],[Breakdown Time]]*Table5[[#This Row],[Plant Equivalent Weightage]],"")</f>
        <v>1.5530303030303037E-2</v>
      </c>
      <c r="X305" s="289" t="s">
        <v>394</v>
      </c>
      <c r="Y305" s="290" t="s">
        <v>80</v>
      </c>
      <c r="Z305" s="79"/>
      <c r="AA305" s="283">
        <v>1200</v>
      </c>
      <c r="AB305" s="79"/>
      <c r="AC305" s="23"/>
      <c r="AD305" s="23"/>
    </row>
    <row r="306" spans="1:30">
      <c r="A306" s="79">
        <f t="shared" si="9"/>
        <v>305</v>
      </c>
      <c r="B306" s="283">
        <f>YEAR(Table5[[#This Row],[Date]])+IF(MONTH(Table5[[#This Row],[Date]])&gt;=4,1,0)</f>
        <v>2026</v>
      </c>
      <c r="C306" s="79">
        <f>YEAR(Table5[[#This Row],[Date]])</f>
        <v>2025</v>
      </c>
      <c r="D306" s="79" t="s">
        <v>344</v>
      </c>
      <c r="E306" s="284">
        <f>Table5[[#This Row],[Date]]-DAY(Table5[[#This Row],[Date]])+1</f>
        <v>45839</v>
      </c>
      <c r="F306" s="285">
        <v>45841</v>
      </c>
      <c r="G306" s="79" t="s">
        <v>108</v>
      </c>
      <c r="H306" s="23" t="str">
        <f>IFERROR(_xlfn.XLOOKUP(Table5[[#This Row],[Affected WTG]],'Basic Data'!$A:$A,'Basic Data'!$B:$B),"")</f>
        <v>PWEPL</v>
      </c>
      <c r="I306" s="23" t="str">
        <f>IFERROR(_xlfn.XLOOKUP(Table5[[#This Row],[Affected WTG]],'Basic Data'!$A:$A,'Basic Data'!$C:$C),"")</f>
        <v>MSEDCL</v>
      </c>
      <c r="J306" s="286">
        <f>IFERROR(_xlfn.XLOOKUP(Table5[[#This Row],[Affected WTG]],'Basic Data'!$A:$A,'Basic Data'!$E:$E),"")</f>
        <v>2.2727272727272728E-2</v>
      </c>
      <c r="K306" s="79">
        <v>3</v>
      </c>
      <c r="L306" s="23" t="str">
        <f>IFERROR(_xlfn.XLOOKUP(Table5[[#This Row],[Error Code]],'Basic Data'!$W:$W,'Basic Data'!$X:$X),"Incorrect Error Code")</f>
        <v>Manual Stop</v>
      </c>
      <c r="M306" s="23" t="s">
        <v>950</v>
      </c>
      <c r="N306" s="23"/>
      <c r="O306" s="287">
        <v>0.62569444444444444</v>
      </c>
      <c r="P306" s="287">
        <v>0.62569444444444444</v>
      </c>
      <c r="Q306" s="287">
        <v>0.62847222222222221</v>
      </c>
      <c r="R306" s="341">
        <f>Q306-O306</f>
        <v>2.7777777777777679E-3</v>
      </c>
      <c r="S306" s="329">
        <f>(Table5[[#This Row],[Fault Clearance time]]-Table5[[#This Row],[Work Start TimeStamp]])*24</f>
        <v>6.666666666666643E-2</v>
      </c>
      <c r="T306" s="329">
        <f>(Table5[[#This Row],[Fault Clearance time]]-Table5[[#This Row],[Fault Start TimeStamp]])*24</f>
        <v>6.666666666666643E-2</v>
      </c>
      <c r="U306" s="23" t="s">
        <v>950</v>
      </c>
      <c r="V306" s="79" t="s">
        <v>339</v>
      </c>
      <c r="W306" s="289">
        <f>IFERROR(Table5[[#This Row],[Breakdown Time]]*Table5[[#This Row],[Plant Equivalent Weightage]],"")</f>
        <v>1.5151515151515097E-3</v>
      </c>
      <c r="X306" s="289" t="s">
        <v>394</v>
      </c>
      <c r="Y306" s="290" t="s">
        <v>80</v>
      </c>
      <c r="Z306" s="79"/>
      <c r="AA306" s="283">
        <v>89</v>
      </c>
      <c r="AB306" s="79"/>
      <c r="AC306" s="23"/>
      <c r="AD306" s="23"/>
    </row>
    <row r="307" spans="1:30">
      <c r="A307" s="79">
        <f t="shared" si="9"/>
        <v>306</v>
      </c>
      <c r="B307" s="283">
        <f>YEAR(Table5[[#This Row],[Date]])+IF(MONTH(Table5[[#This Row],[Date]])&gt;=4,1,0)</f>
        <v>2026</v>
      </c>
      <c r="C307" s="79">
        <f>YEAR(Table5[[#This Row],[Date]])</f>
        <v>2025</v>
      </c>
      <c r="D307" s="79" t="s">
        <v>344</v>
      </c>
      <c r="E307" s="284">
        <f>Table5[[#This Row],[Date]]-DAY(Table5[[#This Row],[Date]])+1</f>
        <v>45839</v>
      </c>
      <c r="F307" s="285">
        <v>45841</v>
      </c>
      <c r="G307" s="79" t="s">
        <v>80</v>
      </c>
      <c r="H307" s="23" t="str">
        <f>IFERROR(_xlfn.XLOOKUP(Table5[[#This Row],[Affected WTG]],'Basic Data'!$A:$A,'Basic Data'!$B:$B),"")</f>
        <v>PWEPL</v>
      </c>
      <c r="I307" s="23" t="str">
        <f>IFERROR(_xlfn.XLOOKUP(Table5[[#This Row],[Affected WTG]],'Basic Data'!$A:$A,'Basic Data'!$C:$C),"")</f>
        <v>MSEDCL</v>
      </c>
      <c r="J307" s="286">
        <f>IFERROR(_xlfn.XLOOKUP(Table5[[#This Row],[Affected WTG]],'Basic Data'!$A:$A,'Basic Data'!$E:$E),"")</f>
        <v>2.2727272727272728E-2</v>
      </c>
      <c r="K307" s="79">
        <v>3</v>
      </c>
      <c r="L307" s="23" t="str">
        <f>IFERROR(_xlfn.XLOOKUP(Table5[[#This Row],[Error Code]],'Basic Data'!$W:$W,'Basic Data'!$X:$X),"Incorrect Error Code")</f>
        <v>Manual Stop</v>
      </c>
      <c r="M307" s="23" t="s">
        <v>950</v>
      </c>
      <c r="N307" s="23"/>
      <c r="O307" s="287">
        <v>0.54375000000000007</v>
      </c>
      <c r="P307" s="287">
        <v>0.54375000000000007</v>
      </c>
      <c r="Q307" s="287">
        <v>0.54652777777777783</v>
      </c>
      <c r="R307" s="341">
        <f t="shared" si="15"/>
        <v>2.7777777777777679E-3</v>
      </c>
      <c r="S307" s="329">
        <f>(Table5[[#This Row],[Fault Clearance time]]-Table5[[#This Row],[Work Start TimeStamp]])*24</f>
        <v>6.666666666666643E-2</v>
      </c>
      <c r="T307" s="329">
        <f>(Table5[[#This Row],[Fault Clearance time]]-Table5[[#This Row],[Fault Start TimeStamp]])*24</f>
        <v>6.666666666666643E-2</v>
      </c>
      <c r="U307" s="23" t="s">
        <v>950</v>
      </c>
      <c r="V307" s="79" t="s">
        <v>339</v>
      </c>
      <c r="W307" s="289">
        <f>IFERROR(Table5[[#This Row],[Breakdown Time]]*Table5[[#This Row],[Plant Equivalent Weightage]],"")</f>
        <v>1.5151515151515097E-3</v>
      </c>
      <c r="X307" s="289" t="s">
        <v>394</v>
      </c>
      <c r="Y307" s="290" t="s">
        <v>108</v>
      </c>
      <c r="Z307" s="79"/>
      <c r="AA307" s="283">
        <v>95</v>
      </c>
      <c r="AB307" s="79"/>
      <c r="AC307" s="23"/>
      <c r="AD307" s="23"/>
    </row>
    <row r="308" spans="1:30">
      <c r="A308" s="79">
        <f t="shared" si="9"/>
        <v>307</v>
      </c>
      <c r="B308" s="283">
        <f>YEAR(Table5[[#This Row],[Date]])+IF(MONTH(Table5[[#This Row],[Date]])&gt;=4,1,0)</f>
        <v>2026</v>
      </c>
      <c r="C308" s="79">
        <f>YEAR(Table5[[#This Row],[Date]])</f>
        <v>2025</v>
      </c>
      <c r="D308" s="79" t="s">
        <v>344</v>
      </c>
      <c r="E308" s="284">
        <f>Table5[[#This Row],[Date]]-DAY(Table5[[#This Row],[Date]])+1</f>
        <v>45839</v>
      </c>
      <c r="F308" s="285">
        <v>45841</v>
      </c>
      <c r="G308" s="79" t="s">
        <v>107</v>
      </c>
      <c r="H308" s="23" t="str">
        <f>IFERROR(_xlfn.XLOOKUP(Table5[[#This Row],[Affected WTG]],'Basic Data'!$A:$A,'Basic Data'!$B:$B),"")</f>
        <v>PWEPL</v>
      </c>
      <c r="I308" s="23" t="str">
        <f>IFERROR(_xlfn.XLOOKUP(Table5[[#This Row],[Affected WTG]],'Basic Data'!$A:$A,'Basic Data'!$C:$C),"")</f>
        <v>MSEDCL</v>
      </c>
      <c r="J308" s="286">
        <f>IFERROR(_xlfn.XLOOKUP(Table5[[#This Row],[Affected WTG]],'Basic Data'!$A:$A,'Basic Data'!$E:$E),"")</f>
        <v>2.2727272727272728E-2</v>
      </c>
      <c r="K308" s="79">
        <v>3</v>
      </c>
      <c r="L308" s="23" t="str">
        <f>IFERROR(_xlfn.XLOOKUP(Table5[[#This Row],[Error Code]],'Basic Data'!$W:$W,'Basic Data'!$X:$X),"Incorrect Error Code")</f>
        <v>Manual Stop</v>
      </c>
      <c r="M308" s="23" t="s">
        <v>950</v>
      </c>
      <c r="N308" s="23"/>
      <c r="O308" s="287">
        <v>0.5625</v>
      </c>
      <c r="P308" s="287">
        <v>0.5625</v>
      </c>
      <c r="Q308" s="287">
        <v>0.56527777777777777</v>
      </c>
      <c r="R308" s="341">
        <f>Q308-O308</f>
        <v>2.7777777777777679E-3</v>
      </c>
      <c r="S308" s="329">
        <f>(Table5[[#This Row],[Fault Clearance time]]-Table5[[#This Row],[Work Start TimeStamp]])*24</f>
        <v>6.666666666666643E-2</v>
      </c>
      <c r="T308" s="329">
        <f>(Table5[[#This Row],[Fault Clearance time]]-Table5[[#This Row],[Fault Start TimeStamp]])*24</f>
        <v>6.666666666666643E-2</v>
      </c>
      <c r="U308" s="23" t="s">
        <v>950</v>
      </c>
      <c r="V308" s="79" t="s">
        <v>339</v>
      </c>
      <c r="W308" s="289">
        <f>IFERROR(Table5[[#This Row],[Breakdown Time]]*Table5[[#This Row],[Plant Equivalent Weightage]],"")</f>
        <v>1.5151515151515097E-3</v>
      </c>
      <c r="X308" s="289" t="s">
        <v>394</v>
      </c>
      <c r="Y308" s="290" t="s">
        <v>80</v>
      </c>
      <c r="Z308" s="79"/>
      <c r="AA308" s="283">
        <v>95</v>
      </c>
      <c r="AB308" s="79"/>
      <c r="AC308" s="23"/>
      <c r="AD308" s="23"/>
    </row>
    <row r="309" spans="1:30">
      <c r="A309" s="79">
        <f t="shared" si="9"/>
        <v>308</v>
      </c>
      <c r="B309" s="283">
        <f>YEAR(Table5[[#This Row],[Date]])+IF(MONTH(Table5[[#This Row],[Date]])&gt;=4,1,0)</f>
        <v>2026</v>
      </c>
      <c r="C309" s="79">
        <f>YEAR(Table5[[#This Row],[Date]])</f>
        <v>2025</v>
      </c>
      <c r="D309" s="79" t="s">
        <v>344</v>
      </c>
      <c r="E309" s="284">
        <f>Table5[[#This Row],[Date]]-DAY(Table5[[#This Row],[Date]])+1</f>
        <v>45839</v>
      </c>
      <c r="F309" s="285">
        <v>45841</v>
      </c>
      <c r="G309" s="79" t="s">
        <v>86</v>
      </c>
      <c r="H309" s="23" t="str">
        <f>IFERROR(_xlfn.XLOOKUP(Table5[[#This Row],[Affected WTG]],'Basic Data'!$A:$A,'Basic Data'!$B:$B),"")</f>
        <v>PWEPL</v>
      </c>
      <c r="I309" s="23" t="str">
        <f>IFERROR(_xlfn.XLOOKUP(Table5[[#This Row],[Affected WTG]],'Basic Data'!$A:$A,'Basic Data'!$C:$C),"")</f>
        <v>MSEDCL</v>
      </c>
      <c r="J309" s="286">
        <f>IFERROR(_xlfn.XLOOKUP(Table5[[#This Row],[Affected WTG]],'Basic Data'!$A:$A,'Basic Data'!$E:$E),"")</f>
        <v>2.2727272727272728E-2</v>
      </c>
      <c r="K309" s="79">
        <v>276</v>
      </c>
      <c r="L309" s="23" t="str">
        <f>IFERROR(_xlfn.XLOOKUP(Table5[[#This Row],[Error Code]],'Basic Data'!$W:$W,'Basic Data'!$X:$X),"Incorrect Error Code")</f>
        <v>Pitch thyristor 3 fault</v>
      </c>
      <c r="M309" s="23" t="s">
        <v>153</v>
      </c>
      <c r="N309" s="23"/>
      <c r="O309" s="287">
        <v>0.91041666666666676</v>
      </c>
      <c r="P309" s="287">
        <v>0.91041666666666676</v>
      </c>
      <c r="Q309" s="287">
        <v>0.91736111111111107</v>
      </c>
      <c r="R309" s="341">
        <f t="shared" si="15"/>
        <v>6.9444444444443088E-3</v>
      </c>
      <c r="S309" s="329">
        <f>(Table5[[#This Row],[Fault Clearance time]]-Table5[[#This Row],[Work Start TimeStamp]])*24</f>
        <v>0.16666666666666341</v>
      </c>
      <c r="T309" s="329">
        <f>(Table5[[#This Row],[Fault Clearance time]]-Table5[[#This Row],[Fault Start TimeStamp]])*24</f>
        <v>0.16666666666666341</v>
      </c>
      <c r="U309" s="23" t="s">
        <v>353</v>
      </c>
      <c r="V309" s="79" t="s">
        <v>339</v>
      </c>
      <c r="W309" s="289">
        <f>IFERROR(Table5[[#This Row],[Breakdown Time]]*Table5[[#This Row],[Plant Equivalent Weightage]],"")</f>
        <v>3.7878787878787138E-3</v>
      </c>
      <c r="X309" s="289" t="s">
        <v>343</v>
      </c>
      <c r="Y309" s="290" t="s">
        <v>85</v>
      </c>
      <c r="Z309" s="79"/>
      <c r="AA309" s="283">
        <v>509</v>
      </c>
      <c r="AB309" s="79"/>
      <c r="AC309" s="23"/>
      <c r="AD309" s="23"/>
    </row>
    <row r="310" spans="1:30">
      <c r="A310" s="79">
        <f t="shared" si="9"/>
        <v>309</v>
      </c>
      <c r="B310" s="283">
        <f>YEAR(Table5[[#This Row],[Date]])+IF(MONTH(Table5[[#This Row],[Date]])&gt;=4,1,0)</f>
        <v>2026</v>
      </c>
      <c r="C310" s="79">
        <f>YEAR(Table5[[#This Row],[Date]])</f>
        <v>2025</v>
      </c>
      <c r="D310" s="79" t="s">
        <v>344</v>
      </c>
      <c r="E310" s="284">
        <f>Table5[[#This Row],[Date]]-DAY(Table5[[#This Row],[Date]])+1</f>
        <v>45839</v>
      </c>
      <c r="F310" s="285">
        <v>45841</v>
      </c>
      <c r="G310" s="79" t="s">
        <v>85</v>
      </c>
      <c r="H310" s="23" t="str">
        <f>IFERROR(_xlfn.XLOOKUP(Table5[[#This Row],[Affected WTG]],'Basic Data'!$A:$A,'Basic Data'!$B:$B),"")</f>
        <v>PWEPL</v>
      </c>
      <c r="I310" s="23" t="str">
        <f>IFERROR(_xlfn.XLOOKUP(Table5[[#This Row],[Affected WTG]],'Basic Data'!$A:$A,'Basic Data'!$C:$C),"")</f>
        <v>MSEDCL</v>
      </c>
      <c r="J310" s="286">
        <f>IFERROR(_xlfn.XLOOKUP(Table5[[#This Row],[Affected WTG]],'Basic Data'!$A:$A,'Basic Data'!$E:$E),"")</f>
        <v>2.2727272727272728E-2</v>
      </c>
      <c r="K310" s="79">
        <v>201</v>
      </c>
      <c r="L310" s="23" t="str">
        <f>IFERROR(_xlfn.XLOOKUP(Table5[[#This Row],[Error Code]],'Basic Data'!$W:$W,'Basic Data'!$X:$X),"Incorrect Error Code")</f>
        <v xml:space="preserve"> PLC fault 24V Supply</v>
      </c>
      <c r="M310" s="23" t="s">
        <v>967</v>
      </c>
      <c r="N310" s="23"/>
      <c r="O310" s="287">
        <v>0.63611111111111118</v>
      </c>
      <c r="P310" s="287">
        <v>0.63611111111111118</v>
      </c>
      <c r="Q310" s="287">
        <v>0.65902777777777777</v>
      </c>
      <c r="R310" s="341">
        <f t="shared" si="15"/>
        <v>2.2916666666666585E-2</v>
      </c>
      <c r="S310" s="329">
        <f>(Table5[[#This Row],[Fault Clearance time]]-Table5[[#This Row],[Work Start TimeStamp]])*24</f>
        <v>0.54999999999999805</v>
      </c>
      <c r="T310" s="329">
        <f>(Table5[[#This Row],[Fault Clearance time]]-Table5[[#This Row],[Fault Start TimeStamp]])*24</f>
        <v>0.54999999999999805</v>
      </c>
      <c r="U310" s="23" t="s">
        <v>969</v>
      </c>
      <c r="V310" s="79" t="s">
        <v>339</v>
      </c>
      <c r="W310" s="289">
        <f>IFERROR(Table5[[#This Row],[Breakdown Time]]*Table5[[#This Row],[Plant Equivalent Weightage]],"")</f>
        <v>1.2499999999999956E-2</v>
      </c>
      <c r="X310" s="289" t="s">
        <v>343</v>
      </c>
      <c r="Y310" s="290" t="s">
        <v>84</v>
      </c>
      <c r="Z310" s="79"/>
      <c r="AA310" s="283">
        <v>449</v>
      </c>
      <c r="AB310" s="79"/>
      <c r="AC310" s="23"/>
      <c r="AD310" s="23"/>
    </row>
    <row r="311" spans="1:30">
      <c r="A311" s="79">
        <f t="shared" si="9"/>
        <v>310</v>
      </c>
      <c r="B311" s="283">
        <f>YEAR(Table5[[#This Row],[Date]])+IF(MONTH(Table5[[#This Row],[Date]])&gt;=4,1,0)</f>
        <v>2026</v>
      </c>
      <c r="C311" s="79">
        <f>YEAR(Table5[[#This Row],[Date]])</f>
        <v>2025</v>
      </c>
      <c r="D311" s="79" t="s">
        <v>344</v>
      </c>
      <c r="E311" s="284">
        <f>Table5[[#This Row],[Date]]-DAY(Table5[[#This Row],[Date]])+1</f>
        <v>45839</v>
      </c>
      <c r="F311" s="285">
        <v>45842</v>
      </c>
      <c r="G311" s="79" t="s">
        <v>77</v>
      </c>
      <c r="H311" s="23" t="str">
        <f>IFERROR(_xlfn.XLOOKUP(Table5[[#This Row],[Affected WTG]],'Basic Data'!$A:$A,'Basic Data'!$B:$B),"")</f>
        <v>PWEPL</v>
      </c>
      <c r="I311" s="23" t="str">
        <f>IFERROR(_xlfn.XLOOKUP(Table5[[#This Row],[Affected WTG]],'Basic Data'!$A:$A,'Basic Data'!$C:$C),"")</f>
        <v>MSEDCL</v>
      </c>
      <c r="J311" s="286">
        <f>IFERROR(_xlfn.XLOOKUP(Table5[[#This Row],[Affected WTG]],'Basic Data'!$A:$A,'Basic Data'!$E:$E),"")</f>
        <v>2.2727272727272728E-2</v>
      </c>
      <c r="K311" s="79">
        <v>3</v>
      </c>
      <c r="L311" s="23" t="str">
        <f>IFERROR(_xlfn.XLOOKUP(Table5[[#This Row],[Error Code]],'Basic Data'!$W:$W,'Basic Data'!$X:$X),"Incorrect Error Code")</f>
        <v>Manual Stop</v>
      </c>
      <c r="M311" s="23" t="s">
        <v>950</v>
      </c>
      <c r="N311" s="23"/>
      <c r="O311" s="287">
        <v>0.625</v>
      </c>
      <c r="P311" s="287">
        <v>0.625</v>
      </c>
      <c r="Q311" s="287">
        <v>0.62777777777777777</v>
      </c>
      <c r="R311" s="341">
        <f t="shared" ref="R311:R316" si="16">Q311-O311</f>
        <v>2.7777777777777679E-3</v>
      </c>
      <c r="S311" s="353">
        <f>(Table5[[#This Row],[Fault Clearance time]]-Table5[[#This Row],[Work Start TimeStamp]])*24</f>
        <v>6.666666666666643E-2</v>
      </c>
      <c r="T311" s="353">
        <f>(Table5[[#This Row],[Fault Clearance time]]-Table5[[#This Row],[Fault Start TimeStamp]])*24</f>
        <v>6.666666666666643E-2</v>
      </c>
      <c r="U311" s="23" t="s">
        <v>950</v>
      </c>
      <c r="V311" s="79" t="s">
        <v>339</v>
      </c>
      <c r="W311" s="354">
        <f>IFERROR(Table5[[#This Row],[Breakdown Time]]*Table5[[#This Row],[Plant Equivalent Weightage]],"")</f>
        <v>1.5151515151515097E-3</v>
      </c>
      <c r="X311" s="289" t="s">
        <v>394</v>
      </c>
      <c r="Y311" s="290" t="s">
        <v>93</v>
      </c>
      <c r="Z311" s="79"/>
      <c r="AA311" s="283">
        <v>93</v>
      </c>
      <c r="AB311" s="79"/>
      <c r="AC311" s="23"/>
      <c r="AD311" s="23"/>
    </row>
    <row r="312" spans="1:30">
      <c r="A312" s="79">
        <f t="shared" si="9"/>
        <v>311</v>
      </c>
      <c r="B312" s="283">
        <f>YEAR(Table5[[#This Row],[Date]])+IF(MONTH(Table5[[#This Row],[Date]])&gt;=4,1,0)</f>
        <v>2026</v>
      </c>
      <c r="C312" s="79">
        <f>YEAR(Table5[[#This Row],[Date]])</f>
        <v>2025</v>
      </c>
      <c r="D312" s="79" t="s">
        <v>344</v>
      </c>
      <c r="E312" s="284">
        <f>Table5[[#This Row],[Date]]-DAY(Table5[[#This Row],[Date]])+1</f>
        <v>45839</v>
      </c>
      <c r="F312" s="285">
        <v>45842</v>
      </c>
      <c r="G312" s="79" t="s">
        <v>78</v>
      </c>
      <c r="H312" s="23" t="str">
        <f>IFERROR(_xlfn.XLOOKUP(Table5[[#This Row],[Affected WTG]],'Basic Data'!$A:$A,'Basic Data'!$B:$B),"")</f>
        <v>PWEPL</v>
      </c>
      <c r="I312" s="23" t="str">
        <f>IFERROR(_xlfn.XLOOKUP(Table5[[#This Row],[Affected WTG]],'Basic Data'!$A:$A,'Basic Data'!$C:$C),"")</f>
        <v>MSEDCL</v>
      </c>
      <c r="J312" s="286">
        <f>IFERROR(_xlfn.XLOOKUP(Table5[[#This Row],[Affected WTG]],'Basic Data'!$A:$A,'Basic Data'!$E:$E),"")</f>
        <v>2.2727272727272728E-2</v>
      </c>
      <c r="K312" s="79">
        <v>3</v>
      </c>
      <c r="L312" s="23" t="str">
        <f>IFERROR(_xlfn.XLOOKUP(Table5[[#This Row],[Error Code]],'Basic Data'!$W:$W,'Basic Data'!$X:$X),"Incorrect Error Code")</f>
        <v>Manual Stop</v>
      </c>
      <c r="M312" s="23" t="s">
        <v>950</v>
      </c>
      <c r="N312" s="23"/>
      <c r="O312" s="287">
        <v>0.63749999999999996</v>
      </c>
      <c r="P312" s="287">
        <v>0.63749999999999996</v>
      </c>
      <c r="Q312" s="287">
        <v>0.64027777777777772</v>
      </c>
      <c r="R312" s="341">
        <f t="shared" si="16"/>
        <v>2.7777777777777679E-3</v>
      </c>
      <c r="S312" s="353">
        <f>(Table5[[#This Row],[Fault Clearance time]]-Table5[[#This Row],[Work Start TimeStamp]])*24</f>
        <v>6.666666666666643E-2</v>
      </c>
      <c r="T312" s="353">
        <f>(Table5[[#This Row],[Fault Clearance time]]-Table5[[#This Row],[Fault Start TimeStamp]])*24</f>
        <v>6.666666666666643E-2</v>
      </c>
      <c r="U312" s="23" t="s">
        <v>950</v>
      </c>
      <c r="V312" s="79" t="s">
        <v>339</v>
      </c>
      <c r="W312" s="354">
        <f>IFERROR(Table5[[#This Row],[Breakdown Time]]*Table5[[#This Row],[Plant Equivalent Weightage]],"")</f>
        <v>1.5151515151515097E-3</v>
      </c>
      <c r="X312" s="289" t="s">
        <v>394</v>
      </c>
      <c r="Y312" s="290" t="s">
        <v>102</v>
      </c>
      <c r="Z312" s="79"/>
      <c r="AA312" s="283">
        <v>93</v>
      </c>
      <c r="AB312" s="79"/>
      <c r="AC312" s="23"/>
      <c r="AD312" s="23"/>
    </row>
    <row r="313" spans="1:30">
      <c r="A313" s="79">
        <f t="shared" si="9"/>
        <v>312</v>
      </c>
      <c r="B313" s="283">
        <f>YEAR(Table5[[#This Row],[Date]])+IF(MONTH(Table5[[#This Row],[Date]])&gt;=4,1,0)</f>
        <v>2026</v>
      </c>
      <c r="C313" s="79">
        <f>YEAR(Table5[[#This Row],[Date]])</f>
        <v>2025</v>
      </c>
      <c r="D313" s="79" t="s">
        <v>344</v>
      </c>
      <c r="E313" s="284">
        <f>Table5[[#This Row],[Date]]-DAY(Table5[[#This Row],[Date]])+1</f>
        <v>45839</v>
      </c>
      <c r="F313" s="285">
        <v>45842</v>
      </c>
      <c r="G313" s="79" t="s">
        <v>93</v>
      </c>
      <c r="H313" s="23" t="str">
        <f>IFERROR(_xlfn.XLOOKUP(Table5[[#This Row],[Affected WTG]],'Basic Data'!$A:$A,'Basic Data'!$B:$B),"")</f>
        <v>PWEPL</v>
      </c>
      <c r="I313" s="23" t="str">
        <f>IFERROR(_xlfn.XLOOKUP(Table5[[#This Row],[Affected WTG]],'Basic Data'!$A:$A,'Basic Data'!$C:$C),"")</f>
        <v>MSEDCL</v>
      </c>
      <c r="J313" s="286">
        <f>IFERROR(_xlfn.XLOOKUP(Table5[[#This Row],[Affected WTG]],'Basic Data'!$A:$A,'Basic Data'!$E:$E),"")</f>
        <v>2.2727272727272728E-2</v>
      </c>
      <c r="K313" s="79">
        <v>3</v>
      </c>
      <c r="L313" s="23" t="str">
        <f>IFERROR(_xlfn.XLOOKUP(Table5[[#This Row],[Error Code]],'Basic Data'!$W:$W,'Basic Data'!$X:$X),"Incorrect Error Code")</f>
        <v>Manual Stop</v>
      </c>
      <c r="M313" s="23" t="s">
        <v>950</v>
      </c>
      <c r="N313" s="23"/>
      <c r="O313" s="287">
        <v>0.65138888888888891</v>
      </c>
      <c r="P313" s="287">
        <v>0.65138888888888891</v>
      </c>
      <c r="Q313" s="287">
        <v>0.65347222222222223</v>
      </c>
      <c r="R313" s="341">
        <f t="shared" si="16"/>
        <v>2.0833333333333259E-3</v>
      </c>
      <c r="S313" s="353">
        <f>(Table5[[#This Row],[Fault Clearance time]]-Table5[[#This Row],[Work Start TimeStamp]])*24</f>
        <v>4.9999999999999822E-2</v>
      </c>
      <c r="T313" s="353">
        <f>(Table5[[#This Row],[Fault Clearance time]]-Table5[[#This Row],[Fault Start TimeStamp]])*24</f>
        <v>4.9999999999999822E-2</v>
      </c>
      <c r="U313" s="23" t="s">
        <v>950</v>
      </c>
      <c r="V313" s="79" t="s">
        <v>339</v>
      </c>
      <c r="W313" s="354">
        <f>IFERROR(Table5[[#This Row],[Breakdown Time]]*Table5[[#This Row],[Plant Equivalent Weightage]],"")</f>
        <v>1.1363636363636324E-3</v>
      </c>
      <c r="X313" s="289" t="s">
        <v>394</v>
      </c>
      <c r="Y313" s="290" t="s">
        <v>77</v>
      </c>
      <c r="Z313" s="79"/>
      <c r="AA313" s="283">
        <v>70</v>
      </c>
      <c r="AB313" s="79"/>
      <c r="AC313" s="23"/>
      <c r="AD313" s="23"/>
    </row>
    <row r="314" spans="1:30">
      <c r="A314" s="79">
        <f t="shared" si="9"/>
        <v>313</v>
      </c>
      <c r="B314" s="283">
        <f>YEAR(Table5[[#This Row],[Date]])+IF(MONTH(Table5[[#This Row],[Date]])&gt;=4,1,0)</f>
        <v>2026</v>
      </c>
      <c r="C314" s="79">
        <f>YEAR(Table5[[#This Row],[Date]])</f>
        <v>2025</v>
      </c>
      <c r="D314" s="79" t="s">
        <v>344</v>
      </c>
      <c r="E314" s="284">
        <f>Table5[[#This Row],[Date]]-DAY(Table5[[#This Row],[Date]])+1</f>
        <v>45839</v>
      </c>
      <c r="F314" s="285">
        <v>45842</v>
      </c>
      <c r="G314" s="79" t="s">
        <v>102</v>
      </c>
      <c r="H314" s="23" t="str">
        <f>IFERROR(_xlfn.XLOOKUP(Table5[[#This Row],[Affected WTG]],'Basic Data'!$A:$A,'Basic Data'!$B:$B),"")</f>
        <v>PWEPL</v>
      </c>
      <c r="I314" s="23" t="str">
        <f>IFERROR(_xlfn.XLOOKUP(Table5[[#This Row],[Affected WTG]],'Basic Data'!$A:$A,'Basic Data'!$C:$C),"")</f>
        <v>MSEDCL</v>
      </c>
      <c r="J314" s="286">
        <f>IFERROR(_xlfn.XLOOKUP(Table5[[#This Row],[Affected WTG]],'Basic Data'!$A:$A,'Basic Data'!$E:$E),"")</f>
        <v>2.2727272727272728E-2</v>
      </c>
      <c r="K314" s="79">
        <v>3</v>
      </c>
      <c r="L314" s="23" t="str">
        <f>IFERROR(_xlfn.XLOOKUP(Table5[[#This Row],[Error Code]],'Basic Data'!$W:$W,'Basic Data'!$X:$X),"Incorrect Error Code")</f>
        <v>Manual Stop</v>
      </c>
      <c r="M314" s="23" t="s">
        <v>950</v>
      </c>
      <c r="N314" s="23"/>
      <c r="O314" s="287">
        <v>0.64861111111111114</v>
      </c>
      <c r="P314" s="287">
        <v>0.64861111111111114</v>
      </c>
      <c r="Q314" s="287">
        <v>0.65347222222222223</v>
      </c>
      <c r="R314" s="341">
        <f t="shared" si="16"/>
        <v>4.8611111111110938E-3</v>
      </c>
      <c r="S314" s="353">
        <f>(Table5[[#This Row],[Fault Clearance time]]-Table5[[#This Row],[Work Start TimeStamp]])*24</f>
        <v>0.11666666666666625</v>
      </c>
      <c r="T314" s="353">
        <f>(Table5[[#This Row],[Fault Clearance time]]-Table5[[#This Row],[Fault Start TimeStamp]])*24</f>
        <v>0.11666666666666625</v>
      </c>
      <c r="U314" s="23" t="s">
        <v>950</v>
      </c>
      <c r="V314" s="79" t="s">
        <v>339</v>
      </c>
      <c r="W314" s="354">
        <f>IFERROR(Table5[[#This Row],[Breakdown Time]]*Table5[[#This Row],[Plant Equivalent Weightage]],"")</f>
        <v>2.6515151515151421E-3</v>
      </c>
      <c r="X314" s="289" t="s">
        <v>394</v>
      </c>
      <c r="Y314" s="290" t="s">
        <v>78</v>
      </c>
      <c r="Z314" s="79"/>
      <c r="AA314" s="283">
        <v>70</v>
      </c>
      <c r="AB314" s="79"/>
      <c r="AC314" s="23"/>
      <c r="AD314" s="23"/>
    </row>
    <row r="315" spans="1:30">
      <c r="A315" s="79">
        <f t="shared" si="9"/>
        <v>314</v>
      </c>
      <c r="B315" s="283">
        <f>YEAR(Table5[[#This Row],[Date]])+IF(MONTH(Table5[[#This Row],[Date]])&gt;=4,1,0)</f>
        <v>2026</v>
      </c>
      <c r="C315" s="79">
        <f>YEAR(Table5[[#This Row],[Date]])</f>
        <v>2025</v>
      </c>
      <c r="D315" s="79" t="s">
        <v>344</v>
      </c>
      <c r="E315" s="284">
        <f>Table5[[#This Row],[Date]]-DAY(Table5[[#This Row],[Date]])+1</f>
        <v>45839</v>
      </c>
      <c r="F315" s="285">
        <v>45842</v>
      </c>
      <c r="G315" s="79" t="s">
        <v>76</v>
      </c>
      <c r="H315" s="23" t="str">
        <f>IFERROR(_xlfn.XLOOKUP(Table5[[#This Row],[Affected WTG]],'Basic Data'!$A:$A,'Basic Data'!$B:$B),"")</f>
        <v>PWEPL</v>
      </c>
      <c r="I315" s="23" t="str">
        <f>IFERROR(_xlfn.XLOOKUP(Table5[[#This Row],[Affected WTG]],'Basic Data'!$A:$A,'Basic Data'!$C:$C),"")</f>
        <v>MSEDCL</v>
      </c>
      <c r="J315" s="286">
        <f>IFERROR(_xlfn.XLOOKUP(Table5[[#This Row],[Affected WTG]],'Basic Data'!$A:$A,'Basic Data'!$E:$E),"")</f>
        <v>2.2727272727272728E-2</v>
      </c>
      <c r="K315" s="79">
        <v>201</v>
      </c>
      <c r="L315" s="23" t="str">
        <f>IFERROR(_xlfn.XLOOKUP(Table5[[#This Row],[Error Code]],'Basic Data'!$W:$W,'Basic Data'!$X:$X),"Incorrect Error Code")</f>
        <v xml:space="preserve"> PLC fault 24V Supply</v>
      </c>
      <c r="M315" s="23" t="s">
        <v>967</v>
      </c>
      <c r="N315" s="23"/>
      <c r="O315" s="287">
        <v>0.95902777777777781</v>
      </c>
      <c r="P315" s="287">
        <v>0.95902777777777781</v>
      </c>
      <c r="Q315" s="287">
        <v>0.99930555555555556</v>
      </c>
      <c r="R315" s="341">
        <f t="shared" si="16"/>
        <v>4.0277777777777746E-2</v>
      </c>
      <c r="S315" s="353">
        <f>(Table5[[#This Row],[Fault Clearance time]]-Table5[[#This Row],[Work Start TimeStamp]])*24</f>
        <v>0.9666666666666659</v>
      </c>
      <c r="T315" s="353">
        <f>(Table5[[#This Row],[Fault Clearance time]]-Table5[[#This Row],[Fault Start TimeStamp]])*24</f>
        <v>0.9666666666666659</v>
      </c>
      <c r="U315" s="23" t="s">
        <v>456</v>
      </c>
      <c r="V315" s="79" t="s">
        <v>339</v>
      </c>
      <c r="W315" s="354">
        <f>IFERROR(Table5[[#This Row],[Breakdown Time]]*Table5[[#This Row],[Plant Equivalent Weightage]],"")</f>
        <v>2.1969696969696952E-2</v>
      </c>
      <c r="X315" s="289" t="s">
        <v>343</v>
      </c>
      <c r="Y315" s="290" t="s">
        <v>82</v>
      </c>
      <c r="Z315" s="79"/>
      <c r="AA315" s="283">
        <v>1866</v>
      </c>
      <c r="AB315" s="79"/>
      <c r="AC315" s="23"/>
      <c r="AD315" s="23"/>
    </row>
    <row r="316" spans="1:30">
      <c r="A316" s="79">
        <f t="shared" si="9"/>
        <v>315</v>
      </c>
      <c r="B316" s="283">
        <f>YEAR(Table5[[#This Row],[Date]])+IF(MONTH(Table5[[#This Row],[Date]])&gt;=4,1,0)</f>
        <v>2026</v>
      </c>
      <c r="C316" s="79">
        <f>YEAR(Table5[[#This Row],[Date]])</f>
        <v>2025</v>
      </c>
      <c r="D316" s="79" t="s">
        <v>344</v>
      </c>
      <c r="E316" s="284">
        <f>Table5[[#This Row],[Date]]-DAY(Table5[[#This Row],[Date]])+1</f>
        <v>45839</v>
      </c>
      <c r="F316" s="285">
        <v>45842</v>
      </c>
      <c r="G316" s="79" t="s">
        <v>96</v>
      </c>
      <c r="H316" s="23" t="str">
        <f>IFERROR(_xlfn.XLOOKUP(Table5[[#This Row],[Affected WTG]],'Basic Data'!$A:$A,'Basic Data'!$B:$B),"")</f>
        <v>PWEPL</v>
      </c>
      <c r="I316" s="23" t="str">
        <f>IFERROR(_xlfn.XLOOKUP(Table5[[#This Row],[Affected WTG]],'Basic Data'!$A:$A,'Basic Data'!$C:$C),"")</f>
        <v>MSEDCL</v>
      </c>
      <c r="J316" s="286">
        <f>IFERROR(_xlfn.XLOOKUP(Table5[[#This Row],[Affected WTG]],'Basic Data'!$A:$A,'Basic Data'!$E:$E),"")</f>
        <v>2.2727272727272728E-2</v>
      </c>
      <c r="K316" s="79">
        <v>77</v>
      </c>
      <c r="L316" s="23" t="str">
        <f>IFERROR(_xlfn.XLOOKUP(Table5[[#This Row],[Error Code]],'Basic Data'!$W:$W,'Basic Data'!$X:$X),"Incorrect Error Code")</f>
        <v>Gearbox oil overtemperature</v>
      </c>
      <c r="M316" s="23" t="s">
        <v>943</v>
      </c>
      <c r="N316" s="23"/>
      <c r="O316" s="287">
        <v>0.66180555555555554</v>
      </c>
      <c r="P316" s="287">
        <v>0.66180555555555554</v>
      </c>
      <c r="Q316" s="287">
        <v>0.7</v>
      </c>
      <c r="R316" s="341">
        <f t="shared" si="16"/>
        <v>3.819444444444442E-2</v>
      </c>
      <c r="S316" s="353">
        <f>(Table5[[#This Row],[Fault Clearance time]]-Table5[[#This Row],[Work Start TimeStamp]])*24</f>
        <v>0.91666666666666607</v>
      </c>
      <c r="T316" s="353">
        <f>(Table5[[#This Row],[Fault Clearance time]]-Table5[[#This Row],[Fault Start TimeStamp]])*24</f>
        <v>0.91666666666666607</v>
      </c>
      <c r="U316" s="23" t="s">
        <v>868</v>
      </c>
      <c r="V316" s="79" t="s">
        <v>339</v>
      </c>
      <c r="W316" s="354">
        <f>IFERROR(Table5[[#This Row],[Breakdown Time]]*Table5[[#This Row],[Plant Equivalent Weightage]],"")</f>
        <v>2.0833333333333322E-2</v>
      </c>
      <c r="X316" s="289" t="s">
        <v>343</v>
      </c>
      <c r="Y316" s="290" t="s">
        <v>79</v>
      </c>
      <c r="Z316" s="79"/>
      <c r="AA316" s="283">
        <v>1137</v>
      </c>
      <c r="AB316" s="79"/>
      <c r="AC316" s="23"/>
      <c r="AD316" s="23"/>
    </row>
    <row r="317" spans="1:30">
      <c r="A317" s="79">
        <f t="shared" si="9"/>
        <v>316</v>
      </c>
      <c r="B317" s="283">
        <f>YEAR(Table5[[#This Row],[Date]])+IF(MONTH(Table5[[#This Row],[Date]])&gt;=4,1,0)</f>
        <v>2026</v>
      </c>
      <c r="C317" s="79">
        <f>YEAR(Table5[[#This Row],[Date]])</f>
        <v>2025</v>
      </c>
      <c r="D317" s="79" t="s">
        <v>344</v>
      </c>
      <c r="E317" s="284">
        <f>Table5[[#This Row],[Date]]-DAY(Table5[[#This Row],[Date]])+1</f>
        <v>45839</v>
      </c>
      <c r="F317" s="285">
        <v>45843</v>
      </c>
      <c r="G317" s="79" t="s">
        <v>76</v>
      </c>
      <c r="H317" s="23" t="str">
        <f>IFERROR(_xlfn.XLOOKUP(Table5[[#This Row],[Affected WTG]],'Basic Data'!$A:$A,'Basic Data'!$B:$B),"")</f>
        <v>PWEPL</v>
      </c>
      <c r="I317" s="23" t="str">
        <f>IFERROR(_xlfn.XLOOKUP(Table5[[#This Row],[Affected WTG]],'Basic Data'!$A:$A,'Basic Data'!$C:$C),"")</f>
        <v>MSEDCL</v>
      </c>
      <c r="J317" s="286">
        <f>IFERROR(_xlfn.XLOOKUP(Table5[[#This Row],[Affected WTG]],'Basic Data'!$A:$A,'Basic Data'!$E:$E),"")</f>
        <v>2.2727272727272728E-2</v>
      </c>
      <c r="K317" s="79">
        <v>201</v>
      </c>
      <c r="L317" s="23" t="str">
        <f>IFERROR(_xlfn.XLOOKUP(Table5[[#This Row],[Error Code]],'Basic Data'!$W:$W,'Basic Data'!$X:$X),"Incorrect Error Code")</f>
        <v xml:space="preserve"> PLC fault 24V Supply</v>
      </c>
      <c r="M317" s="23" t="s">
        <v>967</v>
      </c>
      <c r="N317" s="23"/>
      <c r="O317" s="355">
        <v>0</v>
      </c>
      <c r="P317" s="355">
        <v>0</v>
      </c>
      <c r="Q317" s="355">
        <v>6.8749999999999992E-2</v>
      </c>
      <c r="R317" s="341">
        <f t="shared" ref="R317:R321" si="17">Q317-O317</f>
        <v>6.8749999999999992E-2</v>
      </c>
      <c r="S317" s="353">
        <f>(Table5[[#This Row],[Fault Clearance time]]-Table5[[#This Row],[Work Start TimeStamp]])*24</f>
        <v>1.65</v>
      </c>
      <c r="T317" s="353">
        <f>(Table5[[#This Row],[Fault Clearance time]]-Table5[[#This Row],[Fault Start TimeStamp]])*24</f>
        <v>1.65</v>
      </c>
      <c r="U317" s="23" t="s">
        <v>882</v>
      </c>
      <c r="V317" s="79" t="s">
        <v>339</v>
      </c>
      <c r="W317" s="354">
        <f>IFERROR(Table5[[#This Row],[Breakdown Time]]*Table5[[#This Row],[Plant Equivalent Weightage]],"")</f>
        <v>3.7499999999999999E-2</v>
      </c>
      <c r="X317" s="289" t="s">
        <v>343</v>
      </c>
      <c r="Y317" s="290" t="s">
        <v>82</v>
      </c>
      <c r="Z317" s="79"/>
      <c r="AA317" s="283">
        <v>2833</v>
      </c>
      <c r="AB317" s="79"/>
      <c r="AC317" s="23"/>
      <c r="AD317" s="23"/>
    </row>
    <row r="318" spans="1:30">
      <c r="A318" s="79">
        <f t="shared" si="9"/>
        <v>317</v>
      </c>
      <c r="B318" s="283">
        <f>YEAR(Table5[[#This Row],[Date]])+IF(MONTH(Table5[[#This Row],[Date]])&gt;=4,1,0)</f>
        <v>2026</v>
      </c>
      <c r="C318" s="79">
        <f>YEAR(Table5[[#This Row],[Date]])</f>
        <v>2025</v>
      </c>
      <c r="D318" s="79" t="s">
        <v>344</v>
      </c>
      <c r="E318" s="284">
        <f>Table5[[#This Row],[Date]]-DAY(Table5[[#This Row],[Date]])+1</f>
        <v>45839</v>
      </c>
      <c r="F318" s="285">
        <v>45843</v>
      </c>
      <c r="G318" s="79" t="s">
        <v>77</v>
      </c>
      <c r="H318" s="23" t="str">
        <f>IFERROR(_xlfn.XLOOKUP(Table5[[#This Row],[Affected WTG]],'Basic Data'!$A:$A,'Basic Data'!$B:$B),"")</f>
        <v>PWEPL</v>
      </c>
      <c r="I318" s="23" t="str">
        <f>IFERROR(_xlfn.XLOOKUP(Table5[[#This Row],[Affected WTG]],'Basic Data'!$A:$A,'Basic Data'!$C:$C),"")</f>
        <v>MSEDCL</v>
      </c>
      <c r="J318" s="286">
        <f>IFERROR(_xlfn.XLOOKUP(Table5[[#This Row],[Affected WTG]],'Basic Data'!$A:$A,'Basic Data'!$E:$E),"")</f>
        <v>2.2727272727272728E-2</v>
      </c>
      <c r="K318" s="79">
        <v>77</v>
      </c>
      <c r="L318" s="23" t="str">
        <f>IFERROR(_xlfn.XLOOKUP(Table5[[#This Row],[Error Code]],'Basic Data'!$W:$W,'Basic Data'!$X:$X),"Incorrect Error Code")</f>
        <v>Gearbox oil overtemperature</v>
      </c>
      <c r="M318" s="23" t="s">
        <v>943</v>
      </c>
      <c r="N318" s="23"/>
      <c r="O318" s="355">
        <v>5.6250000000000001E-2</v>
      </c>
      <c r="P318" s="355">
        <v>5.6250000000000001E-2</v>
      </c>
      <c r="Q318" s="355">
        <v>0.18611111111111112</v>
      </c>
      <c r="R318" s="341">
        <f t="shared" si="17"/>
        <v>0.12986111111111112</v>
      </c>
      <c r="S318" s="353">
        <f>(Table5[[#This Row],[Fault Clearance time]]-Table5[[#This Row],[Work Start TimeStamp]])*24</f>
        <v>3.1166666666666671</v>
      </c>
      <c r="T318" s="353">
        <f>(Table5[[#This Row],[Fault Clearance time]]-Table5[[#This Row],[Fault Start TimeStamp]])*24</f>
        <v>3.1166666666666671</v>
      </c>
      <c r="U318" s="23" t="s">
        <v>944</v>
      </c>
      <c r="V318" s="79" t="s">
        <v>339</v>
      </c>
      <c r="W318" s="354">
        <f>IFERROR(Table5[[#This Row],[Breakdown Time]]*Table5[[#This Row],[Plant Equivalent Weightage]],"")</f>
        <v>7.0833333333333345E-2</v>
      </c>
      <c r="X318" s="289" t="s">
        <v>343</v>
      </c>
      <c r="Y318" s="290" t="s">
        <v>93</v>
      </c>
      <c r="Z318" s="79"/>
      <c r="AA318" s="283">
        <v>5277</v>
      </c>
      <c r="AB318" s="79"/>
      <c r="AC318" s="23"/>
      <c r="AD318" s="23"/>
    </row>
    <row r="319" spans="1:30">
      <c r="A319" s="79">
        <f t="shared" si="9"/>
        <v>318</v>
      </c>
      <c r="B319" s="283">
        <f>YEAR(Table5[[#This Row],[Date]])+IF(MONTH(Table5[[#This Row],[Date]])&gt;=4,1,0)</f>
        <v>2026</v>
      </c>
      <c r="C319" s="79">
        <f>YEAR(Table5[[#This Row],[Date]])</f>
        <v>2025</v>
      </c>
      <c r="D319" s="79" t="s">
        <v>344</v>
      </c>
      <c r="E319" s="284">
        <f>Table5[[#This Row],[Date]]-DAY(Table5[[#This Row],[Date]])+1</f>
        <v>45839</v>
      </c>
      <c r="F319" s="285">
        <v>45843</v>
      </c>
      <c r="G319" s="79" t="s">
        <v>107</v>
      </c>
      <c r="H319" s="23" t="str">
        <f>IFERROR(_xlfn.XLOOKUP(Table5[[#This Row],[Affected WTG]],'Basic Data'!$A:$A,'Basic Data'!$B:$B),"")</f>
        <v>PWEPL</v>
      </c>
      <c r="I319" s="23" t="str">
        <f>IFERROR(_xlfn.XLOOKUP(Table5[[#This Row],[Affected WTG]],'Basic Data'!$A:$A,'Basic Data'!$C:$C),"")</f>
        <v>MSEDCL</v>
      </c>
      <c r="J319" s="286">
        <f>IFERROR(_xlfn.XLOOKUP(Table5[[#This Row],[Affected WTG]],'Basic Data'!$A:$A,'Basic Data'!$E:$E),"")</f>
        <v>2.2727272727272728E-2</v>
      </c>
      <c r="K319" s="79">
        <v>275</v>
      </c>
      <c r="L319" s="23" t="str">
        <f>IFERROR(_xlfn.XLOOKUP(Table5[[#This Row],[Error Code]],'Basic Data'!$W:$W,'Basic Data'!$X:$X),"Incorrect Error Code")</f>
        <v>Pitch thyristor 2 fault</v>
      </c>
      <c r="M319" s="23" t="s">
        <v>162</v>
      </c>
      <c r="N319" s="23"/>
      <c r="O319" s="355">
        <v>0.1076388888888889</v>
      </c>
      <c r="P319" s="355">
        <v>0.1076388888888889</v>
      </c>
      <c r="Q319" s="355">
        <v>0.59097222222222223</v>
      </c>
      <c r="R319" s="341">
        <f t="shared" si="17"/>
        <v>0.48333333333333334</v>
      </c>
      <c r="S319" s="353">
        <f>(Table5[[#This Row],[Fault Clearance time]]-Table5[[#This Row],[Work Start TimeStamp]])*24</f>
        <v>11.6</v>
      </c>
      <c r="T319" s="353">
        <f>(Table5[[#This Row],[Fault Clearance time]]-Table5[[#This Row],[Fault Start TimeStamp]])*24</f>
        <v>11.6</v>
      </c>
      <c r="U319" s="23" t="s">
        <v>971</v>
      </c>
      <c r="V319" s="79" t="s">
        <v>339</v>
      </c>
      <c r="W319" s="354">
        <f>IFERROR(Table5[[#This Row],[Breakdown Time]]*Table5[[#This Row],[Plant Equivalent Weightage]],"")</f>
        <v>0.26363636363636361</v>
      </c>
      <c r="X319" s="289" t="s">
        <v>343</v>
      </c>
      <c r="Y319" s="290" t="s">
        <v>80</v>
      </c>
      <c r="Z319" s="79"/>
      <c r="AA319" s="283">
        <v>17981</v>
      </c>
      <c r="AB319" s="79"/>
      <c r="AC319" s="23"/>
      <c r="AD319" s="23"/>
    </row>
    <row r="320" spans="1:30">
      <c r="A320" s="79">
        <f t="shared" si="9"/>
        <v>319</v>
      </c>
      <c r="B320" s="283">
        <f>YEAR(Table5[[#This Row],[Date]])+IF(MONTH(Table5[[#This Row],[Date]])&gt;=4,1,0)</f>
        <v>2026</v>
      </c>
      <c r="C320" s="79">
        <f>YEAR(Table5[[#This Row],[Date]])</f>
        <v>2025</v>
      </c>
      <c r="D320" s="79" t="s">
        <v>344</v>
      </c>
      <c r="E320" s="284">
        <f>Table5[[#This Row],[Date]]-DAY(Table5[[#This Row],[Date]])+1</f>
        <v>45839</v>
      </c>
      <c r="F320" s="285">
        <v>45843</v>
      </c>
      <c r="G320" s="79" t="s">
        <v>99</v>
      </c>
      <c r="H320" s="23" t="str">
        <f>IFERROR(_xlfn.XLOOKUP(Table5[[#This Row],[Affected WTG]],'Basic Data'!$A:$A,'Basic Data'!$B:$B),"")</f>
        <v>PWEPL</v>
      </c>
      <c r="I320" s="23" t="str">
        <f>IFERROR(_xlfn.XLOOKUP(Table5[[#This Row],[Affected WTG]],'Basic Data'!$A:$A,'Basic Data'!$C:$C),"")</f>
        <v>MSEDCL</v>
      </c>
      <c r="J320" s="286">
        <f>IFERROR(_xlfn.XLOOKUP(Table5[[#This Row],[Affected WTG]],'Basic Data'!$A:$A,'Basic Data'!$E:$E),"")</f>
        <v>2.2727272727272728E-2</v>
      </c>
      <c r="K320" s="79">
        <v>77</v>
      </c>
      <c r="L320" s="23" t="str">
        <f>IFERROR(_xlfn.XLOOKUP(Table5[[#This Row],[Error Code]],'Basic Data'!$W:$W,'Basic Data'!$X:$X),"Incorrect Error Code")</f>
        <v>Gearbox oil overtemperature</v>
      </c>
      <c r="M320" s="23" t="s">
        <v>943</v>
      </c>
      <c r="N320" s="23"/>
      <c r="O320" s="355">
        <v>0.31180555555555556</v>
      </c>
      <c r="P320" s="355">
        <v>0.31180555555555556</v>
      </c>
      <c r="Q320" s="355">
        <v>0.3611111111111111</v>
      </c>
      <c r="R320" s="341">
        <f t="shared" si="17"/>
        <v>4.9305555555555547E-2</v>
      </c>
      <c r="S320" s="353">
        <f>(Table5[[#This Row],[Fault Clearance time]]-Table5[[#This Row],[Work Start TimeStamp]])*24</f>
        <v>1.1833333333333331</v>
      </c>
      <c r="T320" s="353">
        <f>(Table5[[#This Row],[Fault Clearance time]]-Table5[[#This Row],[Fault Start TimeStamp]])*24</f>
        <v>1.1833333333333331</v>
      </c>
      <c r="U320" s="23" t="s">
        <v>353</v>
      </c>
      <c r="V320" s="79" t="s">
        <v>339</v>
      </c>
      <c r="W320" s="354">
        <f>IFERROR(Table5[[#This Row],[Breakdown Time]]*Table5[[#This Row],[Plant Equivalent Weightage]],"")</f>
        <v>2.689393939393939E-2</v>
      </c>
      <c r="X320" s="289" t="s">
        <v>343</v>
      </c>
      <c r="Y320" s="290" t="s">
        <v>98</v>
      </c>
      <c r="Z320" s="79"/>
      <c r="AA320" s="283">
        <v>1972</v>
      </c>
      <c r="AB320" s="79"/>
      <c r="AC320" s="23"/>
      <c r="AD320" s="23"/>
    </row>
    <row r="321" spans="1:30">
      <c r="A321" s="79">
        <f t="shared" si="9"/>
        <v>320</v>
      </c>
      <c r="B321" s="283">
        <f>YEAR(Table5[[#This Row],[Date]])+IF(MONTH(Table5[[#This Row],[Date]])&gt;=4,1,0)</f>
        <v>2026</v>
      </c>
      <c r="C321" s="79">
        <f>YEAR(Table5[[#This Row],[Date]])</f>
        <v>2025</v>
      </c>
      <c r="D321" s="79" t="s">
        <v>344</v>
      </c>
      <c r="E321" s="284">
        <f>Table5[[#This Row],[Date]]-DAY(Table5[[#This Row],[Date]])+1</f>
        <v>45839</v>
      </c>
      <c r="F321" s="285">
        <v>45843</v>
      </c>
      <c r="G321" s="79" t="s">
        <v>99</v>
      </c>
      <c r="H321" s="23" t="str">
        <f>IFERROR(_xlfn.XLOOKUP(Table5[[#This Row],[Affected WTG]],'Basic Data'!$A:$A,'Basic Data'!$B:$B),"")</f>
        <v>PWEPL</v>
      </c>
      <c r="I321" s="23" t="str">
        <f>IFERROR(_xlfn.XLOOKUP(Table5[[#This Row],[Affected WTG]],'Basic Data'!$A:$A,'Basic Data'!$C:$C),"")</f>
        <v>MSEDCL</v>
      </c>
      <c r="J321" s="286">
        <f>IFERROR(_xlfn.XLOOKUP(Table5[[#This Row],[Affected WTG]],'Basic Data'!$A:$A,'Basic Data'!$E:$E),"")</f>
        <v>2.2727272727272728E-2</v>
      </c>
      <c r="K321" s="79">
        <v>77</v>
      </c>
      <c r="L321" s="23" t="str">
        <f>IFERROR(_xlfn.XLOOKUP(Table5[[#This Row],[Error Code]],'Basic Data'!$W:$W,'Basic Data'!$X:$X),"Incorrect Error Code")</f>
        <v>Gearbox oil overtemperature</v>
      </c>
      <c r="M321" s="23" t="s">
        <v>943</v>
      </c>
      <c r="N321" s="23"/>
      <c r="O321" s="355">
        <v>0.37708333333333338</v>
      </c>
      <c r="P321" s="355">
        <v>0.37708333333333338</v>
      </c>
      <c r="Q321" s="355">
        <v>0.58611111111111114</v>
      </c>
      <c r="R321" s="341">
        <f t="shared" si="17"/>
        <v>0.20902777777777776</v>
      </c>
      <c r="S321" s="353">
        <f>(Table5[[#This Row],[Fault Clearance time]]-Table5[[#This Row],[Work Start TimeStamp]])*24</f>
        <v>5.0166666666666657</v>
      </c>
      <c r="T321" s="353">
        <f>(Table5[[#This Row],[Fault Clearance time]]-Table5[[#This Row],[Fault Start TimeStamp]])*24</f>
        <v>5.0166666666666657</v>
      </c>
      <c r="U321" s="23" t="s">
        <v>972</v>
      </c>
      <c r="V321" s="79" t="s">
        <v>339</v>
      </c>
      <c r="W321" s="354">
        <f>IFERROR(Table5[[#This Row],[Breakdown Time]]*Table5[[#This Row],[Plant Equivalent Weightage]],"")</f>
        <v>0.1140151515151515</v>
      </c>
      <c r="X321" s="289" t="s">
        <v>343</v>
      </c>
      <c r="Y321" s="290" t="s">
        <v>98</v>
      </c>
      <c r="Z321" s="79"/>
      <c r="AA321" s="283">
        <v>7062</v>
      </c>
      <c r="AB321" s="79"/>
      <c r="AC321" s="23"/>
      <c r="AD321" s="23"/>
    </row>
    <row r="322" spans="1:30">
      <c r="A322" s="79">
        <f t="shared" si="9"/>
        <v>321</v>
      </c>
      <c r="B322" s="283">
        <f>YEAR(Table5[[#This Row],[Date]])+IF(MONTH(Table5[[#This Row],[Date]])&gt;=4,1,0)</f>
        <v>2026</v>
      </c>
      <c r="C322" s="79">
        <f>YEAR(Table5[[#This Row],[Date]])</f>
        <v>2025</v>
      </c>
      <c r="D322" s="79" t="s">
        <v>344</v>
      </c>
      <c r="E322" s="284">
        <f>Table5[[#This Row],[Date]]-DAY(Table5[[#This Row],[Date]])+1</f>
        <v>45839</v>
      </c>
      <c r="F322" s="285">
        <v>45844</v>
      </c>
      <c r="G322" s="79" t="s">
        <v>108</v>
      </c>
      <c r="H322" s="23" t="str">
        <f>IFERROR(_xlfn.XLOOKUP(Table5[[#This Row],[Affected WTG]],'Basic Data'!$A:$A,'Basic Data'!$B:$B),"")</f>
        <v>PWEPL</v>
      </c>
      <c r="I322" s="23" t="str">
        <f>IFERROR(_xlfn.XLOOKUP(Table5[[#This Row],[Affected WTG]],'Basic Data'!$A:$A,'Basic Data'!$C:$C),"")</f>
        <v>MSEDCL</v>
      </c>
      <c r="J322" s="286">
        <f>IFERROR(_xlfn.XLOOKUP(Table5[[#This Row],[Affected WTG]],'Basic Data'!$A:$A,'Basic Data'!$E:$E),"")</f>
        <v>2.2727272727272728E-2</v>
      </c>
      <c r="K322" s="79">
        <v>3</v>
      </c>
      <c r="L322" s="23" t="str">
        <f>IFERROR(_xlfn.XLOOKUP(Table5[[#This Row],[Error Code]],'Basic Data'!$W:$W,'Basic Data'!$X:$X),"Incorrect Error Code")</f>
        <v>Manual Stop</v>
      </c>
      <c r="M322" s="23" t="s">
        <v>973</v>
      </c>
      <c r="N322" s="23"/>
      <c r="O322" s="355">
        <v>0.72361111111111109</v>
      </c>
      <c r="P322" s="355">
        <v>0.72361111111111109</v>
      </c>
      <c r="Q322" s="355">
        <v>0.7284722222222223</v>
      </c>
      <c r="R322" s="341">
        <f t="shared" ref="R322:R323" si="18">Q322-O322</f>
        <v>4.8611111111112049E-3</v>
      </c>
      <c r="S322" s="353">
        <f>(Table5[[#This Row],[Fault Clearance time]]-Table5[[#This Row],[Work Start TimeStamp]])*24</f>
        <v>0.11666666666666892</v>
      </c>
      <c r="T322" s="353">
        <f>(Table5[[#This Row],[Fault Clearance time]]-Table5[[#This Row],[Fault Start TimeStamp]])*24</f>
        <v>0.11666666666666892</v>
      </c>
      <c r="U322" s="23" t="s">
        <v>974</v>
      </c>
      <c r="V322" s="79" t="s">
        <v>339</v>
      </c>
      <c r="W322" s="354">
        <f>IFERROR(Table5[[#This Row],[Breakdown Time]]*Table5[[#This Row],[Plant Equivalent Weightage]],"")</f>
        <v>2.6515151515152028E-3</v>
      </c>
      <c r="X322" s="289" t="s">
        <v>394</v>
      </c>
      <c r="Y322" s="290" t="s">
        <v>80</v>
      </c>
      <c r="Z322" s="79"/>
      <c r="AA322" s="283">
        <v>265</v>
      </c>
      <c r="AB322" s="79"/>
      <c r="AC322" s="23"/>
      <c r="AD322" s="23"/>
    </row>
    <row r="323" spans="1:30">
      <c r="A323" s="79">
        <f t="shared" si="9"/>
        <v>322</v>
      </c>
      <c r="B323" s="283">
        <f>YEAR(Table5[[#This Row],[Date]])+IF(MONTH(Table5[[#This Row],[Date]])&gt;=4,1,0)</f>
        <v>2026</v>
      </c>
      <c r="C323" s="79">
        <f>YEAR(Table5[[#This Row],[Date]])</f>
        <v>2025</v>
      </c>
      <c r="D323" s="79" t="s">
        <v>344</v>
      </c>
      <c r="E323" s="284">
        <f>Table5[[#This Row],[Date]]-DAY(Table5[[#This Row],[Date]])+1</f>
        <v>45839</v>
      </c>
      <c r="F323" s="285">
        <v>45844</v>
      </c>
      <c r="G323" s="79" t="s">
        <v>83</v>
      </c>
      <c r="H323" s="23" t="str">
        <f>IFERROR(_xlfn.XLOOKUP(Table5[[#This Row],[Affected WTG]],'Basic Data'!$A:$A,'Basic Data'!$B:$B),"")</f>
        <v>PWEPL</v>
      </c>
      <c r="I323" s="23" t="str">
        <f>IFERROR(_xlfn.XLOOKUP(Table5[[#This Row],[Affected WTG]],'Basic Data'!$A:$A,'Basic Data'!$C:$C),"")</f>
        <v>MSEDCL</v>
      </c>
      <c r="J323" s="286">
        <f>IFERROR(_xlfn.XLOOKUP(Table5[[#This Row],[Affected WTG]],'Basic Data'!$A:$A,'Basic Data'!$E:$E),"")</f>
        <v>2.2727272727272728E-2</v>
      </c>
      <c r="K323" s="79">
        <v>430</v>
      </c>
      <c r="L323" s="23" t="str">
        <f>IFERROR(_xlfn.XLOOKUP(Table5[[#This Row],[Error Code]],'Basic Data'!$W:$W,'Basic Data'!$X:$X),"Incorrect Error Code")</f>
        <v xml:space="preserve">Yaw tooth sensor 1 timeout </v>
      </c>
      <c r="M323" s="23" t="s">
        <v>377</v>
      </c>
      <c r="N323" s="23"/>
      <c r="O323" s="355">
        <v>0.84930555555555554</v>
      </c>
      <c r="P323" s="355">
        <v>0.84930555555555554</v>
      </c>
      <c r="Q323" s="355">
        <v>0.85763888888888884</v>
      </c>
      <c r="R323" s="341">
        <f t="shared" si="18"/>
        <v>8.3333333333333037E-3</v>
      </c>
      <c r="S323" s="353">
        <f>(Table5[[#This Row],[Fault Clearance time]]-Table5[[#This Row],[Work Start TimeStamp]])*24</f>
        <v>0.19999999999999929</v>
      </c>
      <c r="T323" s="353">
        <f>(Table5[[#This Row],[Fault Clearance time]]-Table5[[#This Row],[Fault Start TimeStamp]])*24</f>
        <v>0.19999999999999929</v>
      </c>
      <c r="U323" s="23" t="s">
        <v>353</v>
      </c>
      <c r="V323" s="79" t="s">
        <v>339</v>
      </c>
      <c r="W323" s="354">
        <f>IFERROR(Table5[[#This Row],[Breakdown Time]]*Table5[[#This Row],[Plant Equivalent Weightage]],"")</f>
        <v>4.5454545454545296E-3</v>
      </c>
      <c r="X323" s="289" t="s">
        <v>343</v>
      </c>
      <c r="Y323" s="290" t="s">
        <v>98</v>
      </c>
      <c r="Z323" s="79"/>
      <c r="AA323" s="283">
        <v>202</v>
      </c>
      <c r="AB323" s="79"/>
      <c r="AC323" s="23"/>
      <c r="AD323" s="23"/>
    </row>
    <row r="324" spans="1:30">
      <c r="A324" s="79">
        <f t="shared" si="9"/>
        <v>323</v>
      </c>
      <c r="B324" s="283">
        <f>YEAR(Table5[[#This Row],[Date]])+IF(MONTH(Table5[[#This Row],[Date]])&gt;=4,1,0)</f>
        <v>2026</v>
      </c>
      <c r="C324" s="79">
        <f>YEAR(Table5[[#This Row],[Date]])</f>
        <v>2025</v>
      </c>
      <c r="D324" s="79" t="s">
        <v>344</v>
      </c>
      <c r="E324" s="284">
        <f>Table5[[#This Row],[Date]]-DAY(Table5[[#This Row],[Date]])+1</f>
        <v>45839</v>
      </c>
      <c r="F324" s="285">
        <v>45845</v>
      </c>
      <c r="G324" s="79" t="s">
        <v>83</v>
      </c>
      <c r="H324" s="23" t="str">
        <f>IFERROR(_xlfn.XLOOKUP(Table5[[#This Row],[Affected WTG]],'Basic Data'!$A:$A,'Basic Data'!$B:$B),"")</f>
        <v>PWEPL</v>
      </c>
      <c r="I324" s="23" t="str">
        <f>IFERROR(_xlfn.XLOOKUP(Table5[[#This Row],[Affected WTG]],'Basic Data'!$A:$A,'Basic Data'!$C:$C),"")</f>
        <v>MSEDCL</v>
      </c>
      <c r="J324" s="286">
        <f>IFERROR(_xlfn.XLOOKUP(Table5[[#This Row],[Affected WTG]],'Basic Data'!$A:$A,'Basic Data'!$E:$E),"")</f>
        <v>2.2727272727272728E-2</v>
      </c>
      <c r="K324" s="79">
        <v>430</v>
      </c>
      <c r="L324" s="23" t="str">
        <f>IFERROR(_xlfn.XLOOKUP(Table5[[#This Row],[Error Code]],'Basic Data'!$W:$W,'Basic Data'!$X:$X),"Incorrect Error Code")</f>
        <v xml:space="preserve">Yaw tooth sensor 1 timeout </v>
      </c>
      <c r="M324" s="23" t="s">
        <v>377</v>
      </c>
      <c r="N324" s="23"/>
      <c r="O324" s="355">
        <v>9.5138888888888884E-2</v>
      </c>
      <c r="P324" s="355">
        <v>9.5138888888888884E-2</v>
      </c>
      <c r="Q324" s="355">
        <v>0.125</v>
      </c>
      <c r="R324" s="341">
        <f t="shared" ref="R324:R330" si="19">Q324-O324</f>
        <v>2.9861111111111116E-2</v>
      </c>
      <c r="S324" s="353">
        <f>(Table5[[#This Row],[Fault Clearance time]]-Table5[[#This Row],[Work Start TimeStamp]])*24</f>
        <v>0.71666666666666679</v>
      </c>
      <c r="T324" s="353">
        <f>(Table5[[#This Row],[Fault Clearance time]]-Table5[[#This Row],[Fault Start TimeStamp]])*24</f>
        <v>0.71666666666666679</v>
      </c>
      <c r="U324" s="23" t="s">
        <v>799</v>
      </c>
      <c r="V324" s="79" t="s">
        <v>339</v>
      </c>
      <c r="W324" s="354">
        <f>IFERROR(Table5[[#This Row],[Breakdown Time]]*Table5[[#This Row],[Plant Equivalent Weightage]],"")</f>
        <v>1.6287878787878792E-2</v>
      </c>
      <c r="X324" s="289" t="s">
        <v>343</v>
      </c>
      <c r="Y324" s="290" t="s">
        <v>98</v>
      </c>
      <c r="Z324" s="79"/>
      <c r="AA324" s="283">
        <v>1288</v>
      </c>
      <c r="AB324" s="79"/>
      <c r="AC324" s="23"/>
      <c r="AD324" s="23"/>
    </row>
    <row r="325" spans="1:30">
      <c r="A325" s="79">
        <f t="shared" ref="A325:A336" si="20">A324+1</f>
        <v>324</v>
      </c>
      <c r="B325" s="283">
        <f>YEAR(Table5[[#This Row],[Date]])+IF(MONTH(Table5[[#This Row],[Date]])&gt;=4,1,0)</f>
        <v>2026</v>
      </c>
      <c r="C325" s="79">
        <f>YEAR(Table5[[#This Row],[Date]])</f>
        <v>2025</v>
      </c>
      <c r="D325" s="79" t="s">
        <v>344</v>
      </c>
      <c r="E325" s="284">
        <f>Table5[[#This Row],[Date]]-DAY(Table5[[#This Row],[Date]])+1</f>
        <v>45839</v>
      </c>
      <c r="F325" s="285">
        <v>45845</v>
      </c>
      <c r="G325" s="79" t="s">
        <v>119</v>
      </c>
      <c r="H325" s="23" t="str">
        <f>IFERROR(_xlfn.XLOOKUP(Table5[[#This Row],[Affected WTG]],'Basic Data'!$A:$A,'Basic Data'!$B:$B),"")</f>
        <v>PWEPL</v>
      </c>
      <c r="I325" s="23" t="str">
        <f>IFERROR(_xlfn.XLOOKUP(Table5[[#This Row],[Affected WTG]],'Basic Data'!$A:$A,'Basic Data'!$C:$C),"")</f>
        <v>MSEDCL</v>
      </c>
      <c r="J325" s="286">
        <f>IFERROR(_xlfn.XLOOKUP(Table5[[#This Row],[Affected WTG]],'Basic Data'!$A:$A,'Basic Data'!$E:$E),"")</f>
        <v>2.2727272727272728E-2</v>
      </c>
      <c r="K325" s="79">
        <v>3</v>
      </c>
      <c r="L325" s="23" t="str">
        <f>IFERROR(_xlfn.XLOOKUP(Table5[[#This Row],[Error Code]],'Basic Data'!$W:$W,'Basic Data'!$X:$X),"Incorrect Error Code")</f>
        <v>Manual Stop</v>
      </c>
      <c r="M325" s="23" t="s">
        <v>950</v>
      </c>
      <c r="N325" s="23"/>
      <c r="O325" s="355">
        <v>0.63194444444444442</v>
      </c>
      <c r="P325" s="355">
        <v>0.63194444444444442</v>
      </c>
      <c r="Q325" s="355">
        <v>0.63402777777777775</v>
      </c>
      <c r="R325" s="341">
        <f t="shared" si="19"/>
        <v>2.0833333333333259E-3</v>
      </c>
      <c r="S325" s="353">
        <f>(Table5[[#This Row],[Fault Clearance time]]-Table5[[#This Row],[Work Start TimeStamp]])*24</f>
        <v>4.9999999999999822E-2</v>
      </c>
      <c r="T325" s="353">
        <f>(Table5[[#This Row],[Fault Clearance time]]-Table5[[#This Row],[Fault Start TimeStamp]])*24</f>
        <v>4.9999999999999822E-2</v>
      </c>
      <c r="U325" s="23" t="s">
        <v>950</v>
      </c>
      <c r="V325" s="79" t="s">
        <v>339</v>
      </c>
      <c r="W325" s="354">
        <f>IFERROR(Table5[[#This Row],[Breakdown Time]]*Table5[[#This Row],[Plant Equivalent Weightage]],"")</f>
        <v>1.1363636363636324E-3</v>
      </c>
      <c r="X325" s="289" t="s">
        <v>394</v>
      </c>
      <c r="Y325" s="290" t="s">
        <v>118</v>
      </c>
      <c r="Z325" s="79"/>
      <c r="AA325" s="283">
        <v>270</v>
      </c>
      <c r="AB325" s="79"/>
      <c r="AC325" s="23"/>
      <c r="AD325" s="23"/>
    </row>
    <row r="326" spans="1:30">
      <c r="A326" s="79">
        <f t="shared" si="20"/>
        <v>325</v>
      </c>
      <c r="B326" s="283">
        <f>YEAR(Table5[[#This Row],[Date]])+IF(MONTH(Table5[[#This Row],[Date]])&gt;=4,1,0)</f>
        <v>2026</v>
      </c>
      <c r="C326" s="79">
        <f>YEAR(Table5[[#This Row],[Date]])</f>
        <v>2025</v>
      </c>
      <c r="D326" s="79" t="s">
        <v>344</v>
      </c>
      <c r="E326" s="284">
        <f>Table5[[#This Row],[Date]]-DAY(Table5[[#This Row],[Date]])+1</f>
        <v>45839</v>
      </c>
      <c r="F326" s="285">
        <v>45845</v>
      </c>
      <c r="G326" s="79" t="s">
        <v>118</v>
      </c>
      <c r="H326" s="23" t="str">
        <f>IFERROR(_xlfn.XLOOKUP(Table5[[#This Row],[Affected WTG]],'Basic Data'!$A:$A,'Basic Data'!$B:$B),"")</f>
        <v>PWEPL</v>
      </c>
      <c r="I326" s="23" t="str">
        <f>IFERROR(_xlfn.XLOOKUP(Table5[[#This Row],[Affected WTG]],'Basic Data'!$A:$A,'Basic Data'!$C:$C),"")</f>
        <v>MSEDCL</v>
      </c>
      <c r="J326" s="286">
        <f>IFERROR(_xlfn.XLOOKUP(Table5[[#This Row],[Affected WTG]],'Basic Data'!$A:$A,'Basic Data'!$E:$E),"")</f>
        <v>2.2727272727272728E-2</v>
      </c>
      <c r="K326" s="79">
        <v>3</v>
      </c>
      <c r="L326" s="23" t="str">
        <f>IFERROR(_xlfn.XLOOKUP(Table5[[#This Row],[Error Code]],'Basic Data'!$W:$W,'Basic Data'!$X:$X),"Incorrect Error Code")</f>
        <v>Manual Stop</v>
      </c>
      <c r="M326" s="23" t="s">
        <v>950</v>
      </c>
      <c r="N326" s="23"/>
      <c r="O326" s="355">
        <v>0.65208333333333335</v>
      </c>
      <c r="P326" s="355">
        <v>0.65208333333333335</v>
      </c>
      <c r="Q326" s="355">
        <v>0.65486111111111112</v>
      </c>
      <c r="R326" s="341">
        <f t="shared" si="19"/>
        <v>2.7777777777777679E-3</v>
      </c>
      <c r="S326" s="353">
        <f>(Table5[[#This Row],[Fault Clearance time]]-Table5[[#This Row],[Work Start TimeStamp]])*24</f>
        <v>6.666666666666643E-2</v>
      </c>
      <c r="T326" s="353">
        <f>(Table5[[#This Row],[Fault Clearance time]]-Table5[[#This Row],[Fault Start TimeStamp]])*24</f>
        <v>6.666666666666643E-2</v>
      </c>
      <c r="U326" s="23" t="s">
        <v>950</v>
      </c>
      <c r="V326" s="79" t="s">
        <v>339</v>
      </c>
      <c r="W326" s="354">
        <f>IFERROR(Table5[[#This Row],[Breakdown Time]]*Table5[[#This Row],[Plant Equivalent Weightage]],"")</f>
        <v>1.5151515151515097E-3</v>
      </c>
      <c r="X326" s="289" t="s">
        <v>394</v>
      </c>
      <c r="Y326" s="290" t="s">
        <v>119</v>
      </c>
      <c r="Z326" s="79"/>
      <c r="AA326" s="283">
        <v>270</v>
      </c>
      <c r="AB326" s="79"/>
      <c r="AC326" s="23"/>
      <c r="AD326" s="23"/>
    </row>
    <row r="327" spans="1:30">
      <c r="A327" s="79">
        <f t="shared" si="20"/>
        <v>326</v>
      </c>
      <c r="B327" s="283">
        <f>YEAR(Table5[[#This Row],[Date]])+IF(MONTH(Table5[[#This Row],[Date]])&gt;=4,1,0)</f>
        <v>2026</v>
      </c>
      <c r="C327" s="79">
        <f>YEAR(Table5[[#This Row],[Date]])</f>
        <v>2025</v>
      </c>
      <c r="D327" s="79" t="s">
        <v>344</v>
      </c>
      <c r="E327" s="284">
        <f>Table5[[#This Row],[Date]]-DAY(Table5[[#This Row],[Date]])+1</f>
        <v>45839</v>
      </c>
      <c r="F327" s="285">
        <v>45845</v>
      </c>
      <c r="G327" s="79" t="s">
        <v>76</v>
      </c>
      <c r="H327" s="23" t="str">
        <f>IFERROR(_xlfn.XLOOKUP(Table5[[#This Row],[Affected WTG]],'Basic Data'!$A:$A,'Basic Data'!$B:$B),"")</f>
        <v>PWEPL</v>
      </c>
      <c r="I327" s="23" t="str">
        <f>IFERROR(_xlfn.XLOOKUP(Table5[[#This Row],[Affected WTG]],'Basic Data'!$A:$A,'Basic Data'!$C:$C),"")</f>
        <v>MSEDCL</v>
      </c>
      <c r="J327" s="286">
        <f>IFERROR(_xlfn.XLOOKUP(Table5[[#This Row],[Affected WTG]],'Basic Data'!$A:$A,'Basic Data'!$E:$E),"")</f>
        <v>2.2727272727272728E-2</v>
      </c>
      <c r="K327" s="79">
        <v>3</v>
      </c>
      <c r="L327" s="23" t="str">
        <f>IFERROR(_xlfn.XLOOKUP(Table5[[#This Row],[Error Code]],'Basic Data'!$W:$W,'Basic Data'!$X:$X),"Incorrect Error Code")</f>
        <v>Manual Stop</v>
      </c>
      <c r="M327" s="23" t="s">
        <v>950</v>
      </c>
      <c r="N327" s="23"/>
      <c r="O327" s="355">
        <v>0.6118055555555556</v>
      </c>
      <c r="P327" s="355">
        <v>0.6118055555555556</v>
      </c>
      <c r="Q327" s="355">
        <v>0.61319444444444449</v>
      </c>
      <c r="R327" s="341">
        <f t="shared" si="19"/>
        <v>1.388888888888884E-3</v>
      </c>
      <c r="S327" s="353">
        <f>(Table5[[#This Row],[Fault Clearance time]]-Table5[[#This Row],[Work Start TimeStamp]])*24</f>
        <v>3.3333333333333215E-2</v>
      </c>
      <c r="T327" s="353">
        <f>(Table5[[#This Row],[Fault Clearance time]]-Table5[[#This Row],[Fault Start TimeStamp]])*24</f>
        <v>3.3333333333333215E-2</v>
      </c>
      <c r="U327" s="23" t="s">
        <v>950</v>
      </c>
      <c r="V327" s="79" t="s">
        <v>339</v>
      </c>
      <c r="W327" s="354">
        <f>IFERROR(Table5[[#This Row],[Breakdown Time]]*Table5[[#This Row],[Plant Equivalent Weightage]],"")</f>
        <v>7.5757575757575486E-4</v>
      </c>
      <c r="X327" s="289" t="s">
        <v>394</v>
      </c>
      <c r="Y327" s="290" t="s">
        <v>82</v>
      </c>
      <c r="Z327" s="79"/>
      <c r="AA327" s="283">
        <v>270</v>
      </c>
      <c r="AB327" s="79"/>
      <c r="AC327" s="23"/>
      <c r="AD327" s="23"/>
    </row>
    <row r="328" spans="1:30">
      <c r="A328" s="79">
        <f t="shared" si="20"/>
        <v>327</v>
      </c>
      <c r="B328" s="283">
        <f>YEAR(Table5[[#This Row],[Date]])+IF(MONTH(Table5[[#This Row],[Date]])&gt;=4,1,0)</f>
        <v>2026</v>
      </c>
      <c r="C328" s="79">
        <f>YEAR(Table5[[#This Row],[Date]])</f>
        <v>2025</v>
      </c>
      <c r="D328" s="79" t="s">
        <v>344</v>
      </c>
      <c r="E328" s="284">
        <f>Table5[[#This Row],[Date]]-DAY(Table5[[#This Row],[Date]])+1</f>
        <v>45839</v>
      </c>
      <c r="F328" s="285">
        <v>45845</v>
      </c>
      <c r="G328" s="79" t="s">
        <v>82</v>
      </c>
      <c r="H328" s="23" t="str">
        <f>IFERROR(_xlfn.XLOOKUP(Table5[[#This Row],[Affected WTG]],'Basic Data'!$A:$A,'Basic Data'!$B:$B),"")</f>
        <v>PWEPL</v>
      </c>
      <c r="I328" s="23" t="str">
        <f>IFERROR(_xlfn.XLOOKUP(Table5[[#This Row],[Affected WTG]],'Basic Data'!$A:$A,'Basic Data'!$C:$C),"")</f>
        <v>MSEDCL</v>
      </c>
      <c r="J328" s="286">
        <f>IFERROR(_xlfn.XLOOKUP(Table5[[#This Row],[Affected WTG]],'Basic Data'!$A:$A,'Basic Data'!$E:$E),"")</f>
        <v>2.2727272727272728E-2</v>
      </c>
      <c r="K328" s="79">
        <v>3</v>
      </c>
      <c r="L328" s="23" t="str">
        <f>IFERROR(_xlfn.XLOOKUP(Table5[[#This Row],[Error Code]],'Basic Data'!$W:$W,'Basic Data'!$X:$X),"Incorrect Error Code")</f>
        <v>Manual Stop</v>
      </c>
      <c r="M328" s="23" t="s">
        <v>950</v>
      </c>
      <c r="N328" s="23"/>
      <c r="O328" s="355">
        <v>0.61875000000000002</v>
      </c>
      <c r="P328" s="355">
        <v>0.61875000000000002</v>
      </c>
      <c r="Q328" s="355">
        <v>0.62083333333333335</v>
      </c>
      <c r="R328" s="341">
        <f t="shared" si="19"/>
        <v>2.0833333333333259E-3</v>
      </c>
      <c r="S328" s="353">
        <f>(Table5[[#This Row],[Fault Clearance time]]-Table5[[#This Row],[Work Start TimeStamp]])*24</f>
        <v>4.9999999999999822E-2</v>
      </c>
      <c r="T328" s="353">
        <f>(Table5[[#This Row],[Fault Clearance time]]-Table5[[#This Row],[Fault Start TimeStamp]])*24</f>
        <v>4.9999999999999822E-2</v>
      </c>
      <c r="U328" s="23" t="s">
        <v>950</v>
      </c>
      <c r="V328" s="79" t="s">
        <v>339</v>
      </c>
      <c r="W328" s="354">
        <f>IFERROR(Table5[[#This Row],[Breakdown Time]]*Table5[[#This Row],[Plant Equivalent Weightage]],"")</f>
        <v>1.1363636363636324E-3</v>
      </c>
      <c r="X328" s="289" t="s">
        <v>394</v>
      </c>
      <c r="Y328" s="290" t="s">
        <v>93</v>
      </c>
      <c r="Z328" s="79"/>
      <c r="AA328" s="283">
        <v>268</v>
      </c>
      <c r="AB328" s="79"/>
      <c r="AC328" s="23"/>
      <c r="AD328" s="23"/>
    </row>
    <row r="329" spans="1:30">
      <c r="A329" s="79">
        <f t="shared" si="20"/>
        <v>328</v>
      </c>
      <c r="B329" s="283">
        <f>YEAR(Table5[[#This Row],[Date]])+IF(MONTH(Table5[[#This Row],[Date]])&gt;=4,1,0)</f>
        <v>2026</v>
      </c>
      <c r="C329" s="79">
        <f>YEAR(Table5[[#This Row],[Date]])</f>
        <v>2025</v>
      </c>
      <c r="D329" s="79" t="s">
        <v>344</v>
      </c>
      <c r="E329" s="284">
        <f>Table5[[#This Row],[Date]]-DAY(Table5[[#This Row],[Date]])+1</f>
        <v>45839</v>
      </c>
      <c r="F329" s="285">
        <v>45845</v>
      </c>
      <c r="G329" s="79" t="s">
        <v>76</v>
      </c>
      <c r="H329" s="23" t="str">
        <f>IFERROR(_xlfn.XLOOKUP(Table5[[#This Row],[Affected WTG]],'Basic Data'!$A:$A,'Basic Data'!$B:$B),"")</f>
        <v>PWEPL</v>
      </c>
      <c r="I329" s="23" t="str">
        <f>IFERROR(_xlfn.XLOOKUP(Table5[[#This Row],[Affected WTG]],'Basic Data'!$A:$A,'Basic Data'!$C:$C),"")</f>
        <v>MSEDCL</v>
      </c>
      <c r="J329" s="286">
        <f>IFERROR(_xlfn.XLOOKUP(Table5[[#This Row],[Affected WTG]],'Basic Data'!$A:$A,'Basic Data'!$E:$E),"")</f>
        <v>2.2727272727272728E-2</v>
      </c>
      <c r="K329" s="79"/>
      <c r="L329" s="23" t="s">
        <v>975</v>
      </c>
      <c r="M329" s="23" t="s">
        <v>975</v>
      </c>
      <c r="N329" s="23"/>
      <c r="O329" s="355">
        <v>0.93680555555555556</v>
      </c>
      <c r="P329" s="355">
        <v>0.93680555555555556</v>
      </c>
      <c r="Q329" s="355">
        <v>0.99930555555555556</v>
      </c>
      <c r="R329" s="341">
        <f t="shared" si="19"/>
        <v>6.25E-2</v>
      </c>
      <c r="S329" s="353">
        <f>(Table5[[#This Row],[Fault Clearance time]]-Table5[[#This Row],[Work Start TimeStamp]])*24</f>
        <v>1.5</v>
      </c>
      <c r="T329" s="353">
        <f>(Table5[[#This Row],[Fault Clearance time]]-Table5[[#This Row],[Fault Start TimeStamp]])*24</f>
        <v>1.5</v>
      </c>
      <c r="U329" s="23" t="s">
        <v>956</v>
      </c>
      <c r="V329" s="79" t="s">
        <v>339</v>
      </c>
      <c r="W329" s="354">
        <f>IFERROR(Table5[[#This Row],[Breakdown Time]]*Table5[[#This Row],[Plant Equivalent Weightage]],"")</f>
        <v>3.4090909090909088E-2</v>
      </c>
      <c r="X329" s="289" t="s">
        <v>343</v>
      </c>
      <c r="Y329" s="290" t="s">
        <v>82</v>
      </c>
      <c r="Z329" s="79"/>
      <c r="AA329" s="283">
        <v>2527</v>
      </c>
      <c r="AB329" s="79"/>
      <c r="AC329" s="23"/>
      <c r="AD329" s="23"/>
    </row>
    <row r="330" spans="1:30">
      <c r="A330" s="79">
        <f t="shared" si="20"/>
        <v>329</v>
      </c>
      <c r="B330" s="283">
        <f>YEAR(Table5[[#This Row],[Date]])+IF(MONTH(Table5[[#This Row],[Date]])&gt;=4,1,0)</f>
        <v>2026</v>
      </c>
      <c r="C330" s="79">
        <f>YEAR(Table5[[#This Row],[Date]])</f>
        <v>2025</v>
      </c>
      <c r="D330" s="79" t="s">
        <v>344</v>
      </c>
      <c r="E330" s="284">
        <f>Table5[[#This Row],[Date]]-DAY(Table5[[#This Row],[Date]])+1</f>
        <v>45839</v>
      </c>
      <c r="F330" s="285">
        <v>45845</v>
      </c>
      <c r="G330" s="79" t="s">
        <v>104</v>
      </c>
      <c r="H330" s="23" t="str">
        <f>IFERROR(_xlfn.XLOOKUP(Table5[[#This Row],[Affected WTG]],'Basic Data'!$A:$A,'Basic Data'!$B:$B),"")</f>
        <v>PWEPL</v>
      </c>
      <c r="I330" s="23" t="str">
        <f>IFERROR(_xlfn.XLOOKUP(Table5[[#This Row],[Affected WTG]],'Basic Data'!$A:$A,'Basic Data'!$C:$C),"")</f>
        <v>MSEDCL</v>
      </c>
      <c r="J330" s="286">
        <f>IFERROR(_xlfn.XLOOKUP(Table5[[#This Row],[Affected WTG]],'Basic Data'!$A:$A,'Basic Data'!$E:$E),"")</f>
        <v>2.2727272727272728E-2</v>
      </c>
      <c r="K330" s="79">
        <v>276</v>
      </c>
      <c r="L330" s="23" t="str">
        <f>IFERROR(_xlfn.XLOOKUP(Table5[[#This Row],[Error Code]],'Basic Data'!$W:$W,'Basic Data'!$X:$X),"Incorrect Error Code")</f>
        <v>Pitch thyristor 3 fault</v>
      </c>
      <c r="M330" s="23" t="s">
        <v>153</v>
      </c>
      <c r="N330" s="23"/>
      <c r="O330" s="355">
        <v>0.93472222222222223</v>
      </c>
      <c r="P330" s="355">
        <v>0.93472222222222223</v>
      </c>
      <c r="Q330" s="355">
        <v>0.98819444444444438</v>
      </c>
      <c r="R330" s="341">
        <f t="shared" si="19"/>
        <v>5.3472222222222143E-2</v>
      </c>
      <c r="S330" s="353">
        <f>(Table5[[#This Row],[Fault Clearance time]]-Table5[[#This Row],[Work Start TimeStamp]])*24</f>
        <v>1.2833333333333314</v>
      </c>
      <c r="T330" s="353">
        <f>(Table5[[#This Row],[Fault Clearance time]]-Table5[[#This Row],[Fault Start TimeStamp]])*24</f>
        <v>1.2833333333333314</v>
      </c>
      <c r="U330" s="23" t="s">
        <v>353</v>
      </c>
      <c r="V330" s="79" t="s">
        <v>339</v>
      </c>
      <c r="W330" s="354">
        <f>IFERROR(Table5[[#This Row],[Breakdown Time]]*Table5[[#This Row],[Plant Equivalent Weightage]],"")</f>
        <v>2.9166666666666625E-2</v>
      </c>
      <c r="X330" s="289" t="s">
        <v>343</v>
      </c>
      <c r="Y330" s="290" t="s">
        <v>96</v>
      </c>
      <c r="Z330" s="79"/>
      <c r="AA330" s="283">
        <v>2020</v>
      </c>
      <c r="AB330" s="79"/>
      <c r="AC330" s="23"/>
      <c r="AD330" s="23"/>
    </row>
    <row r="331" spans="1:30">
      <c r="A331" s="79">
        <f t="shared" si="20"/>
        <v>330</v>
      </c>
      <c r="B331" s="283">
        <f>YEAR(Table5[[#This Row],[Date]])+IF(MONTH(Table5[[#This Row],[Date]])&gt;=4,1,0)</f>
        <v>2026</v>
      </c>
      <c r="C331" s="79">
        <f>YEAR(Table5[[#This Row],[Date]])</f>
        <v>2025</v>
      </c>
      <c r="D331" s="79" t="s">
        <v>344</v>
      </c>
      <c r="E331" s="284">
        <f>Table5[[#This Row],[Date]]-DAY(Table5[[#This Row],[Date]])+1</f>
        <v>45839</v>
      </c>
      <c r="F331" s="285">
        <v>45846</v>
      </c>
      <c r="G331" s="79" t="s">
        <v>76</v>
      </c>
      <c r="H331" s="23" t="str">
        <f>IFERROR(_xlfn.XLOOKUP(Table5[[#This Row],[Affected WTG]],'Basic Data'!$A:$A,'Basic Data'!$B:$B),"")</f>
        <v>PWEPL</v>
      </c>
      <c r="I331" s="23" t="str">
        <f>IFERROR(_xlfn.XLOOKUP(Table5[[#This Row],[Affected WTG]],'Basic Data'!$A:$A,'Basic Data'!$C:$C),"")</f>
        <v>MSEDCL</v>
      </c>
      <c r="J331" s="286">
        <f>IFERROR(_xlfn.XLOOKUP(Table5[[#This Row],[Affected WTG]],'Basic Data'!$A:$A,'Basic Data'!$E:$E),"")</f>
        <v>2.2727272727272728E-2</v>
      </c>
      <c r="K331" s="79"/>
      <c r="L331" s="23" t="s">
        <v>975</v>
      </c>
      <c r="M331" s="23" t="s">
        <v>975</v>
      </c>
      <c r="N331" s="23"/>
      <c r="O331" s="355">
        <v>0</v>
      </c>
      <c r="P331" s="355">
        <v>0</v>
      </c>
      <c r="Q331" s="355">
        <v>9.3055555555555558E-2</v>
      </c>
      <c r="R331" s="341">
        <f t="shared" ref="R331:R336" si="21">Q331-O331</f>
        <v>9.3055555555555558E-2</v>
      </c>
      <c r="S331" s="353">
        <f>(Table5[[#This Row],[Fault Clearance time]]-Table5[[#This Row],[Work Start TimeStamp]])*24</f>
        <v>2.2333333333333334</v>
      </c>
      <c r="T331" s="353">
        <f>(Table5[[#This Row],[Fault Clearance time]]-Table5[[#This Row],[Fault Start TimeStamp]])*24</f>
        <v>2.2333333333333334</v>
      </c>
      <c r="U331" s="23" t="s">
        <v>882</v>
      </c>
      <c r="V331" s="79" t="s">
        <v>339</v>
      </c>
      <c r="W331" s="354">
        <f>IFERROR(Table5[[#This Row],[Breakdown Time]]*Table5[[#This Row],[Plant Equivalent Weightage]],"")</f>
        <v>5.0757575757575758E-2</v>
      </c>
      <c r="X331" s="289" t="s">
        <v>343</v>
      </c>
      <c r="Y331" s="290" t="s">
        <v>82</v>
      </c>
      <c r="Z331" s="79"/>
      <c r="AA331" s="283">
        <v>3401</v>
      </c>
      <c r="AB331" s="79"/>
      <c r="AC331" s="23"/>
      <c r="AD331" s="23"/>
    </row>
    <row r="332" spans="1:30">
      <c r="A332" s="79">
        <f t="shared" si="20"/>
        <v>331</v>
      </c>
      <c r="B332" s="283">
        <f>YEAR(Table5[[#This Row],[Date]])+IF(MONTH(Table5[[#This Row],[Date]])&gt;=4,1,0)</f>
        <v>2026</v>
      </c>
      <c r="C332" s="79">
        <f>YEAR(Table5[[#This Row],[Date]])</f>
        <v>2025</v>
      </c>
      <c r="D332" s="79" t="s">
        <v>344</v>
      </c>
      <c r="E332" s="284">
        <f>Table5[[#This Row],[Date]]-DAY(Table5[[#This Row],[Date]])+1</f>
        <v>45839</v>
      </c>
      <c r="F332" s="285">
        <v>45846</v>
      </c>
      <c r="G332" s="79" t="s">
        <v>86</v>
      </c>
      <c r="H332" s="23" t="str">
        <f>IFERROR(_xlfn.XLOOKUP(Table5[[#This Row],[Affected WTG]],'Basic Data'!$A:$A,'Basic Data'!$B:$B),"")</f>
        <v>PWEPL</v>
      </c>
      <c r="I332" s="23" t="str">
        <f>IFERROR(_xlfn.XLOOKUP(Table5[[#This Row],[Affected WTG]],'Basic Data'!$A:$A,'Basic Data'!$C:$C),"")</f>
        <v>MSEDCL</v>
      </c>
      <c r="J332" s="286">
        <f>IFERROR(_xlfn.XLOOKUP(Table5[[#This Row],[Affected WTG]],'Basic Data'!$A:$A,'Basic Data'!$E:$E),"")</f>
        <v>2.2727272727272728E-2</v>
      </c>
      <c r="K332" s="79">
        <v>54</v>
      </c>
      <c r="L332" s="23" t="str">
        <f>IFERROR(_xlfn.XLOOKUP(Table5[[#This Row],[Error Code]],'Basic Data'!$W:$W,'Basic Data'!$X:$X),"Incorrect Error Code")</f>
        <v>Anemometer defec</v>
      </c>
      <c r="M332" s="23" t="s">
        <v>864</v>
      </c>
      <c r="N332" s="23"/>
      <c r="O332" s="355">
        <v>0.38194444444444442</v>
      </c>
      <c r="P332" s="355">
        <v>0.38194444444444442</v>
      </c>
      <c r="Q332" s="355">
        <v>0.43194444444444446</v>
      </c>
      <c r="R332" s="341">
        <f t="shared" si="21"/>
        <v>5.0000000000000044E-2</v>
      </c>
      <c r="S332" s="353">
        <f>(Table5[[#This Row],[Fault Clearance time]]-Table5[[#This Row],[Work Start TimeStamp]])*24</f>
        <v>1.2000000000000011</v>
      </c>
      <c r="T332" s="353">
        <f>(Table5[[#This Row],[Fault Clearance time]]-Table5[[#This Row],[Fault Start TimeStamp]])*24</f>
        <v>1.2000000000000011</v>
      </c>
      <c r="U332" s="23" t="s">
        <v>976</v>
      </c>
      <c r="V332" s="79" t="s">
        <v>339</v>
      </c>
      <c r="W332" s="354">
        <f>IFERROR(Table5[[#This Row],[Breakdown Time]]*Table5[[#This Row],[Plant Equivalent Weightage]],"")</f>
        <v>2.7272727272727299E-2</v>
      </c>
      <c r="X332" s="289" t="s">
        <v>343</v>
      </c>
      <c r="Y332" s="290" t="s">
        <v>85</v>
      </c>
      <c r="Z332" s="79"/>
      <c r="AA332" s="283">
        <v>1252</v>
      </c>
      <c r="AB332" s="79"/>
      <c r="AC332" s="23"/>
      <c r="AD332" s="23"/>
    </row>
    <row r="333" spans="1:30">
      <c r="A333" s="79">
        <f t="shared" si="20"/>
        <v>332</v>
      </c>
      <c r="B333" s="283">
        <f>YEAR(Table5[[#This Row],[Date]])+IF(MONTH(Table5[[#This Row],[Date]])&gt;=4,1,0)</f>
        <v>2026</v>
      </c>
      <c r="C333" s="79">
        <f>YEAR(Table5[[#This Row],[Date]])</f>
        <v>2025</v>
      </c>
      <c r="D333" s="79" t="s">
        <v>344</v>
      </c>
      <c r="E333" s="284">
        <f>Table5[[#This Row],[Date]]-DAY(Table5[[#This Row],[Date]])+1</f>
        <v>45839</v>
      </c>
      <c r="F333" s="285">
        <v>45846</v>
      </c>
      <c r="G333" s="79" t="s">
        <v>111</v>
      </c>
      <c r="H333" s="23" t="str">
        <f>IFERROR(_xlfn.XLOOKUP(Table5[[#This Row],[Affected WTG]],'Basic Data'!$A:$A,'Basic Data'!$B:$B),"")</f>
        <v>PWEPL</v>
      </c>
      <c r="I333" s="23" t="str">
        <f>IFERROR(_xlfn.XLOOKUP(Table5[[#This Row],[Affected WTG]],'Basic Data'!$A:$A,'Basic Data'!$C:$C),"")</f>
        <v>MSEDCL</v>
      </c>
      <c r="J333" s="286">
        <f>IFERROR(_xlfn.XLOOKUP(Table5[[#This Row],[Affected WTG]],'Basic Data'!$A:$A,'Basic Data'!$E:$E),"")</f>
        <v>2.2727272727272728E-2</v>
      </c>
      <c r="K333" s="79">
        <v>3</v>
      </c>
      <c r="L333" s="23" t="str">
        <f>IFERROR(_xlfn.XLOOKUP(Table5[[#This Row],[Error Code]],'Basic Data'!$W:$W,'Basic Data'!$X:$X),"Incorrect Error Code")</f>
        <v>Manual Stop</v>
      </c>
      <c r="M333" s="23" t="s">
        <v>950</v>
      </c>
      <c r="N333" s="23"/>
      <c r="O333" s="355">
        <v>0.60972222222222217</v>
      </c>
      <c r="P333" s="355">
        <v>0.60972222222222217</v>
      </c>
      <c r="Q333" s="355">
        <v>0.61111111111111105</v>
      </c>
      <c r="R333" s="341">
        <f t="shared" si="21"/>
        <v>1.388888888888884E-3</v>
      </c>
      <c r="S333" s="353">
        <f>(Table5[[#This Row],[Fault Clearance time]]-Table5[[#This Row],[Work Start TimeStamp]])*24</f>
        <v>3.3333333333333215E-2</v>
      </c>
      <c r="T333" s="353">
        <f>(Table5[[#This Row],[Fault Clearance time]]-Table5[[#This Row],[Fault Start TimeStamp]])*24</f>
        <v>3.3333333333333215E-2</v>
      </c>
      <c r="U333" s="23" t="s">
        <v>950</v>
      </c>
      <c r="V333" s="79" t="s">
        <v>339</v>
      </c>
      <c r="W333" s="354">
        <f>IFERROR(Table5[[#This Row],[Breakdown Time]]*Table5[[#This Row],[Plant Equivalent Weightage]],"")</f>
        <v>7.5757575757575486E-4</v>
      </c>
      <c r="X333" s="289" t="s">
        <v>394</v>
      </c>
      <c r="Y333" s="290" t="s">
        <v>112</v>
      </c>
      <c r="Z333" s="79"/>
      <c r="AA333" s="283">
        <v>269</v>
      </c>
      <c r="AB333" s="79"/>
      <c r="AC333" s="23"/>
      <c r="AD333" s="23"/>
    </row>
    <row r="334" spans="1:30">
      <c r="A334" s="79">
        <f t="shared" si="20"/>
        <v>333</v>
      </c>
      <c r="B334" s="283">
        <f>YEAR(Table5[[#This Row],[Date]])+IF(MONTH(Table5[[#This Row],[Date]])&gt;=4,1,0)</f>
        <v>2026</v>
      </c>
      <c r="C334" s="79">
        <f>YEAR(Table5[[#This Row],[Date]])</f>
        <v>2025</v>
      </c>
      <c r="D334" s="79" t="s">
        <v>344</v>
      </c>
      <c r="E334" s="284">
        <f>Table5[[#This Row],[Date]]-DAY(Table5[[#This Row],[Date]])+1</f>
        <v>45839</v>
      </c>
      <c r="F334" s="285">
        <v>45846</v>
      </c>
      <c r="G334" s="79" t="s">
        <v>112</v>
      </c>
      <c r="H334" s="23" t="str">
        <f>IFERROR(_xlfn.XLOOKUP(Table5[[#This Row],[Affected WTG]],'Basic Data'!$A:$A,'Basic Data'!$B:$B),"")</f>
        <v>PWEPL</v>
      </c>
      <c r="I334" s="23" t="str">
        <f>IFERROR(_xlfn.XLOOKUP(Table5[[#This Row],[Affected WTG]],'Basic Data'!$A:$A,'Basic Data'!$C:$C),"")</f>
        <v>MSEDCL</v>
      </c>
      <c r="J334" s="286">
        <f>IFERROR(_xlfn.XLOOKUP(Table5[[#This Row],[Affected WTG]],'Basic Data'!$A:$A,'Basic Data'!$E:$E),"")</f>
        <v>2.2727272727272728E-2</v>
      </c>
      <c r="K334" s="79">
        <v>3</v>
      </c>
      <c r="L334" s="23" t="str">
        <f>IFERROR(_xlfn.XLOOKUP(Table5[[#This Row],[Error Code]],'Basic Data'!$W:$W,'Basic Data'!$X:$X),"Incorrect Error Code")</f>
        <v>Manual Stop</v>
      </c>
      <c r="M334" s="23" t="s">
        <v>950</v>
      </c>
      <c r="N334" s="23"/>
      <c r="O334" s="355">
        <v>0.62083333333333335</v>
      </c>
      <c r="P334" s="355">
        <v>0.62083333333333335</v>
      </c>
      <c r="Q334" s="355">
        <v>0.62430555555555556</v>
      </c>
      <c r="R334" s="341">
        <f t="shared" si="21"/>
        <v>3.4722222222222099E-3</v>
      </c>
      <c r="S334" s="353">
        <f>(Table5[[#This Row],[Fault Clearance time]]-Table5[[#This Row],[Work Start TimeStamp]])*24</f>
        <v>8.3333333333333037E-2</v>
      </c>
      <c r="T334" s="353">
        <f>(Table5[[#This Row],[Fault Clearance time]]-Table5[[#This Row],[Fault Start TimeStamp]])*24</f>
        <v>8.3333333333333037E-2</v>
      </c>
      <c r="U334" s="23" t="s">
        <v>950</v>
      </c>
      <c r="V334" s="79" t="s">
        <v>339</v>
      </c>
      <c r="W334" s="354">
        <f>IFERROR(Table5[[#This Row],[Breakdown Time]]*Table5[[#This Row],[Plant Equivalent Weightage]],"")</f>
        <v>1.8939393939393873E-3</v>
      </c>
      <c r="X334" s="289" t="s">
        <v>394</v>
      </c>
      <c r="Y334" s="290" t="s">
        <v>111</v>
      </c>
      <c r="Z334" s="79"/>
      <c r="AA334" s="283">
        <v>270</v>
      </c>
      <c r="AB334" s="79"/>
      <c r="AC334" s="23"/>
      <c r="AD334" s="23"/>
    </row>
    <row r="335" spans="1:30">
      <c r="A335" s="79">
        <f t="shared" si="20"/>
        <v>334</v>
      </c>
      <c r="B335" s="283">
        <f>YEAR(Table5[[#This Row],[Date]])+IF(MONTH(Table5[[#This Row],[Date]])&gt;=4,1,0)</f>
        <v>2026</v>
      </c>
      <c r="C335" s="79">
        <f>YEAR(Table5[[#This Row],[Date]])</f>
        <v>2025</v>
      </c>
      <c r="D335" s="79" t="s">
        <v>344</v>
      </c>
      <c r="E335" s="284">
        <f>Table5[[#This Row],[Date]]-DAY(Table5[[#This Row],[Date]])+1</f>
        <v>45839</v>
      </c>
      <c r="F335" s="285">
        <v>45846</v>
      </c>
      <c r="G335" s="79" t="s">
        <v>113</v>
      </c>
      <c r="H335" s="23" t="str">
        <f>IFERROR(_xlfn.XLOOKUP(Table5[[#This Row],[Affected WTG]],'Basic Data'!$A:$A,'Basic Data'!$B:$B),"")</f>
        <v>PWEPL</v>
      </c>
      <c r="I335" s="23" t="str">
        <f>IFERROR(_xlfn.XLOOKUP(Table5[[#This Row],[Affected WTG]],'Basic Data'!$A:$A,'Basic Data'!$C:$C),"")</f>
        <v>MSEDCL</v>
      </c>
      <c r="J335" s="286">
        <f>IFERROR(_xlfn.XLOOKUP(Table5[[#This Row],[Affected WTG]],'Basic Data'!$A:$A,'Basic Data'!$E:$E),"")</f>
        <v>2.2727272727272728E-2</v>
      </c>
      <c r="K335" s="79">
        <v>3</v>
      </c>
      <c r="L335" s="23" t="str">
        <f>IFERROR(_xlfn.XLOOKUP(Table5[[#This Row],[Error Code]],'Basic Data'!$W:$W,'Basic Data'!$X:$X),"Incorrect Error Code")</f>
        <v>Manual Stop</v>
      </c>
      <c r="M335" s="23" t="s">
        <v>950</v>
      </c>
      <c r="N335" s="23"/>
      <c r="O335" s="355">
        <v>0.63055555555555554</v>
      </c>
      <c r="P335" s="355">
        <v>0.63055555555555554</v>
      </c>
      <c r="Q335" s="355">
        <v>0.6333333333333333</v>
      </c>
      <c r="R335" s="341">
        <f t="shared" si="21"/>
        <v>2.7777777777777679E-3</v>
      </c>
      <c r="S335" s="353">
        <f>(Table5[[#This Row],[Fault Clearance time]]-Table5[[#This Row],[Work Start TimeStamp]])*24</f>
        <v>6.666666666666643E-2</v>
      </c>
      <c r="T335" s="353">
        <f>(Table5[[#This Row],[Fault Clearance time]]-Table5[[#This Row],[Fault Start TimeStamp]])*24</f>
        <v>6.666666666666643E-2</v>
      </c>
      <c r="U335" s="23" t="s">
        <v>950</v>
      </c>
      <c r="V335" s="79" t="s">
        <v>339</v>
      </c>
      <c r="W335" s="354">
        <f>IFERROR(Table5[[#This Row],[Breakdown Time]]*Table5[[#This Row],[Plant Equivalent Weightage]],"")</f>
        <v>1.5151515151515097E-3</v>
      </c>
      <c r="X335" s="289" t="s">
        <v>394</v>
      </c>
      <c r="Y335" s="290" t="s">
        <v>114</v>
      </c>
      <c r="Z335" s="79"/>
      <c r="AA335" s="283">
        <v>262</v>
      </c>
      <c r="AB335" s="79"/>
      <c r="AC335" s="23"/>
      <c r="AD335" s="23"/>
    </row>
    <row r="336" spans="1:30">
      <c r="A336" s="79">
        <f t="shared" si="20"/>
        <v>335</v>
      </c>
      <c r="B336" s="283">
        <f>YEAR(Table5[[#This Row],[Date]])+IF(MONTH(Table5[[#This Row],[Date]])&gt;=4,1,0)</f>
        <v>2026</v>
      </c>
      <c r="C336" s="79">
        <f>YEAR(Table5[[#This Row],[Date]])</f>
        <v>2025</v>
      </c>
      <c r="D336" s="79" t="s">
        <v>344</v>
      </c>
      <c r="E336" s="284">
        <f>Table5[[#This Row],[Date]]-DAY(Table5[[#This Row],[Date]])+1</f>
        <v>45839</v>
      </c>
      <c r="F336" s="285">
        <v>45846</v>
      </c>
      <c r="G336" s="79" t="s">
        <v>114</v>
      </c>
      <c r="H336" s="23" t="str">
        <f>IFERROR(_xlfn.XLOOKUP(Table5[[#This Row],[Affected WTG]],'Basic Data'!$A:$A,'Basic Data'!$B:$B),"")</f>
        <v>PWEPL</v>
      </c>
      <c r="I336" s="23" t="str">
        <f>IFERROR(_xlfn.XLOOKUP(Table5[[#This Row],[Affected WTG]],'Basic Data'!$A:$A,'Basic Data'!$C:$C),"")</f>
        <v>MSEDCL</v>
      </c>
      <c r="J336" s="286">
        <f>IFERROR(_xlfn.XLOOKUP(Table5[[#This Row],[Affected WTG]],'Basic Data'!$A:$A,'Basic Data'!$E:$E),"")</f>
        <v>2.2727272727272728E-2</v>
      </c>
      <c r="K336" s="79">
        <v>3</v>
      </c>
      <c r="L336" s="23" t="str">
        <f>IFERROR(_xlfn.XLOOKUP(Table5[[#This Row],[Error Code]],'Basic Data'!$W:$W,'Basic Data'!$X:$X),"Incorrect Error Code")</f>
        <v>Manual Stop</v>
      </c>
      <c r="M336" s="23" t="s">
        <v>950</v>
      </c>
      <c r="N336" s="23"/>
      <c r="O336" s="355">
        <v>0.64236111111111105</v>
      </c>
      <c r="P336" s="355">
        <v>0.64236111111111105</v>
      </c>
      <c r="Q336" s="355">
        <v>0.64513888888888882</v>
      </c>
      <c r="R336" s="341">
        <f t="shared" si="21"/>
        <v>2.7777777777777679E-3</v>
      </c>
      <c r="S336" s="353">
        <f>(Table5[[#This Row],[Fault Clearance time]]-Table5[[#This Row],[Work Start TimeStamp]])*24</f>
        <v>6.666666666666643E-2</v>
      </c>
      <c r="T336" s="353">
        <f>(Table5[[#This Row],[Fault Clearance time]]-Table5[[#This Row],[Fault Start TimeStamp]])*24</f>
        <v>6.666666666666643E-2</v>
      </c>
      <c r="U336" s="23" t="s">
        <v>950</v>
      </c>
      <c r="V336" s="79" t="s">
        <v>339</v>
      </c>
      <c r="W336" s="354">
        <f>IFERROR(Table5[[#This Row],[Breakdown Time]]*Table5[[#This Row],[Plant Equivalent Weightage]],"")</f>
        <v>1.5151515151515097E-3</v>
      </c>
      <c r="X336" s="289" t="s">
        <v>394</v>
      </c>
      <c r="Y336" s="290" t="s">
        <v>113</v>
      </c>
      <c r="Z336" s="79"/>
      <c r="AA336" s="283">
        <v>243</v>
      </c>
      <c r="AB336" s="79"/>
      <c r="AC336" s="23"/>
      <c r="AD336" s="23"/>
    </row>
    <row r="339" spans="15:18">
      <c r="O339"/>
      <c r="R339"/>
    </row>
    <row r="340" spans="15:18">
      <c r="O340"/>
      <c r="R340"/>
    </row>
    <row r="341" spans="15:18">
      <c r="O341"/>
      <c r="R341"/>
    </row>
    <row r="342" spans="15:18">
      <c r="O342"/>
      <c r="R342"/>
    </row>
    <row r="343" spans="15:18">
      <c r="O343"/>
      <c r="R343"/>
    </row>
    <row r="344" spans="15:18">
      <c r="O344"/>
      <c r="R344"/>
    </row>
    <row r="345" spans="15:18">
      <c r="O345"/>
      <c r="R345"/>
    </row>
    <row r="346" spans="15:18">
      <c r="O346"/>
      <c r="R346"/>
    </row>
    <row r="347" spans="15:18">
      <c r="O347"/>
      <c r="R347"/>
    </row>
    <row r="348" spans="15:18">
      <c r="O348"/>
      <c r="R348"/>
    </row>
    <row r="349" spans="15:18">
      <c r="O349"/>
      <c r="R349"/>
    </row>
    <row r="350" spans="15:18">
      <c r="O350"/>
      <c r="R350"/>
    </row>
    <row r="351" spans="15:18">
      <c r="O351"/>
      <c r="R351"/>
    </row>
    <row r="352" spans="15:18">
      <c r="O352"/>
      <c r="R352"/>
    </row>
    <row r="353" spans="15:18">
      <c r="O353"/>
      <c r="R353"/>
    </row>
    <row r="354" spans="15:18">
      <c r="O354"/>
      <c r="R354"/>
    </row>
    <row r="355" spans="15:18">
      <c r="O355"/>
      <c r="R355"/>
    </row>
  </sheetData>
  <conditionalFormatting sqref="L1:L328 L330 L332:L336">
    <cfRule type="containsText" dxfId="2" priority="2" operator="containsText" text="Incorrect Error Code">
      <formula>NOT(ISERROR(SEARCH("Incorrect Error Code",L1)))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'Basic Data'!$S$10:$S$13</xm:f>
          </x14:formula1>
          <xm:sqref>N356:N1048576 N2:N338</xm:sqref>
        </x14:dataValidation>
        <x14:dataValidation type="list" allowBlank="1" showInputMessage="1" showErrorMessage="1" xr:uid="{00000000-0002-0000-0700-000001000000}">
          <x14:formula1>
            <xm:f>'Basic Data'!$S$4:$S$8</xm:f>
          </x14:formula1>
          <xm:sqref>X2:X1048576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93"/>
  <sheetViews>
    <sheetView workbookViewId="0">
      <pane xSplit="6" ySplit="1" topLeftCell="G1070" activePane="bottomRight" state="frozen"/>
      <selection pane="topRight" activeCell="G1" sqref="G1"/>
      <selection pane="bottomLeft" activeCell="A2" sqref="A2"/>
      <selection pane="bottomRight" activeCell="I1096" sqref="I1096"/>
    </sheetView>
  </sheetViews>
  <sheetFormatPr defaultColWidth="8.6640625" defaultRowHeight="14.4"/>
  <cols>
    <col min="1" max="1" width="8.6640625" style="79"/>
    <col min="2" max="2" width="12.109375" style="79" customWidth="1"/>
    <col min="3" max="3" width="12.33203125" style="79" customWidth="1"/>
    <col min="4" max="4" width="13" style="79" customWidth="1"/>
    <col min="5" max="5" width="8.6640625" style="79"/>
    <col min="6" max="6" width="9.5546875" style="79" bestFit="1" customWidth="1"/>
    <col min="7" max="7" width="14.109375" style="79" customWidth="1"/>
    <col min="8" max="8" width="8.6640625" style="79"/>
    <col min="9" max="9" width="9.88671875" style="79" customWidth="1"/>
    <col min="10" max="10" width="21.6640625" style="79" customWidth="1"/>
    <col min="11" max="11" width="66.5546875" style="79" bestFit="1" customWidth="1"/>
    <col min="12" max="12" width="18" style="79" customWidth="1"/>
    <col min="13" max="13" width="18.44140625" style="79" customWidth="1"/>
    <col min="14" max="14" width="16.6640625" style="79" customWidth="1"/>
    <col min="15" max="15" width="13.109375" style="79" customWidth="1"/>
    <col min="16" max="16" width="13.88671875" style="79" customWidth="1"/>
    <col min="17" max="17" width="14.44140625" style="79" customWidth="1"/>
    <col min="18" max="18" width="51.109375" style="79" bestFit="1" customWidth="1"/>
    <col min="19" max="19" width="8.6640625" style="79"/>
    <col min="20" max="20" width="22.109375" style="79" customWidth="1"/>
    <col min="21" max="21" width="25.5546875" style="79" bestFit="1" customWidth="1"/>
    <col min="22" max="22" width="25.5546875" style="79" customWidth="1"/>
    <col min="23" max="23" width="22.5546875" style="79" customWidth="1"/>
    <col min="24" max="24" width="8.6640625" style="79"/>
    <col min="25" max="25" width="8.88671875" style="79" customWidth="1"/>
    <col min="26" max="26" width="11.5546875" style="79" customWidth="1"/>
    <col min="27" max="16384" width="8.6640625" style="79"/>
  </cols>
  <sheetData>
    <row r="1" spans="1:26" ht="49.5" customHeight="1" thickBot="1">
      <c r="A1" s="292" t="s">
        <v>8</v>
      </c>
      <c r="B1" s="293" t="s">
        <v>3</v>
      </c>
      <c r="C1" s="293" t="s">
        <v>198</v>
      </c>
      <c r="D1" s="293" t="s">
        <v>318</v>
      </c>
      <c r="E1" s="293" t="s">
        <v>317</v>
      </c>
      <c r="F1" s="294" t="s">
        <v>197</v>
      </c>
      <c r="G1" s="294" t="s">
        <v>928</v>
      </c>
      <c r="H1" s="294" t="s">
        <v>320</v>
      </c>
      <c r="I1" s="294" t="s">
        <v>497</v>
      </c>
      <c r="J1" s="294" t="s">
        <v>321</v>
      </c>
      <c r="K1" s="294" t="s">
        <v>324</v>
      </c>
      <c r="L1" s="294" t="s">
        <v>325</v>
      </c>
      <c r="M1" s="294" t="s">
        <v>326</v>
      </c>
      <c r="N1" s="294" t="s">
        <v>327</v>
      </c>
      <c r="O1" s="294" t="s">
        <v>328</v>
      </c>
      <c r="P1" s="294" t="s">
        <v>329</v>
      </c>
      <c r="Q1" s="294" t="s">
        <v>330</v>
      </c>
      <c r="R1" s="294" t="s">
        <v>331</v>
      </c>
      <c r="S1" s="294" t="s">
        <v>332</v>
      </c>
      <c r="T1" s="294" t="s">
        <v>333</v>
      </c>
      <c r="U1" s="294" t="s">
        <v>879</v>
      </c>
      <c r="V1" s="17" t="s">
        <v>933</v>
      </c>
      <c r="W1" s="294" t="s">
        <v>921</v>
      </c>
      <c r="X1" s="294" t="s">
        <v>929</v>
      </c>
      <c r="Y1" s="294" t="s">
        <v>923</v>
      </c>
      <c r="Z1" s="294" t="s">
        <v>924</v>
      </c>
    </row>
    <row r="2" spans="1:26" ht="15" thickTop="1">
      <c r="A2" s="79">
        <v>1</v>
      </c>
      <c r="B2" s="79">
        <f>YEAR(Table6[[#This Row],[Date]])+IF(MONTH(Table6[[#This Row],[Date]])&gt;=4,1,0)</f>
        <v>2025</v>
      </c>
      <c r="C2" s="79">
        <f>YEAR(Table6[[#This Row],[Date]])</f>
        <v>2025</v>
      </c>
      <c r="D2" s="79" t="s">
        <v>335</v>
      </c>
      <c r="E2" s="284">
        <f>Table6[[#This Row],[Date]]-DAY(Table6[[#This Row],[Date]])+1</f>
        <v>45717</v>
      </c>
      <c r="F2" s="285">
        <v>45745</v>
      </c>
      <c r="G2" s="79" t="s">
        <v>404</v>
      </c>
      <c r="H2" s="79" t="str">
        <f>IFERROR(_xlfn.XLOOKUP(Table6[[#This Row],[Affected Feeder ]],'Basic Data'!$A:$A,'Basic Data'!$B:$B),"")</f>
        <v>PWEPL</v>
      </c>
      <c r="I2" s="79" t="str">
        <f>IFERROR(_xlfn.XLOOKUP(Table6[[#This Row],[Affected Feeder ]],'Basic Data'!$A:$A,'Basic Data'!$C:$C),"")</f>
        <v>MSEDCL</v>
      </c>
      <c r="J2" s="295">
        <f>IFERROR(_xlfn.XLOOKUP(Table6[[#This Row],[Affected Feeder ]],'Basic Data'!$A:$A,'Basic Data'!$E:$E),"")</f>
        <v>0.27272727272727276</v>
      </c>
      <c r="K2" s="296" t="s">
        <v>409</v>
      </c>
      <c r="L2" s="297">
        <v>0.49444444444444446</v>
      </c>
      <c r="M2" s="297">
        <v>0.49444444444444446</v>
      </c>
      <c r="N2" s="297">
        <v>0.67499999999999993</v>
      </c>
      <c r="O2" s="19">
        <f>(Table6[[#This Row],[Work Start TimeStamp]]-Table6[[#This Row],[Fault Start TimeStamp]])*24</f>
        <v>0</v>
      </c>
      <c r="P2" s="19">
        <f>(Table6[[#This Row],[Fault Clearance time]]-Table6[[#This Row],[Fault Start TimeStamp]])*24</f>
        <v>4.3333333333333313</v>
      </c>
      <c r="Q2" s="19">
        <f>(Table6[[#This Row],[Fault Clearance time]]-Table6[[#This Row],[Fault Start TimeStamp]])*24</f>
        <v>4.3333333333333313</v>
      </c>
      <c r="R2" s="79" t="s">
        <v>410</v>
      </c>
      <c r="S2" s="79" t="s">
        <v>339</v>
      </c>
      <c r="T2" s="298">
        <f>IFERROR(Table6[[#This Row],[Breakdown Time]]*Table6[[#This Row],[Plant Equivalent Weightage]],"")</f>
        <v>1.1818181818181814</v>
      </c>
      <c r="U2" s="79" t="s">
        <v>411</v>
      </c>
      <c r="W2" s="79">
        <v>4001</v>
      </c>
    </row>
    <row r="3" spans="1:26">
      <c r="A3" s="79">
        <f>A2+1</f>
        <v>2</v>
      </c>
      <c r="B3" s="79">
        <f>YEAR(Table6[[#This Row],[Date]])+IF(MONTH(Table6[[#This Row],[Date]])&gt;=4,1,0)</f>
        <v>2025</v>
      </c>
      <c r="C3" s="79">
        <f>YEAR(Table6[[#This Row],[Date]])</f>
        <v>2025</v>
      </c>
      <c r="D3" s="79" t="s">
        <v>335</v>
      </c>
      <c r="E3" s="284">
        <f>Table6[[#This Row],[Date]]-DAY(Table6[[#This Row],[Date]])+1</f>
        <v>45717</v>
      </c>
      <c r="F3" s="285">
        <v>45745</v>
      </c>
      <c r="G3" s="79" t="s">
        <v>89</v>
      </c>
      <c r="H3" s="79" t="str">
        <f>IFERROR(_xlfn.XLOOKUP(Table6[[#This Row],[Affected Feeder ]],'Basic Data'!$A:$A,'Basic Data'!$B:$B),"")</f>
        <v>PWEPL</v>
      </c>
      <c r="I3" s="79" t="str">
        <f>IFERROR(_xlfn.XLOOKUP(Table6[[#This Row],[Affected Feeder ]],'Basic Data'!$A:$A,'Basic Data'!$C:$C),"")</f>
        <v>MSEDCL</v>
      </c>
      <c r="J3" s="295">
        <f>IFERROR(_xlfn.XLOOKUP(Table6[[#This Row],[Affected Feeder ]],'Basic Data'!$A:$A,'Basic Data'!$E:$E),"")</f>
        <v>2.2727272727272728E-2</v>
      </c>
      <c r="K3" s="296" t="s">
        <v>171</v>
      </c>
      <c r="L3" s="297">
        <v>0.67499999999999993</v>
      </c>
      <c r="M3" s="297">
        <v>0.67499999999999993</v>
      </c>
      <c r="N3" s="297">
        <v>0.68888888888888899</v>
      </c>
      <c r="O3" s="19">
        <f>(Table6[[#This Row],[Work Start TimeStamp]]-Table6[[#This Row],[Fault Start TimeStamp]])*24</f>
        <v>0</v>
      </c>
      <c r="P3" s="19">
        <f>(Table6[[#This Row],[Fault Clearance time]]-Table6[[#This Row],[Fault Start TimeStamp]])*24</f>
        <v>0.33333333333333748</v>
      </c>
      <c r="Q3" s="19">
        <f>(Table6[[#This Row],[Fault Clearance time]]-Table6[[#This Row],[Fault Start TimeStamp]])*24</f>
        <v>0.33333333333333748</v>
      </c>
      <c r="R3" s="79" t="s">
        <v>353</v>
      </c>
      <c r="S3" s="79" t="s">
        <v>339</v>
      </c>
      <c r="T3" s="298">
        <f>IFERROR(Table6[[#This Row],[Breakdown Time]]*Table6[[#This Row],[Plant Equivalent Weightage]],"")</f>
        <v>7.5757575757576705E-3</v>
      </c>
      <c r="U3" s="79" t="s">
        <v>411</v>
      </c>
      <c r="W3" s="79">
        <v>27</v>
      </c>
    </row>
    <row r="4" spans="1:26">
      <c r="A4" s="79">
        <f t="shared" ref="A4:A67" si="0">A3+1</f>
        <v>3</v>
      </c>
      <c r="B4" s="79">
        <f>YEAR(Table6[[#This Row],[Date]])+IF(MONTH(Table6[[#This Row],[Date]])&gt;=4,1,0)</f>
        <v>2025</v>
      </c>
      <c r="C4" s="79">
        <f>YEAR(Table6[[#This Row],[Date]])</f>
        <v>2025</v>
      </c>
      <c r="D4" s="79" t="s">
        <v>335</v>
      </c>
      <c r="E4" s="284">
        <f>Table6[[#This Row],[Date]]-DAY(Table6[[#This Row],[Date]])+1</f>
        <v>45717</v>
      </c>
      <c r="F4" s="285">
        <v>45745</v>
      </c>
      <c r="G4" s="79" t="s">
        <v>90</v>
      </c>
      <c r="H4" s="79" t="str">
        <f>IFERROR(_xlfn.XLOOKUP(Table6[[#This Row],[Affected Feeder ]],'Basic Data'!$A:$A,'Basic Data'!$B:$B),"")</f>
        <v>PWEPL</v>
      </c>
      <c r="I4" s="79" t="str">
        <f>IFERROR(_xlfn.XLOOKUP(Table6[[#This Row],[Affected Feeder ]],'Basic Data'!$A:$A,'Basic Data'!$C:$C),"")</f>
        <v>MSEDCL</v>
      </c>
      <c r="J4" s="295">
        <f>IFERROR(_xlfn.XLOOKUP(Table6[[#This Row],[Affected Feeder ]],'Basic Data'!$A:$A,'Basic Data'!$E:$E),"")</f>
        <v>2.2727272727272728E-2</v>
      </c>
      <c r="K4" s="296" t="s">
        <v>171</v>
      </c>
      <c r="L4" s="297">
        <v>0.67499999999999993</v>
      </c>
      <c r="M4" s="297">
        <v>0.67499999999999993</v>
      </c>
      <c r="N4" s="297">
        <v>0.68888888888888899</v>
      </c>
      <c r="O4" s="19">
        <f>(Table6[[#This Row],[Work Start TimeStamp]]-Table6[[#This Row],[Fault Start TimeStamp]])*24</f>
        <v>0</v>
      </c>
      <c r="P4" s="19">
        <f>(Table6[[#This Row],[Fault Clearance time]]-Table6[[#This Row],[Fault Start TimeStamp]])*24</f>
        <v>0.33333333333333748</v>
      </c>
      <c r="Q4" s="19">
        <f>(Table6[[#This Row],[Fault Clearance time]]-Table6[[#This Row],[Fault Start TimeStamp]])*24</f>
        <v>0.33333333333333748</v>
      </c>
      <c r="R4" s="79" t="s">
        <v>353</v>
      </c>
      <c r="S4" s="79" t="s">
        <v>339</v>
      </c>
      <c r="T4" s="298">
        <f>IFERROR(Table6[[#This Row],[Breakdown Time]]*Table6[[#This Row],[Plant Equivalent Weightage]],"")</f>
        <v>7.5757575757576705E-3</v>
      </c>
      <c r="U4" s="79" t="s">
        <v>411</v>
      </c>
      <c r="W4" s="79">
        <v>27</v>
      </c>
    </row>
    <row r="5" spans="1:26">
      <c r="A5" s="79">
        <f t="shared" si="0"/>
        <v>4</v>
      </c>
      <c r="B5" s="79">
        <f>YEAR(Table6[[#This Row],[Date]])+IF(MONTH(Table6[[#This Row],[Date]])&gt;=4,1,0)</f>
        <v>2025</v>
      </c>
      <c r="C5" s="79">
        <f>YEAR(Table6[[#This Row],[Date]])</f>
        <v>2025</v>
      </c>
      <c r="D5" s="79" t="s">
        <v>335</v>
      </c>
      <c r="E5" s="284">
        <f>Table6[[#This Row],[Date]]-DAY(Table6[[#This Row],[Date]])+1</f>
        <v>45717</v>
      </c>
      <c r="F5" s="285">
        <v>45745</v>
      </c>
      <c r="G5" s="79" t="s">
        <v>91</v>
      </c>
      <c r="H5" s="79" t="str">
        <f>IFERROR(_xlfn.XLOOKUP(Table6[[#This Row],[Affected Feeder ]],'Basic Data'!$A:$A,'Basic Data'!$B:$B),"")</f>
        <v>PWEPL</v>
      </c>
      <c r="I5" s="79" t="str">
        <f>IFERROR(_xlfn.XLOOKUP(Table6[[#This Row],[Affected Feeder ]],'Basic Data'!$A:$A,'Basic Data'!$C:$C),"")</f>
        <v>MSEDCL</v>
      </c>
      <c r="J5" s="295">
        <f>IFERROR(_xlfn.XLOOKUP(Table6[[#This Row],[Affected Feeder ]],'Basic Data'!$A:$A,'Basic Data'!$E:$E),"")</f>
        <v>2.2727272727272728E-2</v>
      </c>
      <c r="K5" s="296" t="s">
        <v>171</v>
      </c>
      <c r="L5" s="297">
        <v>0.67499999999999993</v>
      </c>
      <c r="M5" s="297">
        <v>0.67499999999999993</v>
      </c>
      <c r="N5" s="297">
        <v>0.68888888888888899</v>
      </c>
      <c r="O5" s="19">
        <f>(Table6[[#This Row],[Work Start TimeStamp]]-Table6[[#This Row],[Fault Start TimeStamp]])*24</f>
        <v>0</v>
      </c>
      <c r="P5" s="19">
        <f>(Table6[[#This Row],[Fault Clearance time]]-Table6[[#This Row],[Fault Start TimeStamp]])*24</f>
        <v>0.33333333333333748</v>
      </c>
      <c r="Q5" s="19">
        <f>(Table6[[#This Row],[Fault Clearance time]]-Table6[[#This Row],[Fault Start TimeStamp]])*24</f>
        <v>0.33333333333333748</v>
      </c>
      <c r="R5" s="79" t="s">
        <v>353</v>
      </c>
      <c r="S5" s="79" t="s">
        <v>339</v>
      </c>
      <c r="T5" s="298">
        <f>IFERROR(Table6[[#This Row],[Breakdown Time]]*Table6[[#This Row],[Plant Equivalent Weightage]],"")</f>
        <v>7.5757575757576705E-3</v>
      </c>
      <c r="U5" s="79" t="s">
        <v>411</v>
      </c>
      <c r="W5" s="79">
        <v>27</v>
      </c>
    </row>
    <row r="6" spans="1:26">
      <c r="A6" s="79">
        <f t="shared" si="0"/>
        <v>5</v>
      </c>
      <c r="B6" s="79">
        <f>YEAR(Table6[[#This Row],[Date]])+IF(MONTH(Table6[[#This Row],[Date]])&gt;=4,1,0)</f>
        <v>2025</v>
      </c>
      <c r="C6" s="79">
        <f>YEAR(Table6[[#This Row],[Date]])</f>
        <v>2025</v>
      </c>
      <c r="D6" s="79" t="s">
        <v>335</v>
      </c>
      <c r="E6" s="284">
        <f>Table6[[#This Row],[Date]]-DAY(Table6[[#This Row],[Date]])+1</f>
        <v>45717</v>
      </c>
      <c r="F6" s="285">
        <v>45745</v>
      </c>
      <c r="G6" s="79" t="s">
        <v>92</v>
      </c>
      <c r="H6" s="79" t="str">
        <f>IFERROR(_xlfn.XLOOKUP(Table6[[#This Row],[Affected Feeder ]],'Basic Data'!$A:$A,'Basic Data'!$B:$B),"")</f>
        <v>PWEPL</v>
      </c>
      <c r="I6" s="79" t="str">
        <f>IFERROR(_xlfn.XLOOKUP(Table6[[#This Row],[Affected Feeder ]],'Basic Data'!$A:$A,'Basic Data'!$C:$C),"")</f>
        <v>MSEDCL</v>
      </c>
      <c r="J6" s="295">
        <f>IFERROR(_xlfn.XLOOKUP(Table6[[#This Row],[Affected Feeder ]],'Basic Data'!$A:$A,'Basic Data'!$E:$E),"")</f>
        <v>2.2727272727272728E-2</v>
      </c>
      <c r="K6" s="296" t="s">
        <v>171</v>
      </c>
      <c r="L6" s="297">
        <v>0.67499999999999993</v>
      </c>
      <c r="M6" s="297">
        <v>0.67499999999999993</v>
      </c>
      <c r="N6" s="297">
        <v>0.68888888888888899</v>
      </c>
      <c r="O6" s="19">
        <f>(Table6[[#This Row],[Work Start TimeStamp]]-Table6[[#This Row],[Fault Start TimeStamp]])*24</f>
        <v>0</v>
      </c>
      <c r="P6" s="19">
        <f>(Table6[[#This Row],[Fault Clearance time]]-Table6[[#This Row],[Fault Start TimeStamp]])*24</f>
        <v>0.33333333333333748</v>
      </c>
      <c r="Q6" s="19">
        <f>(Table6[[#This Row],[Fault Clearance time]]-Table6[[#This Row],[Fault Start TimeStamp]])*24</f>
        <v>0.33333333333333748</v>
      </c>
      <c r="R6" s="79" t="s">
        <v>353</v>
      </c>
      <c r="S6" s="79" t="s">
        <v>339</v>
      </c>
      <c r="T6" s="298">
        <f>IFERROR(Table6[[#This Row],[Breakdown Time]]*Table6[[#This Row],[Plant Equivalent Weightage]],"")</f>
        <v>7.5757575757576705E-3</v>
      </c>
      <c r="U6" s="79" t="s">
        <v>411</v>
      </c>
      <c r="W6" s="79">
        <v>27</v>
      </c>
    </row>
    <row r="7" spans="1:26">
      <c r="A7" s="79">
        <f t="shared" si="0"/>
        <v>6</v>
      </c>
      <c r="B7" s="79">
        <f>YEAR(Table6[[#This Row],[Date]])+IF(MONTH(Table6[[#This Row],[Date]])&gt;=4,1,0)</f>
        <v>2025</v>
      </c>
      <c r="C7" s="79">
        <f>YEAR(Table6[[#This Row],[Date]])</f>
        <v>2025</v>
      </c>
      <c r="D7" s="79" t="s">
        <v>335</v>
      </c>
      <c r="E7" s="284">
        <f>Table6[[#This Row],[Date]]-DAY(Table6[[#This Row],[Date]])+1</f>
        <v>45717</v>
      </c>
      <c r="F7" s="285">
        <v>45745</v>
      </c>
      <c r="G7" s="79" t="s">
        <v>94</v>
      </c>
      <c r="H7" s="79" t="str">
        <f>IFERROR(_xlfn.XLOOKUP(Table6[[#This Row],[Affected Feeder ]],'Basic Data'!$A:$A,'Basic Data'!$B:$B),"")</f>
        <v>PWEPL</v>
      </c>
      <c r="I7" s="79" t="str">
        <f>IFERROR(_xlfn.XLOOKUP(Table6[[#This Row],[Affected Feeder ]],'Basic Data'!$A:$A,'Basic Data'!$C:$C),"")</f>
        <v>MSEDCL</v>
      </c>
      <c r="J7" s="295">
        <f>IFERROR(_xlfn.XLOOKUP(Table6[[#This Row],[Affected Feeder ]],'Basic Data'!$A:$A,'Basic Data'!$E:$E),"")</f>
        <v>2.2727272727272728E-2</v>
      </c>
      <c r="K7" s="296" t="s">
        <v>171</v>
      </c>
      <c r="L7" s="297">
        <v>0.67499999999999993</v>
      </c>
      <c r="M7" s="297">
        <v>0.67499999999999993</v>
      </c>
      <c r="N7" s="297">
        <v>0.68888888888888899</v>
      </c>
      <c r="O7" s="19">
        <f>(Table6[[#This Row],[Work Start TimeStamp]]-Table6[[#This Row],[Fault Start TimeStamp]])*24</f>
        <v>0</v>
      </c>
      <c r="P7" s="19">
        <f>(Table6[[#This Row],[Fault Clearance time]]-Table6[[#This Row],[Fault Start TimeStamp]])*24</f>
        <v>0.33333333333333748</v>
      </c>
      <c r="Q7" s="19">
        <f>(Table6[[#This Row],[Fault Clearance time]]-Table6[[#This Row],[Fault Start TimeStamp]])*24</f>
        <v>0.33333333333333748</v>
      </c>
      <c r="R7" s="79" t="s">
        <v>353</v>
      </c>
      <c r="S7" s="79" t="s">
        <v>339</v>
      </c>
      <c r="T7" s="298">
        <f>IFERROR(Table6[[#This Row],[Breakdown Time]]*Table6[[#This Row],[Plant Equivalent Weightage]],"")</f>
        <v>7.5757575757576705E-3</v>
      </c>
      <c r="U7" s="79" t="s">
        <v>411</v>
      </c>
      <c r="W7" s="79">
        <v>27</v>
      </c>
    </row>
    <row r="8" spans="1:26">
      <c r="A8" s="79">
        <f t="shared" si="0"/>
        <v>7</v>
      </c>
      <c r="B8" s="79">
        <f>YEAR(Table6[[#This Row],[Date]])+IF(MONTH(Table6[[#This Row],[Date]])&gt;=4,1,0)</f>
        <v>2025</v>
      </c>
      <c r="C8" s="79">
        <f>YEAR(Table6[[#This Row],[Date]])</f>
        <v>2025</v>
      </c>
      <c r="D8" s="79" t="s">
        <v>335</v>
      </c>
      <c r="E8" s="284">
        <f>Table6[[#This Row],[Date]]-DAY(Table6[[#This Row],[Date]])+1</f>
        <v>45717</v>
      </c>
      <c r="F8" s="285">
        <v>45745</v>
      </c>
      <c r="G8" s="79" t="s">
        <v>95</v>
      </c>
      <c r="H8" s="79" t="str">
        <f>IFERROR(_xlfn.XLOOKUP(Table6[[#This Row],[Affected Feeder ]],'Basic Data'!$A:$A,'Basic Data'!$B:$B),"")</f>
        <v>PWEPL</v>
      </c>
      <c r="I8" s="79" t="str">
        <f>IFERROR(_xlfn.XLOOKUP(Table6[[#This Row],[Affected Feeder ]],'Basic Data'!$A:$A,'Basic Data'!$C:$C),"")</f>
        <v>MSEDCL</v>
      </c>
      <c r="J8" s="295">
        <f>IFERROR(_xlfn.XLOOKUP(Table6[[#This Row],[Affected Feeder ]],'Basic Data'!$A:$A,'Basic Data'!$E:$E),"")</f>
        <v>2.2727272727272728E-2</v>
      </c>
      <c r="K8" s="296" t="s">
        <v>171</v>
      </c>
      <c r="L8" s="297">
        <v>0.67499999999999993</v>
      </c>
      <c r="M8" s="297">
        <v>0.67499999999999993</v>
      </c>
      <c r="N8" s="297">
        <v>0.68888888888888899</v>
      </c>
      <c r="O8" s="19">
        <f>(Table6[[#This Row],[Work Start TimeStamp]]-Table6[[#This Row],[Fault Start TimeStamp]])*24</f>
        <v>0</v>
      </c>
      <c r="P8" s="19">
        <f>(Table6[[#This Row],[Fault Clearance time]]-Table6[[#This Row],[Fault Start TimeStamp]])*24</f>
        <v>0.33333333333333748</v>
      </c>
      <c r="Q8" s="19">
        <f>(Table6[[#This Row],[Fault Clearance time]]-Table6[[#This Row],[Fault Start TimeStamp]])*24</f>
        <v>0.33333333333333748</v>
      </c>
      <c r="R8" s="79" t="s">
        <v>353</v>
      </c>
      <c r="S8" s="79" t="s">
        <v>339</v>
      </c>
      <c r="T8" s="298">
        <f>IFERROR(Table6[[#This Row],[Breakdown Time]]*Table6[[#This Row],[Plant Equivalent Weightage]],"")</f>
        <v>7.5757575757576705E-3</v>
      </c>
      <c r="U8" s="79" t="s">
        <v>411</v>
      </c>
      <c r="W8" s="79">
        <v>27</v>
      </c>
    </row>
    <row r="9" spans="1:26">
      <c r="A9" s="79">
        <f t="shared" si="0"/>
        <v>8</v>
      </c>
      <c r="B9" s="79">
        <f>YEAR(Table6[[#This Row],[Date]])+IF(MONTH(Table6[[#This Row],[Date]])&gt;=4,1,0)</f>
        <v>2025</v>
      </c>
      <c r="C9" s="79">
        <f>YEAR(Table6[[#This Row],[Date]])</f>
        <v>2025</v>
      </c>
      <c r="D9" s="79" t="s">
        <v>335</v>
      </c>
      <c r="E9" s="284">
        <f>Table6[[#This Row],[Date]]-DAY(Table6[[#This Row],[Date]])+1</f>
        <v>45717</v>
      </c>
      <c r="F9" s="285">
        <v>45745</v>
      </c>
      <c r="G9" s="79" t="s">
        <v>106</v>
      </c>
      <c r="H9" s="79" t="str">
        <f>IFERROR(_xlfn.XLOOKUP(Table6[[#This Row],[Affected Feeder ]],'Basic Data'!$A:$A,'Basic Data'!$B:$B),"")</f>
        <v>PWEPL</v>
      </c>
      <c r="I9" s="79" t="str">
        <f>IFERROR(_xlfn.XLOOKUP(Table6[[#This Row],[Affected Feeder ]],'Basic Data'!$A:$A,'Basic Data'!$C:$C),"")</f>
        <v>MSEDCL</v>
      </c>
      <c r="J9" s="295">
        <f>IFERROR(_xlfn.XLOOKUP(Table6[[#This Row],[Affected Feeder ]],'Basic Data'!$A:$A,'Basic Data'!$E:$E),"")</f>
        <v>2.2727272727272728E-2</v>
      </c>
      <c r="K9" s="296" t="s">
        <v>171</v>
      </c>
      <c r="L9" s="297">
        <v>0.67499999999999993</v>
      </c>
      <c r="M9" s="297">
        <v>0.67499999999999993</v>
      </c>
      <c r="N9" s="297">
        <v>0.68888888888888899</v>
      </c>
      <c r="O9" s="19">
        <f>(Table6[[#This Row],[Work Start TimeStamp]]-Table6[[#This Row],[Fault Start TimeStamp]])*24</f>
        <v>0</v>
      </c>
      <c r="P9" s="19">
        <f>(Table6[[#This Row],[Fault Clearance time]]-Table6[[#This Row],[Fault Start TimeStamp]])*24</f>
        <v>0.33333333333333748</v>
      </c>
      <c r="Q9" s="19">
        <f>(Table6[[#This Row],[Fault Clearance time]]-Table6[[#This Row],[Fault Start TimeStamp]])*24</f>
        <v>0.33333333333333748</v>
      </c>
      <c r="R9" s="79" t="s">
        <v>353</v>
      </c>
      <c r="S9" s="79" t="s">
        <v>339</v>
      </c>
      <c r="T9" s="298">
        <f>IFERROR(Table6[[#This Row],[Breakdown Time]]*Table6[[#This Row],[Plant Equivalent Weightage]],"")</f>
        <v>7.5757575757576705E-3</v>
      </c>
      <c r="U9" s="79" t="s">
        <v>411</v>
      </c>
      <c r="W9" s="79">
        <v>27</v>
      </c>
    </row>
    <row r="10" spans="1:26">
      <c r="A10" s="79">
        <f t="shared" si="0"/>
        <v>9</v>
      </c>
      <c r="B10" s="79">
        <f>YEAR(Table6[[#This Row],[Date]])+IF(MONTH(Table6[[#This Row],[Date]])&gt;=4,1,0)</f>
        <v>2025</v>
      </c>
      <c r="C10" s="79">
        <f>YEAR(Table6[[#This Row],[Date]])</f>
        <v>2025</v>
      </c>
      <c r="D10" s="79" t="s">
        <v>335</v>
      </c>
      <c r="E10" s="284">
        <f>Table6[[#This Row],[Date]]-DAY(Table6[[#This Row],[Date]])+1</f>
        <v>45717</v>
      </c>
      <c r="F10" s="285">
        <v>45745</v>
      </c>
      <c r="G10" s="79" t="s">
        <v>79</v>
      </c>
      <c r="H10" s="79" t="str">
        <f>IFERROR(_xlfn.XLOOKUP(Table6[[#This Row],[Affected Feeder ]],'Basic Data'!$A:$A,'Basic Data'!$B:$B),"")</f>
        <v>PWEPL</v>
      </c>
      <c r="I10" s="79" t="str">
        <f>IFERROR(_xlfn.XLOOKUP(Table6[[#This Row],[Affected Feeder ]],'Basic Data'!$A:$A,'Basic Data'!$C:$C),"")</f>
        <v>MSEDCL</v>
      </c>
      <c r="J10" s="295">
        <f>IFERROR(_xlfn.XLOOKUP(Table6[[#This Row],[Affected Feeder ]],'Basic Data'!$A:$A,'Basic Data'!$E:$E),"")</f>
        <v>2.2727272727272728E-2</v>
      </c>
      <c r="K10" s="296" t="s">
        <v>171</v>
      </c>
      <c r="L10" s="297">
        <v>0.67499999999999993</v>
      </c>
      <c r="M10" s="297">
        <v>0.67499999999999993</v>
      </c>
      <c r="N10" s="297">
        <v>0.68888888888888899</v>
      </c>
      <c r="O10" s="19">
        <f>(Table6[[#This Row],[Work Start TimeStamp]]-Table6[[#This Row],[Fault Start TimeStamp]])*24</f>
        <v>0</v>
      </c>
      <c r="P10" s="19">
        <f>(Table6[[#This Row],[Fault Clearance time]]-Table6[[#This Row],[Fault Start TimeStamp]])*24</f>
        <v>0.33333333333333748</v>
      </c>
      <c r="Q10" s="19">
        <f>(Table6[[#This Row],[Fault Clearance time]]-Table6[[#This Row],[Fault Start TimeStamp]])*24</f>
        <v>0.33333333333333748</v>
      </c>
      <c r="R10" s="79" t="s">
        <v>353</v>
      </c>
      <c r="S10" s="79" t="s">
        <v>339</v>
      </c>
      <c r="T10" s="298">
        <f>IFERROR(Table6[[#This Row],[Breakdown Time]]*Table6[[#This Row],[Plant Equivalent Weightage]],"")</f>
        <v>7.5757575757576705E-3</v>
      </c>
      <c r="U10" s="79" t="s">
        <v>411</v>
      </c>
      <c r="W10" s="79">
        <v>27</v>
      </c>
    </row>
    <row r="11" spans="1:26">
      <c r="A11" s="79">
        <f t="shared" si="0"/>
        <v>10</v>
      </c>
      <c r="B11" s="79">
        <f>YEAR(Table6[[#This Row],[Date]])+IF(MONTH(Table6[[#This Row],[Date]])&gt;=4,1,0)</f>
        <v>2025</v>
      </c>
      <c r="C11" s="79">
        <f>YEAR(Table6[[#This Row],[Date]])</f>
        <v>2025</v>
      </c>
      <c r="D11" s="79" t="s">
        <v>335</v>
      </c>
      <c r="E11" s="284">
        <f>Table6[[#This Row],[Date]]-DAY(Table6[[#This Row],[Date]])+1</f>
        <v>45717</v>
      </c>
      <c r="F11" s="285">
        <v>45745</v>
      </c>
      <c r="G11" s="79" t="s">
        <v>96</v>
      </c>
      <c r="H11" s="79" t="str">
        <f>IFERROR(_xlfn.XLOOKUP(Table6[[#This Row],[Affected Feeder ]],'Basic Data'!$A:$A,'Basic Data'!$B:$B),"")</f>
        <v>PWEPL</v>
      </c>
      <c r="I11" s="79" t="str">
        <f>IFERROR(_xlfn.XLOOKUP(Table6[[#This Row],[Affected Feeder ]],'Basic Data'!$A:$A,'Basic Data'!$C:$C),"")</f>
        <v>MSEDCL</v>
      </c>
      <c r="J11" s="295">
        <f>IFERROR(_xlfn.XLOOKUP(Table6[[#This Row],[Affected Feeder ]],'Basic Data'!$A:$A,'Basic Data'!$E:$E),"")</f>
        <v>2.2727272727272728E-2</v>
      </c>
      <c r="K11" s="296" t="s">
        <v>171</v>
      </c>
      <c r="L11" s="297">
        <v>0.67499999999999993</v>
      </c>
      <c r="M11" s="297">
        <v>0.67499999999999993</v>
      </c>
      <c r="N11" s="297">
        <v>0.68888888888888899</v>
      </c>
      <c r="O11" s="19">
        <f>(Table6[[#This Row],[Work Start TimeStamp]]-Table6[[#This Row],[Fault Start TimeStamp]])*24</f>
        <v>0</v>
      </c>
      <c r="P11" s="19">
        <f>(Table6[[#This Row],[Fault Clearance time]]-Table6[[#This Row],[Fault Start TimeStamp]])*24</f>
        <v>0.33333333333333748</v>
      </c>
      <c r="Q11" s="19">
        <f>(Table6[[#This Row],[Fault Clearance time]]-Table6[[#This Row],[Fault Start TimeStamp]])*24</f>
        <v>0.33333333333333748</v>
      </c>
      <c r="R11" s="79" t="s">
        <v>353</v>
      </c>
      <c r="S11" s="79" t="s">
        <v>339</v>
      </c>
      <c r="T11" s="298">
        <f>IFERROR(Table6[[#This Row],[Breakdown Time]]*Table6[[#This Row],[Plant Equivalent Weightage]],"")</f>
        <v>7.5757575757576705E-3</v>
      </c>
      <c r="U11" s="79" t="s">
        <v>411</v>
      </c>
      <c r="W11" s="79">
        <v>27</v>
      </c>
    </row>
    <row r="12" spans="1:26">
      <c r="A12" s="79">
        <f t="shared" si="0"/>
        <v>11</v>
      </c>
      <c r="B12" s="79">
        <f>YEAR(Table6[[#This Row],[Date]])+IF(MONTH(Table6[[#This Row],[Date]])&gt;=4,1,0)</f>
        <v>2025</v>
      </c>
      <c r="C12" s="79">
        <f>YEAR(Table6[[#This Row],[Date]])</f>
        <v>2025</v>
      </c>
      <c r="D12" s="79" t="s">
        <v>335</v>
      </c>
      <c r="E12" s="284">
        <f>Table6[[#This Row],[Date]]-DAY(Table6[[#This Row],[Date]])+1</f>
        <v>45717</v>
      </c>
      <c r="F12" s="285">
        <v>45745</v>
      </c>
      <c r="G12" s="79" t="s">
        <v>97</v>
      </c>
      <c r="H12" s="79" t="str">
        <f>IFERROR(_xlfn.XLOOKUP(Table6[[#This Row],[Affected Feeder ]],'Basic Data'!$A:$A,'Basic Data'!$B:$B),"")</f>
        <v>PWEPL</v>
      </c>
      <c r="I12" s="79" t="str">
        <f>IFERROR(_xlfn.XLOOKUP(Table6[[#This Row],[Affected Feeder ]],'Basic Data'!$A:$A,'Basic Data'!$C:$C),"")</f>
        <v>MSEDCL</v>
      </c>
      <c r="J12" s="295">
        <f>IFERROR(_xlfn.XLOOKUP(Table6[[#This Row],[Affected Feeder ]],'Basic Data'!$A:$A,'Basic Data'!$E:$E),"")</f>
        <v>2.2727272727272728E-2</v>
      </c>
      <c r="K12" s="296" t="s">
        <v>171</v>
      </c>
      <c r="L12" s="297">
        <v>0.67499999999999993</v>
      </c>
      <c r="M12" s="297">
        <v>0.67499999999999993</v>
      </c>
      <c r="N12" s="297">
        <v>0.68888888888888899</v>
      </c>
      <c r="O12" s="19">
        <f>(Table6[[#This Row],[Work Start TimeStamp]]-Table6[[#This Row],[Fault Start TimeStamp]])*24</f>
        <v>0</v>
      </c>
      <c r="P12" s="19">
        <f>(Table6[[#This Row],[Fault Clearance time]]-Table6[[#This Row],[Fault Start TimeStamp]])*24</f>
        <v>0.33333333333333748</v>
      </c>
      <c r="Q12" s="19">
        <f>(Table6[[#This Row],[Fault Clearance time]]-Table6[[#This Row],[Fault Start TimeStamp]])*24</f>
        <v>0.33333333333333748</v>
      </c>
      <c r="R12" s="79" t="s">
        <v>353</v>
      </c>
      <c r="S12" s="79" t="s">
        <v>339</v>
      </c>
      <c r="T12" s="298">
        <f>IFERROR(Table6[[#This Row],[Breakdown Time]]*Table6[[#This Row],[Plant Equivalent Weightage]],"")</f>
        <v>7.5757575757576705E-3</v>
      </c>
      <c r="U12" s="79" t="s">
        <v>411</v>
      </c>
      <c r="W12" s="79">
        <v>27</v>
      </c>
    </row>
    <row r="13" spans="1:26">
      <c r="A13" s="79">
        <f t="shared" si="0"/>
        <v>12</v>
      </c>
      <c r="B13" s="79">
        <f>YEAR(Table6[[#This Row],[Date]])+IF(MONTH(Table6[[#This Row],[Date]])&gt;=4,1,0)</f>
        <v>2025</v>
      </c>
      <c r="C13" s="79">
        <f>YEAR(Table6[[#This Row],[Date]])</f>
        <v>2025</v>
      </c>
      <c r="D13" s="79" t="s">
        <v>335</v>
      </c>
      <c r="E13" s="284">
        <f>Table6[[#This Row],[Date]]-DAY(Table6[[#This Row],[Date]])+1</f>
        <v>45717</v>
      </c>
      <c r="F13" s="285">
        <v>45745</v>
      </c>
      <c r="G13" s="79" t="s">
        <v>104</v>
      </c>
      <c r="H13" s="79" t="str">
        <f>IFERROR(_xlfn.XLOOKUP(Table6[[#This Row],[Affected Feeder ]],'Basic Data'!$A:$A,'Basic Data'!$B:$B),"")</f>
        <v>PWEPL</v>
      </c>
      <c r="I13" s="79" t="str">
        <f>IFERROR(_xlfn.XLOOKUP(Table6[[#This Row],[Affected Feeder ]],'Basic Data'!$A:$A,'Basic Data'!$C:$C),"")</f>
        <v>MSEDCL</v>
      </c>
      <c r="J13" s="295">
        <f>IFERROR(_xlfn.XLOOKUP(Table6[[#This Row],[Affected Feeder ]],'Basic Data'!$A:$A,'Basic Data'!$E:$E),"")</f>
        <v>2.2727272727272728E-2</v>
      </c>
      <c r="K13" s="296" t="s">
        <v>171</v>
      </c>
      <c r="L13" s="297">
        <v>0.67499999999999993</v>
      </c>
      <c r="M13" s="297">
        <v>0.67499999999999993</v>
      </c>
      <c r="N13" s="297">
        <v>0.68888888888888899</v>
      </c>
      <c r="O13" s="19">
        <f>(Table6[[#This Row],[Work Start TimeStamp]]-Table6[[#This Row],[Fault Start TimeStamp]])*24</f>
        <v>0</v>
      </c>
      <c r="P13" s="19">
        <f>(Table6[[#This Row],[Fault Clearance time]]-Table6[[#This Row],[Fault Start TimeStamp]])*24</f>
        <v>0.33333333333333748</v>
      </c>
      <c r="Q13" s="19">
        <f>(Table6[[#This Row],[Fault Clearance time]]-Table6[[#This Row],[Fault Start TimeStamp]])*24</f>
        <v>0.33333333333333748</v>
      </c>
      <c r="R13" s="79" t="s">
        <v>353</v>
      </c>
      <c r="S13" s="79" t="s">
        <v>339</v>
      </c>
      <c r="T13" s="298">
        <f>IFERROR(Table6[[#This Row],[Breakdown Time]]*Table6[[#This Row],[Plant Equivalent Weightage]],"")</f>
        <v>7.5757575757576705E-3</v>
      </c>
      <c r="U13" s="79" t="s">
        <v>411</v>
      </c>
      <c r="W13" s="79">
        <v>27</v>
      </c>
    </row>
    <row r="14" spans="1:26">
      <c r="A14" s="79">
        <f t="shared" si="0"/>
        <v>13</v>
      </c>
      <c r="B14" s="79">
        <f>YEAR(Table6[[#This Row],[Date]])+IF(MONTH(Table6[[#This Row],[Date]])&gt;=4,1,0)</f>
        <v>2025</v>
      </c>
      <c r="C14" s="79">
        <f>YEAR(Table6[[#This Row],[Date]])</f>
        <v>2025</v>
      </c>
      <c r="D14" s="79" t="s">
        <v>335</v>
      </c>
      <c r="E14" s="284">
        <f>Table6[[#This Row],[Date]]-DAY(Table6[[#This Row],[Date]])+1</f>
        <v>45717</v>
      </c>
      <c r="F14" s="285">
        <v>45745</v>
      </c>
      <c r="G14" s="79" t="s">
        <v>110</v>
      </c>
      <c r="H14" s="79" t="str">
        <f>IFERROR(_xlfn.XLOOKUP(Table6[[#This Row],[Affected Feeder ]],'Basic Data'!$A:$A,'Basic Data'!$B:$B),"")</f>
        <v>PWEPL</v>
      </c>
      <c r="I14" s="79" t="str">
        <f>IFERROR(_xlfn.XLOOKUP(Table6[[#This Row],[Affected Feeder ]],'Basic Data'!$A:$A,'Basic Data'!$C:$C),"")</f>
        <v>MSEDCL</v>
      </c>
      <c r="J14" s="295">
        <f>IFERROR(_xlfn.XLOOKUP(Table6[[#This Row],[Affected Feeder ]],'Basic Data'!$A:$A,'Basic Data'!$E:$E),"")</f>
        <v>2.2727272727272728E-2</v>
      </c>
      <c r="K14" s="296" t="s">
        <v>171</v>
      </c>
      <c r="L14" s="297">
        <v>0.67499999999999993</v>
      </c>
      <c r="M14" s="297">
        <v>0.67499999999999993</v>
      </c>
      <c r="N14" s="297">
        <v>0.68888888888888899</v>
      </c>
      <c r="O14" s="19">
        <f>(Table6[[#This Row],[Work Start TimeStamp]]-Table6[[#This Row],[Fault Start TimeStamp]])*24</f>
        <v>0</v>
      </c>
      <c r="P14" s="19">
        <f>(Table6[[#This Row],[Fault Clearance time]]-Table6[[#This Row],[Fault Start TimeStamp]])*24</f>
        <v>0.33333333333333748</v>
      </c>
      <c r="Q14" s="19">
        <f>(Table6[[#This Row],[Fault Clearance time]]-Table6[[#This Row],[Fault Start TimeStamp]])*24</f>
        <v>0.33333333333333748</v>
      </c>
      <c r="R14" s="79" t="s">
        <v>353</v>
      </c>
      <c r="S14" s="79" t="s">
        <v>339</v>
      </c>
      <c r="T14" s="298">
        <f>IFERROR(Table6[[#This Row],[Breakdown Time]]*Table6[[#This Row],[Plant Equivalent Weightage]],"")</f>
        <v>7.5757575757576705E-3</v>
      </c>
      <c r="U14" s="79" t="s">
        <v>411</v>
      </c>
      <c r="W14" s="79">
        <v>27</v>
      </c>
    </row>
    <row r="15" spans="1:26">
      <c r="A15" s="79">
        <f t="shared" si="0"/>
        <v>14</v>
      </c>
      <c r="B15" s="79">
        <f>YEAR(Table6[[#This Row],[Date]])+IF(MONTH(Table6[[#This Row],[Date]])&gt;=4,1,0)</f>
        <v>2025</v>
      </c>
      <c r="C15" s="79">
        <f>YEAR(Table6[[#This Row],[Date]])</f>
        <v>2025</v>
      </c>
      <c r="D15" s="79" t="s">
        <v>335</v>
      </c>
      <c r="E15" s="284">
        <f>Table6[[#This Row],[Date]]-DAY(Table6[[#This Row],[Date]])+1</f>
        <v>45717</v>
      </c>
      <c r="F15" s="285">
        <v>45746</v>
      </c>
      <c r="G15" s="79" t="s">
        <v>83</v>
      </c>
      <c r="H15" s="79" t="str">
        <f>IFERROR(_xlfn.XLOOKUP(Table6[[#This Row],[Affected Feeder ]],'Basic Data'!$A:$A,'Basic Data'!$B:$B),"")</f>
        <v>PWEPL</v>
      </c>
      <c r="I15" s="79" t="str">
        <f>IFERROR(_xlfn.XLOOKUP(Table6[[#This Row],[Affected Feeder ]],'Basic Data'!$A:$A,'Basic Data'!$C:$C),"")</f>
        <v>MSEDCL</v>
      </c>
      <c r="J15" s="295">
        <f>IFERROR(_xlfn.XLOOKUP(Table6[[#This Row],[Affected Feeder ]],'Basic Data'!$A:$A,'Basic Data'!$E:$E),"")</f>
        <v>2.2727272727272728E-2</v>
      </c>
      <c r="K15" s="296" t="s">
        <v>412</v>
      </c>
      <c r="L15" s="297">
        <v>0.43194444444444446</v>
      </c>
      <c r="M15" s="297">
        <v>0.43194444444444446</v>
      </c>
      <c r="N15" s="297">
        <v>0.5708333333333333</v>
      </c>
      <c r="O15" s="19">
        <f>(Table6[[#This Row],[Work Start TimeStamp]]-Table6[[#This Row],[Fault Start TimeStamp]])*24</f>
        <v>0</v>
      </c>
      <c r="P15" s="19">
        <f>(Table6[[#This Row],[Fault Clearance time]]-Table6[[#This Row],[Fault Start TimeStamp]])*24</f>
        <v>3.3333333333333321</v>
      </c>
      <c r="Q15" s="19">
        <f>(Table6[[#This Row],[Fault Clearance time]]-Table6[[#This Row],[Fault Start TimeStamp]])*24</f>
        <v>3.3333333333333321</v>
      </c>
      <c r="R15" s="79" t="s">
        <v>413</v>
      </c>
      <c r="S15" s="79" t="s">
        <v>339</v>
      </c>
      <c r="T15" s="298">
        <f>IFERROR(Table6[[#This Row],[Breakdown Time]]*Table6[[#This Row],[Plant Equivalent Weightage]],"")</f>
        <v>7.5757575757575732E-2</v>
      </c>
      <c r="U15" s="79" t="s">
        <v>411</v>
      </c>
      <c r="W15" s="79">
        <v>175</v>
      </c>
    </row>
    <row r="16" spans="1:26">
      <c r="A16" s="79">
        <f t="shared" si="0"/>
        <v>15</v>
      </c>
      <c r="B16" s="79">
        <f>YEAR(Table6[[#This Row],[Date]])+IF(MONTH(Table6[[#This Row],[Date]])&gt;=4,1,0)</f>
        <v>2025</v>
      </c>
      <c r="C16" s="79">
        <f>YEAR(Table6[[#This Row],[Date]])</f>
        <v>2025</v>
      </c>
      <c r="D16" s="79" t="s">
        <v>335</v>
      </c>
      <c r="E16" s="284">
        <f>Table6[[#This Row],[Date]]-DAY(Table6[[#This Row],[Date]])+1</f>
        <v>45717</v>
      </c>
      <c r="F16" s="285">
        <v>45746</v>
      </c>
      <c r="G16" s="79" t="s">
        <v>83</v>
      </c>
      <c r="H16" s="79" t="str">
        <f>IFERROR(_xlfn.XLOOKUP(Table6[[#This Row],[Affected Feeder ]],'Basic Data'!$A:$A,'Basic Data'!$B:$B),"")</f>
        <v>PWEPL</v>
      </c>
      <c r="I16" s="79" t="str">
        <f>IFERROR(_xlfn.XLOOKUP(Table6[[#This Row],[Affected Feeder ]],'Basic Data'!$A:$A,'Basic Data'!$C:$C),"")</f>
        <v>MSEDCL</v>
      </c>
      <c r="J16" s="295">
        <f>IFERROR(_xlfn.XLOOKUP(Table6[[#This Row],[Affected Feeder ]],'Basic Data'!$A:$A,'Basic Data'!$E:$E),"")</f>
        <v>2.2727272727272728E-2</v>
      </c>
      <c r="K16" s="296" t="s">
        <v>171</v>
      </c>
      <c r="L16" s="297">
        <v>0.5708333333333333</v>
      </c>
      <c r="M16" s="297">
        <v>0.5708333333333333</v>
      </c>
      <c r="N16" s="297">
        <v>0.58472222222222225</v>
      </c>
      <c r="O16" s="19">
        <f>(Table6[[#This Row],[Work Start TimeStamp]]-Table6[[#This Row],[Fault Start TimeStamp]])*24</f>
        <v>0</v>
      </c>
      <c r="P16" s="19">
        <f>(Table6[[#This Row],[Fault Clearance time]]-Table6[[#This Row],[Fault Start TimeStamp]])*24</f>
        <v>0.33333333333333481</v>
      </c>
      <c r="Q16" s="19">
        <f>(Table6[[#This Row],[Fault Clearance time]]-Table6[[#This Row],[Fault Start TimeStamp]])*24</f>
        <v>0.33333333333333481</v>
      </c>
      <c r="R16" s="79" t="s">
        <v>353</v>
      </c>
      <c r="S16" s="79" t="s">
        <v>339</v>
      </c>
      <c r="T16" s="298">
        <f>IFERROR(Table6[[#This Row],[Breakdown Time]]*Table6[[#This Row],[Plant Equivalent Weightage]],"")</f>
        <v>7.5757575757576098E-3</v>
      </c>
      <c r="U16" s="79" t="s">
        <v>411</v>
      </c>
      <c r="W16" s="79">
        <v>17</v>
      </c>
    </row>
    <row r="17" spans="1:23">
      <c r="A17" s="79">
        <f t="shared" si="0"/>
        <v>16</v>
      </c>
      <c r="B17" s="79">
        <f>YEAR(Table6[[#This Row],[Date]])+IF(MONTH(Table6[[#This Row],[Date]])&gt;=4,1,0)</f>
        <v>2025</v>
      </c>
      <c r="C17" s="79">
        <f>YEAR(Table6[[#This Row],[Date]])</f>
        <v>2025</v>
      </c>
      <c r="D17" s="79" t="s">
        <v>335</v>
      </c>
      <c r="E17" s="284">
        <f>Table6[[#This Row],[Date]]-DAY(Table6[[#This Row],[Date]])+1</f>
        <v>45717</v>
      </c>
      <c r="F17" s="285">
        <v>45746</v>
      </c>
      <c r="G17" s="79" t="s">
        <v>98</v>
      </c>
      <c r="H17" s="79" t="str">
        <f>IFERROR(_xlfn.XLOOKUP(Table6[[#This Row],[Affected Feeder ]],'Basic Data'!$A:$A,'Basic Data'!$B:$B),"")</f>
        <v>PWEPL</v>
      </c>
      <c r="I17" s="79" t="str">
        <f>IFERROR(_xlfn.XLOOKUP(Table6[[#This Row],[Affected Feeder ]],'Basic Data'!$A:$A,'Basic Data'!$C:$C),"")</f>
        <v>MSEDCL</v>
      </c>
      <c r="J17" s="295">
        <f>IFERROR(_xlfn.XLOOKUP(Table6[[#This Row],[Affected Feeder ]],'Basic Data'!$A:$A,'Basic Data'!$E:$E),"")</f>
        <v>2.2727272727272728E-2</v>
      </c>
      <c r="K17" s="296" t="s">
        <v>412</v>
      </c>
      <c r="L17" s="297">
        <v>0.43194444444444446</v>
      </c>
      <c r="M17" s="297">
        <v>0.43194444444444446</v>
      </c>
      <c r="N17" s="297">
        <v>0.5708333333333333</v>
      </c>
      <c r="O17" s="19">
        <f>(Table6[[#This Row],[Work Start TimeStamp]]-Table6[[#This Row],[Fault Start TimeStamp]])*24</f>
        <v>0</v>
      </c>
      <c r="P17" s="19">
        <f>(Table6[[#This Row],[Fault Clearance time]]-Table6[[#This Row],[Fault Start TimeStamp]])*24</f>
        <v>3.3333333333333321</v>
      </c>
      <c r="Q17" s="19">
        <f>(Table6[[#This Row],[Fault Clearance time]]-Table6[[#This Row],[Fault Start TimeStamp]])*24</f>
        <v>3.3333333333333321</v>
      </c>
      <c r="R17" s="79" t="s">
        <v>413</v>
      </c>
      <c r="S17" s="79" t="s">
        <v>339</v>
      </c>
      <c r="T17" s="298">
        <f>IFERROR(Table6[[#This Row],[Breakdown Time]]*Table6[[#This Row],[Plant Equivalent Weightage]],"")</f>
        <v>7.5757575757575732E-2</v>
      </c>
      <c r="U17" s="79" t="s">
        <v>411</v>
      </c>
      <c r="W17" s="79">
        <v>175</v>
      </c>
    </row>
    <row r="18" spans="1:23">
      <c r="A18" s="79">
        <f t="shared" si="0"/>
        <v>17</v>
      </c>
      <c r="B18" s="79">
        <f>YEAR(Table6[[#This Row],[Date]])+IF(MONTH(Table6[[#This Row],[Date]])&gt;=4,1,0)</f>
        <v>2025</v>
      </c>
      <c r="C18" s="79">
        <f>YEAR(Table6[[#This Row],[Date]])</f>
        <v>2025</v>
      </c>
      <c r="D18" s="79" t="s">
        <v>335</v>
      </c>
      <c r="E18" s="284">
        <f>Table6[[#This Row],[Date]]-DAY(Table6[[#This Row],[Date]])+1</f>
        <v>45717</v>
      </c>
      <c r="F18" s="285">
        <v>45746</v>
      </c>
      <c r="G18" s="79" t="s">
        <v>98</v>
      </c>
      <c r="H18" s="79" t="str">
        <f>IFERROR(_xlfn.XLOOKUP(Table6[[#This Row],[Affected Feeder ]],'Basic Data'!$A:$A,'Basic Data'!$B:$B),"")</f>
        <v>PWEPL</v>
      </c>
      <c r="I18" s="79" t="str">
        <f>IFERROR(_xlfn.XLOOKUP(Table6[[#This Row],[Affected Feeder ]],'Basic Data'!$A:$A,'Basic Data'!$C:$C),"")</f>
        <v>MSEDCL</v>
      </c>
      <c r="J18" s="295">
        <f>IFERROR(_xlfn.XLOOKUP(Table6[[#This Row],[Affected Feeder ]],'Basic Data'!$A:$A,'Basic Data'!$E:$E),"")</f>
        <v>2.2727272727272728E-2</v>
      </c>
      <c r="K18" s="296" t="s">
        <v>171</v>
      </c>
      <c r="L18" s="297">
        <v>0.5708333333333333</v>
      </c>
      <c r="M18" s="297">
        <v>0.5708333333333333</v>
      </c>
      <c r="N18" s="297">
        <v>0.58472222222222225</v>
      </c>
      <c r="O18" s="19">
        <f>(Table6[[#This Row],[Work Start TimeStamp]]-Table6[[#This Row],[Fault Start TimeStamp]])*24</f>
        <v>0</v>
      </c>
      <c r="P18" s="19">
        <f>(Table6[[#This Row],[Fault Clearance time]]-Table6[[#This Row],[Fault Start TimeStamp]])*24</f>
        <v>0.33333333333333481</v>
      </c>
      <c r="Q18" s="19">
        <f>(Table6[[#This Row],[Fault Clearance time]]-Table6[[#This Row],[Fault Start TimeStamp]])*24</f>
        <v>0.33333333333333481</v>
      </c>
      <c r="R18" s="79" t="s">
        <v>353</v>
      </c>
      <c r="S18" s="79" t="s">
        <v>339</v>
      </c>
      <c r="T18" s="298">
        <f>IFERROR(Table6[[#This Row],[Breakdown Time]]*Table6[[#This Row],[Plant Equivalent Weightage]],"")</f>
        <v>7.5757575757576098E-3</v>
      </c>
      <c r="U18" s="79" t="s">
        <v>411</v>
      </c>
      <c r="W18" s="79">
        <v>17</v>
      </c>
    </row>
    <row r="19" spans="1:23">
      <c r="A19" s="79">
        <f t="shared" si="0"/>
        <v>18</v>
      </c>
      <c r="B19" s="79">
        <f>YEAR(Table6[[#This Row],[Date]])+IF(MONTH(Table6[[#This Row],[Date]])&gt;=4,1,0)</f>
        <v>2025</v>
      </c>
      <c r="C19" s="79">
        <f>YEAR(Table6[[#This Row],[Date]])</f>
        <v>2025</v>
      </c>
      <c r="D19" s="79" t="s">
        <v>335</v>
      </c>
      <c r="E19" s="284">
        <f>Table6[[#This Row],[Date]]-DAY(Table6[[#This Row],[Date]])+1</f>
        <v>45717</v>
      </c>
      <c r="F19" s="285">
        <v>45746</v>
      </c>
      <c r="G19" s="79" t="s">
        <v>99</v>
      </c>
      <c r="H19" s="79" t="str">
        <f>IFERROR(_xlfn.XLOOKUP(Table6[[#This Row],[Affected Feeder ]],'Basic Data'!$A:$A,'Basic Data'!$B:$B),"")</f>
        <v>PWEPL</v>
      </c>
      <c r="I19" s="79" t="str">
        <f>IFERROR(_xlfn.XLOOKUP(Table6[[#This Row],[Affected Feeder ]],'Basic Data'!$A:$A,'Basic Data'!$C:$C),"")</f>
        <v>MSEDCL</v>
      </c>
      <c r="J19" s="295">
        <f>IFERROR(_xlfn.XLOOKUP(Table6[[#This Row],[Affected Feeder ]],'Basic Data'!$A:$A,'Basic Data'!$E:$E),"")</f>
        <v>2.2727272727272728E-2</v>
      </c>
      <c r="K19" s="296" t="s">
        <v>412</v>
      </c>
      <c r="L19" s="297">
        <v>0.43194444444444446</v>
      </c>
      <c r="M19" s="297">
        <v>0.43194444444444446</v>
      </c>
      <c r="N19" s="297">
        <v>0.5708333333333333</v>
      </c>
      <c r="O19" s="19">
        <f>(Table6[[#This Row],[Work Start TimeStamp]]-Table6[[#This Row],[Fault Start TimeStamp]])*24</f>
        <v>0</v>
      </c>
      <c r="P19" s="19">
        <f>(Table6[[#This Row],[Fault Clearance time]]-Table6[[#This Row],[Fault Start TimeStamp]])*24</f>
        <v>3.3333333333333321</v>
      </c>
      <c r="Q19" s="19">
        <f>(Table6[[#This Row],[Fault Clearance time]]-Table6[[#This Row],[Fault Start TimeStamp]])*24</f>
        <v>3.3333333333333321</v>
      </c>
      <c r="R19" s="79" t="s">
        <v>413</v>
      </c>
      <c r="S19" s="79" t="s">
        <v>339</v>
      </c>
      <c r="T19" s="298">
        <f>IFERROR(Table6[[#This Row],[Breakdown Time]]*Table6[[#This Row],[Plant Equivalent Weightage]],"")</f>
        <v>7.5757575757575732E-2</v>
      </c>
      <c r="U19" s="79" t="s">
        <v>411</v>
      </c>
      <c r="W19" s="79">
        <v>175</v>
      </c>
    </row>
    <row r="20" spans="1:23">
      <c r="A20" s="79">
        <f t="shared" si="0"/>
        <v>19</v>
      </c>
      <c r="B20" s="79">
        <f>YEAR(Table6[[#This Row],[Date]])+IF(MONTH(Table6[[#This Row],[Date]])&gt;=4,1,0)</f>
        <v>2025</v>
      </c>
      <c r="C20" s="79">
        <f>YEAR(Table6[[#This Row],[Date]])</f>
        <v>2025</v>
      </c>
      <c r="D20" s="79" t="s">
        <v>335</v>
      </c>
      <c r="E20" s="284">
        <f>Table6[[#This Row],[Date]]-DAY(Table6[[#This Row],[Date]])+1</f>
        <v>45717</v>
      </c>
      <c r="F20" s="285">
        <v>45746</v>
      </c>
      <c r="G20" s="79" t="s">
        <v>99</v>
      </c>
      <c r="H20" s="79" t="str">
        <f>IFERROR(_xlfn.XLOOKUP(Table6[[#This Row],[Affected Feeder ]],'Basic Data'!$A:$A,'Basic Data'!$B:$B),"")</f>
        <v>PWEPL</v>
      </c>
      <c r="I20" s="79" t="str">
        <f>IFERROR(_xlfn.XLOOKUP(Table6[[#This Row],[Affected Feeder ]],'Basic Data'!$A:$A,'Basic Data'!$C:$C),"")</f>
        <v>MSEDCL</v>
      </c>
      <c r="J20" s="295">
        <f>IFERROR(_xlfn.XLOOKUP(Table6[[#This Row],[Affected Feeder ]],'Basic Data'!$A:$A,'Basic Data'!$E:$E),"")</f>
        <v>2.2727272727272728E-2</v>
      </c>
      <c r="K20" s="296" t="s">
        <v>171</v>
      </c>
      <c r="L20" s="297">
        <v>0.5708333333333333</v>
      </c>
      <c r="M20" s="297">
        <v>0.5708333333333333</v>
      </c>
      <c r="N20" s="297">
        <v>0.58472222222222225</v>
      </c>
      <c r="O20" s="19">
        <f>(Table6[[#This Row],[Work Start TimeStamp]]-Table6[[#This Row],[Fault Start TimeStamp]])*24</f>
        <v>0</v>
      </c>
      <c r="P20" s="19">
        <f>(Table6[[#This Row],[Fault Clearance time]]-Table6[[#This Row],[Fault Start TimeStamp]])*24</f>
        <v>0.33333333333333481</v>
      </c>
      <c r="Q20" s="19">
        <f>(Table6[[#This Row],[Fault Clearance time]]-Table6[[#This Row],[Fault Start TimeStamp]])*24</f>
        <v>0.33333333333333481</v>
      </c>
      <c r="R20" s="79" t="s">
        <v>353</v>
      </c>
      <c r="S20" s="79" t="s">
        <v>339</v>
      </c>
      <c r="T20" s="298">
        <f>IFERROR(Table6[[#This Row],[Breakdown Time]]*Table6[[#This Row],[Plant Equivalent Weightage]],"")</f>
        <v>7.5757575757576098E-3</v>
      </c>
      <c r="U20" s="79" t="s">
        <v>411</v>
      </c>
      <c r="W20" s="79">
        <v>17</v>
      </c>
    </row>
    <row r="21" spans="1:23">
      <c r="A21" s="79">
        <f t="shared" si="0"/>
        <v>20</v>
      </c>
      <c r="B21" s="79">
        <f>YEAR(Table6[[#This Row],[Date]])+IF(MONTH(Table6[[#This Row],[Date]])&gt;=4,1,0)</f>
        <v>2025</v>
      </c>
      <c r="C21" s="79">
        <f>YEAR(Table6[[#This Row],[Date]])</f>
        <v>2025</v>
      </c>
      <c r="D21" s="79" t="s">
        <v>335</v>
      </c>
      <c r="E21" s="284">
        <f>Table6[[#This Row],[Date]]-DAY(Table6[[#This Row],[Date]])+1</f>
        <v>45717</v>
      </c>
      <c r="F21" s="285">
        <v>45746</v>
      </c>
      <c r="G21" s="79" t="s">
        <v>100</v>
      </c>
      <c r="H21" s="79" t="str">
        <f>IFERROR(_xlfn.XLOOKUP(Table6[[#This Row],[Affected Feeder ]],'Basic Data'!$A:$A,'Basic Data'!$B:$B),"")</f>
        <v>PWEPL</v>
      </c>
      <c r="I21" s="79" t="str">
        <f>IFERROR(_xlfn.XLOOKUP(Table6[[#This Row],[Affected Feeder ]],'Basic Data'!$A:$A,'Basic Data'!$C:$C),"")</f>
        <v>MSEDCL</v>
      </c>
      <c r="J21" s="295">
        <f>IFERROR(_xlfn.XLOOKUP(Table6[[#This Row],[Affected Feeder ]],'Basic Data'!$A:$A,'Basic Data'!$E:$E),"")</f>
        <v>2.2727272727272728E-2</v>
      </c>
      <c r="K21" s="296" t="s">
        <v>412</v>
      </c>
      <c r="L21" s="297">
        <v>0.43194444444444446</v>
      </c>
      <c r="M21" s="297">
        <v>0.43194444444444446</v>
      </c>
      <c r="N21" s="297">
        <v>0.5708333333333333</v>
      </c>
      <c r="O21" s="19">
        <f>(Table6[[#This Row],[Work Start TimeStamp]]-Table6[[#This Row],[Fault Start TimeStamp]])*24</f>
        <v>0</v>
      </c>
      <c r="P21" s="19">
        <f>(Table6[[#This Row],[Fault Clearance time]]-Table6[[#This Row],[Fault Start TimeStamp]])*24</f>
        <v>3.3333333333333321</v>
      </c>
      <c r="Q21" s="19">
        <f>(Table6[[#This Row],[Fault Clearance time]]-Table6[[#This Row],[Fault Start TimeStamp]])*24</f>
        <v>3.3333333333333321</v>
      </c>
      <c r="R21" s="79" t="s">
        <v>413</v>
      </c>
      <c r="S21" s="79" t="s">
        <v>339</v>
      </c>
      <c r="T21" s="298">
        <f>IFERROR(Table6[[#This Row],[Breakdown Time]]*Table6[[#This Row],[Plant Equivalent Weightage]],"")</f>
        <v>7.5757575757575732E-2</v>
      </c>
      <c r="U21" s="79" t="s">
        <v>411</v>
      </c>
      <c r="W21" s="79">
        <v>175</v>
      </c>
    </row>
    <row r="22" spans="1:23">
      <c r="A22" s="79">
        <f t="shared" si="0"/>
        <v>21</v>
      </c>
      <c r="B22" s="79">
        <f>YEAR(Table6[[#This Row],[Date]])+IF(MONTH(Table6[[#This Row],[Date]])&gt;=4,1,0)</f>
        <v>2025</v>
      </c>
      <c r="C22" s="79">
        <f>YEAR(Table6[[#This Row],[Date]])</f>
        <v>2025</v>
      </c>
      <c r="D22" s="79" t="s">
        <v>335</v>
      </c>
      <c r="E22" s="284">
        <f>Table6[[#This Row],[Date]]-DAY(Table6[[#This Row],[Date]])+1</f>
        <v>45717</v>
      </c>
      <c r="F22" s="285">
        <v>45746</v>
      </c>
      <c r="G22" s="79" t="s">
        <v>100</v>
      </c>
      <c r="H22" s="79" t="str">
        <f>IFERROR(_xlfn.XLOOKUP(Table6[[#This Row],[Affected Feeder ]],'Basic Data'!$A:$A,'Basic Data'!$B:$B),"")</f>
        <v>PWEPL</v>
      </c>
      <c r="I22" s="79" t="str">
        <f>IFERROR(_xlfn.XLOOKUP(Table6[[#This Row],[Affected Feeder ]],'Basic Data'!$A:$A,'Basic Data'!$C:$C),"")</f>
        <v>MSEDCL</v>
      </c>
      <c r="J22" s="295">
        <f>IFERROR(_xlfn.XLOOKUP(Table6[[#This Row],[Affected Feeder ]],'Basic Data'!$A:$A,'Basic Data'!$E:$E),"")</f>
        <v>2.2727272727272728E-2</v>
      </c>
      <c r="K22" s="296" t="s">
        <v>171</v>
      </c>
      <c r="L22" s="297">
        <v>0.5708333333333333</v>
      </c>
      <c r="M22" s="297">
        <v>0.5708333333333333</v>
      </c>
      <c r="N22" s="297">
        <v>0.58472222222222225</v>
      </c>
      <c r="O22" s="19">
        <f>(Table6[[#This Row],[Work Start TimeStamp]]-Table6[[#This Row],[Fault Start TimeStamp]])*24</f>
        <v>0</v>
      </c>
      <c r="P22" s="19">
        <f>(Table6[[#This Row],[Fault Clearance time]]-Table6[[#This Row],[Fault Start TimeStamp]])*24</f>
        <v>0.33333333333333481</v>
      </c>
      <c r="Q22" s="19">
        <f>(Table6[[#This Row],[Fault Clearance time]]-Table6[[#This Row],[Fault Start TimeStamp]])*24</f>
        <v>0.33333333333333481</v>
      </c>
      <c r="R22" s="79" t="s">
        <v>353</v>
      </c>
      <c r="S22" s="79" t="s">
        <v>339</v>
      </c>
      <c r="T22" s="298">
        <f>IFERROR(Table6[[#This Row],[Breakdown Time]]*Table6[[#This Row],[Plant Equivalent Weightage]],"")</f>
        <v>7.5757575757576098E-3</v>
      </c>
      <c r="U22" s="79" t="s">
        <v>411</v>
      </c>
      <c r="W22" s="79">
        <v>17</v>
      </c>
    </row>
    <row r="23" spans="1:23">
      <c r="A23" s="79">
        <f t="shared" si="0"/>
        <v>22</v>
      </c>
      <c r="B23" s="79">
        <f>YEAR(Table6[[#This Row],[Date]])+IF(MONTH(Table6[[#This Row],[Date]])&gt;=4,1,0)</f>
        <v>2025</v>
      </c>
      <c r="C23" s="79">
        <f>YEAR(Table6[[#This Row],[Date]])</f>
        <v>2025</v>
      </c>
      <c r="D23" s="79" t="s">
        <v>335</v>
      </c>
      <c r="E23" s="284">
        <f>Table6[[#This Row],[Date]]-DAY(Table6[[#This Row],[Date]])+1</f>
        <v>45717</v>
      </c>
      <c r="F23" s="285">
        <v>45746</v>
      </c>
      <c r="G23" s="79" t="s">
        <v>101</v>
      </c>
      <c r="H23" s="79" t="str">
        <f>IFERROR(_xlfn.XLOOKUP(Table6[[#This Row],[Affected Feeder ]],'Basic Data'!$A:$A,'Basic Data'!$B:$B),"")</f>
        <v>PWEPL</v>
      </c>
      <c r="I23" s="79" t="str">
        <f>IFERROR(_xlfn.XLOOKUP(Table6[[#This Row],[Affected Feeder ]],'Basic Data'!$A:$A,'Basic Data'!$C:$C),"")</f>
        <v>MSEDCL</v>
      </c>
      <c r="J23" s="295">
        <f>IFERROR(_xlfn.XLOOKUP(Table6[[#This Row],[Affected Feeder ]],'Basic Data'!$A:$A,'Basic Data'!$E:$E),"")</f>
        <v>2.2727272727272728E-2</v>
      </c>
      <c r="K23" s="296" t="s">
        <v>412</v>
      </c>
      <c r="L23" s="297">
        <v>0.43194444444444446</v>
      </c>
      <c r="M23" s="297">
        <v>0.43194444444444446</v>
      </c>
      <c r="N23" s="297">
        <v>0.5708333333333333</v>
      </c>
      <c r="O23" s="19">
        <f>(Table6[[#This Row],[Work Start TimeStamp]]-Table6[[#This Row],[Fault Start TimeStamp]])*24</f>
        <v>0</v>
      </c>
      <c r="P23" s="19">
        <f>(Table6[[#This Row],[Fault Clearance time]]-Table6[[#This Row],[Fault Start TimeStamp]])*24</f>
        <v>3.3333333333333321</v>
      </c>
      <c r="Q23" s="19">
        <f>(Table6[[#This Row],[Fault Clearance time]]-Table6[[#This Row],[Fault Start TimeStamp]])*24</f>
        <v>3.3333333333333321</v>
      </c>
      <c r="R23" s="79" t="s">
        <v>413</v>
      </c>
      <c r="S23" s="79" t="s">
        <v>339</v>
      </c>
      <c r="T23" s="298">
        <f>IFERROR(Table6[[#This Row],[Breakdown Time]]*Table6[[#This Row],[Plant Equivalent Weightage]],"")</f>
        <v>7.5757575757575732E-2</v>
      </c>
      <c r="U23" s="79" t="s">
        <v>411</v>
      </c>
      <c r="W23" s="79">
        <v>175</v>
      </c>
    </row>
    <row r="24" spans="1:23">
      <c r="A24" s="79">
        <f t="shared" si="0"/>
        <v>23</v>
      </c>
      <c r="B24" s="79">
        <f>YEAR(Table6[[#This Row],[Date]])+IF(MONTH(Table6[[#This Row],[Date]])&gt;=4,1,0)</f>
        <v>2025</v>
      </c>
      <c r="C24" s="79">
        <f>YEAR(Table6[[#This Row],[Date]])</f>
        <v>2025</v>
      </c>
      <c r="D24" s="79" t="s">
        <v>335</v>
      </c>
      <c r="E24" s="284">
        <f>Table6[[#This Row],[Date]]-DAY(Table6[[#This Row],[Date]])+1</f>
        <v>45717</v>
      </c>
      <c r="F24" s="285">
        <v>45746</v>
      </c>
      <c r="G24" s="79" t="s">
        <v>101</v>
      </c>
      <c r="H24" s="79" t="str">
        <f>IFERROR(_xlfn.XLOOKUP(Table6[[#This Row],[Affected Feeder ]],'Basic Data'!$A:$A,'Basic Data'!$B:$B),"")</f>
        <v>PWEPL</v>
      </c>
      <c r="I24" s="79" t="str">
        <f>IFERROR(_xlfn.XLOOKUP(Table6[[#This Row],[Affected Feeder ]],'Basic Data'!$A:$A,'Basic Data'!$C:$C),"")</f>
        <v>MSEDCL</v>
      </c>
      <c r="J24" s="295">
        <f>IFERROR(_xlfn.XLOOKUP(Table6[[#This Row],[Affected Feeder ]],'Basic Data'!$A:$A,'Basic Data'!$E:$E),"")</f>
        <v>2.2727272727272728E-2</v>
      </c>
      <c r="K24" s="296" t="s">
        <v>171</v>
      </c>
      <c r="L24" s="297">
        <v>0.5708333333333333</v>
      </c>
      <c r="M24" s="297">
        <v>0.5708333333333333</v>
      </c>
      <c r="N24" s="297">
        <v>0.58472222222222225</v>
      </c>
      <c r="O24" s="19">
        <f>(Table6[[#This Row],[Work Start TimeStamp]]-Table6[[#This Row],[Fault Start TimeStamp]])*24</f>
        <v>0</v>
      </c>
      <c r="P24" s="19">
        <f>(Table6[[#This Row],[Fault Clearance time]]-Table6[[#This Row],[Fault Start TimeStamp]])*24</f>
        <v>0.33333333333333481</v>
      </c>
      <c r="Q24" s="19">
        <f>(Table6[[#This Row],[Fault Clearance time]]-Table6[[#This Row],[Fault Start TimeStamp]])*24</f>
        <v>0.33333333333333481</v>
      </c>
      <c r="R24" s="79" t="s">
        <v>353</v>
      </c>
      <c r="S24" s="79" t="s">
        <v>339</v>
      </c>
      <c r="T24" s="298">
        <f>IFERROR(Table6[[#This Row],[Breakdown Time]]*Table6[[#This Row],[Plant Equivalent Weightage]],"")</f>
        <v>7.5757575757576098E-3</v>
      </c>
      <c r="U24" s="79" t="s">
        <v>411</v>
      </c>
      <c r="W24" s="79">
        <v>17</v>
      </c>
    </row>
    <row r="25" spans="1:23">
      <c r="A25" s="79">
        <f t="shared" si="0"/>
        <v>24</v>
      </c>
      <c r="B25" s="79">
        <f>YEAR(Table6[[#This Row],[Date]])+IF(MONTH(Table6[[#This Row],[Date]])&gt;=4,1,0)</f>
        <v>2025</v>
      </c>
      <c r="C25" s="79">
        <f>YEAR(Table6[[#This Row],[Date]])</f>
        <v>2025</v>
      </c>
      <c r="D25" s="79" t="s">
        <v>335</v>
      </c>
      <c r="E25" s="284">
        <f>Table6[[#This Row],[Date]]-DAY(Table6[[#This Row],[Date]])+1</f>
        <v>45717</v>
      </c>
      <c r="F25" s="285">
        <v>45747</v>
      </c>
      <c r="G25" s="79" t="s">
        <v>79</v>
      </c>
      <c r="H25" s="79" t="str">
        <f>IFERROR(_xlfn.XLOOKUP(Table6[[#This Row],[Affected Feeder ]],'Basic Data'!$A:$A,'Basic Data'!$B:$B),"")</f>
        <v>PWEPL</v>
      </c>
      <c r="I25" s="79" t="str">
        <f>IFERROR(_xlfn.XLOOKUP(Table6[[#This Row],[Affected Feeder ]],'Basic Data'!$A:$A,'Basic Data'!$C:$C),"")</f>
        <v>MSEDCL</v>
      </c>
      <c r="J25" s="295">
        <f>IFERROR(_xlfn.XLOOKUP(Table6[[#This Row],[Affected Feeder ]],'Basic Data'!$A:$A,'Basic Data'!$E:$E),"")</f>
        <v>2.2727272727272728E-2</v>
      </c>
      <c r="K25" s="296" t="s">
        <v>414</v>
      </c>
      <c r="L25" s="297">
        <v>0.46527777777777773</v>
      </c>
      <c r="M25" s="297">
        <v>0.46527777777777773</v>
      </c>
      <c r="N25" s="297">
        <v>0.82847222222222217</v>
      </c>
      <c r="O25" s="19">
        <f>(Table6[[#This Row],[Work Start TimeStamp]]-Table6[[#This Row],[Fault Start TimeStamp]])*24</f>
        <v>0</v>
      </c>
      <c r="P25" s="19">
        <f>(Table6[[#This Row],[Fault Clearance time]]-Table6[[#This Row],[Fault Start TimeStamp]])*24</f>
        <v>8.7166666666666668</v>
      </c>
      <c r="Q25" s="19">
        <f>(Table6[[#This Row],[Fault Clearance time]]-Table6[[#This Row],[Fault Start TimeStamp]])*24</f>
        <v>8.7166666666666668</v>
      </c>
      <c r="R25" s="79" t="s">
        <v>415</v>
      </c>
      <c r="S25" s="79" t="s">
        <v>339</v>
      </c>
      <c r="T25" s="298">
        <f>IFERROR(Table6[[#This Row],[Breakdown Time]]*Table6[[#This Row],[Plant Equivalent Weightage]],"")</f>
        <v>0.19810606060606062</v>
      </c>
      <c r="U25" s="79" t="s">
        <v>416</v>
      </c>
      <c r="W25" s="79">
        <v>724</v>
      </c>
    </row>
    <row r="26" spans="1:23">
      <c r="A26" s="79">
        <f t="shared" si="0"/>
        <v>25</v>
      </c>
      <c r="B26" s="79">
        <f>YEAR(Table6[[#This Row],[Date]])+IF(MONTH(Table6[[#This Row],[Date]])&gt;=4,1,0)</f>
        <v>2025</v>
      </c>
      <c r="C26" s="79">
        <f>YEAR(Table6[[#This Row],[Date]])</f>
        <v>2025</v>
      </c>
      <c r="D26" s="79" t="s">
        <v>335</v>
      </c>
      <c r="E26" s="284">
        <f>Table6[[#This Row],[Date]]-DAY(Table6[[#This Row],[Date]])+1</f>
        <v>45717</v>
      </c>
      <c r="F26" s="285">
        <v>45747</v>
      </c>
      <c r="G26" s="79" t="s">
        <v>79</v>
      </c>
      <c r="H26" s="79" t="str">
        <f>IFERROR(_xlfn.XLOOKUP(Table6[[#This Row],[Affected Feeder ]],'Basic Data'!$A:$A,'Basic Data'!$B:$B),"")</f>
        <v>PWEPL</v>
      </c>
      <c r="I26" s="79" t="str">
        <f>IFERROR(_xlfn.XLOOKUP(Table6[[#This Row],[Affected Feeder ]],'Basic Data'!$A:$A,'Basic Data'!$C:$C),"")</f>
        <v>MSEDCL</v>
      </c>
      <c r="J26" s="295">
        <f>IFERROR(_xlfn.XLOOKUP(Table6[[#This Row],[Affected Feeder ]],'Basic Data'!$A:$A,'Basic Data'!$E:$E),"")</f>
        <v>2.2727272727272728E-2</v>
      </c>
      <c r="K26" s="296" t="s">
        <v>171</v>
      </c>
      <c r="L26" s="297">
        <v>0.82847222222222217</v>
      </c>
      <c r="M26" s="297">
        <v>0.82847222222222217</v>
      </c>
      <c r="N26" s="297">
        <v>0.84236111111111101</v>
      </c>
      <c r="O26" s="19">
        <f>(Table6[[#This Row],[Work Start TimeStamp]]-Table6[[#This Row],[Fault Start TimeStamp]])*24</f>
        <v>0</v>
      </c>
      <c r="P26" s="19">
        <f>(Table6[[#This Row],[Fault Clearance time]]-Table6[[#This Row],[Fault Start TimeStamp]])*24</f>
        <v>0.33333333333333215</v>
      </c>
      <c r="Q26" s="19">
        <f>(Table6[[#This Row],[Fault Clearance time]]-Table6[[#This Row],[Fault Start TimeStamp]])*24</f>
        <v>0.33333333333333215</v>
      </c>
      <c r="R26" s="79" t="s">
        <v>353</v>
      </c>
      <c r="S26" s="79" t="s">
        <v>339</v>
      </c>
      <c r="T26" s="298">
        <f>IFERROR(Table6[[#This Row],[Breakdown Time]]*Table6[[#This Row],[Plant Equivalent Weightage]],"")</f>
        <v>7.5757575757575491E-3</v>
      </c>
      <c r="U26" s="79" t="s">
        <v>416</v>
      </c>
      <c r="W26" s="79">
        <v>28</v>
      </c>
    </row>
    <row r="27" spans="1:23">
      <c r="A27" s="79">
        <f t="shared" si="0"/>
        <v>26</v>
      </c>
      <c r="B27" s="79">
        <f>YEAR(Table6[[#This Row],[Date]])+IF(MONTH(Table6[[#This Row],[Date]])&gt;=4,1,0)</f>
        <v>2025</v>
      </c>
      <c r="C27" s="79">
        <f>YEAR(Table6[[#This Row],[Date]])</f>
        <v>2025</v>
      </c>
      <c r="D27" s="79" t="s">
        <v>335</v>
      </c>
      <c r="E27" s="284">
        <f>Table6[[#This Row],[Date]]-DAY(Table6[[#This Row],[Date]])+1</f>
        <v>45717</v>
      </c>
      <c r="F27" s="285">
        <v>45747</v>
      </c>
      <c r="G27" s="79" t="s">
        <v>96</v>
      </c>
      <c r="H27" s="79" t="str">
        <f>IFERROR(_xlfn.XLOOKUP(Table6[[#This Row],[Affected Feeder ]],'Basic Data'!$A:$A,'Basic Data'!$B:$B),"")</f>
        <v>PWEPL</v>
      </c>
      <c r="I27" s="79" t="str">
        <f>IFERROR(_xlfn.XLOOKUP(Table6[[#This Row],[Affected Feeder ]],'Basic Data'!$A:$A,'Basic Data'!$C:$C),"")</f>
        <v>MSEDCL</v>
      </c>
      <c r="J27" s="295">
        <f>IFERROR(_xlfn.XLOOKUP(Table6[[#This Row],[Affected Feeder ]],'Basic Data'!$A:$A,'Basic Data'!$E:$E),"")</f>
        <v>2.2727272727272728E-2</v>
      </c>
      <c r="K27" s="296" t="s">
        <v>414</v>
      </c>
      <c r="L27" s="297">
        <v>0.46527777777777773</v>
      </c>
      <c r="M27" s="297">
        <v>0.46527777777777773</v>
      </c>
      <c r="N27" s="297">
        <v>0.82847222222222217</v>
      </c>
      <c r="O27" s="19">
        <f>(Table6[[#This Row],[Work Start TimeStamp]]-Table6[[#This Row],[Fault Start TimeStamp]])*24</f>
        <v>0</v>
      </c>
      <c r="P27" s="19">
        <f>(Table6[[#This Row],[Fault Clearance time]]-Table6[[#This Row],[Fault Start TimeStamp]])*24</f>
        <v>8.7166666666666668</v>
      </c>
      <c r="Q27" s="19">
        <f>(Table6[[#This Row],[Fault Clearance time]]-Table6[[#This Row],[Fault Start TimeStamp]])*24</f>
        <v>8.7166666666666668</v>
      </c>
      <c r="R27" s="79" t="s">
        <v>415</v>
      </c>
      <c r="S27" s="79" t="s">
        <v>339</v>
      </c>
      <c r="T27" s="298">
        <f>IFERROR(Table6[[#This Row],[Breakdown Time]]*Table6[[#This Row],[Plant Equivalent Weightage]],"")</f>
        <v>0.19810606060606062</v>
      </c>
      <c r="U27" s="79" t="s">
        <v>416</v>
      </c>
      <c r="W27" s="79">
        <v>724</v>
      </c>
    </row>
    <row r="28" spans="1:23">
      <c r="A28" s="79">
        <f t="shared" si="0"/>
        <v>27</v>
      </c>
      <c r="B28" s="79">
        <f>YEAR(Table6[[#This Row],[Date]])+IF(MONTH(Table6[[#This Row],[Date]])&gt;=4,1,0)</f>
        <v>2025</v>
      </c>
      <c r="C28" s="79">
        <f>YEAR(Table6[[#This Row],[Date]])</f>
        <v>2025</v>
      </c>
      <c r="D28" s="79" t="s">
        <v>335</v>
      </c>
      <c r="E28" s="284">
        <f>Table6[[#This Row],[Date]]-DAY(Table6[[#This Row],[Date]])+1</f>
        <v>45717</v>
      </c>
      <c r="F28" s="285">
        <v>45747</v>
      </c>
      <c r="G28" s="79" t="s">
        <v>96</v>
      </c>
      <c r="H28" s="79" t="str">
        <f>IFERROR(_xlfn.XLOOKUP(Table6[[#This Row],[Affected Feeder ]],'Basic Data'!$A:$A,'Basic Data'!$B:$B),"")</f>
        <v>PWEPL</v>
      </c>
      <c r="I28" s="79" t="str">
        <f>IFERROR(_xlfn.XLOOKUP(Table6[[#This Row],[Affected Feeder ]],'Basic Data'!$A:$A,'Basic Data'!$C:$C),"")</f>
        <v>MSEDCL</v>
      </c>
      <c r="J28" s="295">
        <f>IFERROR(_xlfn.XLOOKUP(Table6[[#This Row],[Affected Feeder ]],'Basic Data'!$A:$A,'Basic Data'!$E:$E),"")</f>
        <v>2.2727272727272728E-2</v>
      </c>
      <c r="K28" s="296" t="s">
        <v>171</v>
      </c>
      <c r="L28" s="297">
        <v>0.82847222222222217</v>
      </c>
      <c r="M28" s="297">
        <v>0.82847222222222217</v>
      </c>
      <c r="N28" s="297">
        <v>0.84236111111111101</v>
      </c>
      <c r="O28" s="19">
        <f>(Table6[[#This Row],[Work Start TimeStamp]]-Table6[[#This Row],[Fault Start TimeStamp]])*24</f>
        <v>0</v>
      </c>
      <c r="P28" s="19">
        <f>(Table6[[#This Row],[Fault Clearance time]]-Table6[[#This Row],[Fault Start TimeStamp]])*24</f>
        <v>0.33333333333333215</v>
      </c>
      <c r="Q28" s="19">
        <f>(Table6[[#This Row],[Fault Clearance time]]-Table6[[#This Row],[Fault Start TimeStamp]])*24</f>
        <v>0.33333333333333215</v>
      </c>
      <c r="R28" s="79" t="s">
        <v>353</v>
      </c>
      <c r="S28" s="79" t="s">
        <v>339</v>
      </c>
      <c r="T28" s="298">
        <f>IFERROR(Table6[[#This Row],[Breakdown Time]]*Table6[[#This Row],[Plant Equivalent Weightage]],"")</f>
        <v>7.5757575757575491E-3</v>
      </c>
      <c r="U28" s="79" t="s">
        <v>416</v>
      </c>
      <c r="W28" s="79">
        <v>28</v>
      </c>
    </row>
    <row r="29" spans="1:23">
      <c r="A29" s="79">
        <f t="shared" si="0"/>
        <v>28</v>
      </c>
      <c r="B29" s="79">
        <f>YEAR(Table6[[#This Row],[Date]])+IF(MONTH(Table6[[#This Row],[Date]])&gt;=4,1,0)</f>
        <v>2025</v>
      </c>
      <c r="C29" s="79">
        <f>YEAR(Table6[[#This Row],[Date]])</f>
        <v>2025</v>
      </c>
      <c r="D29" s="79" t="s">
        <v>335</v>
      </c>
      <c r="E29" s="284">
        <f>Table6[[#This Row],[Date]]-DAY(Table6[[#This Row],[Date]])+1</f>
        <v>45717</v>
      </c>
      <c r="F29" s="285">
        <v>45747</v>
      </c>
      <c r="G29" s="79" t="s">
        <v>97</v>
      </c>
      <c r="H29" s="79" t="str">
        <f>IFERROR(_xlfn.XLOOKUP(Table6[[#This Row],[Affected Feeder ]],'Basic Data'!$A:$A,'Basic Data'!$B:$B),"")</f>
        <v>PWEPL</v>
      </c>
      <c r="I29" s="79" t="str">
        <f>IFERROR(_xlfn.XLOOKUP(Table6[[#This Row],[Affected Feeder ]],'Basic Data'!$A:$A,'Basic Data'!$C:$C),"")</f>
        <v>MSEDCL</v>
      </c>
      <c r="J29" s="295">
        <f>IFERROR(_xlfn.XLOOKUP(Table6[[#This Row],[Affected Feeder ]],'Basic Data'!$A:$A,'Basic Data'!$E:$E),"")</f>
        <v>2.2727272727272728E-2</v>
      </c>
      <c r="K29" s="296" t="s">
        <v>414</v>
      </c>
      <c r="L29" s="297">
        <v>0.46527777777777773</v>
      </c>
      <c r="M29" s="297">
        <v>0.46527777777777773</v>
      </c>
      <c r="N29" s="297">
        <v>0.82847222222222217</v>
      </c>
      <c r="O29" s="19">
        <f>(Table6[[#This Row],[Work Start TimeStamp]]-Table6[[#This Row],[Fault Start TimeStamp]])*24</f>
        <v>0</v>
      </c>
      <c r="P29" s="19">
        <f>(Table6[[#This Row],[Fault Clearance time]]-Table6[[#This Row],[Fault Start TimeStamp]])*24</f>
        <v>8.7166666666666668</v>
      </c>
      <c r="Q29" s="19">
        <f>(Table6[[#This Row],[Fault Clearance time]]-Table6[[#This Row],[Fault Start TimeStamp]])*24</f>
        <v>8.7166666666666668</v>
      </c>
      <c r="R29" s="79" t="s">
        <v>415</v>
      </c>
      <c r="S29" s="79" t="s">
        <v>339</v>
      </c>
      <c r="T29" s="298">
        <f>IFERROR(Table6[[#This Row],[Breakdown Time]]*Table6[[#This Row],[Plant Equivalent Weightage]],"")</f>
        <v>0.19810606060606062</v>
      </c>
      <c r="U29" s="79" t="s">
        <v>416</v>
      </c>
      <c r="W29" s="79">
        <v>724</v>
      </c>
    </row>
    <row r="30" spans="1:23">
      <c r="A30" s="79">
        <f t="shared" si="0"/>
        <v>29</v>
      </c>
      <c r="B30" s="79">
        <f>YEAR(Table6[[#This Row],[Date]])+IF(MONTH(Table6[[#This Row],[Date]])&gt;=4,1,0)</f>
        <v>2025</v>
      </c>
      <c r="C30" s="79">
        <f>YEAR(Table6[[#This Row],[Date]])</f>
        <v>2025</v>
      </c>
      <c r="D30" s="79" t="s">
        <v>335</v>
      </c>
      <c r="E30" s="284">
        <f>Table6[[#This Row],[Date]]-DAY(Table6[[#This Row],[Date]])+1</f>
        <v>45717</v>
      </c>
      <c r="F30" s="285">
        <v>45747</v>
      </c>
      <c r="G30" s="79" t="s">
        <v>97</v>
      </c>
      <c r="H30" s="79" t="str">
        <f>IFERROR(_xlfn.XLOOKUP(Table6[[#This Row],[Affected Feeder ]],'Basic Data'!$A:$A,'Basic Data'!$B:$B),"")</f>
        <v>PWEPL</v>
      </c>
      <c r="I30" s="79" t="str">
        <f>IFERROR(_xlfn.XLOOKUP(Table6[[#This Row],[Affected Feeder ]],'Basic Data'!$A:$A,'Basic Data'!$C:$C),"")</f>
        <v>MSEDCL</v>
      </c>
      <c r="J30" s="295">
        <f>IFERROR(_xlfn.XLOOKUP(Table6[[#This Row],[Affected Feeder ]],'Basic Data'!$A:$A,'Basic Data'!$E:$E),"")</f>
        <v>2.2727272727272728E-2</v>
      </c>
      <c r="K30" s="296" t="s">
        <v>171</v>
      </c>
      <c r="L30" s="297">
        <v>0.82847222222222217</v>
      </c>
      <c r="M30" s="297">
        <v>0.82847222222222217</v>
      </c>
      <c r="N30" s="297">
        <v>0.84236111111111101</v>
      </c>
      <c r="O30" s="19">
        <f>(Table6[[#This Row],[Work Start TimeStamp]]-Table6[[#This Row],[Fault Start TimeStamp]])*24</f>
        <v>0</v>
      </c>
      <c r="P30" s="19">
        <f>(Table6[[#This Row],[Fault Clearance time]]-Table6[[#This Row],[Fault Start TimeStamp]])*24</f>
        <v>0.33333333333333215</v>
      </c>
      <c r="Q30" s="19">
        <f>(Table6[[#This Row],[Fault Clearance time]]-Table6[[#This Row],[Fault Start TimeStamp]])*24</f>
        <v>0.33333333333333215</v>
      </c>
      <c r="R30" s="79" t="s">
        <v>353</v>
      </c>
      <c r="S30" s="79" t="s">
        <v>339</v>
      </c>
      <c r="T30" s="298">
        <f>IFERROR(Table6[[#This Row],[Breakdown Time]]*Table6[[#This Row],[Plant Equivalent Weightage]],"")</f>
        <v>7.5757575757575491E-3</v>
      </c>
      <c r="U30" s="79" t="s">
        <v>416</v>
      </c>
      <c r="W30" s="79">
        <v>28</v>
      </c>
    </row>
    <row r="31" spans="1:23">
      <c r="A31" s="79">
        <f t="shared" si="0"/>
        <v>30</v>
      </c>
      <c r="B31" s="79">
        <f>YEAR(Table6[[#This Row],[Date]])+IF(MONTH(Table6[[#This Row],[Date]])&gt;=4,1,0)</f>
        <v>2025</v>
      </c>
      <c r="C31" s="79">
        <f>YEAR(Table6[[#This Row],[Date]])</f>
        <v>2025</v>
      </c>
      <c r="D31" s="79" t="s">
        <v>335</v>
      </c>
      <c r="E31" s="284">
        <f>Table6[[#This Row],[Date]]-DAY(Table6[[#This Row],[Date]])+1</f>
        <v>45717</v>
      </c>
      <c r="F31" s="285">
        <v>45747</v>
      </c>
      <c r="G31" s="79" t="s">
        <v>104</v>
      </c>
      <c r="H31" s="79" t="str">
        <f>IFERROR(_xlfn.XLOOKUP(Table6[[#This Row],[Affected Feeder ]],'Basic Data'!$A:$A,'Basic Data'!$B:$B),"")</f>
        <v>PWEPL</v>
      </c>
      <c r="I31" s="79" t="str">
        <f>IFERROR(_xlfn.XLOOKUP(Table6[[#This Row],[Affected Feeder ]],'Basic Data'!$A:$A,'Basic Data'!$C:$C),"")</f>
        <v>MSEDCL</v>
      </c>
      <c r="J31" s="295">
        <f>IFERROR(_xlfn.XLOOKUP(Table6[[#This Row],[Affected Feeder ]],'Basic Data'!$A:$A,'Basic Data'!$E:$E),"")</f>
        <v>2.2727272727272728E-2</v>
      </c>
      <c r="K31" s="296" t="s">
        <v>414</v>
      </c>
      <c r="L31" s="297">
        <v>0.46527777777777773</v>
      </c>
      <c r="M31" s="297">
        <v>0.46527777777777773</v>
      </c>
      <c r="N31" s="297">
        <v>0.82847222222222217</v>
      </c>
      <c r="O31" s="19">
        <f>(Table6[[#This Row],[Work Start TimeStamp]]-Table6[[#This Row],[Fault Start TimeStamp]])*24</f>
        <v>0</v>
      </c>
      <c r="P31" s="19">
        <f>(Table6[[#This Row],[Fault Clearance time]]-Table6[[#This Row],[Fault Start TimeStamp]])*24</f>
        <v>8.7166666666666668</v>
      </c>
      <c r="Q31" s="19">
        <f>(Table6[[#This Row],[Fault Clearance time]]-Table6[[#This Row],[Fault Start TimeStamp]])*24</f>
        <v>8.7166666666666668</v>
      </c>
      <c r="R31" s="79" t="s">
        <v>415</v>
      </c>
      <c r="S31" s="79" t="s">
        <v>339</v>
      </c>
      <c r="T31" s="298">
        <f>IFERROR(Table6[[#This Row],[Breakdown Time]]*Table6[[#This Row],[Plant Equivalent Weightage]],"")</f>
        <v>0.19810606060606062</v>
      </c>
      <c r="U31" s="79" t="s">
        <v>416</v>
      </c>
      <c r="W31" s="79">
        <v>724</v>
      </c>
    </row>
    <row r="32" spans="1:23">
      <c r="A32" s="79">
        <f t="shared" si="0"/>
        <v>31</v>
      </c>
      <c r="B32" s="79">
        <f>YEAR(Table6[[#This Row],[Date]])+IF(MONTH(Table6[[#This Row],[Date]])&gt;=4,1,0)</f>
        <v>2025</v>
      </c>
      <c r="C32" s="79">
        <f>YEAR(Table6[[#This Row],[Date]])</f>
        <v>2025</v>
      </c>
      <c r="D32" s="79" t="s">
        <v>335</v>
      </c>
      <c r="E32" s="284">
        <f>Table6[[#This Row],[Date]]-DAY(Table6[[#This Row],[Date]])+1</f>
        <v>45717</v>
      </c>
      <c r="F32" s="285">
        <v>45747</v>
      </c>
      <c r="G32" s="79" t="s">
        <v>104</v>
      </c>
      <c r="H32" s="79" t="str">
        <f>IFERROR(_xlfn.XLOOKUP(Table6[[#This Row],[Affected Feeder ]],'Basic Data'!$A:$A,'Basic Data'!$B:$B),"")</f>
        <v>PWEPL</v>
      </c>
      <c r="I32" s="79" t="str">
        <f>IFERROR(_xlfn.XLOOKUP(Table6[[#This Row],[Affected Feeder ]],'Basic Data'!$A:$A,'Basic Data'!$C:$C),"")</f>
        <v>MSEDCL</v>
      </c>
      <c r="J32" s="295">
        <f>IFERROR(_xlfn.XLOOKUP(Table6[[#This Row],[Affected Feeder ]],'Basic Data'!$A:$A,'Basic Data'!$E:$E),"")</f>
        <v>2.2727272727272728E-2</v>
      </c>
      <c r="K32" s="296" t="s">
        <v>171</v>
      </c>
      <c r="L32" s="297">
        <v>0.82847222222222217</v>
      </c>
      <c r="M32" s="297">
        <v>0.82847222222222217</v>
      </c>
      <c r="N32" s="297">
        <v>0.84236111111111101</v>
      </c>
      <c r="O32" s="19">
        <f>(Table6[[#This Row],[Work Start TimeStamp]]-Table6[[#This Row],[Fault Start TimeStamp]])*24</f>
        <v>0</v>
      </c>
      <c r="P32" s="19">
        <f>(Table6[[#This Row],[Fault Clearance time]]-Table6[[#This Row],[Fault Start TimeStamp]])*24</f>
        <v>0.33333333333333215</v>
      </c>
      <c r="Q32" s="19">
        <f>(Table6[[#This Row],[Fault Clearance time]]-Table6[[#This Row],[Fault Start TimeStamp]])*24</f>
        <v>0.33333333333333215</v>
      </c>
      <c r="R32" s="79" t="s">
        <v>353</v>
      </c>
      <c r="S32" s="79" t="s">
        <v>339</v>
      </c>
      <c r="T32" s="298">
        <f>IFERROR(Table6[[#This Row],[Breakdown Time]]*Table6[[#This Row],[Plant Equivalent Weightage]],"")</f>
        <v>7.5757575757575491E-3</v>
      </c>
      <c r="U32" s="79" t="s">
        <v>416</v>
      </c>
      <c r="W32" s="79">
        <v>28</v>
      </c>
    </row>
    <row r="33" spans="1:23">
      <c r="A33" s="79">
        <f t="shared" si="0"/>
        <v>32</v>
      </c>
      <c r="B33" s="79">
        <f>YEAR(Table6[[#This Row],[Date]])+IF(MONTH(Table6[[#This Row],[Date]])&gt;=4,1,0)</f>
        <v>2025</v>
      </c>
      <c r="C33" s="79">
        <f>YEAR(Table6[[#This Row],[Date]])</f>
        <v>2025</v>
      </c>
      <c r="D33" s="79" t="s">
        <v>335</v>
      </c>
      <c r="E33" s="284">
        <f>Table6[[#This Row],[Date]]-DAY(Table6[[#This Row],[Date]])+1</f>
        <v>45717</v>
      </c>
      <c r="F33" s="285">
        <v>45747</v>
      </c>
      <c r="G33" s="79" t="s">
        <v>110</v>
      </c>
      <c r="H33" s="79" t="str">
        <f>IFERROR(_xlfn.XLOOKUP(Table6[[#This Row],[Affected Feeder ]],'Basic Data'!$A:$A,'Basic Data'!$B:$B),"")</f>
        <v>PWEPL</v>
      </c>
      <c r="I33" s="79" t="str">
        <f>IFERROR(_xlfn.XLOOKUP(Table6[[#This Row],[Affected Feeder ]],'Basic Data'!$A:$A,'Basic Data'!$C:$C),"")</f>
        <v>MSEDCL</v>
      </c>
      <c r="J33" s="295">
        <f>IFERROR(_xlfn.XLOOKUP(Table6[[#This Row],[Affected Feeder ]],'Basic Data'!$A:$A,'Basic Data'!$E:$E),"")</f>
        <v>2.2727272727272728E-2</v>
      </c>
      <c r="K33" s="296" t="s">
        <v>414</v>
      </c>
      <c r="L33" s="297">
        <v>0.46527777777777773</v>
      </c>
      <c r="M33" s="297">
        <v>0.46527777777777773</v>
      </c>
      <c r="N33" s="297">
        <v>0.82847222222222217</v>
      </c>
      <c r="O33" s="19">
        <f>(Table6[[#This Row],[Work Start TimeStamp]]-Table6[[#This Row],[Fault Start TimeStamp]])*24</f>
        <v>0</v>
      </c>
      <c r="P33" s="19">
        <f>(Table6[[#This Row],[Fault Clearance time]]-Table6[[#This Row],[Fault Start TimeStamp]])*24</f>
        <v>8.7166666666666668</v>
      </c>
      <c r="Q33" s="19">
        <f>(Table6[[#This Row],[Fault Clearance time]]-Table6[[#This Row],[Fault Start TimeStamp]])*24</f>
        <v>8.7166666666666668</v>
      </c>
      <c r="R33" s="79" t="s">
        <v>415</v>
      </c>
      <c r="S33" s="79" t="s">
        <v>339</v>
      </c>
      <c r="T33" s="298">
        <f>IFERROR(Table6[[#This Row],[Breakdown Time]]*Table6[[#This Row],[Plant Equivalent Weightage]],"")</f>
        <v>0.19810606060606062</v>
      </c>
      <c r="U33" s="79" t="s">
        <v>416</v>
      </c>
      <c r="W33" s="79">
        <v>724</v>
      </c>
    </row>
    <row r="34" spans="1:23">
      <c r="A34" s="79">
        <f t="shared" si="0"/>
        <v>33</v>
      </c>
      <c r="B34" s="79">
        <f>YEAR(Table6[[#This Row],[Date]])+IF(MONTH(Table6[[#This Row],[Date]])&gt;=4,1,0)</f>
        <v>2025</v>
      </c>
      <c r="C34" s="79">
        <f>YEAR(Table6[[#This Row],[Date]])</f>
        <v>2025</v>
      </c>
      <c r="D34" s="79" t="s">
        <v>335</v>
      </c>
      <c r="E34" s="284">
        <f>Table6[[#This Row],[Date]]-DAY(Table6[[#This Row],[Date]])+1</f>
        <v>45717</v>
      </c>
      <c r="F34" s="285">
        <v>45747</v>
      </c>
      <c r="G34" s="79" t="s">
        <v>110</v>
      </c>
      <c r="H34" s="79" t="str">
        <f>IFERROR(_xlfn.XLOOKUP(Table6[[#This Row],[Affected Feeder ]],'Basic Data'!$A:$A,'Basic Data'!$B:$B),"")</f>
        <v>PWEPL</v>
      </c>
      <c r="I34" s="79" t="str">
        <f>IFERROR(_xlfn.XLOOKUP(Table6[[#This Row],[Affected Feeder ]],'Basic Data'!$A:$A,'Basic Data'!$C:$C),"")</f>
        <v>MSEDCL</v>
      </c>
      <c r="J34" s="295">
        <f>IFERROR(_xlfn.XLOOKUP(Table6[[#This Row],[Affected Feeder ]],'Basic Data'!$A:$A,'Basic Data'!$E:$E),"")</f>
        <v>2.2727272727272728E-2</v>
      </c>
      <c r="K34" s="296" t="s">
        <v>171</v>
      </c>
      <c r="L34" s="297">
        <v>0.82847222222222217</v>
      </c>
      <c r="M34" s="297">
        <v>0.82847222222222217</v>
      </c>
      <c r="N34" s="297">
        <v>0.84236111111111101</v>
      </c>
      <c r="O34" s="19">
        <f>(Table6[[#This Row],[Work Start TimeStamp]]-Table6[[#This Row],[Fault Start TimeStamp]])*24</f>
        <v>0</v>
      </c>
      <c r="P34" s="19">
        <f>(Table6[[#This Row],[Fault Clearance time]]-Table6[[#This Row],[Fault Start TimeStamp]])*24</f>
        <v>0.33333333333333215</v>
      </c>
      <c r="Q34" s="19">
        <f>(Table6[[#This Row],[Fault Clearance time]]-Table6[[#This Row],[Fault Start TimeStamp]])*24</f>
        <v>0.33333333333333215</v>
      </c>
      <c r="R34" s="79" t="s">
        <v>353</v>
      </c>
      <c r="S34" s="79" t="s">
        <v>339</v>
      </c>
      <c r="T34" s="298">
        <f>IFERROR(Table6[[#This Row],[Breakdown Time]]*Table6[[#This Row],[Plant Equivalent Weightage]],"")</f>
        <v>7.5757575757575491E-3</v>
      </c>
      <c r="U34" s="79" t="s">
        <v>416</v>
      </c>
      <c r="W34" s="79">
        <v>28</v>
      </c>
    </row>
    <row r="35" spans="1:23">
      <c r="A35" s="79">
        <f t="shared" si="0"/>
        <v>34</v>
      </c>
      <c r="B35" s="79">
        <f>YEAR(Table6[[#This Row],[Date]])+IF(MONTH(Table6[[#This Row],[Date]])&gt;=4,1,0)</f>
        <v>2025</v>
      </c>
      <c r="C35" s="79">
        <f>YEAR(Table6[[#This Row],[Date]])</f>
        <v>2025</v>
      </c>
      <c r="D35" s="79" t="s">
        <v>335</v>
      </c>
      <c r="E35" s="284">
        <f>Table6[[#This Row],[Date]]-DAY(Table6[[#This Row],[Date]])+1</f>
        <v>45717</v>
      </c>
      <c r="F35" s="285">
        <v>45747</v>
      </c>
      <c r="G35" s="79" t="s">
        <v>103</v>
      </c>
      <c r="H35" s="79" t="str">
        <f>IFERROR(_xlfn.XLOOKUP(Table6[[#This Row],[Affected Feeder ]],'Basic Data'!$A:$A,'Basic Data'!$B:$B),"")</f>
        <v>PWEPL</v>
      </c>
      <c r="I35" s="79" t="str">
        <f>IFERROR(_xlfn.XLOOKUP(Table6[[#This Row],[Affected Feeder ]],'Basic Data'!$A:$A,'Basic Data'!$C:$C),"")</f>
        <v>MSEDCL</v>
      </c>
      <c r="J35" s="295">
        <f>IFERROR(_xlfn.XLOOKUP(Table6[[#This Row],[Affected Feeder ]],'Basic Data'!$A:$A,'Basic Data'!$E:$E),"")</f>
        <v>2.2727272727272728E-2</v>
      </c>
      <c r="K35" s="296" t="s">
        <v>417</v>
      </c>
      <c r="L35" s="297">
        <v>0.75</v>
      </c>
      <c r="M35" s="297">
        <v>0.75</v>
      </c>
      <c r="N35" s="297">
        <v>0.76111111111111107</v>
      </c>
      <c r="O35" s="19">
        <f>(Table6[[#This Row],[Work Start TimeStamp]]-Table6[[#This Row],[Fault Start TimeStamp]])*24</f>
        <v>0</v>
      </c>
      <c r="P35" s="19">
        <f>(Table6[[#This Row],[Fault Clearance time]]-Table6[[#This Row],[Fault Start TimeStamp]])*24</f>
        <v>0.26666666666666572</v>
      </c>
      <c r="Q35" s="19">
        <f>(Table6[[#This Row],[Fault Clearance time]]-Table6[[#This Row],[Fault Start TimeStamp]])*24</f>
        <v>0.26666666666666572</v>
      </c>
      <c r="R35" s="79" t="s">
        <v>418</v>
      </c>
      <c r="S35" s="79" t="s">
        <v>339</v>
      </c>
      <c r="T35" s="298">
        <f>IFERROR(Table6[[#This Row],[Breakdown Time]]*Table6[[#This Row],[Plant Equivalent Weightage]],"")</f>
        <v>6.0606060606060389E-3</v>
      </c>
      <c r="U35" s="79" t="s">
        <v>416</v>
      </c>
      <c r="W35" s="79">
        <v>0</v>
      </c>
    </row>
    <row r="36" spans="1:23">
      <c r="A36" s="79">
        <f t="shared" si="0"/>
        <v>35</v>
      </c>
      <c r="B36" s="79">
        <f>YEAR(Table6[[#This Row],[Date]])+IF(MONTH(Table6[[#This Row],[Date]])&gt;=4,1,0)</f>
        <v>2025</v>
      </c>
      <c r="C36" s="79">
        <f>YEAR(Table6[[#This Row],[Date]])</f>
        <v>2025</v>
      </c>
      <c r="D36" s="79" t="s">
        <v>335</v>
      </c>
      <c r="E36" s="284">
        <f>Table6[[#This Row],[Date]]-DAY(Table6[[#This Row],[Date]])+1</f>
        <v>45717</v>
      </c>
      <c r="F36" s="285">
        <v>45747</v>
      </c>
      <c r="G36" s="79" t="s">
        <v>103</v>
      </c>
      <c r="H36" s="79" t="str">
        <f>IFERROR(_xlfn.XLOOKUP(Table6[[#This Row],[Affected Feeder ]],'Basic Data'!$A:$A,'Basic Data'!$B:$B),"")</f>
        <v>PWEPL</v>
      </c>
      <c r="I36" s="79" t="str">
        <f>IFERROR(_xlfn.XLOOKUP(Table6[[#This Row],[Affected Feeder ]],'Basic Data'!$A:$A,'Basic Data'!$C:$C),"")</f>
        <v>MSEDCL</v>
      </c>
      <c r="J36" s="295">
        <f>IFERROR(_xlfn.XLOOKUP(Table6[[#This Row],[Affected Feeder ]],'Basic Data'!$A:$A,'Basic Data'!$E:$E),"")</f>
        <v>2.2727272727272728E-2</v>
      </c>
      <c r="K36" s="296" t="s">
        <v>171</v>
      </c>
      <c r="L36" s="297">
        <v>0.76111111111111107</v>
      </c>
      <c r="M36" s="297">
        <v>0.76111111111111107</v>
      </c>
      <c r="N36" s="297">
        <v>0.77500000000000002</v>
      </c>
      <c r="O36" s="19">
        <f>(Table6[[#This Row],[Work Start TimeStamp]]-Table6[[#This Row],[Fault Start TimeStamp]])*24</f>
        <v>0</v>
      </c>
      <c r="P36" s="19">
        <f>(Table6[[#This Row],[Fault Clearance time]]-Table6[[#This Row],[Fault Start TimeStamp]])*24</f>
        <v>0.33333333333333481</v>
      </c>
      <c r="Q36" s="19">
        <f>(Table6[[#This Row],[Fault Clearance time]]-Table6[[#This Row],[Fault Start TimeStamp]])*24</f>
        <v>0.33333333333333481</v>
      </c>
      <c r="R36" s="79" t="s">
        <v>353</v>
      </c>
      <c r="S36" s="79" t="s">
        <v>339</v>
      </c>
      <c r="T36" s="298">
        <f>IFERROR(Table6[[#This Row],[Breakdown Time]]*Table6[[#This Row],[Plant Equivalent Weightage]],"")</f>
        <v>7.5757575757576098E-3</v>
      </c>
      <c r="U36" s="79" t="s">
        <v>416</v>
      </c>
      <c r="W36" s="79">
        <v>0</v>
      </c>
    </row>
    <row r="37" spans="1:23">
      <c r="A37" s="79">
        <f t="shared" si="0"/>
        <v>36</v>
      </c>
      <c r="B37" s="79">
        <f>YEAR(Table6[[#This Row],[Date]])+IF(MONTH(Table6[[#This Row],[Date]])&gt;=4,1,0)</f>
        <v>2025</v>
      </c>
      <c r="C37" s="79">
        <f>YEAR(Table6[[#This Row],[Date]])</f>
        <v>2025</v>
      </c>
      <c r="D37" s="79" t="s">
        <v>335</v>
      </c>
      <c r="E37" s="284">
        <f>Table6[[#This Row],[Date]]-DAY(Table6[[#This Row],[Date]])+1</f>
        <v>45717</v>
      </c>
      <c r="F37" s="285">
        <v>45747</v>
      </c>
      <c r="G37" s="79" t="s">
        <v>105</v>
      </c>
      <c r="H37" s="79" t="str">
        <f>IFERROR(_xlfn.XLOOKUP(Table6[[#This Row],[Affected Feeder ]],'Basic Data'!$A:$A,'Basic Data'!$B:$B),"")</f>
        <v>PWEPL</v>
      </c>
      <c r="I37" s="79" t="str">
        <f>IFERROR(_xlfn.XLOOKUP(Table6[[#This Row],[Affected Feeder ]],'Basic Data'!$A:$A,'Basic Data'!$C:$C),"")</f>
        <v>MSEDCL</v>
      </c>
      <c r="J37" s="295">
        <f>IFERROR(_xlfn.XLOOKUP(Table6[[#This Row],[Affected Feeder ]],'Basic Data'!$A:$A,'Basic Data'!$E:$E),"")</f>
        <v>2.2727272727272728E-2</v>
      </c>
      <c r="K37" s="296" t="s">
        <v>417</v>
      </c>
      <c r="L37" s="297">
        <v>0.67708333333333337</v>
      </c>
      <c r="M37" s="297">
        <v>0.67708333333333337</v>
      </c>
      <c r="N37" s="297">
        <v>0.68402777777777779</v>
      </c>
      <c r="O37" s="19">
        <f>(Table6[[#This Row],[Work Start TimeStamp]]-Table6[[#This Row],[Fault Start TimeStamp]])*24</f>
        <v>0</v>
      </c>
      <c r="P37" s="19">
        <f>(Table6[[#This Row],[Fault Clearance time]]-Table6[[#This Row],[Fault Start TimeStamp]])*24</f>
        <v>0.16666666666666607</v>
      </c>
      <c r="Q37" s="19">
        <f>(Table6[[#This Row],[Fault Clearance time]]-Table6[[#This Row],[Fault Start TimeStamp]])*24</f>
        <v>0.16666666666666607</v>
      </c>
      <c r="R37" s="79" t="s">
        <v>418</v>
      </c>
      <c r="S37" s="79" t="s">
        <v>339</v>
      </c>
      <c r="T37" s="298">
        <f>IFERROR(Table6[[#This Row],[Breakdown Time]]*Table6[[#This Row],[Plant Equivalent Weightage]],"")</f>
        <v>3.7878787878787745E-3</v>
      </c>
      <c r="U37" s="79" t="s">
        <v>416</v>
      </c>
      <c r="W37" s="79">
        <v>16</v>
      </c>
    </row>
    <row r="38" spans="1:23">
      <c r="A38" s="79">
        <f t="shared" si="0"/>
        <v>37</v>
      </c>
      <c r="B38" s="79">
        <f>YEAR(Table6[[#This Row],[Date]])+IF(MONTH(Table6[[#This Row],[Date]])&gt;=4,1,0)</f>
        <v>2025</v>
      </c>
      <c r="C38" s="79">
        <f>YEAR(Table6[[#This Row],[Date]])</f>
        <v>2025</v>
      </c>
      <c r="D38" s="79" t="s">
        <v>335</v>
      </c>
      <c r="E38" s="284">
        <f>Table6[[#This Row],[Date]]-DAY(Table6[[#This Row],[Date]])+1</f>
        <v>45717</v>
      </c>
      <c r="F38" s="285">
        <v>45747</v>
      </c>
      <c r="G38" s="79" t="s">
        <v>105</v>
      </c>
      <c r="H38" s="79" t="str">
        <f>IFERROR(_xlfn.XLOOKUP(Table6[[#This Row],[Affected Feeder ]],'Basic Data'!$A:$A,'Basic Data'!$B:$B),"")</f>
        <v>PWEPL</v>
      </c>
      <c r="I38" s="79" t="str">
        <f>IFERROR(_xlfn.XLOOKUP(Table6[[#This Row],[Affected Feeder ]],'Basic Data'!$A:$A,'Basic Data'!$C:$C),"")</f>
        <v>MSEDCL</v>
      </c>
      <c r="J38" s="295">
        <f>IFERROR(_xlfn.XLOOKUP(Table6[[#This Row],[Affected Feeder ]],'Basic Data'!$A:$A,'Basic Data'!$E:$E),"")</f>
        <v>2.2727272727272728E-2</v>
      </c>
      <c r="K38" s="296" t="s">
        <v>171</v>
      </c>
      <c r="L38" s="297">
        <v>0.68402777777777779</v>
      </c>
      <c r="M38" s="297">
        <v>0.68402777777777779</v>
      </c>
      <c r="N38" s="297">
        <v>0.6972222222222223</v>
      </c>
      <c r="O38" s="19">
        <f>(Table6[[#This Row],[Work Start TimeStamp]]-Table6[[#This Row],[Fault Start TimeStamp]])*24</f>
        <v>0</v>
      </c>
      <c r="P38" s="19">
        <f>(Table6[[#This Row],[Fault Clearance time]]-Table6[[#This Row],[Fault Start TimeStamp]])*24</f>
        <v>0.31666666666666821</v>
      </c>
      <c r="Q38" s="19">
        <f>(Table6[[#This Row],[Fault Clearance time]]-Table6[[#This Row],[Fault Start TimeStamp]])*24</f>
        <v>0.31666666666666821</v>
      </c>
      <c r="R38" s="79" t="s">
        <v>353</v>
      </c>
      <c r="S38" s="79" t="s">
        <v>339</v>
      </c>
      <c r="T38" s="298">
        <f>IFERROR(Table6[[#This Row],[Breakdown Time]]*Table6[[#This Row],[Plant Equivalent Weightage]],"")</f>
        <v>7.196969696969732E-3</v>
      </c>
      <c r="U38" s="79" t="s">
        <v>416</v>
      </c>
      <c r="W38" s="79">
        <v>0</v>
      </c>
    </row>
    <row r="39" spans="1:23">
      <c r="A39" s="79">
        <f t="shared" si="0"/>
        <v>38</v>
      </c>
      <c r="B39" s="79">
        <f>YEAR(Table6[[#This Row],[Date]])+IF(MONTH(Table6[[#This Row],[Date]])&gt;=4,1,0)</f>
        <v>2025</v>
      </c>
      <c r="C39" s="79">
        <f>YEAR(Table6[[#This Row],[Date]])</f>
        <v>2025</v>
      </c>
      <c r="D39" s="79" t="s">
        <v>335</v>
      </c>
      <c r="E39" s="284">
        <f>Table6[[#This Row],[Date]]-DAY(Table6[[#This Row],[Date]])+1</f>
        <v>45717</v>
      </c>
      <c r="F39" s="285">
        <v>45747</v>
      </c>
      <c r="G39" s="79" t="s">
        <v>109</v>
      </c>
      <c r="H39" s="79" t="str">
        <f>IFERROR(_xlfn.XLOOKUP(Table6[[#This Row],[Affected Feeder ]],'Basic Data'!$A:$A,'Basic Data'!$B:$B),"")</f>
        <v>PWEPL</v>
      </c>
      <c r="I39" s="79" t="str">
        <f>IFERROR(_xlfn.XLOOKUP(Table6[[#This Row],[Affected Feeder ]],'Basic Data'!$A:$A,'Basic Data'!$C:$C),"")</f>
        <v>MSEDCL</v>
      </c>
      <c r="J39" s="295">
        <f>IFERROR(_xlfn.XLOOKUP(Table6[[#This Row],[Affected Feeder ]],'Basic Data'!$A:$A,'Basic Data'!$E:$E),"")</f>
        <v>2.2727272727272728E-2</v>
      </c>
      <c r="K39" s="296" t="s">
        <v>417</v>
      </c>
      <c r="L39" s="297">
        <v>0.65277777777777779</v>
      </c>
      <c r="M39" s="297">
        <v>0.65277777777777779</v>
      </c>
      <c r="N39" s="297">
        <v>0.66111111111111109</v>
      </c>
      <c r="O39" s="19">
        <f>(Table6[[#This Row],[Work Start TimeStamp]]-Table6[[#This Row],[Fault Start TimeStamp]])*24</f>
        <v>0</v>
      </c>
      <c r="P39" s="19">
        <f>(Table6[[#This Row],[Fault Clearance time]]-Table6[[#This Row],[Fault Start TimeStamp]])*24</f>
        <v>0.19999999999999929</v>
      </c>
      <c r="Q39" s="19">
        <f>(Table6[[#This Row],[Fault Clearance time]]-Table6[[#This Row],[Fault Start TimeStamp]])*24</f>
        <v>0.19999999999999929</v>
      </c>
      <c r="R39" s="79" t="s">
        <v>418</v>
      </c>
      <c r="S39" s="79" t="s">
        <v>339</v>
      </c>
      <c r="T39" s="298">
        <f>IFERROR(Table6[[#This Row],[Breakdown Time]]*Table6[[#This Row],[Plant Equivalent Weightage]],"")</f>
        <v>4.5454545454545296E-3</v>
      </c>
      <c r="U39" s="79" t="s">
        <v>416</v>
      </c>
      <c r="W39" s="79">
        <v>42</v>
      </c>
    </row>
    <row r="40" spans="1:23">
      <c r="A40" s="79">
        <f t="shared" si="0"/>
        <v>39</v>
      </c>
      <c r="B40" s="79">
        <f>YEAR(Table6[[#This Row],[Date]])+IF(MONTH(Table6[[#This Row],[Date]])&gt;=4,1,0)</f>
        <v>2025</v>
      </c>
      <c r="C40" s="79">
        <f>YEAR(Table6[[#This Row],[Date]])</f>
        <v>2025</v>
      </c>
      <c r="D40" s="79" t="s">
        <v>335</v>
      </c>
      <c r="E40" s="284">
        <f>Table6[[#This Row],[Date]]-DAY(Table6[[#This Row],[Date]])+1</f>
        <v>45717</v>
      </c>
      <c r="F40" s="285">
        <v>45747</v>
      </c>
      <c r="G40" s="79" t="s">
        <v>109</v>
      </c>
      <c r="H40" s="79" t="str">
        <f>IFERROR(_xlfn.XLOOKUP(Table6[[#This Row],[Affected Feeder ]],'Basic Data'!$A:$A,'Basic Data'!$B:$B),"")</f>
        <v>PWEPL</v>
      </c>
      <c r="I40" s="79" t="str">
        <f>IFERROR(_xlfn.XLOOKUP(Table6[[#This Row],[Affected Feeder ]],'Basic Data'!$A:$A,'Basic Data'!$C:$C),"")</f>
        <v>MSEDCL</v>
      </c>
      <c r="J40" s="295">
        <f>IFERROR(_xlfn.XLOOKUP(Table6[[#This Row],[Affected Feeder ]],'Basic Data'!$A:$A,'Basic Data'!$E:$E),"")</f>
        <v>2.2727272727272728E-2</v>
      </c>
      <c r="K40" s="296" t="s">
        <v>171</v>
      </c>
      <c r="L40" s="297">
        <v>0.66111111111111109</v>
      </c>
      <c r="M40" s="297">
        <v>0.66111111111111109</v>
      </c>
      <c r="N40" s="297">
        <v>0.66597222222222219</v>
      </c>
      <c r="O40" s="19">
        <f>(Table6[[#This Row],[Work Start TimeStamp]]-Table6[[#This Row],[Fault Start TimeStamp]])*24</f>
        <v>0</v>
      </c>
      <c r="P40" s="19">
        <f>(Table6[[#This Row],[Fault Clearance time]]-Table6[[#This Row],[Fault Start TimeStamp]])*24</f>
        <v>0.11666666666666625</v>
      </c>
      <c r="Q40" s="19">
        <f>(Table6[[#This Row],[Fault Clearance time]]-Table6[[#This Row],[Fault Start TimeStamp]])*24</f>
        <v>0.11666666666666625</v>
      </c>
      <c r="R40" s="79" t="s">
        <v>353</v>
      </c>
      <c r="S40" s="79" t="s">
        <v>339</v>
      </c>
      <c r="T40" s="298">
        <f>IFERROR(Table6[[#This Row],[Breakdown Time]]*Table6[[#This Row],[Plant Equivalent Weightage]],"")</f>
        <v>2.6515151515151421E-3</v>
      </c>
      <c r="U40" s="79" t="s">
        <v>416</v>
      </c>
      <c r="W40" s="79">
        <v>39</v>
      </c>
    </row>
    <row r="41" spans="1:23">
      <c r="A41" s="79">
        <f t="shared" si="0"/>
        <v>40</v>
      </c>
      <c r="B41" s="79">
        <f>YEAR(Table6[[#This Row],[Date]])+IF(MONTH(Table6[[#This Row],[Date]])&gt;=4,1,0)</f>
        <v>2026</v>
      </c>
      <c r="C41" s="79">
        <f>YEAR(Table6[[#This Row],[Date]])</f>
        <v>2025</v>
      </c>
      <c r="D41" s="79" t="s">
        <v>344</v>
      </c>
      <c r="E41" s="284">
        <f>Table6[[#This Row],[Date]]-DAY(Table6[[#This Row],[Date]])+1</f>
        <v>45748</v>
      </c>
      <c r="F41" s="285">
        <v>45748</v>
      </c>
      <c r="G41" s="79" t="s">
        <v>406</v>
      </c>
      <c r="H41" s="79" t="str">
        <f>IFERROR(_xlfn.XLOOKUP(Table6[[#This Row],[Affected Feeder ]],'Basic Data'!$A:$A,'Basic Data'!$B:$B),"")</f>
        <v>PWEPL</v>
      </c>
      <c r="I41" s="79" t="str">
        <f>IFERROR(_xlfn.XLOOKUP(Table6[[#This Row],[Affected Feeder ]],'Basic Data'!$A:$A,'Basic Data'!$C:$C),"")</f>
        <v>MSEDCL</v>
      </c>
      <c r="J41" s="295">
        <f>IFERROR(_xlfn.XLOOKUP(Table6[[#This Row],[Affected Feeder ]],'Basic Data'!$A:$A,'Basic Data'!$E:$E),"")</f>
        <v>0.29545454545454541</v>
      </c>
      <c r="K41" s="296" t="s">
        <v>419</v>
      </c>
      <c r="L41" s="297">
        <v>0.79583333333333328</v>
      </c>
      <c r="M41" s="297">
        <v>0.79583333333333328</v>
      </c>
      <c r="N41" s="297">
        <v>0.85555555555555551</v>
      </c>
      <c r="O41" s="19">
        <f>(Table6[[#This Row],[Work Start TimeStamp]]-Table6[[#This Row],[Fault Start TimeStamp]])*24</f>
        <v>0</v>
      </c>
      <c r="P41" s="19">
        <f>(Table6[[#This Row],[Fault Clearance time]]-Table6[[#This Row],[Fault Start TimeStamp]])*24</f>
        <v>1.4333333333333336</v>
      </c>
      <c r="Q41" s="19">
        <f>(Table6[[#This Row],[Fault Clearance time]]-Table6[[#This Row],[Fault Start TimeStamp]])*24</f>
        <v>1.4333333333333336</v>
      </c>
      <c r="R41" s="79" t="s">
        <v>420</v>
      </c>
      <c r="S41" s="79" t="s">
        <v>339</v>
      </c>
      <c r="T41" s="298">
        <f>IFERROR(Table6[[#This Row],[Breakdown Time]]*Table6[[#This Row],[Plant Equivalent Weightage]],"")</f>
        <v>0.42348484848484852</v>
      </c>
      <c r="U41" s="79" t="s">
        <v>421</v>
      </c>
      <c r="W41" s="79">
        <v>20207</v>
      </c>
    </row>
    <row r="42" spans="1:23">
      <c r="A42" s="79">
        <f t="shared" si="0"/>
        <v>41</v>
      </c>
      <c r="B42" s="79">
        <f>YEAR(Table6[[#This Row],[Date]])+IF(MONTH(Table6[[#This Row],[Date]])&gt;=4,1,0)</f>
        <v>2026</v>
      </c>
      <c r="C42" s="79">
        <f>YEAR(Table6[[#This Row],[Date]])</f>
        <v>2025</v>
      </c>
      <c r="D42" s="79" t="s">
        <v>344</v>
      </c>
      <c r="E42" s="284">
        <f>Table6[[#This Row],[Date]]-DAY(Table6[[#This Row],[Date]])+1</f>
        <v>45748</v>
      </c>
      <c r="F42" s="285">
        <v>45748</v>
      </c>
      <c r="G42" s="79" t="s">
        <v>76</v>
      </c>
      <c r="H42" s="79" t="str">
        <f>IFERROR(_xlfn.XLOOKUP(Table6[[#This Row],[Affected Feeder ]],'Basic Data'!$A:$A,'Basic Data'!$B:$B),"")</f>
        <v>PWEPL</v>
      </c>
      <c r="I42" s="79" t="str">
        <f>IFERROR(_xlfn.XLOOKUP(Table6[[#This Row],[Affected Feeder ]],'Basic Data'!$A:$A,'Basic Data'!$C:$C),"")</f>
        <v>MSEDCL</v>
      </c>
      <c r="J42" s="295">
        <f>IFERROR(_xlfn.XLOOKUP(Table6[[#This Row],[Affected Feeder ]],'Basic Data'!$A:$A,'Basic Data'!$E:$E),"")</f>
        <v>2.2727272727272728E-2</v>
      </c>
      <c r="K42" s="296" t="s">
        <v>171</v>
      </c>
      <c r="L42" s="297">
        <v>0.85555555555555551</v>
      </c>
      <c r="M42" s="297">
        <v>0.85555555555555551</v>
      </c>
      <c r="N42" s="297">
        <v>0.86736111111111114</v>
      </c>
      <c r="O42" s="19">
        <f>(Table6[[#This Row],[Work Start TimeStamp]]-Table6[[#This Row],[Fault Start TimeStamp]])*24</f>
        <v>0</v>
      </c>
      <c r="P42" s="19">
        <f>(Table6[[#This Row],[Fault Clearance time]]-Table6[[#This Row],[Fault Start TimeStamp]])*24</f>
        <v>0.28333333333333499</v>
      </c>
      <c r="Q42" s="19">
        <f>(Table6[[#This Row],[Fault Clearance time]]-Table6[[#This Row],[Fault Start TimeStamp]])*24</f>
        <v>0.28333333333333499</v>
      </c>
      <c r="R42" s="79" t="s">
        <v>353</v>
      </c>
      <c r="S42" s="79" t="s">
        <v>339</v>
      </c>
      <c r="T42" s="298">
        <f>IFERROR(Table6[[#This Row],[Breakdown Time]]*Table6[[#This Row],[Plant Equivalent Weightage]],"")</f>
        <v>6.4393939393939774E-3</v>
      </c>
      <c r="U42" s="79" t="s">
        <v>421</v>
      </c>
      <c r="W42" s="79">
        <v>388</v>
      </c>
    </row>
    <row r="43" spans="1:23">
      <c r="A43" s="79">
        <f t="shared" si="0"/>
        <v>42</v>
      </c>
      <c r="B43" s="79">
        <f>YEAR(Table6[[#This Row],[Date]])+IF(MONTH(Table6[[#This Row],[Date]])&gt;=4,1,0)</f>
        <v>2026</v>
      </c>
      <c r="C43" s="79">
        <f>YEAR(Table6[[#This Row],[Date]])</f>
        <v>2025</v>
      </c>
      <c r="D43" s="79" t="s">
        <v>344</v>
      </c>
      <c r="E43" s="284">
        <f>Table6[[#This Row],[Date]]-DAY(Table6[[#This Row],[Date]])+1</f>
        <v>45748</v>
      </c>
      <c r="F43" s="285">
        <v>45748</v>
      </c>
      <c r="G43" s="79" t="s">
        <v>77</v>
      </c>
      <c r="H43" s="79" t="str">
        <f>IFERROR(_xlfn.XLOOKUP(Table6[[#This Row],[Affected Feeder ]],'Basic Data'!$A:$A,'Basic Data'!$B:$B),"")</f>
        <v>PWEPL</v>
      </c>
      <c r="I43" s="79" t="str">
        <f>IFERROR(_xlfn.XLOOKUP(Table6[[#This Row],[Affected Feeder ]],'Basic Data'!$A:$A,'Basic Data'!$C:$C),"")</f>
        <v>MSEDCL</v>
      </c>
      <c r="J43" s="295">
        <f>IFERROR(_xlfn.XLOOKUP(Table6[[#This Row],[Affected Feeder ]],'Basic Data'!$A:$A,'Basic Data'!$E:$E),"")</f>
        <v>2.2727272727272728E-2</v>
      </c>
      <c r="K43" s="296" t="s">
        <v>171</v>
      </c>
      <c r="L43" s="297">
        <v>0.85555555555555551</v>
      </c>
      <c r="M43" s="297">
        <v>0.85555555555555551</v>
      </c>
      <c r="N43" s="297">
        <v>0.86527777777777781</v>
      </c>
      <c r="O43" s="19">
        <f>(Table6[[#This Row],[Work Start TimeStamp]]-Table6[[#This Row],[Fault Start TimeStamp]])*24</f>
        <v>0</v>
      </c>
      <c r="P43" s="19">
        <f>(Table6[[#This Row],[Fault Clearance time]]-Table6[[#This Row],[Fault Start TimeStamp]])*24</f>
        <v>0.23333333333333517</v>
      </c>
      <c r="Q43" s="19">
        <f>(Table6[[#This Row],[Fault Clearance time]]-Table6[[#This Row],[Fault Start TimeStamp]])*24</f>
        <v>0.23333333333333517</v>
      </c>
      <c r="R43" s="79" t="s">
        <v>353</v>
      </c>
      <c r="S43" s="79" t="s">
        <v>339</v>
      </c>
      <c r="T43" s="298">
        <f>IFERROR(Table6[[#This Row],[Breakdown Time]]*Table6[[#This Row],[Plant Equivalent Weightage]],"")</f>
        <v>5.303030303030345E-3</v>
      </c>
      <c r="U43" s="79" t="s">
        <v>421</v>
      </c>
      <c r="W43" s="79">
        <v>388</v>
      </c>
    </row>
    <row r="44" spans="1:23">
      <c r="A44" s="79">
        <f t="shared" si="0"/>
        <v>43</v>
      </c>
      <c r="B44" s="79">
        <f>YEAR(Table6[[#This Row],[Date]])+IF(MONTH(Table6[[#This Row],[Date]])&gt;=4,1,0)</f>
        <v>2026</v>
      </c>
      <c r="C44" s="79">
        <f>YEAR(Table6[[#This Row],[Date]])</f>
        <v>2025</v>
      </c>
      <c r="D44" s="79" t="s">
        <v>344</v>
      </c>
      <c r="E44" s="284">
        <f>Table6[[#This Row],[Date]]-DAY(Table6[[#This Row],[Date]])+1</f>
        <v>45748</v>
      </c>
      <c r="F44" s="285">
        <v>45748</v>
      </c>
      <c r="G44" s="79" t="s">
        <v>78</v>
      </c>
      <c r="H44" s="79" t="str">
        <f>IFERROR(_xlfn.XLOOKUP(Table6[[#This Row],[Affected Feeder ]],'Basic Data'!$A:$A,'Basic Data'!$B:$B),"")</f>
        <v>PWEPL</v>
      </c>
      <c r="I44" s="79" t="str">
        <f>IFERROR(_xlfn.XLOOKUP(Table6[[#This Row],[Affected Feeder ]],'Basic Data'!$A:$A,'Basic Data'!$C:$C),"")</f>
        <v>MSEDCL</v>
      </c>
      <c r="J44" s="295">
        <f>IFERROR(_xlfn.XLOOKUP(Table6[[#This Row],[Affected Feeder ]],'Basic Data'!$A:$A,'Basic Data'!$E:$E),"")</f>
        <v>2.2727272727272728E-2</v>
      </c>
      <c r="K44" s="296" t="s">
        <v>171</v>
      </c>
      <c r="L44" s="297">
        <v>0.85555555555555551</v>
      </c>
      <c r="M44" s="297">
        <v>0.85555555555555551</v>
      </c>
      <c r="N44" s="297">
        <v>0.86805555555555558</v>
      </c>
      <c r="O44" s="19">
        <f>(Table6[[#This Row],[Work Start TimeStamp]]-Table6[[#This Row],[Fault Start TimeStamp]])*24</f>
        <v>0</v>
      </c>
      <c r="P44" s="19">
        <f>(Table6[[#This Row],[Fault Clearance time]]-Table6[[#This Row],[Fault Start TimeStamp]])*24</f>
        <v>0.3000000000000016</v>
      </c>
      <c r="Q44" s="19">
        <f>(Table6[[#This Row],[Fault Clearance time]]-Table6[[#This Row],[Fault Start TimeStamp]])*24</f>
        <v>0.3000000000000016</v>
      </c>
      <c r="R44" s="79" t="s">
        <v>353</v>
      </c>
      <c r="S44" s="79" t="s">
        <v>339</v>
      </c>
      <c r="T44" s="298">
        <f>IFERROR(Table6[[#This Row],[Breakdown Time]]*Table6[[#This Row],[Plant Equivalent Weightage]],"")</f>
        <v>6.8181818181818543E-3</v>
      </c>
      <c r="U44" s="79" t="s">
        <v>421</v>
      </c>
      <c r="W44" s="79">
        <v>388</v>
      </c>
    </row>
    <row r="45" spans="1:23">
      <c r="A45" s="79">
        <f t="shared" si="0"/>
        <v>44</v>
      </c>
      <c r="B45" s="79">
        <f>YEAR(Table6[[#This Row],[Date]])+IF(MONTH(Table6[[#This Row],[Date]])&gt;=4,1,0)</f>
        <v>2026</v>
      </c>
      <c r="C45" s="79">
        <f>YEAR(Table6[[#This Row],[Date]])</f>
        <v>2025</v>
      </c>
      <c r="D45" s="79" t="s">
        <v>344</v>
      </c>
      <c r="E45" s="284">
        <f>Table6[[#This Row],[Date]]-DAY(Table6[[#This Row],[Date]])+1</f>
        <v>45748</v>
      </c>
      <c r="F45" s="285">
        <v>45748</v>
      </c>
      <c r="G45" s="79" t="s">
        <v>93</v>
      </c>
      <c r="H45" s="79" t="str">
        <f>IFERROR(_xlfn.XLOOKUP(Table6[[#This Row],[Affected Feeder ]],'Basic Data'!$A:$A,'Basic Data'!$B:$B),"")</f>
        <v>PWEPL</v>
      </c>
      <c r="I45" s="79" t="str">
        <f>IFERROR(_xlfn.XLOOKUP(Table6[[#This Row],[Affected Feeder ]],'Basic Data'!$A:$A,'Basic Data'!$C:$C),"")</f>
        <v>MSEDCL</v>
      </c>
      <c r="J45" s="295">
        <f>IFERROR(_xlfn.XLOOKUP(Table6[[#This Row],[Affected Feeder ]],'Basic Data'!$A:$A,'Basic Data'!$E:$E),"")</f>
        <v>2.2727272727272728E-2</v>
      </c>
      <c r="K45" s="296" t="s">
        <v>171</v>
      </c>
      <c r="L45" s="297">
        <v>0.85555555555555551</v>
      </c>
      <c r="M45" s="297">
        <v>0.85555555555555551</v>
      </c>
      <c r="N45" s="297">
        <v>0.86597222222222225</v>
      </c>
      <c r="O45" s="19">
        <f>(Table6[[#This Row],[Work Start TimeStamp]]-Table6[[#This Row],[Fault Start TimeStamp]])*24</f>
        <v>0</v>
      </c>
      <c r="P45" s="19">
        <f>(Table6[[#This Row],[Fault Clearance time]]-Table6[[#This Row],[Fault Start TimeStamp]])*24</f>
        <v>0.25000000000000178</v>
      </c>
      <c r="Q45" s="19">
        <f>(Table6[[#This Row],[Fault Clearance time]]-Table6[[#This Row],[Fault Start TimeStamp]])*24</f>
        <v>0.25000000000000178</v>
      </c>
      <c r="R45" s="79" t="s">
        <v>353</v>
      </c>
      <c r="S45" s="79" t="s">
        <v>339</v>
      </c>
      <c r="T45" s="298">
        <f>IFERROR(Table6[[#This Row],[Breakdown Time]]*Table6[[#This Row],[Plant Equivalent Weightage]],"")</f>
        <v>5.6818181818182227E-3</v>
      </c>
      <c r="U45" s="79" t="s">
        <v>421</v>
      </c>
      <c r="W45" s="79">
        <v>388</v>
      </c>
    </row>
    <row r="46" spans="1:23">
      <c r="A46" s="79">
        <f t="shared" si="0"/>
        <v>45</v>
      </c>
      <c r="B46" s="79">
        <f>YEAR(Table6[[#This Row],[Date]])+IF(MONTH(Table6[[#This Row],[Date]])&gt;=4,1,0)</f>
        <v>2026</v>
      </c>
      <c r="C46" s="79">
        <f>YEAR(Table6[[#This Row],[Date]])</f>
        <v>2025</v>
      </c>
      <c r="D46" s="79" t="s">
        <v>344</v>
      </c>
      <c r="E46" s="284">
        <f>Table6[[#This Row],[Date]]-DAY(Table6[[#This Row],[Date]])+1</f>
        <v>45748</v>
      </c>
      <c r="F46" s="285">
        <v>45748</v>
      </c>
      <c r="G46" s="79" t="s">
        <v>102</v>
      </c>
      <c r="H46" s="79" t="str">
        <f>IFERROR(_xlfn.XLOOKUP(Table6[[#This Row],[Affected Feeder ]],'Basic Data'!$A:$A,'Basic Data'!$B:$B),"")</f>
        <v>PWEPL</v>
      </c>
      <c r="I46" s="79" t="str">
        <f>IFERROR(_xlfn.XLOOKUP(Table6[[#This Row],[Affected Feeder ]],'Basic Data'!$A:$A,'Basic Data'!$C:$C),"")</f>
        <v>MSEDCL</v>
      </c>
      <c r="J46" s="295">
        <f>IFERROR(_xlfn.XLOOKUP(Table6[[#This Row],[Affected Feeder ]],'Basic Data'!$A:$A,'Basic Data'!$E:$E),"")</f>
        <v>2.2727272727272728E-2</v>
      </c>
      <c r="K46" s="296" t="s">
        <v>171</v>
      </c>
      <c r="L46" s="297">
        <v>0.85555555555555551</v>
      </c>
      <c r="M46" s="297">
        <v>0.85555555555555551</v>
      </c>
      <c r="N46" s="297">
        <v>0.86736111111111114</v>
      </c>
      <c r="O46" s="19">
        <f>(Table6[[#This Row],[Work Start TimeStamp]]-Table6[[#This Row],[Fault Start TimeStamp]])*24</f>
        <v>0</v>
      </c>
      <c r="P46" s="19">
        <f>(Table6[[#This Row],[Fault Clearance time]]-Table6[[#This Row],[Fault Start TimeStamp]])*24</f>
        <v>0.28333333333333499</v>
      </c>
      <c r="Q46" s="19">
        <f>(Table6[[#This Row],[Fault Clearance time]]-Table6[[#This Row],[Fault Start TimeStamp]])*24</f>
        <v>0.28333333333333499</v>
      </c>
      <c r="R46" s="79" t="s">
        <v>353</v>
      </c>
      <c r="S46" s="79" t="s">
        <v>339</v>
      </c>
      <c r="T46" s="298">
        <f>IFERROR(Table6[[#This Row],[Breakdown Time]]*Table6[[#This Row],[Plant Equivalent Weightage]],"")</f>
        <v>6.4393939393939774E-3</v>
      </c>
      <c r="U46" s="79" t="s">
        <v>421</v>
      </c>
      <c r="W46" s="79">
        <v>388</v>
      </c>
    </row>
    <row r="47" spans="1:23">
      <c r="A47" s="79">
        <f t="shared" si="0"/>
        <v>46</v>
      </c>
      <c r="B47" s="79">
        <f>YEAR(Table6[[#This Row],[Date]])+IF(MONTH(Table6[[#This Row],[Date]])&gt;=4,1,0)</f>
        <v>2026</v>
      </c>
      <c r="C47" s="79">
        <f>YEAR(Table6[[#This Row],[Date]])</f>
        <v>2025</v>
      </c>
      <c r="D47" s="79" t="s">
        <v>344</v>
      </c>
      <c r="E47" s="284">
        <f>Table6[[#This Row],[Date]]-DAY(Table6[[#This Row],[Date]])+1</f>
        <v>45748</v>
      </c>
      <c r="F47" s="285">
        <v>45748</v>
      </c>
      <c r="G47" s="79" t="s">
        <v>103</v>
      </c>
      <c r="H47" s="79" t="str">
        <f>IFERROR(_xlfn.XLOOKUP(Table6[[#This Row],[Affected Feeder ]],'Basic Data'!$A:$A,'Basic Data'!$B:$B),"")</f>
        <v>PWEPL</v>
      </c>
      <c r="I47" s="79" t="str">
        <f>IFERROR(_xlfn.XLOOKUP(Table6[[#This Row],[Affected Feeder ]],'Basic Data'!$A:$A,'Basic Data'!$C:$C),"")</f>
        <v>MSEDCL</v>
      </c>
      <c r="J47" s="295">
        <f>IFERROR(_xlfn.XLOOKUP(Table6[[#This Row],[Affected Feeder ]],'Basic Data'!$A:$A,'Basic Data'!$E:$E),"")</f>
        <v>2.2727272727272728E-2</v>
      </c>
      <c r="K47" s="296" t="s">
        <v>171</v>
      </c>
      <c r="L47" s="297">
        <v>0.85555555555555551</v>
      </c>
      <c r="M47" s="297">
        <v>0.85555555555555551</v>
      </c>
      <c r="N47" s="297">
        <v>0.86736111111111114</v>
      </c>
      <c r="O47" s="19">
        <f>(Table6[[#This Row],[Work Start TimeStamp]]-Table6[[#This Row],[Fault Start TimeStamp]])*24</f>
        <v>0</v>
      </c>
      <c r="P47" s="19">
        <f>(Table6[[#This Row],[Fault Clearance time]]-Table6[[#This Row],[Fault Start TimeStamp]])*24</f>
        <v>0.28333333333333499</v>
      </c>
      <c r="Q47" s="19">
        <f>(Table6[[#This Row],[Fault Clearance time]]-Table6[[#This Row],[Fault Start TimeStamp]])*24</f>
        <v>0.28333333333333499</v>
      </c>
      <c r="R47" s="79" t="s">
        <v>353</v>
      </c>
      <c r="S47" s="79" t="s">
        <v>339</v>
      </c>
      <c r="T47" s="298">
        <f>IFERROR(Table6[[#This Row],[Breakdown Time]]*Table6[[#This Row],[Plant Equivalent Weightage]],"")</f>
        <v>6.4393939393939774E-3</v>
      </c>
      <c r="U47" s="79" t="s">
        <v>421</v>
      </c>
      <c r="W47" s="79">
        <v>388</v>
      </c>
    </row>
    <row r="48" spans="1:23">
      <c r="A48" s="79">
        <f t="shared" si="0"/>
        <v>47</v>
      </c>
      <c r="B48" s="79">
        <f>YEAR(Table6[[#This Row],[Date]])+IF(MONTH(Table6[[#This Row],[Date]])&gt;=4,1,0)</f>
        <v>2026</v>
      </c>
      <c r="C48" s="79">
        <f>YEAR(Table6[[#This Row],[Date]])</f>
        <v>2025</v>
      </c>
      <c r="D48" s="79" t="s">
        <v>344</v>
      </c>
      <c r="E48" s="284">
        <f>Table6[[#This Row],[Date]]-DAY(Table6[[#This Row],[Date]])+1</f>
        <v>45748</v>
      </c>
      <c r="F48" s="285">
        <v>45748</v>
      </c>
      <c r="G48" s="79" t="s">
        <v>105</v>
      </c>
      <c r="H48" s="79" t="str">
        <f>IFERROR(_xlfn.XLOOKUP(Table6[[#This Row],[Affected Feeder ]],'Basic Data'!$A:$A,'Basic Data'!$B:$B),"")</f>
        <v>PWEPL</v>
      </c>
      <c r="I48" s="79" t="str">
        <f>IFERROR(_xlfn.XLOOKUP(Table6[[#This Row],[Affected Feeder ]],'Basic Data'!$A:$A,'Basic Data'!$C:$C),"")</f>
        <v>MSEDCL</v>
      </c>
      <c r="J48" s="295">
        <f>IFERROR(_xlfn.XLOOKUP(Table6[[#This Row],[Affected Feeder ]],'Basic Data'!$A:$A,'Basic Data'!$E:$E),"")</f>
        <v>2.2727272727272728E-2</v>
      </c>
      <c r="K48" s="296" t="s">
        <v>171</v>
      </c>
      <c r="L48" s="297">
        <v>0.85555555555555551</v>
      </c>
      <c r="M48" s="297">
        <v>0.85555555555555551</v>
      </c>
      <c r="N48" s="297">
        <v>0.86736111111111114</v>
      </c>
      <c r="O48" s="19">
        <f>(Table6[[#This Row],[Work Start TimeStamp]]-Table6[[#This Row],[Fault Start TimeStamp]])*24</f>
        <v>0</v>
      </c>
      <c r="P48" s="19">
        <f>(Table6[[#This Row],[Fault Clearance time]]-Table6[[#This Row],[Fault Start TimeStamp]])*24</f>
        <v>0.28333333333333499</v>
      </c>
      <c r="Q48" s="19">
        <f>(Table6[[#This Row],[Fault Clearance time]]-Table6[[#This Row],[Fault Start TimeStamp]])*24</f>
        <v>0.28333333333333499</v>
      </c>
      <c r="R48" s="79" t="s">
        <v>353</v>
      </c>
      <c r="S48" s="79" t="s">
        <v>339</v>
      </c>
      <c r="T48" s="298">
        <f>IFERROR(Table6[[#This Row],[Breakdown Time]]*Table6[[#This Row],[Plant Equivalent Weightage]],"")</f>
        <v>6.4393939393939774E-3</v>
      </c>
      <c r="U48" s="79" t="s">
        <v>421</v>
      </c>
      <c r="W48" s="79">
        <v>388</v>
      </c>
    </row>
    <row r="49" spans="1:23">
      <c r="A49" s="79">
        <f t="shared" si="0"/>
        <v>48</v>
      </c>
      <c r="B49" s="79">
        <f>YEAR(Table6[[#This Row],[Date]])+IF(MONTH(Table6[[#This Row],[Date]])&gt;=4,1,0)</f>
        <v>2026</v>
      </c>
      <c r="C49" s="79">
        <f>YEAR(Table6[[#This Row],[Date]])</f>
        <v>2025</v>
      </c>
      <c r="D49" s="79" t="s">
        <v>344</v>
      </c>
      <c r="E49" s="284">
        <f>Table6[[#This Row],[Date]]-DAY(Table6[[#This Row],[Date]])+1</f>
        <v>45748</v>
      </c>
      <c r="F49" s="285">
        <v>45748</v>
      </c>
      <c r="G49" s="79" t="s">
        <v>115</v>
      </c>
      <c r="H49" s="79" t="str">
        <f>IFERROR(_xlfn.XLOOKUP(Table6[[#This Row],[Affected Feeder ]],'Basic Data'!$A:$A,'Basic Data'!$B:$B),"")</f>
        <v>PWEPL</v>
      </c>
      <c r="I49" s="79" t="str">
        <f>IFERROR(_xlfn.XLOOKUP(Table6[[#This Row],[Affected Feeder ]],'Basic Data'!$A:$A,'Basic Data'!$C:$C),"")</f>
        <v>MSEDCL</v>
      </c>
      <c r="J49" s="295">
        <f>IFERROR(_xlfn.XLOOKUP(Table6[[#This Row],[Affected Feeder ]],'Basic Data'!$A:$A,'Basic Data'!$E:$E),"")</f>
        <v>2.2727272727272728E-2</v>
      </c>
      <c r="K49" s="296" t="s">
        <v>171</v>
      </c>
      <c r="L49" s="297">
        <v>0.85555555555555551</v>
      </c>
      <c r="M49" s="297">
        <v>0.85555555555555551</v>
      </c>
      <c r="N49" s="297">
        <v>0.86458333333333337</v>
      </c>
      <c r="O49" s="19">
        <f>(Table6[[#This Row],[Work Start TimeStamp]]-Table6[[#This Row],[Fault Start TimeStamp]])*24</f>
        <v>0</v>
      </c>
      <c r="P49" s="19">
        <f>(Table6[[#This Row],[Fault Clearance time]]-Table6[[#This Row],[Fault Start TimeStamp]])*24</f>
        <v>0.21666666666666856</v>
      </c>
      <c r="Q49" s="19">
        <f>(Table6[[#This Row],[Fault Clearance time]]-Table6[[#This Row],[Fault Start TimeStamp]])*24</f>
        <v>0.21666666666666856</v>
      </c>
      <c r="R49" s="79" t="s">
        <v>353</v>
      </c>
      <c r="S49" s="79" t="s">
        <v>339</v>
      </c>
      <c r="T49" s="298">
        <f>IFERROR(Table6[[#This Row],[Breakdown Time]]*Table6[[#This Row],[Plant Equivalent Weightage]],"")</f>
        <v>4.9242424242424672E-3</v>
      </c>
      <c r="U49" s="79" t="s">
        <v>421</v>
      </c>
      <c r="W49" s="79">
        <v>388</v>
      </c>
    </row>
    <row r="50" spans="1:23">
      <c r="A50" s="79">
        <f t="shared" si="0"/>
        <v>49</v>
      </c>
      <c r="B50" s="79">
        <f>YEAR(Table6[[#This Row],[Date]])+IF(MONTH(Table6[[#This Row],[Date]])&gt;=4,1,0)</f>
        <v>2026</v>
      </c>
      <c r="C50" s="79">
        <f>YEAR(Table6[[#This Row],[Date]])</f>
        <v>2025</v>
      </c>
      <c r="D50" s="79" t="s">
        <v>344</v>
      </c>
      <c r="E50" s="284">
        <f>Table6[[#This Row],[Date]]-DAY(Table6[[#This Row],[Date]])+1</f>
        <v>45748</v>
      </c>
      <c r="F50" s="285">
        <v>45748</v>
      </c>
      <c r="G50" s="79" t="s">
        <v>116</v>
      </c>
      <c r="H50" s="79" t="str">
        <f>IFERROR(_xlfn.XLOOKUP(Table6[[#This Row],[Affected Feeder ]],'Basic Data'!$A:$A,'Basic Data'!$B:$B),"")</f>
        <v>PWEPL</v>
      </c>
      <c r="I50" s="79" t="str">
        <f>IFERROR(_xlfn.XLOOKUP(Table6[[#This Row],[Affected Feeder ]],'Basic Data'!$A:$A,'Basic Data'!$C:$C),"")</f>
        <v>MSEDCL</v>
      </c>
      <c r="J50" s="295">
        <f>IFERROR(_xlfn.XLOOKUP(Table6[[#This Row],[Affected Feeder ]],'Basic Data'!$A:$A,'Basic Data'!$E:$E),"")</f>
        <v>2.2727272727272728E-2</v>
      </c>
      <c r="K50" s="296" t="s">
        <v>171</v>
      </c>
      <c r="L50" s="297">
        <v>0.85555555555555551</v>
      </c>
      <c r="M50" s="297">
        <v>0.85555555555555551</v>
      </c>
      <c r="N50" s="297">
        <v>0.86944444444444446</v>
      </c>
      <c r="O50" s="19">
        <f>(Table6[[#This Row],[Work Start TimeStamp]]-Table6[[#This Row],[Fault Start TimeStamp]])*24</f>
        <v>0</v>
      </c>
      <c r="P50" s="19">
        <f>(Table6[[#This Row],[Fault Clearance time]]-Table6[[#This Row],[Fault Start TimeStamp]])*24</f>
        <v>0.33333333333333481</v>
      </c>
      <c r="Q50" s="19">
        <f>(Table6[[#This Row],[Fault Clearance time]]-Table6[[#This Row],[Fault Start TimeStamp]])*24</f>
        <v>0.33333333333333481</v>
      </c>
      <c r="R50" s="79" t="s">
        <v>353</v>
      </c>
      <c r="S50" s="79" t="s">
        <v>339</v>
      </c>
      <c r="T50" s="298">
        <f>IFERROR(Table6[[#This Row],[Breakdown Time]]*Table6[[#This Row],[Plant Equivalent Weightage]],"")</f>
        <v>7.5757575757576098E-3</v>
      </c>
      <c r="U50" s="79" t="s">
        <v>421</v>
      </c>
      <c r="W50" s="79">
        <v>388</v>
      </c>
    </row>
    <row r="51" spans="1:23">
      <c r="A51" s="79">
        <f t="shared" si="0"/>
        <v>50</v>
      </c>
      <c r="B51" s="79">
        <f>YEAR(Table6[[#This Row],[Date]])+IF(MONTH(Table6[[#This Row],[Date]])&gt;=4,1,0)</f>
        <v>2026</v>
      </c>
      <c r="C51" s="79">
        <f>YEAR(Table6[[#This Row],[Date]])</f>
        <v>2025</v>
      </c>
      <c r="D51" s="79" t="s">
        <v>344</v>
      </c>
      <c r="E51" s="284">
        <f>Table6[[#This Row],[Date]]-DAY(Table6[[#This Row],[Date]])+1</f>
        <v>45748</v>
      </c>
      <c r="F51" s="285">
        <v>45748</v>
      </c>
      <c r="G51" s="79" t="s">
        <v>117</v>
      </c>
      <c r="H51" s="79" t="str">
        <f>IFERROR(_xlfn.XLOOKUP(Table6[[#This Row],[Affected Feeder ]],'Basic Data'!$A:$A,'Basic Data'!$B:$B),"")</f>
        <v>PWEPL</v>
      </c>
      <c r="I51" s="79" t="str">
        <f>IFERROR(_xlfn.XLOOKUP(Table6[[#This Row],[Affected Feeder ]],'Basic Data'!$A:$A,'Basic Data'!$C:$C),"")</f>
        <v>MSEDCL</v>
      </c>
      <c r="J51" s="295">
        <f>IFERROR(_xlfn.XLOOKUP(Table6[[#This Row],[Affected Feeder ]],'Basic Data'!$A:$A,'Basic Data'!$E:$E),"")</f>
        <v>2.2727272727272728E-2</v>
      </c>
      <c r="K51" s="296" t="s">
        <v>171</v>
      </c>
      <c r="L51" s="297">
        <v>0.85555555555555551</v>
      </c>
      <c r="M51" s="297">
        <v>0.85555555555555551</v>
      </c>
      <c r="N51" s="297">
        <v>0.86458333333333337</v>
      </c>
      <c r="O51" s="19">
        <f>(Table6[[#This Row],[Work Start TimeStamp]]-Table6[[#This Row],[Fault Start TimeStamp]])*24</f>
        <v>0</v>
      </c>
      <c r="P51" s="19">
        <f>(Table6[[#This Row],[Fault Clearance time]]-Table6[[#This Row],[Fault Start TimeStamp]])*24</f>
        <v>0.21666666666666856</v>
      </c>
      <c r="Q51" s="19">
        <f>(Table6[[#This Row],[Fault Clearance time]]-Table6[[#This Row],[Fault Start TimeStamp]])*24</f>
        <v>0.21666666666666856</v>
      </c>
      <c r="R51" s="79" t="s">
        <v>353</v>
      </c>
      <c r="S51" s="79" t="s">
        <v>339</v>
      </c>
      <c r="T51" s="298">
        <f>IFERROR(Table6[[#This Row],[Breakdown Time]]*Table6[[#This Row],[Plant Equivalent Weightage]],"")</f>
        <v>4.9242424242424672E-3</v>
      </c>
      <c r="U51" s="79" t="s">
        <v>421</v>
      </c>
      <c r="W51" s="79">
        <v>388</v>
      </c>
    </row>
    <row r="52" spans="1:23">
      <c r="A52" s="79">
        <f t="shared" si="0"/>
        <v>51</v>
      </c>
      <c r="B52" s="79">
        <f>YEAR(Table6[[#This Row],[Date]])+IF(MONTH(Table6[[#This Row],[Date]])&gt;=4,1,0)</f>
        <v>2026</v>
      </c>
      <c r="C52" s="79">
        <f>YEAR(Table6[[#This Row],[Date]])</f>
        <v>2025</v>
      </c>
      <c r="D52" s="79" t="s">
        <v>344</v>
      </c>
      <c r="E52" s="284">
        <f>Table6[[#This Row],[Date]]-DAY(Table6[[#This Row],[Date]])+1</f>
        <v>45748</v>
      </c>
      <c r="F52" s="285">
        <v>45748</v>
      </c>
      <c r="G52" s="79" t="s">
        <v>118</v>
      </c>
      <c r="H52" s="79" t="str">
        <f>IFERROR(_xlfn.XLOOKUP(Table6[[#This Row],[Affected Feeder ]],'Basic Data'!$A:$A,'Basic Data'!$B:$B),"")</f>
        <v>PWEPL</v>
      </c>
      <c r="I52" s="79" t="str">
        <f>IFERROR(_xlfn.XLOOKUP(Table6[[#This Row],[Affected Feeder ]],'Basic Data'!$A:$A,'Basic Data'!$C:$C),"")</f>
        <v>MSEDCL</v>
      </c>
      <c r="J52" s="295">
        <f>IFERROR(_xlfn.XLOOKUP(Table6[[#This Row],[Affected Feeder ]],'Basic Data'!$A:$A,'Basic Data'!$E:$E),"")</f>
        <v>2.2727272727272728E-2</v>
      </c>
      <c r="K52" s="296" t="s">
        <v>171</v>
      </c>
      <c r="L52" s="297">
        <v>0.85555555555555551</v>
      </c>
      <c r="M52" s="297">
        <v>0.85555555555555551</v>
      </c>
      <c r="N52" s="297">
        <v>0.86944444444444446</v>
      </c>
      <c r="O52" s="19">
        <f>(Table6[[#This Row],[Work Start TimeStamp]]-Table6[[#This Row],[Fault Start TimeStamp]])*24</f>
        <v>0</v>
      </c>
      <c r="P52" s="19">
        <f>(Table6[[#This Row],[Fault Clearance time]]-Table6[[#This Row],[Fault Start TimeStamp]])*24</f>
        <v>0.33333333333333481</v>
      </c>
      <c r="Q52" s="19">
        <f>(Table6[[#This Row],[Fault Clearance time]]-Table6[[#This Row],[Fault Start TimeStamp]])*24</f>
        <v>0.33333333333333481</v>
      </c>
      <c r="R52" s="79" t="s">
        <v>353</v>
      </c>
      <c r="S52" s="79" t="s">
        <v>339</v>
      </c>
      <c r="T52" s="298">
        <f>IFERROR(Table6[[#This Row],[Breakdown Time]]*Table6[[#This Row],[Plant Equivalent Weightage]],"")</f>
        <v>7.5757575757576098E-3</v>
      </c>
      <c r="U52" s="79" t="s">
        <v>421</v>
      </c>
      <c r="W52" s="79">
        <v>388</v>
      </c>
    </row>
    <row r="53" spans="1:23">
      <c r="A53" s="79">
        <f t="shared" si="0"/>
        <v>52</v>
      </c>
      <c r="B53" s="79">
        <f>YEAR(Table6[[#This Row],[Date]])+IF(MONTH(Table6[[#This Row],[Date]])&gt;=4,1,0)</f>
        <v>2026</v>
      </c>
      <c r="C53" s="79">
        <f>YEAR(Table6[[#This Row],[Date]])</f>
        <v>2025</v>
      </c>
      <c r="D53" s="79" t="s">
        <v>344</v>
      </c>
      <c r="E53" s="284">
        <f>Table6[[#This Row],[Date]]-DAY(Table6[[#This Row],[Date]])+1</f>
        <v>45748</v>
      </c>
      <c r="F53" s="285">
        <v>45748</v>
      </c>
      <c r="G53" s="79" t="s">
        <v>82</v>
      </c>
      <c r="H53" s="79" t="str">
        <f>IFERROR(_xlfn.XLOOKUP(Table6[[#This Row],[Affected Feeder ]],'Basic Data'!$A:$A,'Basic Data'!$B:$B),"")</f>
        <v>PWEPL</v>
      </c>
      <c r="I53" s="79" t="str">
        <f>IFERROR(_xlfn.XLOOKUP(Table6[[#This Row],[Affected Feeder ]],'Basic Data'!$A:$A,'Basic Data'!$C:$C),"")</f>
        <v>MSEDCL</v>
      </c>
      <c r="J53" s="295">
        <f>IFERROR(_xlfn.XLOOKUP(Table6[[#This Row],[Affected Feeder ]],'Basic Data'!$A:$A,'Basic Data'!$E:$E),"")</f>
        <v>2.2727272727272728E-2</v>
      </c>
      <c r="K53" s="296" t="s">
        <v>422</v>
      </c>
      <c r="L53" s="297">
        <v>0.85555555555555551</v>
      </c>
      <c r="M53" s="297">
        <v>0.85555555555555551</v>
      </c>
      <c r="N53" s="297">
        <v>0.9194444444444444</v>
      </c>
      <c r="O53" s="19">
        <f>(Table6[[#This Row],[Work Start TimeStamp]]-Table6[[#This Row],[Fault Start TimeStamp]])*24</f>
        <v>0</v>
      </c>
      <c r="P53" s="19">
        <f>(Table6[[#This Row],[Fault Clearance time]]-Table6[[#This Row],[Fault Start TimeStamp]])*24</f>
        <v>1.5333333333333332</v>
      </c>
      <c r="Q53" s="19">
        <f>(Table6[[#This Row],[Fault Clearance time]]-Table6[[#This Row],[Fault Start TimeStamp]])*24</f>
        <v>1.5333333333333332</v>
      </c>
      <c r="R53" s="79" t="s">
        <v>423</v>
      </c>
      <c r="S53" s="79" t="s">
        <v>339</v>
      </c>
      <c r="T53" s="298">
        <f>IFERROR(Table6[[#This Row],[Breakdown Time]]*Table6[[#This Row],[Plant Equivalent Weightage]],"")</f>
        <v>3.4848484848484844E-2</v>
      </c>
      <c r="U53" s="79" t="s">
        <v>421</v>
      </c>
      <c r="W53" s="79">
        <v>450</v>
      </c>
    </row>
    <row r="54" spans="1:23">
      <c r="A54" s="79">
        <f t="shared" si="0"/>
        <v>53</v>
      </c>
      <c r="B54" s="79">
        <f>YEAR(Table6[[#This Row],[Date]])+IF(MONTH(Table6[[#This Row],[Date]])&gt;=4,1,0)</f>
        <v>2026</v>
      </c>
      <c r="C54" s="79">
        <f>YEAR(Table6[[#This Row],[Date]])</f>
        <v>2025</v>
      </c>
      <c r="D54" s="79" t="s">
        <v>344</v>
      </c>
      <c r="E54" s="284">
        <f>Table6[[#This Row],[Date]]-DAY(Table6[[#This Row],[Date]])+1</f>
        <v>45748</v>
      </c>
      <c r="F54" s="285">
        <v>45748</v>
      </c>
      <c r="G54" s="79" t="s">
        <v>82</v>
      </c>
      <c r="H54" s="79" t="str">
        <f>IFERROR(_xlfn.XLOOKUP(Table6[[#This Row],[Affected Feeder ]],'Basic Data'!$A:$A,'Basic Data'!$B:$B),"")</f>
        <v>PWEPL</v>
      </c>
      <c r="I54" s="79" t="str">
        <f>IFERROR(_xlfn.XLOOKUP(Table6[[#This Row],[Affected Feeder ]],'Basic Data'!$A:$A,'Basic Data'!$C:$C),"")</f>
        <v>MSEDCL</v>
      </c>
      <c r="J54" s="295">
        <f>IFERROR(_xlfn.XLOOKUP(Table6[[#This Row],[Affected Feeder ]],'Basic Data'!$A:$A,'Basic Data'!$E:$E),"")</f>
        <v>2.2727272727272728E-2</v>
      </c>
      <c r="K54" s="296" t="s">
        <v>171</v>
      </c>
      <c r="L54" s="297">
        <v>0.9194444444444444</v>
      </c>
      <c r="M54" s="297">
        <v>0.9194444444444444</v>
      </c>
      <c r="N54" s="297">
        <v>0.93333333333333335</v>
      </c>
      <c r="O54" s="19">
        <f>(Table6[[#This Row],[Work Start TimeStamp]]-Table6[[#This Row],[Fault Start TimeStamp]])*24</f>
        <v>0</v>
      </c>
      <c r="P54" s="19">
        <f>(Table6[[#This Row],[Fault Clearance time]]-Table6[[#This Row],[Fault Start TimeStamp]])*24</f>
        <v>0.33333333333333481</v>
      </c>
      <c r="Q54" s="19">
        <f>(Table6[[#This Row],[Fault Clearance time]]-Table6[[#This Row],[Fault Start TimeStamp]])*24</f>
        <v>0.33333333333333481</v>
      </c>
      <c r="R54" s="79" t="s">
        <v>353</v>
      </c>
      <c r="S54" s="79" t="s">
        <v>339</v>
      </c>
      <c r="T54" s="298">
        <f>IFERROR(Table6[[#This Row],[Breakdown Time]]*Table6[[#This Row],[Plant Equivalent Weightage]],"")</f>
        <v>7.5757575757576098E-3</v>
      </c>
      <c r="U54" s="79" t="s">
        <v>421</v>
      </c>
      <c r="W54" s="79">
        <v>388</v>
      </c>
    </row>
    <row r="55" spans="1:23">
      <c r="A55" s="79">
        <f t="shared" si="0"/>
        <v>54</v>
      </c>
      <c r="B55" s="79">
        <f>YEAR(Table6[[#This Row],[Date]])+IF(MONTH(Table6[[#This Row],[Date]])&gt;=4,1,0)</f>
        <v>2026</v>
      </c>
      <c r="C55" s="79">
        <f>YEAR(Table6[[#This Row],[Date]])</f>
        <v>2025</v>
      </c>
      <c r="D55" s="79" t="s">
        <v>344</v>
      </c>
      <c r="E55" s="284">
        <f>Table6[[#This Row],[Date]]-DAY(Table6[[#This Row],[Date]])+1</f>
        <v>45748</v>
      </c>
      <c r="F55" s="285">
        <v>45748</v>
      </c>
      <c r="G55" s="79" t="s">
        <v>119</v>
      </c>
      <c r="H55" s="79" t="str">
        <f>IFERROR(_xlfn.XLOOKUP(Table6[[#This Row],[Affected Feeder ]],'Basic Data'!$A:$A,'Basic Data'!$B:$B),"")</f>
        <v>PWEPL</v>
      </c>
      <c r="I55" s="79" t="str">
        <f>IFERROR(_xlfn.XLOOKUP(Table6[[#This Row],[Affected Feeder ]],'Basic Data'!$A:$A,'Basic Data'!$C:$C),"")</f>
        <v>MSEDCL</v>
      </c>
      <c r="J55" s="295">
        <f>IFERROR(_xlfn.XLOOKUP(Table6[[#This Row],[Affected Feeder ]],'Basic Data'!$A:$A,'Basic Data'!$E:$E),"")</f>
        <v>2.2727272727272728E-2</v>
      </c>
      <c r="K55" s="296" t="s">
        <v>422</v>
      </c>
      <c r="L55" s="297">
        <v>0.85555555555555551</v>
      </c>
      <c r="M55" s="297">
        <v>0.85555555555555551</v>
      </c>
      <c r="N55" s="297">
        <v>0.89861111111111114</v>
      </c>
      <c r="O55" s="19">
        <f>(Table6[[#This Row],[Work Start TimeStamp]]-Table6[[#This Row],[Fault Start TimeStamp]])*24</f>
        <v>0</v>
      </c>
      <c r="P55" s="19">
        <f>(Table6[[#This Row],[Fault Clearance time]]-Table6[[#This Row],[Fault Start TimeStamp]])*24</f>
        <v>1.033333333333335</v>
      </c>
      <c r="Q55" s="19">
        <f>(Table6[[#This Row],[Fault Clearance time]]-Table6[[#This Row],[Fault Start TimeStamp]])*24</f>
        <v>1.033333333333335</v>
      </c>
      <c r="R55" s="79" t="s">
        <v>424</v>
      </c>
      <c r="S55" s="79" t="s">
        <v>339</v>
      </c>
      <c r="T55" s="298">
        <f>IFERROR(Table6[[#This Row],[Breakdown Time]]*Table6[[#This Row],[Plant Equivalent Weightage]],"")</f>
        <v>2.3484848484848522E-2</v>
      </c>
      <c r="U55" s="79" t="s">
        <v>421</v>
      </c>
      <c r="W55" s="79">
        <v>234</v>
      </c>
    </row>
    <row r="56" spans="1:23">
      <c r="A56" s="79">
        <f t="shared" si="0"/>
        <v>55</v>
      </c>
      <c r="B56" s="79">
        <f>YEAR(Table6[[#This Row],[Date]])+IF(MONTH(Table6[[#This Row],[Date]])&gt;=4,1,0)</f>
        <v>2026</v>
      </c>
      <c r="C56" s="79">
        <f>YEAR(Table6[[#This Row],[Date]])</f>
        <v>2025</v>
      </c>
      <c r="D56" s="79" t="s">
        <v>344</v>
      </c>
      <c r="E56" s="284">
        <f>Table6[[#This Row],[Date]]-DAY(Table6[[#This Row],[Date]])+1</f>
        <v>45748</v>
      </c>
      <c r="F56" s="285">
        <v>45748</v>
      </c>
      <c r="G56" s="79" t="s">
        <v>119</v>
      </c>
      <c r="H56" s="79" t="str">
        <f>IFERROR(_xlfn.XLOOKUP(Table6[[#This Row],[Affected Feeder ]],'Basic Data'!$A:$A,'Basic Data'!$B:$B),"")</f>
        <v>PWEPL</v>
      </c>
      <c r="I56" s="79" t="str">
        <f>IFERROR(_xlfn.XLOOKUP(Table6[[#This Row],[Affected Feeder ]],'Basic Data'!$A:$A,'Basic Data'!$C:$C),"")</f>
        <v>MSEDCL</v>
      </c>
      <c r="J56" s="295">
        <f>IFERROR(_xlfn.XLOOKUP(Table6[[#This Row],[Affected Feeder ]],'Basic Data'!$A:$A,'Basic Data'!$E:$E),"")</f>
        <v>2.2727272727272728E-2</v>
      </c>
      <c r="K56" s="296" t="s">
        <v>171</v>
      </c>
      <c r="L56" s="297">
        <v>0.89861111111111114</v>
      </c>
      <c r="M56" s="297">
        <v>0.89861111111111114</v>
      </c>
      <c r="N56" s="297">
        <v>0.91249999999999998</v>
      </c>
      <c r="O56" s="19">
        <f>(Table6[[#This Row],[Work Start TimeStamp]]-Table6[[#This Row],[Fault Start TimeStamp]])*24</f>
        <v>0</v>
      </c>
      <c r="P56" s="19">
        <f>(Table6[[#This Row],[Fault Clearance time]]-Table6[[#This Row],[Fault Start TimeStamp]])*24</f>
        <v>0.33333333333333215</v>
      </c>
      <c r="Q56" s="19">
        <f>(Table6[[#This Row],[Fault Clearance time]]-Table6[[#This Row],[Fault Start TimeStamp]])*24</f>
        <v>0.33333333333333215</v>
      </c>
      <c r="R56" s="79" t="s">
        <v>353</v>
      </c>
      <c r="S56" s="79" t="s">
        <v>339</v>
      </c>
      <c r="T56" s="298">
        <f>IFERROR(Table6[[#This Row],[Breakdown Time]]*Table6[[#This Row],[Plant Equivalent Weightage]],"")</f>
        <v>7.5757575757575491E-3</v>
      </c>
      <c r="U56" s="79" t="s">
        <v>421</v>
      </c>
      <c r="W56" s="79">
        <v>388</v>
      </c>
    </row>
    <row r="57" spans="1:23">
      <c r="A57" s="79">
        <f t="shared" si="0"/>
        <v>56</v>
      </c>
      <c r="B57" s="79">
        <f>YEAR(Table6[[#This Row],[Date]])+IF(MONTH(Table6[[#This Row],[Date]])&gt;=4,1,0)</f>
        <v>2026</v>
      </c>
      <c r="C57" s="79">
        <f>YEAR(Table6[[#This Row],[Date]])</f>
        <v>2025</v>
      </c>
      <c r="D57" s="79" t="s">
        <v>344</v>
      </c>
      <c r="E57" s="284">
        <f>Table6[[#This Row],[Date]]-DAY(Table6[[#This Row],[Date]])+1</f>
        <v>45748</v>
      </c>
      <c r="F57" s="285">
        <v>45748</v>
      </c>
      <c r="G57" s="79" t="s">
        <v>405</v>
      </c>
      <c r="H57" s="79" t="str">
        <f>IFERROR(_xlfn.XLOOKUP(Table6[[#This Row],[Affected Feeder ]],'Basic Data'!$A:$A,'Basic Data'!$B:$B),"")</f>
        <v>PWEPL</v>
      </c>
      <c r="I57" s="79" t="str">
        <f>IFERROR(_xlfn.XLOOKUP(Table6[[#This Row],[Affected Feeder ]],'Basic Data'!$A:$A,'Basic Data'!$C:$C),"")</f>
        <v>MSEDCL</v>
      </c>
      <c r="J57" s="295">
        <f>IFERROR(_xlfn.XLOOKUP(Table6[[#This Row],[Affected Feeder ]],'Basic Data'!$A:$A,'Basic Data'!$E:$E),"")</f>
        <v>0.20454545454545453</v>
      </c>
      <c r="K57" s="296" t="s">
        <v>425</v>
      </c>
      <c r="L57" s="297">
        <v>0.57847222222222228</v>
      </c>
      <c r="M57" s="297">
        <v>0.57847222222222228</v>
      </c>
      <c r="N57" s="297">
        <v>0.6694444444444444</v>
      </c>
      <c r="O57" s="19">
        <f>(Table6[[#This Row],[Work Start TimeStamp]]-Table6[[#This Row],[Fault Start TimeStamp]])*24</f>
        <v>0</v>
      </c>
      <c r="P57" s="19">
        <f>(Table6[[#This Row],[Fault Clearance time]]-Table6[[#This Row],[Fault Start TimeStamp]])*24</f>
        <v>2.1833333333333309</v>
      </c>
      <c r="Q57" s="19">
        <f>(Table6[[#This Row],[Fault Clearance time]]-Table6[[#This Row],[Fault Start TimeStamp]])*24</f>
        <v>2.1833333333333309</v>
      </c>
      <c r="R57" s="79" t="s">
        <v>426</v>
      </c>
      <c r="S57" s="79" t="s">
        <v>339</v>
      </c>
      <c r="T57" s="298">
        <f>IFERROR(Table6[[#This Row],[Breakdown Time]]*Table6[[#This Row],[Plant Equivalent Weightage]],"")</f>
        <v>0.44659090909090854</v>
      </c>
      <c r="U57" s="79" t="s">
        <v>411</v>
      </c>
      <c r="W57" s="79">
        <v>872</v>
      </c>
    </row>
    <row r="58" spans="1:23">
      <c r="A58" s="79">
        <f t="shared" si="0"/>
        <v>57</v>
      </c>
      <c r="B58" s="79">
        <f>YEAR(Table6[[#This Row],[Date]])+IF(MONTH(Table6[[#This Row],[Date]])&gt;=4,1,0)</f>
        <v>2026</v>
      </c>
      <c r="C58" s="79">
        <f>YEAR(Table6[[#This Row],[Date]])</f>
        <v>2025</v>
      </c>
      <c r="D58" s="79" t="s">
        <v>344</v>
      </c>
      <c r="E58" s="284">
        <f>Table6[[#This Row],[Date]]-DAY(Table6[[#This Row],[Date]])+1</f>
        <v>45748</v>
      </c>
      <c r="F58" s="285">
        <v>45748</v>
      </c>
      <c r="G58" s="79" t="s">
        <v>109</v>
      </c>
      <c r="H58" s="79" t="str">
        <f>IFERROR(_xlfn.XLOOKUP(Table6[[#This Row],[Affected Feeder ]],'Basic Data'!$A:$A,'Basic Data'!$B:$B),"")</f>
        <v>PWEPL</v>
      </c>
      <c r="I58" s="79" t="str">
        <f>IFERROR(_xlfn.XLOOKUP(Table6[[#This Row],[Affected Feeder ]],'Basic Data'!$A:$A,'Basic Data'!$C:$C),"")</f>
        <v>MSEDCL</v>
      </c>
      <c r="J58" s="295">
        <f>IFERROR(_xlfn.XLOOKUP(Table6[[#This Row],[Affected Feeder ]],'Basic Data'!$A:$A,'Basic Data'!$E:$E),"")</f>
        <v>2.2727272727272728E-2</v>
      </c>
      <c r="K58" s="296" t="s">
        <v>171</v>
      </c>
      <c r="L58" s="297">
        <v>0.6694444444444444</v>
      </c>
      <c r="M58" s="297">
        <v>0.6694444444444444</v>
      </c>
      <c r="N58" s="297">
        <v>0.67986111111111114</v>
      </c>
      <c r="O58" s="19">
        <f>(Table6[[#This Row],[Work Start TimeStamp]]-Table6[[#This Row],[Fault Start TimeStamp]])*24</f>
        <v>0</v>
      </c>
      <c r="P58" s="19">
        <f>(Table6[[#This Row],[Fault Clearance time]]-Table6[[#This Row],[Fault Start TimeStamp]])*24</f>
        <v>0.25000000000000178</v>
      </c>
      <c r="Q58" s="19">
        <f>(Table6[[#This Row],[Fault Clearance time]]-Table6[[#This Row],[Fault Start TimeStamp]])*24</f>
        <v>0.25000000000000178</v>
      </c>
      <c r="R58" s="79" t="s">
        <v>353</v>
      </c>
      <c r="S58" s="79" t="s">
        <v>339</v>
      </c>
      <c r="T58" s="298">
        <f>IFERROR(Table6[[#This Row],[Breakdown Time]]*Table6[[#This Row],[Plant Equivalent Weightage]],"")</f>
        <v>5.6818181818182227E-3</v>
      </c>
      <c r="U58" s="79" t="s">
        <v>411</v>
      </c>
      <c r="W58" s="79">
        <v>17</v>
      </c>
    </row>
    <row r="59" spans="1:23">
      <c r="A59" s="79">
        <f t="shared" si="0"/>
        <v>58</v>
      </c>
      <c r="B59" s="79">
        <f>YEAR(Table6[[#This Row],[Date]])+IF(MONTH(Table6[[#This Row],[Date]])&gt;=4,1,0)</f>
        <v>2026</v>
      </c>
      <c r="C59" s="79">
        <f>YEAR(Table6[[#This Row],[Date]])</f>
        <v>2025</v>
      </c>
      <c r="D59" s="79" t="s">
        <v>344</v>
      </c>
      <c r="E59" s="284">
        <f>Table6[[#This Row],[Date]]-DAY(Table6[[#This Row],[Date]])+1</f>
        <v>45748</v>
      </c>
      <c r="F59" s="285">
        <v>45748</v>
      </c>
      <c r="G59" s="79" t="s">
        <v>111</v>
      </c>
      <c r="H59" s="79" t="str">
        <f>IFERROR(_xlfn.XLOOKUP(Table6[[#This Row],[Affected Feeder ]],'Basic Data'!$A:$A,'Basic Data'!$B:$B),"")</f>
        <v>PWEPL</v>
      </c>
      <c r="I59" s="79" t="str">
        <f>IFERROR(_xlfn.XLOOKUP(Table6[[#This Row],[Affected Feeder ]],'Basic Data'!$A:$A,'Basic Data'!$C:$C),"")</f>
        <v>MSEDCL</v>
      </c>
      <c r="J59" s="295">
        <f>IFERROR(_xlfn.XLOOKUP(Table6[[#This Row],[Affected Feeder ]],'Basic Data'!$A:$A,'Basic Data'!$E:$E),"")</f>
        <v>2.2727272727272728E-2</v>
      </c>
      <c r="K59" s="296" t="s">
        <v>171</v>
      </c>
      <c r="L59" s="297">
        <v>0.6694444444444444</v>
      </c>
      <c r="M59" s="297">
        <v>0.6694444444444444</v>
      </c>
      <c r="N59" s="297">
        <v>0.67986111111111114</v>
      </c>
      <c r="O59" s="19">
        <f>(Table6[[#This Row],[Work Start TimeStamp]]-Table6[[#This Row],[Fault Start TimeStamp]])*24</f>
        <v>0</v>
      </c>
      <c r="P59" s="19">
        <f>(Table6[[#This Row],[Fault Clearance time]]-Table6[[#This Row],[Fault Start TimeStamp]])*24</f>
        <v>0.25000000000000178</v>
      </c>
      <c r="Q59" s="19">
        <f>(Table6[[#This Row],[Fault Clearance time]]-Table6[[#This Row],[Fault Start TimeStamp]])*24</f>
        <v>0.25000000000000178</v>
      </c>
      <c r="R59" s="79" t="s">
        <v>353</v>
      </c>
      <c r="S59" s="79" t="s">
        <v>339</v>
      </c>
      <c r="T59" s="298">
        <f>IFERROR(Table6[[#This Row],[Breakdown Time]]*Table6[[#This Row],[Plant Equivalent Weightage]],"")</f>
        <v>5.6818181818182227E-3</v>
      </c>
      <c r="U59" s="79" t="s">
        <v>411</v>
      </c>
      <c r="W59" s="79">
        <v>17</v>
      </c>
    </row>
    <row r="60" spans="1:23">
      <c r="A60" s="79">
        <f t="shared" si="0"/>
        <v>59</v>
      </c>
      <c r="B60" s="79">
        <f>YEAR(Table6[[#This Row],[Date]])+IF(MONTH(Table6[[#This Row],[Date]])&gt;=4,1,0)</f>
        <v>2026</v>
      </c>
      <c r="C60" s="79">
        <f>YEAR(Table6[[#This Row],[Date]])</f>
        <v>2025</v>
      </c>
      <c r="D60" s="79" t="s">
        <v>344</v>
      </c>
      <c r="E60" s="284">
        <f>Table6[[#This Row],[Date]]-DAY(Table6[[#This Row],[Date]])+1</f>
        <v>45748</v>
      </c>
      <c r="F60" s="285">
        <v>45748</v>
      </c>
      <c r="G60" s="79" t="s">
        <v>112</v>
      </c>
      <c r="H60" s="79" t="str">
        <f>IFERROR(_xlfn.XLOOKUP(Table6[[#This Row],[Affected Feeder ]],'Basic Data'!$A:$A,'Basic Data'!$B:$B),"")</f>
        <v>PWEPL</v>
      </c>
      <c r="I60" s="79" t="str">
        <f>IFERROR(_xlfn.XLOOKUP(Table6[[#This Row],[Affected Feeder ]],'Basic Data'!$A:$A,'Basic Data'!$C:$C),"")</f>
        <v>MSEDCL</v>
      </c>
      <c r="J60" s="295">
        <f>IFERROR(_xlfn.XLOOKUP(Table6[[#This Row],[Affected Feeder ]],'Basic Data'!$A:$A,'Basic Data'!$E:$E),"")</f>
        <v>2.2727272727272728E-2</v>
      </c>
      <c r="K60" s="296" t="s">
        <v>171</v>
      </c>
      <c r="L60" s="297">
        <v>0.6694444444444444</v>
      </c>
      <c r="M60" s="297">
        <v>0.6694444444444444</v>
      </c>
      <c r="N60" s="297">
        <v>0.68194444444444446</v>
      </c>
      <c r="O60" s="19">
        <f>(Table6[[#This Row],[Work Start TimeStamp]]-Table6[[#This Row],[Fault Start TimeStamp]])*24</f>
        <v>0</v>
      </c>
      <c r="P60" s="19">
        <f>(Table6[[#This Row],[Fault Clearance time]]-Table6[[#This Row],[Fault Start TimeStamp]])*24</f>
        <v>0.3000000000000016</v>
      </c>
      <c r="Q60" s="19">
        <f>(Table6[[#This Row],[Fault Clearance time]]-Table6[[#This Row],[Fault Start TimeStamp]])*24</f>
        <v>0.3000000000000016</v>
      </c>
      <c r="R60" s="79" t="s">
        <v>353</v>
      </c>
      <c r="S60" s="79" t="s">
        <v>339</v>
      </c>
      <c r="T60" s="298">
        <f>IFERROR(Table6[[#This Row],[Breakdown Time]]*Table6[[#This Row],[Plant Equivalent Weightage]],"")</f>
        <v>6.8181818181818543E-3</v>
      </c>
      <c r="U60" s="79" t="s">
        <v>411</v>
      </c>
      <c r="W60" s="79">
        <v>17</v>
      </c>
    </row>
    <row r="61" spans="1:23">
      <c r="A61" s="79">
        <f t="shared" si="0"/>
        <v>60</v>
      </c>
      <c r="B61" s="79">
        <f>YEAR(Table6[[#This Row],[Date]])+IF(MONTH(Table6[[#This Row],[Date]])&gt;=4,1,0)</f>
        <v>2026</v>
      </c>
      <c r="C61" s="79">
        <f>YEAR(Table6[[#This Row],[Date]])</f>
        <v>2025</v>
      </c>
      <c r="D61" s="79" t="s">
        <v>344</v>
      </c>
      <c r="E61" s="284">
        <f>Table6[[#This Row],[Date]]-DAY(Table6[[#This Row],[Date]])+1</f>
        <v>45748</v>
      </c>
      <c r="F61" s="285">
        <v>45748</v>
      </c>
      <c r="G61" s="79" t="s">
        <v>113</v>
      </c>
      <c r="H61" s="79" t="str">
        <f>IFERROR(_xlfn.XLOOKUP(Table6[[#This Row],[Affected Feeder ]],'Basic Data'!$A:$A,'Basic Data'!$B:$B),"")</f>
        <v>PWEPL</v>
      </c>
      <c r="I61" s="79" t="str">
        <f>IFERROR(_xlfn.XLOOKUP(Table6[[#This Row],[Affected Feeder ]],'Basic Data'!$A:$A,'Basic Data'!$C:$C),"")</f>
        <v>MSEDCL</v>
      </c>
      <c r="J61" s="295">
        <f>IFERROR(_xlfn.XLOOKUP(Table6[[#This Row],[Affected Feeder ]],'Basic Data'!$A:$A,'Basic Data'!$E:$E),"")</f>
        <v>2.2727272727272728E-2</v>
      </c>
      <c r="K61" s="296" t="s">
        <v>171</v>
      </c>
      <c r="L61" s="297">
        <v>0.6694444444444444</v>
      </c>
      <c r="M61" s="297">
        <v>0.6694444444444444</v>
      </c>
      <c r="N61" s="297">
        <v>0.68055555555555558</v>
      </c>
      <c r="O61" s="19">
        <f>(Table6[[#This Row],[Work Start TimeStamp]]-Table6[[#This Row],[Fault Start TimeStamp]])*24</f>
        <v>0</v>
      </c>
      <c r="P61" s="19">
        <f>(Table6[[#This Row],[Fault Clearance time]]-Table6[[#This Row],[Fault Start TimeStamp]])*24</f>
        <v>0.26666666666666838</v>
      </c>
      <c r="Q61" s="19">
        <f>(Table6[[#This Row],[Fault Clearance time]]-Table6[[#This Row],[Fault Start TimeStamp]])*24</f>
        <v>0.26666666666666838</v>
      </c>
      <c r="R61" s="79" t="s">
        <v>353</v>
      </c>
      <c r="S61" s="79" t="s">
        <v>339</v>
      </c>
      <c r="T61" s="298">
        <f>IFERROR(Table6[[#This Row],[Breakdown Time]]*Table6[[#This Row],[Plant Equivalent Weightage]],"")</f>
        <v>6.0606060606060996E-3</v>
      </c>
      <c r="U61" s="79" t="s">
        <v>411</v>
      </c>
      <c r="W61" s="79">
        <v>17</v>
      </c>
    </row>
    <row r="62" spans="1:23">
      <c r="A62" s="79">
        <f t="shared" si="0"/>
        <v>61</v>
      </c>
      <c r="B62" s="79">
        <f>YEAR(Table6[[#This Row],[Date]])+IF(MONTH(Table6[[#This Row],[Date]])&gt;=4,1,0)</f>
        <v>2026</v>
      </c>
      <c r="C62" s="79">
        <f>YEAR(Table6[[#This Row],[Date]])</f>
        <v>2025</v>
      </c>
      <c r="D62" s="79" t="s">
        <v>344</v>
      </c>
      <c r="E62" s="284">
        <f>Table6[[#This Row],[Date]]-DAY(Table6[[#This Row],[Date]])+1</f>
        <v>45748</v>
      </c>
      <c r="F62" s="285">
        <v>45748</v>
      </c>
      <c r="G62" s="79" t="s">
        <v>114</v>
      </c>
      <c r="H62" s="79" t="str">
        <f>IFERROR(_xlfn.XLOOKUP(Table6[[#This Row],[Affected Feeder ]],'Basic Data'!$A:$A,'Basic Data'!$B:$B),"")</f>
        <v>PWEPL</v>
      </c>
      <c r="I62" s="79" t="str">
        <f>IFERROR(_xlfn.XLOOKUP(Table6[[#This Row],[Affected Feeder ]],'Basic Data'!$A:$A,'Basic Data'!$C:$C),"")</f>
        <v>MSEDCL</v>
      </c>
      <c r="J62" s="295">
        <f>IFERROR(_xlfn.XLOOKUP(Table6[[#This Row],[Affected Feeder ]],'Basic Data'!$A:$A,'Basic Data'!$E:$E),"")</f>
        <v>2.2727272727272728E-2</v>
      </c>
      <c r="K62" s="296" t="s">
        <v>171</v>
      </c>
      <c r="L62" s="297">
        <v>0.6694444444444444</v>
      </c>
      <c r="M62" s="297">
        <v>0.6694444444444444</v>
      </c>
      <c r="N62" s="297">
        <v>0.68194444444444446</v>
      </c>
      <c r="O62" s="19">
        <f>(Table6[[#This Row],[Work Start TimeStamp]]-Table6[[#This Row],[Fault Start TimeStamp]])*24</f>
        <v>0</v>
      </c>
      <c r="P62" s="19">
        <f>(Table6[[#This Row],[Fault Clearance time]]-Table6[[#This Row],[Fault Start TimeStamp]])*24</f>
        <v>0.3000000000000016</v>
      </c>
      <c r="Q62" s="19">
        <f>(Table6[[#This Row],[Fault Clearance time]]-Table6[[#This Row],[Fault Start TimeStamp]])*24</f>
        <v>0.3000000000000016</v>
      </c>
      <c r="R62" s="79" t="s">
        <v>353</v>
      </c>
      <c r="S62" s="79" t="s">
        <v>339</v>
      </c>
      <c r="T62" s="298">
        <f>IFERROR(Table6[[#This Row],[Breakdown Time]]*Table6[[#This Row],[Plant Equivalent Weightage]],"")</f>
        <v>6.8181818181818543E-3</v>
      </c>
      <c r="U62" s="79" t="s">
        <v>411</v>
      </c>
      <c r="W62" s="79">
        <v>17</v>
      </c>
    </row>
    <row r="63" spans="1:23">
      <c r="A63" s="79">
        <f t="shared" si="0"/>
        <v>62</v>
      </c>
      <c r="B63" s="79">
        <f>YEAR(Table6[[#This Row],[Date]])+IF(MONTH(Table6[[#This Row],[Date]])&gt;=4,1,0)</f>
        <v>2026</v>
      </c>
      <c r="C63" s="79">
        <f>YEAR(Table6[[#This Row],[Date]])</f>
        <v>2025</v>
      </c>
      <c r="D63" s="79" t="s">
        <v>344</v>
      </c>
      <c r="E63" s="284">
        <f>Table6[[#This Row],[Date]]-DAY(Table6[[#This Row],[Date]])+1</f>
        <v>45748</v>
      </c>
      <c r="F63" s="285">
        <v>45748</v>
      </c>
      <c r="G63" s="79" t="s">
        <v>80</v>
      </c>
      <c r="H63" s="79" t="str">
        <f>IFERROR(_xlfn.XLOOKUP(Table6[[#This Row],[Affected Feeder ]],'Basic Data'!$A:$A,'Basic Data'!$B:$B),"")</f>
        <v>PWEPL</v>
      </c>
      <c r="I63" s="79" t="str">
        <f>IFERROR(_xlfn.XLOOKUP(Table6[[#This Row],[Affected Feeder ]],'Basic Data'!$A:$A,'Basic Data'!$C:$C),"")</f>
        <v>MSEDCL</v>
      </c>
      <c r="J63" s="295">
        <f>IFERROR(_xlfn.XLOOKUP(Table6[[#This Row],[Affected Feeder ]],'Basic Data'!$A:$A,'Basic Data'!$E:$E),"")</f>
        <v>2.2727272727272728E-2</v>
      </c>
      <c r="K63" s="296" t="s">
        <v>171</v>
      </c>
      <c r="L63" s="297">
        <v>0.6694444444444444</v>
      </c>
      <c r="M63" s="297">
        <v>0.6694444444444444</v>
      </c>
      <c r="N63" s="297">
        <v>0.68125000000000002</v>
      </c>
      <c r="O63" s="19">
        <f>(Table6[[#This Row],[Work Start TimeStamp]]-Table6[[#This Row],[Fault Start TimeStamp]])*24</f>
        <v>0</v>
      </c>
      <c r="P63" s="19">
        <f>(Table6[[#This Row],[Fault Clearance time]]-Table6[[#This Row],[Fault Start TimeStamp]])*24</f>
        <v>0.28333333333333499</v>
      </c>
      <c r="Q63" s="19">
        <f>(Table6[[#This Row],[Fault Clearance time]]-Table6[[#This Row],[Fault Start TimeStamp]])*24</f>
        <v>0.28333333333333499</v>
      </c>
      <c r="R63" s="79" t="s">
        <v>353</v>
      </c>
      <c r="S63" s="79" t="s">
        <v>339</v>
      </c>
      <c r="T63" s="298">
        <f>IFERROR(Table6[[#This Row],[Breakdown Time]]*Table6[[#This Row],[Plant Equivalent Weightage]],"")</f>
        <v>6.4393939393939774E-3</v>
      </c>
      <c r="U63" s="79" t="s">
        <v>411</v>
      </c>
      <c r="W63" s="79">
        <v>17</v>
      </c>
    </row>
    <row r="64" spans="1:23">
      <c r="A64" s="79">
        <f t="shared" si="0"/>
        <v>63</v>
      </c>
      <c r="B64" s="79">
        <f>YEAR(Table6[[#This Row],[Date]])+IF(MONTH(Table6[[#This Row],[Date]])&gt;=4,1,0)</f>
        <v>2026</v>
      </c>
      <c r="C64" s="79">
        <f>YEAR(Table6[[#This Row],[Date]])</f>
        <v>2025</v>
      </c>
      <c r="D64" s="79" t="s">
        <v>344</v>
      </c>
      <c r="E64" s="284">
        <f>Table6[[#This Row],[Date]]-DAY(Table6[[#This Row],[Date]])+1</f>
        <v>45748</v>
      </c>
      <c r="F64" s="285">
        <v>45748</v>
      </c>
      <c r="G64" s="79" t="s">
        <v>81</v>
      </c>
      <c r="H64" s="79" t="str">
        <f>IFERROR(_xlfn.XLOOKUP(Table6[[#This Row],[Affected Feeder ]],'Basic Data'!$A:$A,'Basic Data'!$B:$B),"")</f>
        <v>PWEPL</v>
      </c>
      <c r="I64" s="79" t="str">
        <f>IFERROR(_xlfn.XLOOKUP(Table6[[#This Row],[Affected Feeder ]],'Basic Data'!$A:$A,'Basic Data'!$C:$C),"")</f>
        <v>MSEDCL</v>
      </c>
      <c r="J64" s="295">
        <f>IFERROR(_xlfn.XLOOKUP(Table6[[#This Row],[Affected Feeder ]],'Basic Data'!$A:$A,'Basic Data'!$E:$E),"")</f>
        <v>2.2727272727272728E-2</v>
      </c>
      <c r="K64" s="296" t="s">
        <v>171</v>
      </c>
      <c r="L64" s="297">
        <v>0.6694444444444444</v>
      </c>
      <c r="M64" s="297">
        <v>0.6694444444444444</v>
      </c>
      <c r="N64" s="297">
        <v>0.68194444444444446</v>
      </c>
      <c r="O64" s="19">
        <f>(Table6[[#This Row],[Work Start TimeStamp]]-Table6[[#This Row],[Fault Start TimeStamp]])*24</f>
        <v>0</v>
      </c>
      <c r="P64" s="19">
        <f>(Table6[[#This Row],[Fault Clearance time]]-Table6[[#This Row],[Fault Start TimeStamp]])*24</f>
        <v>0.3000000000000016</v>
      </c>
      <c r="Q64" s="19">
        <f>(Table6[[#This Row],[Fault Clearance time]]-Table6[[#This Row],[Fault Start TimeStamp]])*24</f>
        <v>0.3000000000000016</v>
      </c>
      <c r="R64" s="79" t="s">
        <v>353</v>
      </c>
      <c r="S64" s="79" t="s">
        <v>339</v>
      </c>
      <c r="T64" s="298">
        <f>IFERROR(Table6[[#This Row],[Breakdown Time]]*Table6[[#This Row],[Plant Equivalent Weightage]],"")</f>
        <v>6.8181818181818543E-3</v>
      </c>
      <c r="U64" s="79" t="s">
        <v>411</v>
      </c>
      <c r="W64" s="79">
        <v>17</v>
      </c>
    </row>
    <row r="65" spans="1:23">
      <c r="A65" s="79">
        <f t="shared" si="0"/>
        <v>64</v>
      </c>
      <c r="B65" s="79">
        <f>YEAR(Table6[[#This Row],[Date]])+IF(MONTH(Table6[[#This Row],[Date]])&gt;=4,1,0)</f>
        <v>2026</v>
      </c>
      <c r="C65" s="79">
        <f>YEAR(Table6[[#This Row],[Date]])</f>
        <v>2025</v>
      </c>
      <c r="D65" s="79" t="s">
        <v>344</v>
      </c>
      <c r="E65" s="284">
        <f>Table6[[#This Row],[Date]]-DAY(Table6[[#This Row],[Date]])+1</f>
        <v>45748</v>
      </c>
      <c r="F65" s="285">
        <v>45748</v>
      </c>
      <c r="G65" s="79" t="s">
        <v>107</v>
      </c>
      <c r="H65" s="79" t="str">
        <f>IFERROR(_xlfn.XLOOKUP(Table6[[#This Row],[Affected Feeder ]],'Basic Data'!$A:$A,'Basic Data'!$B:$B),"")</f>
        <v>PWEPL</v>
      </c>
      <c r="I65" s="79" t="str">
        <f>IFERROR(_xlfn.XLOOKUP(Table6[[#This Row],[Affected Feeder ]],'Basic Data'!$A:$A,'Basic Data'!$C:$C),"")</f>
        <v>MSEDCL</v>
      </c>
      <c r="J65" s="295">
        <f>IFERROR(_xlfn.XLOOKUP(Table6[[#This Row],[Affected Feeder ]],'Basic Data'!$A:$A,'Basic Data'!$E:$E),"")</f>
        <v>2.2727272727272728E-2</v>
      </c>
      <c r="K65" s="296" t="s">
        <v>171</v>
      </c>
      <c r="L65" s="297">
        <v>0.6694444444444444</v>
      </c>
      <c r="M65" s="297">
        <v>0.6694444444444444</v>
      </c>
      <c r="N65" s="297">
        <v>0.68055555555555558</v>
      </c>
      <c r="O65" s="19">
        <f>(Table6[[#This Row],[Work Start TimeStamp]]-Table6[[#This Row],[Fault Start TimeStamp]])*24</f>
        <v>0</v>
      </c>
      <c r="P65" s="19">
        <f>(Table6[[#This Row],[Fault Clearance time]]-Table6[[#This Row],[Fault Start TimeStamp]])*24</f>
        <v>0.26666666666666838</v>
      </c>
      <c r="Q65" s="19">
        <f>(Table6[[#This Row],[Fault Clearance time]]-Table6[[#This Row],[Fault Start TimeStamp]])*24</f>
        <v>0.26666666666666838</v>
      </c>
      <c r="R65" s="79" t="s">
        <v>353</v>
      </c>
      <c r="S65" s="79" t="s">
        <v>339</v>
      </c>
      <c r="T65" s="298">
        <f>IFERROR(Table6[[#This Row],[Breakdown Time]]*Table6[[#This Row],[Plant Equivalent Weightage]],"")</f>
        <v>6.0606060606060996E-3</v>
      </c>
      <c r="U65" s="79" t="s">
        <v>411</v>
      </c>
      <c r="W65" s="79">
        <v>17</v>
      </c>
    </row>
    <row r="66" spans="1:23">
      <c r="A66" s="79">
        <f t="shared" si="0"/>
        <v>65</v>
      </c>
      <c r="B66" s="79">
        <f>YEAR(Table6[[#This Row],[Date]])+IF(MONTH(Table6[[#This Row],[Date]])&gt;=4,1,0)</f>
        <v>2026</v>
      </c>
      <c r="C66" s="79">
        <f>YEAR(Table6[[#This Row],[Date]])</f>
        <v>2025</v>
      </c>
      <c r="D66" s="79" t="s">
        <v>344</v>
      </c>
      <c r="E66" s="284">
        <f>Table6[[#This Row],[Date]]-DAY(Table6[[#This Row],[Date]])+1</f>
        <v>45748</v>
      </c>
      <c r="F66" s="285">
        <v>45748</v>
      </c>
      <c r="G66" s="79" t="s">
        <v>108</v>
      </c>
      <c r="H66" s="79" t="str">
        <f>IFERROR(_xlfn.XLOOKUP(Table6[[#This Row],[Affected Feeder ]],'Basic Data'!$A:$A,'Basic Data'!$B:$B),"")</f>
        <v>PWEPL</v>
      </c>
      <c r="I66" s="79" t="str">
        <f>IFERROR(_xlfn.XLOOKUP(Table6[[#This Row],[Affected Feeder ]],'Basic Data'!$A:$A,'Basic Data'!$C:$C),"")</f>
        <v>MSEDCL</v>
      </c>
      <c r="J66" s="295">
        <f>IFERROR(_xlfn.XLOOKUP(Table6[[#This Row],[Affected Feeder ]],'Basic Data'!$A:$A,'Basic Data'!$E:$E),"")</f>
        <v>2.2727272727272728E-2</v>
      </c>
      <c r="K66" s="296" t="s">
        <v>171</v>
      </c>
      <c r="L66" s="297">
        <v>0.6694444444444444</v>
      </c>
      <c r="M66" s="297">
        <v>0.6694444444444444</v>
      </c>
      <c r="N66" s="297">
        <v>0.68263888888888891</v>
      </c>
      <c r="O66" s="19">
        <f>(Table6[[#This Row],[Work Start TimeStamp]]-Table6[[#This Row],[Fault Start TimeStamp]])*24</f>
        <v>0</v>
      </c>
      <c r="P66" s="19">
        <f>(Table6[[#This Row],[Fault Clearance time]]-Table6[[#This Row],[Fault Start TimeStamp]])*24</f>
        <v>0.31666666666666821</v>
      </c>
      <c r="Q66" s="19">
        <f>(Table6[[#This Row],[Fault Clearance time]]-Table6[[#This Row],[Fault Start TimeStamp]])*24</f>
        <v>0.31666666666666821</v>
      </c>
      <c r="R66" s="79" t="s">
        <v>353</v>
      </c>
      <c r="S66" s="79" t="s">
        <v>339</v>
      </c>
      <c r="T66" s="298">
        <f>IFERROR(Table6[[#This Row],[Breakdown Time]]*Table6[[#This Row],[Plant Equivalent Weightage]],"")</f>
        <v>7.196969696969732E-3</v>
      </c>
      <c r="U66" s="79" t="s">
        <v>411</v>
      </c>
      <c r="W66" s="79">
        <v>17</v>
      </c>
    </row>
    <row r="67" spans="1:23">
      <c r="A67" s="79">
        <f t="shared" si="0"/>
        <v>66</v>
      </c>
      <c r="B67" s="79">
        <f>YEAR(Table6[[#This Row],[Date]])+IF(MONTH(Table6[[#This Row],[Date]])&gt;=4,1,0)</f>
        <v>2026</v>
      </c>
      <c r="C67" s="79">
        <f>YEAR(Table6[[#This Row],[Date]])</f>
        <v>2025</v>
      </c>
      <c r="D67" s="79" t="s">
        <v>344</v>
      </c>
      <c r="E67" s="284">
        <f>Table6[[#This Row],[Date]]-DAY(Table6[[#This Row],[Date]])+1</f>
        <v>45748</v>
      </c>
      <c r="F67" s="285">
        <v>45748</v>
      </c>
      <c r="G67" s="79" t="s">
        <v>84</v>
      </c>
      <c r="H67" s="79" t="str">
        <f>IFERROR(_xlfn.XLOOKUP(Table6[[#This Row],[Affected Feeder ]],'Basic Data'!$A:$A,'Basic Data'!$B:$B),"")</f>
        <v>PWEPL</v>
      </c>
      <c r="I67" s="79" t="str">
        <f>IFERROR(_xlfn.XLOOKUP(Table6[[#This Row],[Affected Feeder ]],'Basic Data'!$A:$A,'Basic Data'!$C:$C),"")</f>
        <v>MSEDCL</v>
      </c>
      <c r="J67" s="295">
        <f>IFERROR(_xlfn.XLOOKUP(Table6[[#This Row],[Affected Feeder ]],'Basic Data'!$A:$A,'Basic Data'!$E:$E),"")</f>
        <v>2.2727272727272728E-2</v>
      </c>
      <c r="K67" s="296" t="s">
        <v>422</v>
      </c>
      <c r="L67" s="297">
        <v>0.79513888888888884</v>
      </c>
      <c r="M67" s="297">
        <v>0.79513888888888884</v>
      </c>
      <c r="N67" s="297">
        <v>0.83680555555555558</v>
      </c>
      <c r="O67" s="19">
        <f>(Table6[[#This Row],[Work Start TimeStamp]]-Table6[[#This Row],[Fault Start TimeStamp]])*24</f>
        <v>0</v>
      </c>
      <c r="P67" s="19">
        <f>(Table6[[#This Row],[Fault Clearance time]]-Table6[[#This Row],[Fault Start TimeStamp]])*24</f>
        <v>1.0000000000000018</v>
      </c>
      <c r="Q67" s="19">
        <f>(Table6[[#This Row],[Fault Clearance time]]-Table6[[#This Row],[Fault Start TimeStamp]])*24</f>
        <v>1.0000000000000018</v>
      </c>
      <c r="R67" s="79" t="s">
        <v>424</v>
      </c>
      <c r="S67" s="79" t="s">
        <v>339</v>
      </c>
      <c r="T67" s="298">
        <f>IFERROR(Table6[[#This Row],[Breakdown Time]]*Table6[[#This Row],[Plant Equivalent Weightage]],"")</f>
        <v>2.272727272727277E-2</v>
      </c>
      <c r="U67" s="79" t="s">
        <v>421</v>
      </c>
      <c r="W67" s="79">
        <v>1270</v>
      </c>
    </row>
    <row r="68" spans="1:23">
      <c r="A68" s="79">
        <f t="shared" ref="A68:A131" si="1">A67+1</f>
        <v>67</v>
      </c>
      <c r="B68" s="79">
        <f>YEAR(Table6[[#This Row],[Date]])+IF(MONTH(Table6[[#This Row],[Date]])&gt;=4,1,0)</f>
        <v>2026</v>
      </c>
      <c r="C68" s="79">
        <f>YEAR(Table6[[#This Row],[Date]])</f>
        <v>2025</v>
      </c>
      <c r="D68" s="79" t="s">
        <v>344</v>
      </c>
      <c r="E68" s="284">
        <f>Table6[[#This Row],[Date]]-DAY(Table6[[#This Row],[Date]])+1</f>
        <v>45748</v>
      </c>
      <c r="F68" s="285">
        <v>45748</v>
      </c>
      <c r="G68" s="79" t="s">
        <v>83</v>
      </c>
      <c r="H68" s="79" t="str">
        <f>IFERROR(_xlfn.XLOOKUP(Table6[[#This Row],[Affected Feeder ]],'Basic Data'!$A:$A,'Basic Data'!$B:$B),"")</f>
        <v>PWEPL</v>
      </c>
      <c r="I68" s="79" t="str">
        <f>IFERROR(_xlfn.XLOOKUP(Table6[[#This Row],[Affected Feeder ]],'Basic Data'!$A:$A,'Basic Data'!$C:$C),"")</f>
        <v>MSEDCL</v>
      </c>
      <c r="J68" s="295">
        <f>IFERROR(_xlfn.XLOOKUP(Table6[[#This Row],[Affected Feeder ]],'Basic Data'!$A:$A,'Basic Data'!$E:$E),"")</f>
        <v>2.2727272727272728E-2</v>
      </c>
      <c r="K68" s="296" t="s">
        <v>414</v>
      </c>
      <c r="L68" s="297">
        <v>0.44861111111111113</v>
      </c>
      <c r="M68" s="297">
        <v>0.44861111111111113</v>
      </c>
      <c r="N68" s="297">
        <v>0.77083333333333337</v>
      </c>
      <c r="O68" s="19">
        <f>(Table6[[#This Row],[Work Start TimeStamp]]-Table6[[#This Row],[Fault Start TimeStamp]])*24</f>
        <v>0</v>
      </c>
      <c r="P68" s="19">
        <f>(Table6[[#This Row],[Fault Clearance time]]-Table6[[#This Row],[Fault Start TimeStamp]])*24</f>
        <v>7.7333333333333343</v>
      </c>
      <c r="Q68" s="19">
        <f>(Table6[[#This Row],[Fault Clearance time]]-Table6[[#This Row],[Fault Start TimeStamp]])*24</f>
        <v>7.7333333333333343</v>
      </c>
      <c r="R68" s="79" t="s">
        <v>427</v>
      </c>
      <c r="S68" s="79" t="s">
        <v>339</v>
      </c>
      <c r="T68" s="298">
        <f>IFERROR(Table6[[#This Row],[Breakdown Time]]*Table6[[#This Row],[Plant Equivalent Weightage]],"")</f>
        <v>0.17575757575757578</v>
      </c>
      <c r="U68" s="79" t="s">
        <v>416</v>
      </c>
      <c r="W68" s="79">
        <v>1790</v>
      </c>
    </row>
    <row r="69" spans="1:23">
      <c r="A69" s="79">
        <f t="shared" si="1"/>
        <v>68</v>
      </c>
      <c r="B69" s="79">
        <f>YEAR(Table6[[#This Row],[Date]])+IF(MONTH(Table6[[#This Row],[Date]])&gt;=4,1,0)</f>
        <v>2026</v>
      </c>
      <c r="C69" s="79">
        <f>YEAR(Table6[[#This Row],[Date]])</f>
        <v>2025</v>
      </c>
      <c r="D69" s="79" t="s">
        <v>344</v>
      </c>
      <c r="E69" s="284">
        <f>Table6[[#This Row],[Date]]-DAY(Table6[[#This Row],[Date]])+1</f>
        <v>45748</v>
      </c>
      <c r="F69" s="285">
        <v>45748</v>
      </c>
      <c r="G69" s="79" t="s">
        <v>83</v>
      </c>
      <c r="H69" s="79" t="str">
        <f>IFERROR(_xlfn.XLOOKUP(Table6[[#This Row],[Affected Feeder ]],'Basic Data'!$A:$A,'Basic Data'!$B:$B),"")</f>
        <v>PWEPL</v>
      </c>
      <c r="I69" s="79" t="str">
        <f>IFERROR(_xlfn.XLOOKUP(Table6[[#This Row],[Affected Feeder ]],'Basic Data'!$A:$A,'Basic Data'!$C:$C),"")</f>
        <v>MSEDCL</v>
      </c>
      <c r="J69" s="295">
        <f>IFERROR(_xlfn.XLOOKUP(Table6[[#This Row],[Affected Feeder ]],'Basic Data'!$A:$A,'Basic Data'!$E:$E),"")</f>
        <v>2.2727272727272728E-2</v>
      </c>
      <c r="K69" s="296" t="s">
        <v>171</v>
      </c>
      <c r="L69" s="297">
        <v>0.77083333333333337</v>
      </c>
      <c r="M69" s="297">
        <v>0.77083333333333337</v>
      </c>
      <c r="N69" s="297">
        <v>0.78472222222222221</v>
      </c>
      <c r="O69" s="19">
        <f>(Table6[[#This Row],[Work Start TimeStamp]]-Table6[[#This Row],[Fault Start TimeStamp]])*24</f>
        <v>0</v>
      </c>
      <c r="P69" s="19">
        <f>(Table6[[#This Row],[Fault Clearance time]]-Table6[[#This Row],[Fault Start TimeStamp]])*24</f>
        <v>0.33333333333333215</v>
      </c>
      <c r="Q69" s="19">
        <f>(Table6[[#This Row],[Fault Clearance time]]-Table6[[#This Row],[Fault Start TimeStamp]])*24</f>
        <v>0.33333333333333215</v>
      </c>
      <c r="R69" s="79" t="s">
        <v>353</v>
      </c>
      <c r="S69" s="79" t="s">
        <v>339</v>
      </c>
      <c r="T69" s="298">
        <f>IFERROR(Table6[[#This Row],[Breakdown Time]]*Table6[[#This Row],[Plant Equivalent Weightage]],"")</f>
        <v>7.5757575757575491E-3</v>
      </c>
      <c r="U69" s="79" t="s">
        <v>416</v>
      </c>
      <c r="W69" s="79">
        <v>77</v>
      </c>
    </row>
    <row r="70" spans="1:23">
      <c r="A70" s="79">
        <f t="shared" si="1"/>
        <v>69</v>
      </c>
      <c r="B70" s="79">
        <f>YEAR(Table6[[#This Row],[Date]])+IF(MONTH(Table6[[#This Row],[Date]])&gt;=4,1,0)</f>
        <v>2026</v>
      </c>
      <c r="C70" s="79">
        <f>YEAR(Table6[[#This Row],[Date]])</f>
        <v>2025</v>
      </c>
      <c r="D70" s="79" t="s">
        <v>344</v>
      </c>
      <c r="E70" s="284">
        <f>Table6[[#This Row],[Date]]-DAY(Table6[[#This Row],[Date]])+1</f>
        <v>45748</v>
      </c>
      <c r="F70" s="285">
        <v>45748</v>
      </c>
      <c r="G70" s="79" t="s">
        <v>98</v>
      </c>
      <c r="H70" s="79" t="str">
        <f>IFERROR(_xlfn.XLOOKUP(Table6[[#This Row],[Affected Feeder ]],'Basic Data'!$A:$A,'Basic Data'!$B:$B),"")</f>
        <v>PWEPL</v>
      </c>
      <c r="I70" s="79" t="str">
        <f>IFERROR(_xlfn.XLOOKUP(Table6[[#This Row],[Affected Feeder ]],'Basic Data'!$A:$A,'Basic Data'!$C:$C),"")</f>
        <v>MSEDCL</v>
      </c>
      <c r="J70" s="295">
        <f>IFERROR(_xlfn.XLOOKUP(Table6[[#This Row],[Affected Feeder ]],'Basic Data'!$A:$A,'Basic Data'!$E:$E),"")</f>
        <v>2.2727272727272728E-2</v>
      </c>
      <c r="K70" s="296" t="s">
        <v>414</v>
      </c>
      <c r="L70" s="297">
        <v>0.44861111111111113</v>
      </c>
      <c r="M70" s="297">
        <v>0.44861111111111113</v>
      </c>
      <c r="N70" s="297">
        <v>0.77083333333333337</v>
      </c>
      <c r="O70" s="19">
        <f>(Table6[[#This Row],[Work Start TimeStamp]]-Table6[[#This Row],[Fault Start TimeStamp]])*24</f>
        <v>0</v>
      </c>
      <c r="P70" s="19">
        <f>(Table6[[#This Row],[Fault Clearance time]]-Table6[[#This Row],[Fault Start TimeStamp]])*24</f>
        <v>7.7333333333333343</v>
      </c>
      <c r="Q70" s="19">
        <f>(Table6[[#This Row],[Fault Clearance time]]-Table6[[#This Row],[Fault Start TimeStamp]])*24</f>
        <v>7.7333333333333343</v>
      </c>
      <c r="R70" s="79" t="s">
        <v>427</v>
      </c>
      <c r="S70" s="79" t="s">
        <v>339</v>
      </c>
      <c r="T70" s="298">
        <f>IFERROR(Table6[[#This Row],[Breakdown Time]]*Table6[[#This Row],[Plant Equivalent Weightage]],"")</f>
        <v>0.17575757575757578</v>
      </c>
      <c r="U70" s="79" t="s">
        <v>416</v>
      </c>
      <c r="W70" s="79">
        <v>1790</v>
      </c>
    </row>
    <row r="71" spans="1:23">
      <c r="A71" s="79">
        <f t="shared" si="1"/>
        <v>70</v>
      </c>
      <c r="B71" s="79">
        <f>YEAR(Table6[[#This Row],[Date]])+IF(MONTH(Table6[[#This Row],[Date]])&gt;=4,1,0)</f>
        <v>2026</v>
      </c>
      <c r="C71" s="79">
        <f>YEAR(Table6[[#This Row],[Date]])</f>
        <v>2025</v>
      </c>
      <c r="D71" s="79" t="s">
        <v>344</v>
      </c>
      <c r="E71" s="284">
        <f>Table6[[#This Row],[Date]]-DAY(Table6[[#This Row],[Date]])+1</f>
        <v>45748</v>
      </c>
      <c r="F71" s="285">
        <v>45748</v>
      </c>
      <c r="G71" s="79" t="s">
        <v>98</v>
      </c>
      <c r="H71" s="79" t="str">
        <f>IFERROR(_xlfn.XLOOKUP(Table6[[#This Row],[Affected Feeder ]],'Basic Data'!$A:$A,'Basic Data'!$B:$B),"")</f>
        <v>PWEPL</v>
      </c>
      <c r="I71" s="79" t="str">
        <f>IFERROR(_xlfn.XLOOKUP(Table6[[#This Row],[Affected Feeder ]],'Basic Data'!$A:$A,'Basic Data'!$C:$C),"")</f>
        <v>MSEDCL</v>
      </c>
      <c r="J71" s="295">
        <f>IFERROR(_xlfn.XLOOKUP(Table6[[#This Row],[Affected Feeder ]],'Basic Data'!$A:$A,'Basic Data'!$E:$E),"")</f>
        <v>2.2727272727272728E-2</v>
      </c>
      <c r="K71" s="296" t="s">
        <v>171</v>
      </c>
      <c r="L71" s="297">
        <v>0.77083333333333337</v>
      </c>
      <c r="M71" s="297">
        <v>0.77083333333333337</v>
      </c>
      <c r="N71" s="297">
        <v>0.78472222222222221</v>
      </c>
      <c r="O71" s="19">
        <f>(Table6[[#This Row],[Work Start TimeStamp]]-Table6[[#This Row],[Fault Start TimeStamp]])*24</f>
        <v>0</v>
      </c>
      <c r="P71" s="19">
        <f>(Table6[[#This Row],[Fault Clearance time]]-Table6[[#This Row],[Fault Start TimeStamp]])*24</f>
        <v>0.33333333333333215</v>
      </c>
      <c r="Q71" s="19">
        <f>(Table6[[#This Row],[Fault Clearance time]]-Table6[[#This Row],[Fault Start TimeStamp]])*24</f>
        <v>0.33333333333333215</v>
      </c>
      <c r="R71" s="79" t="s">
        <v>353</v>
      </c>
      <c r="S71" s="79" t="s">
        <v>339</v>
      </c>
      <c r="T71" s="298">
        <f>IFERROR(Table6[[#This Row],[Breakdown Time]]*Table6[[#This Row],[Plant Equivalent Weightage]],"")</f>
        <v>7.5757575757575491E-3</v>
      </c>
      <c r="U71" s="79" t="s">
        <v>416</v>
      </c>
      <c r="W71" s="79">
        <v>77</v>
      </c>
    </row>
    <row r="72" spans="1:23">
      <c r="A72" s="79">
        <f t="shared" si="1"/>
        <v>71</v>
      </c>
      <c r="B72" s="79">
        <f>YEAR(Table6[[#This Row],[Date]])+IF(MONTH(Table6[[#This Row],[Date]])&gt;=4,1,0)</f>
        <v>2026</v>
      </c>
      <c r="C72" s="79">
        <f>YEAR(Table6[[#This Row],[Date]])</f>
        <v>2025</v>
      </c>
      <c r="D72" s="79" t="s">
        <v>344</v>
      </c>
      <c r="E72" s="284">
        <f>Table6[[#This Row],[Date]]-DAY(Table6[[#This Row],[Date]])+1</f>
        <v>45748</v>
      </c>
      <c r="F72" s="285">
        <v>45748</v>
      </c>
      <c r="G72" s="79" t="s">
        <v>99</v>
      </c>
      <c r="H72" s="79" t="str">
        <f>IFERROR(_xlfn.XLOOKUP(Table6[[#This Row],[Affected Feeder ]],'Basic Data'!$A:$A,'Basic Data'!$B:$B),"")</f>
        <v>PWEPL</v>
      </c>
      <c r="I72" s="79" t="str">
        <f>IFERROR(_xlfn.XLOOKUP(Table6[[#This Row],[Affected Feeder ]],'Basic Data'!$A:$A,'Basic Data'!$C:$C),"")</f>
        <v>MSEDCL</v>
      </c>
      <c r="J72" s="295">
        <f>IFERROR(_xlfn.XLOOKUP(Table6[[#This Row],[Affected Feeder ]],'Basic Data'!$A:$A,'Basic Data'!$E:$E),"")</f>
        <v>2.2727272727272728E-2</v>
      </c>
      <c r="K72" s="296" t="s">
        <v>414</v>
      </c>
      <c r="L72" s="297">
        <v>0.44861111111111113</v>
      </c>
      <c r="M72" s="297">
        <v>0.44861111111111113</v>
      </c>
      <c r="N72" s="297">
        <v>0.77083333333333337</v>
      </c>
      <c r="O72" s="19">
        <f>(Table6[[#This Row],[Work Start TimeStamp]]-Table6[[#This Row],[Fault Start TimeStamp]])*24</f>
        <v>0</v>
      </c>
      <c r="P72" s="19">
        <f>(Table6[[#This Row],[Fault Clearance time]]-Table6[[#This Row],[Fault Start TimeStamp]])*24</f>
        <v>7.7333333333333343</v>
      </c>
      <c r="Q72" s="19">
        <f>(Table6[[#This Row],[Fault Clearance time]]-Table6[[#This Row],[Fault Start TimeStamp]])*24</f>
        <v>7.7333333333333343</v>
      </c>
      <c r="R72" s="79" t="s">
        <v>427</v>
      </c>
      <c r="S72" s="79" t="s">
        <v>339</v>
      </c>
      <c r="T72" s="298">
        <f>IFERROR(Table6[[#This Row],[Breakdown Time]]*Table6[[#This Row],[Plant Equivalent Weightage]],"")</f>
        <v>0.17575757575757578</v>
      </c>
      <c r="U72" s="79" t="s">
        <v>416</v>
      </c>
      <c r="W72" s="79">
        <v>1790</v>
      </c>
    </row>
    <row r="73" spans="1:23">
      <c r="A73" s="79">
        <f t="shared" si="1"/>
        <v>72</v>
      </c>
      <c r="B73" s="79">
        <f>YEAR(Table6[[#This Row],[Date]])+IF(MONTH(Table6[[#This Row],[Date]])&gt;=4,1,0)</f>
        <v>2026</v>
      </c>
      <c r="C73" s="79">
        <f>YEAR(Table6[[#This Row],[Date]])</f>
        <v>2025</v>
      </c>
      <c r="D73" s="79" t="s">
        <v>344</v>
      </c>
      <c r="E73" s="284">
        <f>Table6[[#This Row],[Date]]-DAY(Table6[[#This Row],[Date]])+1</f>
        <v>45748</v>
      </c>
      <c r="F73" s="285">
        <v>45748</v>
      </c>
      <c r="G73" s="79" t="s">
        <v>99</v>
      </c>
      <c r="H73" s="79" t="str">
        <f>IFERROR(_xlfn.XLOOKUP(Table6[[#This Row],[Affected Feeder ]],'Basic Data'!$A:$A,'Basic Data'!$B:$B),"")</f>
        <v>PWEPL</v>
      </c>
      <c r="I73" s="79" t="str">
        <f>IFERROR(_xlfn.XLOOKUP(Table6[[#This Row],[Affected Feeder ]],'Basic Data'!$A:$A,'Basic Data'!$C:$C),"")</f>
        <v>MSEDCL</v>
      </c>
      <c r="J73" s="295">
        <f>IFERROR(_xlfn.XLOOKUP(Table6[[#This Row],[Affected Feeder ]],'Basic Data'!$A:$A,'Basic Data'!$E:$E),"")</f>
        <v>2.2727272727272728E-2</v>
      </c>
      <c r="K73" s="296" t="s">
        <v>171</v>
      </c>
      <c r="L73" s="297">
        <v>0.77083333333333337</v>
      </c>
      <c r="M73" s="297">
        <v>0.77083333333333337</v>
      </c>
      <c r="N73" s="297">
        <v>0.78472222222222221</v>
      </c>
      <c r="O73" s="19">
        <f>(Table6[[#This Row],[Work Start TimeStamp]]-Table6[[#This Row],[Fault Start TimeStamp]])*24</f>
        <v>0</v>
      </c>
      <c r="P73" s="19">
        <f>(Table6[[#This Row],[Fault Clearance time]]-Table6[[#This Row],[Fault Start TimeStamp]])*24</f>
        <v>0.33333333333333215</v>
      </c>
      <c r="Q73" s="19">
        <f>(Table6[[#This Row],[Fault Clearance time]]-Table6[[#This Row],[Fault Start TimeStamp]])*24</f>
        <v>0.33333333333333215</v>
      </c>
      <c r="R73" s="79" t="s">
        <v>353</v>
      </c>
      <c r="S73" s="79" t="s">
        <v>339</v>
      </c>
      <c r="T73" s="298">
        <f>IFERROR(Table6[[#This Row],[Breakdown Time]]*Table6[[#This Row],[Plant Equivalent Weightage]],"")</f>
        <v>7.5757575757575491E-3</v>
      </c>
      <c r="U73" s="79" t="s">
        <v>416</v>
      </c>
      <c r="W73" s="79">
        <v>77</v>
      </c>
    </row>
    <row r="74" spans="1:23">
      <c r="A74" s="79">
        <f t="shared" si="1"/>
        <v>73</v>
      </c>
      <c r="B74" s="79">
        <f>YEAR(Table6[[#This Row],[Date]])+IF(MONTH(Table6[[#This Row],[Date]])&gt;=4,1,0)</f>
        <v>2026</v>
      </c>
      <c r="C74" s="79">
        <f>YEAR(Table6[[#This Row],[Date]])</f>
        <v>2025</v>
      </c>
      <c r="D74" s="79" t="s">
        <v>344</v>
      </c>
      <c r="E74" s="284">
        <f>Table6[[#This Row],[Date]]-DAY(Table6[[#This Row],[Date]])+1</f>
        <v>45748</v>
      </c>
      <c r="F74" s="285">
        <v>45748</v>
      </c>
      <c r="G74" s="79" t="s">
        <v>100</v>
      </c>
      <c r="H74" s="79" t="str">
        <f>IFERROR(_xlfn.XLOOKUP(Table6[[#This Row],[Affected Feeder ]],'Basic Data'!$A:$A,'Basic Data'!$B:$B),"")</f>
        <v>PWEPL</v>
      </c>
      <c r="I74" s="79" t="str">
        <f>IFERROR(_xlfn.XLOOKUP(Table6[[#This Row],[Affected Feeder ]],'Basic Data'!$A:$A,'Basic Data'!$C:$C),"")</f>
        <v>MSEDCL</v>
      </c>
      <c r="J74" s="295">
        <f>IFERROR(_xlfn.XLOOKUP(Table6[[#This Row],[Affected Feeder ]],'Basic Data'!$A:$A,'Basic Data'!$E:$E),"")</f>
        <v>2.2727272727272728E-2</v>
      </c>
      <c r="K74" s="296" t="s">
        <v>414</v>
      </c>
      <c r="L74" s="297">
        <v>0.44861111111111113</v>
      </c>
      <c r="M74" s="297">
        <v>0.44861111111111113</v>
      </c>
      <c r="N74" s="297">
        <v>0.77083333333333337</v>
      </c>
      <c r="O74" s="19">
        <f>(Table6[[#This Row],[Work Start TimeStamp]]-Table6[[#This Row],[Fault Start TimeStamp]])*24</f>
        <v>0</v>
      </c>
      <c r="P74" s="19">
        <f>(Table6[[#This Row],[Fault Clearance time]]-Table6[[#This Row],[Fault Start TimeStamp]])*24</f>
        <v>7.7333333333333343</v>
      </c>
      <c r="Q74" s="19">
        <f>(Table6[[#This Row],[Fault Clearance time]]-Table6[[#This Row],[Fault Start TimeStamp]])*24</f>
        <v>7.7333333333333343</v>
      </c>
      <c r="R74" s="79" t="s">
        <v>427</v>
      </c>
      <c r="S74" s="79" t="s">
        <v>339</v>
      </c>
      <c r="T74" s="298">
        <f>IFERROR(Table6[[#This Row],[Breakdown Time]]*Table6[[#This Row],[Plant Equivalent Weightage]],"")</f>
        <v>0.17575757575757578</v>
      </c>
      <c r="U74" s="79" t="s">
        <v>416</v>
      </c>
      <c r="W74" s="79">
        <v>1790</v>
      </c>
    </row>
    <row r="75" spans="1:23">
      <c r="A75" s="79">
        <f t="shared" si="1"/>
        <v>74</v>
      </c>
      <c r="B75" s="79">
        <f>YEAR(Table6[[#This Row],[Date]])+IF(MONTH(Table6[[#This Row],[Date]])&gt;=4,1,0)</f>
        <v>2026</v>
      </c>
      <c r="C75" s="79">
        <f>YEAR(Table6[[#This Row],[Date]])</f>
        <v>2025</v>
      </c>
      <c r="D75" s="79" t="s">
        <v>344</v>
      </c>
      <c r="E75" s="284">
        <f>Table6[[#This Row],[Date]]-DAY(Table6[[#This Row],[Date]])+1</f>
        <v>45748</v>
      </c>
      <c r="F75" s="285">
        <v>45748</v>
      </c>
      <c r="G75" s="79" t="s">
        <v>100</v>
      </c>
      <c r="H75" s="79" t="str">
        <f>IFERROR(_xlfn.XLOOKUP(Table6[[#This Row],[Affected Feeder ]],'Basic Data'!$A:$A,'Basic Data'!$B:$B),"")</f>
        <v>PWEPL</v>
      </c>
      <c r="I75" s="79" t="str">
        <f>IFERROR(_xlfn.XLOOKUP(Table6[[#This Row],[Affected Feeder ]],'Basic Data'!$A:$A,'Basic Data'!$C:$C),"")</f>
        <v>MSEDCL</v>
      </c>
      <c r="J75" s="295">
        <f>IFERROR(_xlfn.XLOOKUP(Table6[[#This Row],[Affected Feeder ]],'Basic Data'!$A:$A,'Basic Data'!$E:$E),"")</f>
        <v>2.2727272727272728E-2</v>
      </c>
      <c r="K75" s="296" t="s">
        <v>171</v>
      </c>
      <c r="L75" s="297">
        <v>0.77083333333333337</v>
      </c>
      <c r="M75" s="297">
        <v>0.77083333333333337</v>
      </c>
      <c r="N75" s="297">
        <v>0.78472222222222221</v>
      </c>
      <c r="O75" s="19">
        <f>(Table6[[#This Row],[Work Start TimeStamp]]-Table6[[#This Row],[Fault Start TimeStamp]])*24</f>
        <v>0</v>
      </c>
      <c r="P75" s="19">
        <f>(Table6[[#This Row],[Fault Clearance time]]-Table6[[#This Row],[Fault Start TimeStamp]])*24</f>
        <v>0.33333333333333215</v>
      </c>
      <c r="Q75" s="19">
        <f>(Table6[[#This Row],[Fault Clearance time]]-Table6[[#This Row],[Fault Start TimeStamp]])*24</f>
        <v>0.33333333333333215</v>
      </c>
      <c r="R75" s="79" t="s">
        <v>353</v>
      </c>
      <c r="S75" s="79" t="s">
        <v>339</v>
      </c>
      <c r="T75" s="298">
        <f>IFERROR(Table6[[#This Row],[Breakdown Time]]*Table6[[#This Row],[Plant Equivalent Weightage]],"")</f>
        <v>7.5757575757575491E-3</v>
      </c>
      <c r="U75" s="79" t="s">
        <v>416</v>
      </c>
      <c r="W75" s="79">
        <v>77</v>
      </c>
    </row>
    <row r="76" spans="1:23">
      <c r="A76" s="79">
        <f t="shared" si="1"/>
        <v>75</v>
      </c>
      <c r="B76" s="79">
        <f>YEAR(Table6[[#This Row],[Date]])+IF(MONTH(Table6[[#This Row],[Date]])&gt;=4,1,0)</f>
        <v>2026</v>
      </c>
      <c r="C76" s="79">
        <f>YEAR(Table6[[#This Row],[Date]])</f>
        <v>2025</v>
      </c>
      <c r="D76" s="79" t="s">
        <v>344</v>
      </c>
      <c r="E76" s="284">
        <f>Table6[[#This Row],[Date]]-DAY(Table6[[#This Row],[Date]])+1</f>
        <v>45748</v>
      </c>
      <c r="F76" s="285">
        <v>45748</v>
      </c>
      <c r="G76" s="79" t="s">
        <v>101</v>
      </c>
      <c r="H76" s="79" t="str">
        <f>IFERROR(_xlfn.XLOOKUP(Table6[[#This Row],[Affected Feeder ]],'Basic Data'!$A:$A,'Basic Data'!$B:$B),"")</f>
        <v>PWEPL</v>
      </c>
      <c r="I76" s="79" t="str">
        <f>IFERROR(_xlfn.XLOOKUP(Table6[[#This Row],[Affected Feeder ]],'Basic Data'!$A:$A,'Basic Data'!$C:$C),"")</f>
        <v>MSEDCL</v>
      </c>
      <c r="J76" s="295">
        <f>IFERROR(_xlfn.XLOOKUP(Table6[[#This Row],[Affected Feeder ]],'Basic Data'!$A:$A,'Basic Data'!$E:$E),"")</f>
        <v>2.2727272727272728E-2</v>
      </c>
      <c r="K76" s="296" t="s">
        <v>414</v>
      </c>
      <c r="L76" s="297">
        <v>0.44861111111111113</v>
      </c>
      <c r="M76" s="297">
        <v>0.44861111111111113</v>
      </c>
      <c r="N76" s="297">
        <v>0.77083333333333337</v>
      </c>
      <c r="O76" s="19">
        <f>(Table6[[#This Row],[Work Start TimeStamp]]-Table6[[#This Row],[Fault Start TimeStamp]])*24</f>
        <v>0</v>
      </c>
      <c r="P76" s="19">
        <f>(Table6[[#This Row],[Fault Clearance time]]-Table6[[#This Row],[Fault Start TimeStamp]])*24</f>
        <v>7.7333333333333343</v>
      </c>
      <c r="Q76" s="19">
        <f>(Table6[[#This Row],[Fault Clearance time]]-Table6[[#This Row],[Fault Start TimeStamp]])*24</f>
        <v>7.7333333333333343</v>
      </c>
      <c r="R76" s="79" t="s">
        <v>427</v>
      </c>
      <c r="S76" s="79" t="s">
        <v>339</v>
      </c>
      <c r="T76" s="298">
        <f>IFERROR(Table6[[#This Row],[Breakdown Time]]*Table6[[#This Row],[Plant Equivalent Weightage]],"")</f>
        <v>0.17575757575757578</v>
      </c>
      <c r="U76" s="79" t="s">
        <v>416</v>
      </c>
      <c r="W76" s="79">
        <v>1790</v>
      </c>
    </row>
    <row r="77" spans="1:23">
      <c r="A77" s="79">
        <f t="shared" si="1"/>
        <v>76</v>
      </c>
      <c r="B77" s="79">
        <f>YEAR(Table6[[#This Row],[Date]])+IF(MONTH(Table6[[#This Row],[Date]])&gt;=4,1,0)</f>
        <v>2026</v>
      </c>
      <c r="C77" s="79">
        <f>YEAR(Table6[[#This Row],[Date]])</f>
        <v>2025</v>
      </c>
      <c r="D77" s="79" t="s">
        <v>344</v>
      </c>
      <c r="E77" s="284">
        <f>Table6[[#This Row],[Date]]-DAY(Table6[[#This Row],[Date]])+1</f>
        <v>45748</v>
      </c>
      <c r="F77" s="285">
        <v>45748</v>
      </c>
      <c r="G77" s="79" t="s">
        <v>101</v>
      </c>
      <c r="H77" s="79" t="str">
        <f>IFERROR(_xlfn.XLOOKUP(Table6[[#This Row],[Affected Feeder ]],'Basic Data'!$A:$A,'Basic Data'!$B:$B),"")</f>
        <v>PWEPL</v>
      </c>
      <c r="I77" s="79" t="str">
        <f>IFERROR(_xlfn.XLOOKUP(Table6[[#This Row],[Affected Feeder ]],'Basic Data'!$A:$A,'Basic Data'!$C:$C),"")</f>
        <v>MSEDCL</v>
      </c>
      <c r="J77" s="295">
        <f>IFERROR(_xlfn.XLOOKUP(Table6[[#This Row],[Affected Feeder ]],'Basic Data'!$A:$A,'Basic Data'!$E:$E),"")</f>
        <v>2.2727272727272728E-2</v>
      </c>
      <c r="K77" s="296" t="s">
        <v>171</v>
      </c>
      <c r="L77" s="297">
        <v>0.77083333333333337</v>
      </c>
      <c r="M77" s="297">
        <v>0.77083333333333337</v>
      </c>
      <c r="N77" s="297">
        <v>0.78472222222222221</v>
      </c>
      <c r="O77" s="19">
        <f>(Table6[[#This Row],[Work Start TimeStamp]]-Table6[[#This Row],[Fault Start TimeStamp]])*24</f>
        <v>0</v>
      </c>
      <c r="P77" s="19">
        <f>(Table6[[#This Row],[Fault Clearance time]]-Table6[[#This Row],[Fault Start TimeStamp]])*24</f>
        <v>0.33333333333333215</v>
      </c>
      <c r="Q77" s="19">
        <f>(Table6[[#This Row],[Fault Clearance time]]-Table6[[#This Row],[Fault Start TimeStamp]])*24</f>
        <v>0.33333333333333215</v>
      </c>
      <c r="R77" s="79" t="s">
        <v>353</v>
      </c>
      <c r="S77" s="79" t="s">
        <v>339</v>
      </c>
      <c r="T77" s="298">
        <f>IFERROR(Table6[[#This Row],[Breakdown Time]]*Table6[[#This Row],[Plant Equivalent Weightage]],"")</f>
        <v>7.5757575757575491E-3</v>
      </c>
      <c r="U77" s="79" t="s">
        <v>416</v>
      </c>
      <c r="W77" s="79">
        <v>77</v>
      </c>
    </row>
    <row r="78" spans="1:23">
      <c r="A78" s="79">
        <f t="shared" si="1"/>
        <v>77</v>
      </c>
      <c r="B78" s="79">
        <f>YEAR(Table6[[#This Row],[Date]])+IF(MONTH(Table6[[#This Row],[Date]])&gt;=4,1,0)</f>
        <v>2026</v>
      </c>
      <c r="C78" s="79">
        <f>YEAR(Table6[[#This Row],[Date]])</f>
        <v>2025</v>
      </c>
      <c r="D78" s="79" t="s">
        <v>344</v>
      </c>
      <c r="E78" s="284">
        <f>Table6[[#This Row],[Date]]-DAY(Table6[[#This Row],[Date]])+1</f>
        <v>45748</v>
      </c>
      <c r="F78" s="285">
        <v>45749</v>
      </c>
      <c r="G78" s="79" t="s">
        <v>405</v>
      </c>
      <c r="H78" s="79" t="str">
        <f>IFERROR(_xlfn.XLOOKUP(Table6[[#This Row],[Affected Feeder ]],'Basic Data'!$A:$A,'Basic Data'!$B:$B),"")</f>
        <v>PWEPL</v>
      </c>
      <c r="I78" s="79" t="str">
        <f>IFERROR(_xlfn.XLOOKUP(Table6[[#This Row],[Affected Feeder ]],'Basic Data'!$A:$A,'Basic Data'!$C:$C),"")</f>
        <v>MSEDCL</v>
      </c>
      <c r="J78" s="295">
        <f>IFERROR(_xlfn.XLOOKUP(Table6[[#This Row],[Affected Feeder ]],'Basic Data'!$A:$A,'Basic Data'!$E:$E),"")</f>
        <v>0.20454545454545453</v>
      </c>
      <c r="K78" s="296" t="s">
        <v>419</v>
      </c>
      <c r="L78" s="297">
        <v>8.4722222222222213E-2</v>
      </c>
      <c r="M78" s="297">
        <v>8.4722222222222213E-2</v>
      </c>
      <c r="N78" s="297">
        <v>9.5138888888888884E-2</v>
      </c>
      <c r="O78" s="19">
        <f>(Table6[[#This Row],[Work Start TimeStamp]]-Table6[[#This Row],[Fault Start TimeStamp]])*24</f>
        <v>0</v>
      </c>
      <c r="P78" s="19">
        <f>(Table6[[#This Row],[Fault Clearance time]]-Table6[[#This Row],[Fault Start TimeStamp]])*24</f>
        <v>0.25000000000000011</v>
      </c>
      <c r="Q78" s="19">
        <f>(Table6[[#This Row],[Fault Clearance time]]-Table6[[#This Row],[Fault Start TimeStamp]])*24</f>
        <v>0.25000000000000011</v>
      </c>
      <c r="R78" s="79" t="s">
        <v>420</v>
      </c>
      <c r="S78" s="79" t="s">
        <v>339</v>
      </c>
      <c r="T78" s="298">
        <f>IFERROR(Table6[[#This Row],[Breakdown Time]]*Table6[[#This Row],[Plant Equivalent Weightage]],"")</f>
        <v>5.1136363636363653E-2</v>
      </c>
      <c r="U78" s="79" t="s">
        <v>421</v>
      </c>
      <c r="W78" s="79">
        <v>904</v>
      </c>
    </row>
    <row r="79" spans="1:23">
      <c r="A79" s="79">
        <f t="shared" si="1"/>
        <v>78</v>
      </c>
      <c r="B79" s="79">
        <f>YEAR(Table6[[#This Row],[Date]])+IF(MONTH(Table6[[#This Row],[Date]])&gt;=4,1,0)</f>
        <v>2026</v>
      </c>
      <c r="C79" s="79">
        <f>YEAR(Table6[[#This Row],[Date]])</f>
        <v>2025</v>
      </c>
      <c r="D79" s="79" t="s">
        <v>344</v>
      </c>
      <c r="E79" s="284">
        <f>Table6[[#This Row],[Date]]-DAY(Table6[[#This Row],[Date]])+1</f>
        <v>45748</v>
      </c>
      <c r="F79" s="285">
        <v>45749</v>
      </c>
      <c r="G79" s="79" t="s">
        <v>80</v>
      </c>
      <c r="H79" s="79" t="str">
        <f>IFERROR(_xlfn.XLOOKUP(Table6[[#This Row],[Affected Feeder ]],'Basic Data'!$A:$A,'Basic Data'!$B:$B),"")</f>
        <v>PWEPL</v>
      </c>
      <c r="I79" s="79" t="str">
        <f>IFERROR(_xlfn.XLOOKUP(Table6[[#This Row],[Affected Feeder ]],'Basic Data'!$A:$A,'Basic Data'!$C:$C),"")</f>
        <v>MSEDCL</v>
      </c>
      <c r="J79" s="295">
        <f>IFERROR(_xlfn.XLOOKUP(Table6[[#This Row],[Affected Feeder ]],'Basic Data'!$A:$A,'Basic Data'!$E:$E),"")</f>
        <v>2.2727272727272728E-2</v>
      </c>
      <c r="K79" s="296" t="s">
        <v>171</v>
      </c>
      <c r="L79" s="297">
        <v>9.5138888888888884E-2</v>
      </c>
      <c r="M79" s="297">
        <v>9.5138888888888884E-2</v>
      </c>
      <c r="N79" s="297">
        <v>0.10486111111111111</v>
      </c>
      <c r="O79" s="19">
        <f>(Table6[[#This Row],[Work Start TimeStamp]]-Table6[[#This Row],[Fault Start TimeStamp]])*24</f>
        <v>0</v>
      </c>
      <c r="P79" s="19">
        <f>(Table6[[#This Row],[Fault Clearance time]]-Table6[[#This Row],[Fault Start TimeStamp]])*24</f>
        <v>0.2333333333333335</v>
      </c>
      <c r="Q79" s="19">
        <f>(Table6[[#This Row],[Fault Clearance time]]-Table6[[#This Row],[Fault Start TimeStamp]])*24</f>
        <v>0.2333333333333335</v>
      </c>
      <c r="R79" s="79" t="s">
        <v>353</v>
      </c>
      <c r="S79" s="79" t="s">
        <v>339</v>
      </c>
      <c r="T79" s="298">
        <f>IFERROR(Table6[[#This Row],[Breakdown Time]]*Table6[[#This Row],[Plant Equivalent Weightage]],"")</f>
        <v>5.3030303030303068E-3</v>
      </c>
      <c r="U79" s="79" t="s">
        <v>421</v>
      </c>
      <c r="W79" s="79">
        <v>100</v>
      </c>
    </row>
    <row r="80" spans="1:23">
      <c r="A80" s="79">
        <f t="shared" si="1"/>
        <v>79</v>
      </c>
      <c r="B80" s="79">
        <f>YEAR(Table6[[#This Row],[Date]])+IF(MONTH(Table6[[#This Row],[Date]])&gt;=4,1,0)</f>
        <v>2026</v>
      </c>
      <c r="C80" s="79">
        <f>YEAR(Table6[[#This Row],[Date]])</f>
        <v>2025</v>
      </c>
      <c r="D80" s="79" t="s">
        <v>344</v>
      </c>
      <c r="E80" s="284">
        <f>Table6[[#This Row],[Date]]-DAY(Table6[[#This Row],[Date]])+1</f>
        <v>45748</v>
      </c>
      <c r="F80" s="285">
        <v>45749</v>
      </c>
      <c r="G80" s="79" t="s">
        <v>81</v>
      </c>
      <c r="H80" s="79" t="str">
        <f>IFERROR(_xlfn.XLOOKUP(Table6[[#This Row],[Affected Feeder ]],'Basic Data'!$A:$A,'Basic Data'!$B:$B),"")</f>
        <v>PWEPL</v>
      </c>
      <c r="I80" s="79" t="str">
        <f>IFERROR(_xlfn.XLOOKUP(Table6[[#This Row],[Affected Feeder ]],'Basic Data'!$A:$A,'Basic Data'!$C:$C),"")</f>
        <v>MSEDCL</v>
      </c>
      <c r="J80" s="295">
        <f>IFERROR(_xlfn.XLOOKUP(Table6[[#This Row],[Affected Feeder ]],'Basic Data'!$A:$A,'Basic Data'!$E:$E),"")</f>
        <v>2.2727272727272728E-2</v>
      </c>
      <c r="K80" s="296" t="s">
        <v>171</v>
      </c>
      <c r="L80" s="297">
        <v>9.5138888888888884E-2</v>
      </c>
      <c r="M80" s="297">
        <v>9.5138888888888884E-2</v>
      </c>
      <c r="N80" s="297">
        <v>0.10486111111111111</v>
      </c>
      <c r="O80" s="19">
        <f>(Table6[[#This Row],[Work Start TimeStamp]]-Table6[[#This Row],[Fault Start TimeStamp]])*24</f>
        <v>0</v>
      </c>
      <c r="P80" s="19">
        <f>(Table6[[#This Row],[Fault Clearance time]]-Table6[[#This Row],[Fault Start TimeStamp]])*24</f>
        <v>0.2333333333333335</v>
      </c>
      <c r="Q80" s="19">
        <f>(Table6[[#This Row],[Fault Clearance time]]-Table6[[#This Row],[Fault Start TimeStamp]])*24</f>
        <v>0.2333333333333335</v>
      </c>
      <c r="R80" s="79" t="s">
        <v>353</v>
      </c>
      <c r="S80" s="79" t="s">
        <v>339</v>
      </c>
      <c r="T80" s="298">
        <f>IFERROR(Table6[[#This Row],[Breakdown Time]]*Table6[[#This Row],[Plant Equivalent Weightage]],"")</f>
        <v>5.3030303030303068E-3</v>
      </c>
      <c r="U80" s="79" t="s">
        <v>421</v>
      </c>
      <c r="W80" s="79">
        <v>100</v>
      </c>
    </row>
    <row r="81" spans="1:23">
      <c r="A81" s="79">
        <f t="shared" si="1"/>
        <v>80</v>
      </c>
      <c r="B81" s="79">
        <f>YEAR(Table6[[#This Row],[Date]])+IF(MONTH(Table6[[#This Row],[Date]])&gt;=4,1,0)</f>
        <v>2026</v>
      </c>
      <c r="C81" s="79">
        <f>YEAR(Table6[[#This Row],[Date]])</f>
        <v>2025</v>
      </c>
      <c r="D81" s="79" t="s">
        <v>344</v>
      </c>
      <c r="E81" s="284">
        <f>Table6[[#This Row],[Date]]-DAY(Table6[[#This Row],[Date]])+1</f>
        <v>45748</v>
      </c>
      <c r="F81" s="285">
        <v>45749</v>
      </c>
      <c r="G81" s="79" t="s">
        <v>107</v>
      </c>
      <c r="H81" s="79" t="str">
        <f>IFERROR(_xlfn.XLOOKUP(Table6[[#This Row],[Affected Feeder ]],'Basic Data'!$A:$A,'Basic Data'!$B:$B),"")</f>
        <v>PWEPL</v>
      </c>
      <c r="I81" s="79" t="str">
        <f>IFERROR(_xlfn.XLOOKUP(Table6[[#This Row],[Affected Feeder ]],'Basic Data'!$A:$A,'Basic Data'!$C:$C),"")</f>
        <v>MSEDCL</v>
      </c>
      <c r="J81" s="295">
        <f>IFERROR(_xlfn.XLOOKUP(Table6[[#This Row],[Affected Feeder ]],'Basic Data'!$A:$A,'Basic Data'!$E:$E),"")</f>
        <v>2.2727272727272728E-2</v>
      </c>
      <c r="K81" s="296" t="s">
        <v>171</v>
      </c>
      <c r="L81" s="297">
        <v>9.5138888888888884E-2</v>
      </c>
      <c r="M81" s="297">
        <v>9.5138888888888884E-2</v>
      </c>
      <c r="N81" s="297">
        <v>0.10625</v>
      </c>
      <c r="O81" s="19">
        <f>(Table6[[#This Row],[Work Start TimeStamp]]-Table6[[#This Row],[Fault Start TimeStamp]])*24</f>
        <v>0</v>
      </c>
      <c r="P81" s="19">
        <f>(Table6[[#This Row],[Fault Clearance time]]-Table6[[#This Row],[Fault Start TimeStamp]])*24</f>
        <v>0.26666666666666672</v>
      </c>
      <c r="Q81" s="19">
        <f>(Table6[[#This Row],[Fault Clearance time]]-Table6[[#This Row],[Fault Start TimeStamp]])*24</f>
        <v>0.26666666666666672</v>
      </c>
      <c r="R81" s="79" t="s">
        <v>353</v>
      </c>
      <c r="S81" s="79" t="s">
        <v>339</v>
      </c>
      <c r="T81" s="298">
        <f>IFERROR(Table6[[#This Row],[Breakdown Time]]*Table6[[#This Row],[Plant Equivalent Weightage]],"")</f>
        <v>6.0606060606060623E-3</v>
      </c>
      <c r="U81" s="79" t="s">
        <v>421</v>
      </c>
      <c r="W81" s="79">
        <v>100</v>
      </c>
    </row>
    <row r="82" spans="1:23">
      <c r="A82" s="79">
        <f t="shared" si="1"/>
        <v>81</v>
      </c>
      <c r="B82" s="79">
        <f>YEAR(Table6[[#This Row],[Date]])+IF(MONTH(Table6[[#This Row],[Date]])&gt;=4,1,0)</f>
        <v>2026</v>
      </c>
      <c r="C82" s="79">
        <f>YEAR(Table6[[#This Row],[Date]])</f>
        <v>2025</v>
      </c>
      <c r="D82" s="79" t="s">
        <v>344</v>
      </c>
      <c r="E82" s="284">
        <f>Table6[[#This Row],[Date]]-DAY(Table6[[#This Row],[Date]])+1</f>
        <v>45748</v>
      </c>
      <c r="F82" s="285">
        <v>45749</v>
      </c>
      <c r="G82" s="79" t="s">
        <v>108</v>
      </c>
      <c r="H82" s="79" t="str">
        <f>IFERROR(_xlfn.XLOOKUP(Table6[[#This Row],[Affected Feeder ]],'Basic Data'!$A:$A,'Basic Data'!$B:$B),"")</f>
        <v>PWEPL</v>
      </c>
      <c r="I82" s="79" t="str">
        <f>IFERROR(_xlfn.XLOOKUP(Table6[[#This Row],[Affected Feeder ]],'Basic Data'!$A:$A,'Basic Data'!$C:$C),"")</f>
        <v>MSEDCL</v>
      </c>
      <c r="J82" s="295">
        <f>IFERROR(_xlfn.XLOOKUP(Table6[[#This Row],[Affected Feeder ]],'Basic Data'!$A:$A,'Basic Data'!$E:$E),"")</f>
        <v>2.2727272727272728E-2</v>
      </c>
      <c r="K82" s="296" t="s">
        <v>171</v>
      </c>
      <c r="L82" s="297">
        <v>9.5138888888888884E-2</v>
      </c>
      <c r="M82" s="297">
        <v>9.5138888888888884E-2</v>
      </c>
      <c r="N82" s="297">
        <v>0.10486111111111111</v>
      </c>
      <c r="O82" s="19">
        <f>(Table6[[#This Row],[Work Start TimeStamp]]-Table6[[#This Row],[Fault Start TimeStamp]])*24</f>
        <v>0</v>
      </c>
      <c r="P82" s="19">
        <f>(Table6[[#This Row],[Fault Clearance time]]-Table6[[#This Row],[Fault Start TimeStamp]])*24</f>
        <v>0.2333333333333335</v>
      </c>
      <c r="Q82" s="19">
        <f>(Table6[[#This Row],[Fault Clearance time]]-Table6[[#This Row],[Fault Start TimeStamp]])*24</f>
        <v>0.2333333333333335</v>
      </c>
      <c r="R82" s="79" t="s">
        <v>353</v>
      </c>
      <c r="S82" s="79" t="s">
        <v>339</v>
      </c>
      <c r="T82" s="298">
        <f>IFERROR(Table6[[#This Row],[Breakdown Time]]*Table6[[#This Row],[Plant Equivalent Weightage]],"")</f>
        <v>5.3030303030303068E-3</v>
      </c>
      <c r="U82" s="79" t="s">
        <v>421</v>
      </c>
      <c r="W82" s="79">
        <v>100</v>
      </c>
    </row>
    <row r="83" spans="1:23">
      <c r="A83" s="79">
        <f t="shared" si="1"/>
        <v>82</v>
      </c>
      <c r="B83" s="79">
        <f>YEAR(Table6[[#This Row],[Date]])+IF(MONTH(Table6[[#This Row],[Date]])&gt;=4,1,0)</f>
        <v>2026</v>
      </c>
      <c r="C83" s="79">
        <f>YEAR(Table6[[#This Row],[Date]])</f>
        <v>2025</v>
      </c>
      <c r="D83" s="79" t="s">
        <v>344</v>
      </c>
      <c r="E83" s="284">
        <f>Table6[[#This Row],[Date]]-DAY(Table6[[#This Row],[Date]])+1</f>
        <v>45748</v>
      </c>
      <c r="F83" s="285">
        <v>45749</v>
      </c>
      <c r="G83" s="79" t="s">
        <v>109</v>
      </c>
      <c r="H83" s="79" t="str">
        <f>IFERROR(_xlfn.XLOOKUP(Table6[[#This Row],[Affected Feeder ]],'Basic Data'!$A:$A,'Basic Data'!$B:$B),"")</f>
        <v>PWEPL</v>
      </c>
      <c r="I83" s="79" t="str">
        <f>IFERROR(_xlfn.XLOOKUP(Table6[[#This Row],[Affected Feeder ]],'Basic Data'!$A:$A,'Basic Data'!$C:$C),"")</f>
        <v>MSEDCL</v>
      </c>
      <c r="J83" s="295">
        <f>IFERROR(_xlfn.XLOOKUP(Table6[[#This Row],[Affected Feeder ]],'Basic Data'!$A:$A,'Basic Data'!$E:$E),"")</f>
        <v>2.2727272727272728E-2</v>
      </c>
      <c r="K83" s="296" t="s">
        <v>171</v>
      </c>
      <c r="L83" s="297">
        <v>9.5138888888888884E-2</v>
      </c>
      <c r="M83" s="297">
        <v>9.5138888888888884E-2</v>
      </c>
      <c r="N83" s="297">
        <v>0.10555555555555556</v>
      </c>
      <c r="O83" s="19">
        <f>(Table6[[#This Row],[Work Start TimeStamp]]-Table6[[#This Row],[Fault Start TimeStamp]])*24</f>
        <v>0</v>
      </c>
      <c r="P83" s="19">
        <f>(Table6[[#This Row],[Fault Clearance time]]-Table6[[#This Row],[Fault Start TimeStamp]])*24</f>
        <v>0.25000000000000011</v>
      </c>
      <c r="Q83" s="19">
        <f>(Table6[[#This Row],[Fault Clearance time]]-Table6[[#This Row],[Fault Start TimeStamp]])*24</f>
        <v>0.25000000000000011</v>
      </c>
      <c r="R83" s="79" t="s">
        <v>353</v>
      </c>
      <c r="S83" s="79" t="s">
        <v>339</v>
      </c>
      <c r="T83" s="298">
        <f>IFERROR(Table6[[#This Row],[Breakdown Time]]*Table6[[#This Row],[Plant Equivalent Weightage]],"")</f>
        <v>5.6818181818181846E-3</v>
      </c>
      <c r="U83" s="79" t="s">
        <v>421</v>
      </c>
      <c r="W83" s="79">
        <v>100</v>
      </c>
    </row>
    <row r="84" spans="1:23">
      <c r="A84" s="79">
        <f t="shared" si="1"/>
        <v>83</v>
      </c>
      <c r="B84" s="79">
        <f>YEAR(Table6[[#This Row],[Date]])+IF(MONTH(Table6[[#This Row],[Date]])&gt;=4,1,0)</f>
        <v>2026</v>
      </c>
      <c r="C84" s="79">
        <f>YEAR(Table6[[#This Row],[Date]])</f>
        <v>2025</v>
      </c>
      <c r="D84" s="79" t="s">
        <v>344</v>
      </c>
      <c r="E84" s="284">
        <f>Table6[[#This Row],[Date]]-DAY(Table6[[#This Row],[Date]])+1</f>
        <v>45748</v>
      </c>
      <c r="F84" s="285">
        <v>45749</v>
      </c>
      <c r="G84" s="79" t="s">
        <v>111</v>
      </c>
      <c r="H84" s="79" t="str">
        <f>IFERROR(_xlfn.XLOOKUP(Table6[[#This Row],[Affected Feeder ]],'Basic Data'!$A:$A,'Basic Data'!$B:$B),"")</f>
        <v>PWEPL</v>
      </c>
      <c r="I84" s="79" t="str">
        <f>IFERROR(_xlfn.XLOOKUP(Table6[[#This Row],[Affected Feeder ]],'Basic Data'!$A:$A,'Basic Data'!$C:$C),"")</f>
        <v>MSEDCL</v>
      </c>
      <c r="J84" s="295">
        <f>IFERROR(_xlfn.XLOOKUP(Table6[[#This Row],[Affected Feeder ]],'Basic Data'!$A:$A,'Basic Data'!$E:$E),"")</f>
        <v>2.2727272727272728E-2</v>
      </c>
      <c r="K84" s="296" t="s">
        <v>171</v>
      </c>
      <c r="L84" s="297">
        <v>9.5138888888888884E-2</v>
      </c>
      <c r="M84" s="297">
        <v>9.5138888888888884E-2</v>
      </c>
      <c r="N84" s="297">
        <v>0.10902777777777778</v>
      </c>
      <c r="O84" s="19">
        <f>(Table6[[#This Row],[Work Start TimeStamp]]-Table6[[#This Row],[Fault Start TimeStamp]])*24</f>
        <v>0</v>
      </c>
      <c r="P84" s="19">
        <f>(Table6[[#This Row],[Fault Clearance time]]-Table6[[#This Row],[Fault Start TimeStamp]])*24</f>
        <v>0.33333333333333348</v>
      </c>
      <c r="Q84" s="19">
        <f>(Table6[[#This Row],[Fault Clearance time]]-Table6[[#This Row],[Fault Start TimeStamp]])*24</f>
        <v>0.33333333333333348</v>
      </c>
      <c r="R84" s="79" t="s">
        <v>353</v>
      </c>
      <c r="S84" s="79" t="s">
        <v>339</v>
      </c>
      <c r="T84" s="298">
        <f>IFERROR(Table6[[#This Row],[Breakdown Time]]*Table6[[#This Row],[Plant Equivalent Weightage]],"")</f>
        <v>7.5757575757575794E-3</v>
      </c>
      <c r="U84" s="79" t="s">
        <v>421</v>
      </c>
      <c r="W84" s="79">
        <v>100</v>
      </c>
    </row>
    <row r="85" spans="1:23">
      <c r="A85" s="79">
        <f t="shared" si="1"/>
        <v>84</v>
      </c>
      <c r="B85" s="79">
        <f>YEAR(Table6[[#This Row],[Date]])+IF(MONTH(Table6[[#This Row],[Date]])&gt;=4,1,0)</f>
        <v>2026</v>
      </c>
      <c r="C85" s="79">
        <f>YEAR(Table6[[#This Row],[Date]])</f>
        <v>2025</v>
      </c>
      <c r="D85" s="79" t="s">
        <v>344</v>
      </c>
      <c r="E85" s="284">
        <f>Table6[[#This Row],[Date]]-DAY(Table6[[#This Row],[Date]])+1</f>
        <v>45748</v>
      </c>
      <c r="F85" s="285">
        <v>45749</v>
      </c>
      <c r="G85" s="79" t="s">
        <v>112</v>
      </c>
      <c r="H85" s="79" t="str">
        <f>IFERROR(_xlfn.XLOOKUP(Table6[[#This Row],[Affected Feeder ]],'Basic Data'!$A:$A,'Basic Data'!$B:$B),"")</f>
        <v>PWEPL</v>
      </c>
      <c r="I85" s="79" t="str">
        <f>IFERROR(_xlfn.XLOOKUP(Table6[[#This Row],[Affected Feeder ]],'Basic Data'!$A:$A,'Basic Data'!$C:$C),"")</f>
        <v>MSEDCL</v>
      </c>
      <c r="J85" s="295">
        <f>IFERROR(_xlfn.XLOOKUP(Table6[[#This Row],[Affected Feeder ]],'Basic Data'!$A:$A,'Basic Data'!$E:$E),"")</f>
        <v>2.2727272727272728E-2</v>
      </c>
      <c r="K85" s="296" t="s">
        <v>171</v>
      </c>
      <c r="L85" s="297">
        <v>9.5138888888888884E-2</v>
      </c>
      <c r="M85" s="297">
        <v>9.5138888888888884E-2</v>
      </c>
      <c r="N85" s="297">
        <v>0.10902777777777778</v>
      </c>
      <c r="O85" s="19">
        <f>(Table6[[#This Row],[Work Start TimeStamp]]-Table6[[#This Row],[Fault Start TimeStamp]])*24</f>
        <v>0</v>
      </c>
      <c r="P85" s="19">
        <f>(Table6[[#This Row],[Fault Clearance time]]-Table6[[#This Row],[Fault Start TimeStamp]])*24</f>
        <v>0.33333333333333348</v>
      </c>
      <c r="Q85" s="19">
        <f>(Table6[[#This Row],[Fault Clearance time]]-Table6[[#This Row],[Fault Start TimeStamp]])*24</f>
        <v>0.33333333333333348</v>
      </c>
      <c r="R85" s="79" t="s">
        <v>353</v>
      </c>
      <c r="S85" s="79" t="s">
        <v>339</v>
      </c>
      <c r="T85" s="298">
        <f>IFERROR(Table6[[#This Row],[Breakdown Time]]*Table6[[#This Row],[Plant Equivalent Weightage]],"")</f>
        <v>7.5757575757575794E-3</v>
      </c>
      <c r="U85" s="79" t="s">
        <v>421</v>
      </c>
      <c r="W85" s="79">
        <v>100</v>
      </c>
    </row>
    <row r="86" spans="1:23">
      <c r="A86" s="79">
        <f t="shared" si="1"/>
        <v>85</v>
      </c>
      <c r="B86" s="79">
        <f>YEAR(Table6[[#This Row],[Date]])+IF(MONTH(Table6[[#This Row],[Date]])&gt;=4,1,0)</f>
        <v>2026</v>
      </c>
      <c r="C86" s="79">
        <f>YEAR(Table6[[#This Row],[Date]])</f>
        <v>2025</v>
      </c>
      <c r="D86" s="79" t="s">
        <v>344</v>
      </c>
      <c r="E86" s="284">
        <f>Table6[[#This Row],[Date]]-DAY(Table6[[#This Row],[Date]])+1</f>
        <v>45748</v>
      </c>
      <c r="F86" s="285">
        <v>45749</v>
      </c>
      <c r="G86" s="79" t="s">
        <v>113</v>
      </c>
      <c r="H86" s="79" t="str">
        <f>IFERROR(_xlfn.XLOOKUP(Table6[[#This Row],[Affected Feeder ]],'Basic Data'!$A:$A,'Basic Data'!$B:$B),"")</f>
        <v>PWEPL</v>
      </c>
      <c r="I86" s="79" t="str">
        <f>IFERROR(_xlfn.XLOOKUP(Table6[[#This Row],[Affected Feeder ]],'Basic Data'!$A:$A,'Basic Data'!$C:$C),"")</f>
        <v>MSEDCL</v>
      </c>
      <c r="J86" s="295">
        <f>IFERROR(_xlfn.XLOOKUP(Table6[[#This Row],[Affected Feeder ]],'Basic Data'!$A:$A,'Basic Data'!$E:$E),"")</f>
        <v>2.2727272727272728E-2</v>
      </c>
      <c r="K86" s="296" t="s">
        <v>171</v>
      </c>
      <c r="L86" s="297">
        <v>9.5138888888888884E-2</v>
      </c>
      <c r="M86" s="297">
        <v>9.5138888888888884E-2</v>
      </c>
      <c r="N86" s="297">
        <v>0.10694444444444444</v>
      </c>
      <c r="O86" s="19">
        <f>(Table6[[#This Row],[Work Start TimeStamp]]-Table6[[#This Row],[Fault Start TimeStamp]])*24</f>
        <v>0</v>
      </c>
      <c r="P86" s="19">
        <f>(Table6[[#This Row],[Fault Clearance time]]-Table6[[#This Row],[Fault Start TimeStamp]])*24</f>
        <v>0.28333333333333333</v>
      </c>
      <c r="Q86" s="19">
        <f>(Table6[[#This Row],[Fault Clearance time]]-Table6[[#This Row],[Fault Start TimeStamp]])*24</f>
        <v>0.28333333333333333</v>
      </c>
      <c r="R86" s="79" t="s">
        <v>353</v>
      </c>
      <c r="S86" s="79" t="s">
        <v>339</v>
      </c>
      <c r="T86" s="298">
        <f>IFERROR(Table6[[#This Row],[Breakdown Time]]*Table6[[#This Row],[Plant Equivalent Weightage]],"")</f>
        <v>6.4393939393939392E-3</v>
      </c>
      <c r="U86" s="79" t="s">
        <v>421</v>
      </c>
      <c r="W86" s="79">
        <v>100</v>
      </c>
    </row>
    <row r="87" spans="1:23">
      <c r="A87" s="79">
        <f t="shared" si="1"/>
        <v>86</v>
      </c>
      <c r="B87" s="79">
        <f>YEAR(Table6[[#This Row],[Date]])+IF(MONTH(Table6[[#This Row],[Date]])&gt;=4,1,0)</f>
        <v>2026</v>
      </c>
      <c r="C87" s="79">
        <f>YEAR(Table6[[#This Row],[Date]])</f>
        <v>2025</v>
      </c>
      <c r="D87" s="79" t="s">
        <v>344</v>
      </c>
      <c r="E87" s="284">
        <f>Table6[[#This Row],[Date]]-DAY(Table6[[#This Row],[Date]])+1</f>
        <v>45748</v>
      </c>
      <c r="F87" s="285">
        <v>45749</v>
      </c>
      <c r="G87" s="79" t="s">
        <v>114</v>
      </c>
      <c r="H87" s="79" t="str">
        <f>IFERROR(_xlfn.XLOOKUP(Table6[[#This Row],[Affected Feeder ]],'Basic Data'!$A:$A,'Basic Data'!$B:$B),"")</f>
        <v>PWEPL</v>
      </c>
      <c r="I87" s="79" t="str">
        <f>IFERROR(_xlfn.XLOOKUP(Table6[[#This Row],[Affected Feeder ]],'Basic Data'!$A:$A,'Basic Data'!$C:$C),"")</f>
        <v>MSEDCL</v>
      </c>
      <c r="J87" s="295">
        <f>IFERROR(_xlfn.XLOOKUP(Table6[[#This Row],[Affected Feeder ]],'Basic Data'!$A:$A,'Basic Data'!$E:$E),"")</f>
        <v>2.2727272727272728E-2</v>
      </c>
      <c r="K87" s="296" t="s">
        <v>171</v>
      </c>
      <c r="L87" s="297">
        <v>9.5138888888888884E-2</v>
      </c>
      <c r="M87" s="297">
        <v>9.5138888888888884E-2</v>
      </c>
      <c r="N87" s="297">
        <v>0.10555555555555556</v>
      </c>
      <c r="O87" s="19">
        <f>(Table6[[#This Row],[Work Start TimeStamp]]-Table6[[#This Row],[Fault Start TimeStamp]])*24</f>
        <v>0</v>
      </c>
      <c r="P87" s="19">
        <f>(Table6[[#This Row],[Fault Clearance time]]-Table6[[#This Row],[Fault Start TimeStamp]])*24</f>
        <v>0.25000000000000011</v>
      </c>
      <c r="Q87" s="19">
        <f>(Table6[[#This Row],[Fault Clearance time]]-Table6[[#This Row],[Fault Start TimeStamp]])*24</f>
        <v>0.25000000000000011</v>
      </c>
      <c r="R87" s="79" t="s">
        <v>353</v>
      </c>
      <c r="S87" s="79" t="s">
        <v>339</v>
      </c>
      <c r="T87" s="298">
        <f>IFERROR(Table6[[#This Row],[Breakdown Time]]*Table6[[#This Row],[Plant Equivalent Weightage]],"")</f>
        <v>5.6818181818181846E-3</v>
      </c>
      <c r="U87" s="79" t="s">
        <v>421</v>
      </c>
      <c r="W87" s="79">
        <v>100</v>
      </c>
    </row>
    <row r="88" spans="1:23">
      <c r="A88" s="79">
        <f t="shared" si="1"/>
        <v>87</v>
      </c>
      <c r="B88" s="79">
        <f>YEAR(Table6[[#This Row],[Date]])+IF(MONTH(Table6[[#This Row],[Date]])&gt;=4,1,0)</f>
        <v>2026</v>
      </c>
      <c r="C88" s="79">
        <f>YEAR(Table6[[#This Row],[Date]])</f>
        <v>2025</v>
      </c>
      <c r="D88" s="79" t="s">
        <v>344</v>
      </c>
      <c r="E88" s="284">
        <f>Table6[[#This Row],[Date]]-DAY(Table6[[#This Row],[Date]])+1</f>
        <v>45748</v>
      </c>
      <c r="F88" s="285">
        <v>45749</v>
      </c>
      <c r="G88" s="79" t="s">
        <v>83</v>
      </c>
      <c r="H88" s="79" t="str">
        <f>IFERROR(_xlfn.XLOOKUP(Table6[[#This Row],[Affected Feeder ]],'Basic Data'!$A:$A,'Basic Data'!$B:$B),"")</f>
        <v>PWEPL</v>
      </c>
      <c r="I88" s="79" t="str">
        <f>IFERROR(_xlfn.XLOOKUP(Table6[[#This Row],[Affected Feeder ]],'Basic Data'!$A:$A,'Basic Data'!$C:$C),"")</f>
        <v>MSEDCL</v>
      </c>
      <c r="J88" s="295">
        <f>IFERROR(_xlfn.XLOOKUP(Table6[[#This Row],[Affected Feeder ]],'Basic Data'!$A:$A,'Basic Data'!$E:$E),"")</f>
        <v>2.2727272727272728E-2</v>
      </c>
      <c r="K88" s="296" t="s">
        <v>414</v>
      </c>
      <c r="L88" s="297">
        <v>0.64583333333333337</v>
      </c>
      <c r="M88" s="297">
        <v>0.64583333333333337</v>
      </c>
      <c r="N88" s="297">
        <v>0.78819444444444442</v>
      </c>
      <c r="O88" s="19">
        <f>(Table6[[#This Row],[Work Start TimeStamp]]-Table6[[#This Row],[Fault Start TimeStamp]])*24</f>
        <v>0</v>
      </c>
      <c r="P88" s="19">
        <f>(Table6[[#This Row],[Fault Clearance time]]-Table6[[#This Row],[Fault Start TimeStamp]])*24</f>
        <v>3.4166666666666652</v>
      </c>
      <c r="Q88" s="19">
        <f>(Table6[[#This Row],[Fault Clearance time]]-Table6[[#This Row],[Fault Start TimeStamp]])*24</f>
        <v>3.4166666666666652</v>
      </c>
      <c r="R88" s="79" t="s">
        <v>428</v>
      </c>
      <c r="S88" s="79" t="s">
        <v>339</v>
      </c>
      <c r="T88" s="298">
        <f>IFERROR(Table6[[#This Row],[Breakdown Time]]*Table6[[#This Row],[Plant Equivalent Weightage]],"")</f>
        <v>7.7651515151515124E-2</v>
      </c>
      <c r="U88" s="79" t="s">
        <v>416</v>
      </c>
      <c r="W88" s="79">
        <v>1022</v>
      </c>
    </row>
    <row r="89" spans="1:23">
      <c r="A89" s="79">
        <f t="shared" si="1"/>
        <v>88</v>
      </c>
      <c r="B89" s="79">
        <f>YEAR(Table6[[#This Row],[Date]])+IF(MONTH(Table6[[#This Row],[Date]])&gt;=4,1,0)</f>
        <v>2026</v>
      </c>
      <c r="C89" s="79">
        <f>YEAR(Table6[[#This Row],[Date]])</f>
        <v>2025</v>
      </c>
      <c r="D89" s="79" t="s">
        <v>344</v>
      </c>
      <c r="E89" s="284">
        <f>Table6[[#This Row],[Date]]-DAY(Table6[[#This Row],[Date]])+1</f>
        <v>45748</v>
      </c>
      <c r="F89" s="285">
        <v>45749</v>
      </c>
      <c r="G89" s="79" t="s">
        <v>83</v>
      </c>
      <c r="H89" s="79" t="str">
        <f>IFERROR(_xlfn.XLOOKUP(Table6[[#This Row],[Affected Feeder ]],'Basic Data'!$A:$A,'Basic Data'!$B:$B),"")</f>
        <v>PWEPL</v>
      </c>
      <c r="I89" s="79" t="str">
        <f>IFERROR(_xlfn.XLOOKUP(Table6[[#This Row],[Affected Feeder ]],'Basic Data'!$A:$A,'Basic Data'!$C:$C),"")</f>
        <v>MSEDCL</v>
      </c>
      <c r="J89" s="295">
        <f>IFERROR(_xlfn.XLOOKUP(Table6[[#This Row],[Affected Feeder ]],'Basic Data'!$A:$A,'Basic Data'!$E:$E),"")</f>
        <v>2.2727272727272728E-2</v>
      </c>
      <c r="K89" s="296" t="s">
        <v>171</v>
      </c>
      <c r="L89" s="297">
        <v>0.78819444444444442</v>
      </c>
      <c r="M89" s="297">
        <v>0.78819444444444442</v>
      </c>
      <c r="N89" s="297">
        <v>0.80208333333333337</v>
      </c>
      <c r="O89" s="19">
        <f>(Table6[[#This Row],[Work Start TimeStamp]]-Table6[[#This Row],[Fault Start TimeStamp]])*24</f>
        <v>0</v>
      </c>
      <c r="P89" s="19">
        <f>(Table6[[#This Row],[Fault Clearance time]]-Table6[[#This Row],[Fault Start TimeStamp]])*24</f>
        <v>0.33333333333333481</v>
      </c>
      <c r="Q89" s="19">
        <f>(Table6[[#This Row],[Fault Clearance time]]-Table6[[#This Row],[Fault Start TimeStamp]])*24</f>
        <v>0.33333333333333481</v>
      </c>
      <c r="R89" s="79" t="s">
        <v>353</v>
      </c>
      <c r="S89" s="79" t="s">
        <v>339</v>
      </c>
      <c r="T89" s="298">
        <f>IFERROR(Table6[[#This Row],[Breakdown Time]]*Table6[[#This Row],[Plant Equivalent Weightage]],"")</f>
        <v>7.5757575757576098E-3</v>
      </c>
      <c r="U89" s="79" t="s">
        <v>416</v>
      </c>
      <c r="W89" s="79">
        <v>99</v>
      </c>
    </row>
    <row r="90" spans="1:23">
      <c r="A90" s="79">
        <f t="shared" si="1"/>
        <v>89</v>
      </c>
      <c r="B90" s="79">
        <f>YEAR(Table6[[#This Row],[Date]])+IF(MONTH(Table6[[#This Row],[Date]])&gt;=4,1,0)</f>
        <v>2026</v>
      </c>
      <c r="C90" s="79">
        <f>YEAR(Table6[[#This Row],[Date]])</f>
        <v>2025</v>
      </c>
      <c r="D90" s="79" t="s">
        <v>344</v>
      </c>
      <c r="E90" s="284">
        <f>Table6[[#This Row],[Date]]-DAY(Table6[[#This Row],[Date]])+1</f>
        <v>45748</v>
      </c>
      <c r="F90" s="285">
        <v>45749</v>
      </c>
      <c r="G90" s="79" t="s">
        <v>98</v>
      </c>
      <c r="H90" s="79" t="str">
        <f>IFERROR(_xlfn.XLOOKUP(Table6[[#This Row],[Affected Feeder ]],'Basic Data'!$A:$A,'Basic Data'!$B:$B),"")</f>
        <v>PWEPL</v>
      </c>
      <c r="I90" s="79" t="str">
        <f>IFERROR(_xlfn.XLOOKUP(Table6[[#This Row],[Affected Feeder ]],'Basic Data'!$A:$A,'Basic Data'!$C:$C),"")</f>
        <v>MSEDCL</v>
      </c>
      <c r="J90" s="295">
        <f>IFERROR(_xlfn.XLOOKUP(Table6[[#This Row],[Affected Feeder ]],'Basic Data'!$A:$A,'Basic Data'!$E:$E),"")</f>
        <v>2.2727272727272728E-2</v>
      </c>
      <c r="K90" s="296" t="s">
        <v>414</v>
      </c>
      <c r="L90" s="297">
        <v>0.64583333333333337</v>
      </c>
      <c r="M90" s="297">
        <v>0.64583333333333337</v>
      </c>
      <c r="N90" s="297">
        <v>0.78819444444444442</v>
      </c>
      <c r="O90" s="19">
        <f>(Table6[[#This Row],[Work Start TimeStamp]]-Table6[[#This Row],[Fault Start TimeStamp]])*24</f>
        <v>0</v>
      </c>
      <c r="P90" s="19">
        <f>(Table6[[#This Row],[Fault Clearance time]]-Table6[[#This Row],[Fault Start TimeStamp]])*24</f>
        <v>3.4166666666666652</v>
      </c>
      <c r="Q90" s="19">
        <f>(Table6[[#This Row],[Fault Clearance time]]-Table6[[#This Row],[Fault Start TimeStamp]])*24</f>
        <v>3.4166666666666652</v>
      </c>
      <c r="R90" s="79" t="s">
        <v>428</v>
      </c>
      <c r="S90" s="79" t="s">
        <v>339</v>
      </c>
      <c r="T90" s="298">
        <f>IFERROR(Table6[[#This Row],[Breakdown Time]]*Table6[[#This Row],[Plant Equivalent Weightage]],"")</f>
        <v>7.7651515151515124E-2</v>
      </c>
      <c r="U90" s="79" t="s">
        <v>416</v>
      </c>
      <c r="W90" s="79">
        <v>1022</v>
      </c>
    </row>
    <row r="91" spans="1:23">
      <c r="A91" s="79">
        <f t="shared" si="1"/>
        <v>90</v>
      </c>
      <c r="B91" s="79">
        <f>YEAR(Table6[[#This Row],[Date]])+IF(MONTH(Table6[[#This Row],[Date]])&gt;=4,1,0)</f>
        <v>2026</v>
      </c>
      <c r="C91" s="79">
        <f>YEAR(Table6[[#This Row],[Date]])</f>
        <v>2025</v>
      </c>
      <c r="D91" s="79" t="s">
        <v>344</v>
      </c>
      <c r="E91" s="284">
        <f>Table6[[#This Row],[Date]]-DAY(Table6[[#This Row],[Date]])+1</f>
        <v>45748</v>
      </c>
      <c r="F91" s="285">
        <v>45749</v>
      </c>
      <c r="G91" s="79" t="s">
        <v>98</v>
      </c>
      <c r="H91" s="79" t="str">
        <f>IFERROR(_xlfn.XLOOKUP(Table6[[#This Row],[Affected Feeder ]],'Basic Data'!$A:$A,'Basic Data'!$B:$B),"")</f>
        <v>PWEPL</v>
      </c>
      <c r="I91" s="79" t="str">
        <f>IFERROR(_xlfn.XLOOKUP(Table6[[#This Row],[Affected Feeder ]],'Basic Data'!$A:$A,'Basic Data'!$C:$C),"")</f>
        <v>MSEDCL</v>
      </c>
      <c r="J91" s="295">
        <f>IFERROR(_xlfn.XLOOKUP(Table6[[#This Row],[Affected Feeder ]],'Basic Data'!$A:$A,'Basic Data'!$E:$E),"")</f>
        <v>2.2727272727272728E-2</v>
      </c>
      <c r="K91" s="296" t="s">
        <v>171</v>
      </c>
      <c r="L91" s="297">
        <v>0.78819444444444442</v>
      </c>
      <c r="M91" s="297">
        <v>0.78819444444444442</v>
      </c>
      <c r="N91" s="297">
        <v>0.80208333333333337</v>
      </c>
      <c r="O91" s="19">
        <f>(Table6[[#This Row],[Work Start TimeStamp]]-Table6[[#This Row],[Fault Start TimeStamp]])*24</f>
        <v>0</v>
      </c>
      <c r="P91" s="19">
        <f>(Table6[[#This Row],[Fault Clearance time]]-Table6[[#This Row],[Fault Start TimeStamp]])*24</f>
        <v>0.33333333333333481</v>
      </c>
      <c r="Q91" s="19">
        <f>(Table6[[#This Row],[Fault Clearance time]]-Table6[[#This Row],[Fault Start TimeStamp]])*24</f>
        <v>0.33333333333333481</v>
      </c>
      <c r="R91" s="79" t="s">
        <v>353</v>
      </c>
      <c r="S91" s="79" t="s">
        <v>339</v>
      </c>
      <c r="T91" s="298">
        <f>IFERROR(Table6[[#This Row],[Breakdown Time]]*Table6[[#This Row],[Plant Equivalent Weightage]],"")</f>
        <v>7.5757575757576098E-3</v>
      </c>
      <c r="U91" s="79" t="s">
        <v>416</v>
      </c>
      <c r="W91" s="79">
        <v>99</v>
      </c>
    </row>
    <row r="92" spans="1:23">
      <c r="A92" s="79">
        <f t="shared" si="1"/>
        <v>91</v>
      </c>
      <c r="B92" s="79">
        <f>YEAR(Table6[[#This Row],[Date]])+IF(MONTH(Table6[[#This Row],[Date]])&gt;=4,1,0)</f>
        <v>2026</v>
      </c>
      <c r="C92" s="79">
        <f>YEAR(Table6[[#This Row],[Date]])</f>
        <v>2025</v>
      </c>
      <c r="D92" s="79" t="s">
        <v>344</v>
      </c>
      <c r="E92" s="284">
        <f>Table6[[#This Row],[Date]]-DAY(Table6[[#This Row],[Date]])+1</f>
        <v>45748</v>
      </c>
      <c r="F92" s="285">
        <v>45749</v>
      </c>
      <c r="G92" s="79" t="s">
        <v>99</v>
      </c>
      <c r="H92" s="79" t="str">
        <f>IFERROR(_xlfn.XLOOKUP(Table6[[#This Row],[Affected Feeder ]],'Basic Data'!$A:$A,'Basic Data'!$B:$B),"")</f>
        <v>PWEPL</v>
      </c>
      <c r="I92" s="79" t="str">
        <f>IFERROR(_xlfn.XLOOKUP(Table6[[#This Row],[Affected Feeder ]],'Basic Data'!$A:$A,'Basic Data'!$C:$C),"")</f>
        <v>MSEDCL</v>
      </c>
      <c r="J92" s="295">
        <f>IFERROR(_xlfn.XLOOKUP(Table6[[#This Row],[Affected Feeder ]],'Basic Data'!$A:$A,'Basic Data'!$E:$E),"")</f>
        <v>2.2727272727272728E-2</v>
      </c>
      <c r="K92" s="296" t="s">
        <v>414</v>
      </c>
      <c r="L92" s="297">
        <v>0.64583333333333337</v>
      </c>
      <c r="M92" s="297">
        <v>0.64583333333333337</v>
      </c>
      <c r="N92" s="297">
        <v>0.78819444444444442</v>
      </c>
      <c r="O92" s="19">
        <f>(Table6[[#This Row],[Work Start TimeStamp]]-Table6[[#This Row],[Fault Start TimeStamp]])*24</f>
        <v>0</v>
      </c>
      <c r="P92" s="19">
        <f>(Table6[[#This Row],[Fault Clearance time]]-Table6[[#This Row],[Fault Start TimeStamp]])*24</f>
        <v>3.4166666666666652</v>
      </c>
      <c r="Q92" s="19">
        <f>(Table6[[#This Row],[Fault Clearance time]]-Table6[[#This Row],[Fault Start TimeStamp]])*24</f>
        <v>3.4166666666666652</v>
      </c>
      <c r="R92" s="79" t="s">
        <v>428</v>
      </c>
      <c r="S92" s="79" t="s">
        <v>339</v>
      </c>
      <c r="T92" s="298">
        <f>IFERROR(Table6[[#This Row],[Breakdown Time]]*Table6[[#This Row],[Plant Equivalent Weightage]],"")</f>
        <v>7.7651515151515124E-2</v>
      </c>
      <c r="U92" s="79" t="s">
        <v>416</v>
      </c>
      <c r="W92" s="79">
        <v>1022</v>
      </c>
    </row>
    <row r="93" spans="1:23">
      <c r="A93" s="79">
        <f t="shared" si="1"/>
        <v>92</v>
      </c>
      <c r="B93" s="79">
        <f>YEAR(Table6[[#This Row],[Date]])+IF(MONTH(Table6[[#This Row],[Date]])&gt;=4,1,0)</f>
        <v>2026</v>
      </c>
      <c r="C93" s="79">
        <f>YEAR(Table6[[#This Row],[Date]])</f>
        <v>2025</v>
      </c>
      <c r="D93" s="79" t="s">
        <v>344</v>
      </c>
      <c r="E93" s="284">
        <f>Table6[[#This Row],[Date]]-DAY(Table6[[#This Row],[Date]])+1</f>
        <v>45748</v>
      </c>
      <c r="F93" s="285">
        <v>45749</v>
      </c>
      <c r="G93" s="79" t="s">
        <v>99</v>
      </c>
      <c r="H93" s="79" t="str">
        <f>IFERROR(_xlfn.XLOOKUP(Table6[[#This Row],[Affected Feeder ]],'Basic Data'!$A:$A,'Basic Data'!$B:$B),"")</f>
        <v>PWEPL</v>
      </c>
      <c r="I93" s="79" t="str">
        <f>IFERROR(_xlfn.XLOOKUP(Table6[[#This Row],[Affected Feeder ]],'Basic Data'!$A:$A,'Basic Data'!$C:$C),"")</f>
        <v>MSEDCL</v>
      </c>
      <c r="J93" s="295">
        <f>IFERROR(_xlfn.XLOOKUP(Table6[[#This Row],[Affected Feeder ]],'Basic Data'!$A:$A,'Basic Data'!$E:$E),"")</f>
        <v>2.2727272727272728E-2</v>
      </c>
      <c r="K93" s="296" t="s">
        <v>171</v>
      </c>
      <c r="L93" s="297">
        <v>0.78819444444444442</v>
      </c>
      <c r="M93" s="297">
        <v>0.78819444444444442</v>
      </c>
      <c r="N93" s="297">
        <v>0.80208333333333337</v>
      </c>
      <c r="O93" s="19">
        <f>(Table6[[#This Row],[Work Start TimeStamp]]-Table6[[#This Row],[Fault Start TimeStamp]])*24</f>
        <v>0</v>
      </c>
      <c r="P93" s="19">
        <f>(Table6[[#This Row],[Fault Clearance time]]-Table6[[#This Row],[Fault Start TimeStamp]])*24</f>
        <v>0.33333333333333481</v>
      </c>
      <c r="Q93" s="19">
        <f>(Table6[[#This Row],[Fault Clearance time]]-Table6[[#This Row],[Fault Start TimeStamp]])*24</f>
        <v>0.33333333333333481</v>
      </c>
      <c r="R93" s="79" t="s">
        <v>353</v>
      </c>
      <c r="S93" s="79" t="s">
        <v>339</v>
      </c>
      <c r="T93" s="298">
        <f>IFERROR(Table6[[#This Row],[Breakdown Time]]*Table6[[#This Row],[Plant Equivalent Weightage]],"")</f>
        <v>7.5757575757576098E-3</v>
      </c>
      <c r="U93" s="79" t="s">
        <v>416</v>
      </c>
      <c r="W93" s="79">
        <v>99</v>
      </c>
    </row>
    <row r="94" spans="1:23">
      <c r="A94" s="79">
        <f t="shared" si="1"/>
        <v>93</v>
      </c>
      <c r="B94" s="79">
        <f>YEAR(Table6[[#This Row],[Date]])+IF(MONTH(Table6[[#This Row],[Date]])&gt;=4,1,0)</f>
        <v>2026</v>
      </c>
      <c r="C94" s="79">
        <f>YEAR(Table6[[#This Row],[Date]])</f>
        <v>2025</v>
      </c>
      <c r="D94" s="79" t="s">
        <v>344</v>
      </c>
      <c r="E94" s="284">
        <f>Table6[[#This Row],[Date]]-DAY(Table6[[#This Row],[Date]])+1</f>
        <v>45748</v>
      </c>
      <c r="F94" s="285">
        <v>45749</v>
      </c>
      <c r="G94" s="79" t="s">
        <v>100</v>
      </c>
      <c r="H94" s="79" t="str">
        <f>IFERROR(_xlfn.XLOOKUP(Table6[[#This Row],[Affected Feeder ]],'Basic Data'!$A:$A,'Basic Data'!$B:$B),"")</f>
        <v>PWEPL</v>
      </c>
      <c r="I94" s="79" t="str">
        <f>IFERROR(_xlfn.XLOOKUP(Table6[[#This Row],[Affected Feeder ]],'Basic Data'!$A:$A,'Basic Data'!$C:$C),"")</f>
        <v>MSEDCL</v>
      </c>
      <c r="J94" s="295">
        <f>IFERROR(_xlfn.XLOOKUP(Table6[[#This Row],[Affected Feeder ]],'Basic Data'!$A:$A,'Basic Data'!$E:$E),"")</f>
        <v>2.2727272727272728E-2</v>
      </c>
      <c r="K94" s="296" t="s">
        <v>414</v>
      </c>
      <c r="L94" s="297">
        <v>0.64583333333333337</v>
      </c>
      <c r="M94" s="297">
        <v>0.64583333333333337</v>
      </c>
      <c r="N94" s="297">
        <v>0.78819444444444442</v>
      </c>
      <c r="O94" s="19">
        <f>(Table6[[#This Row],[Work Start TimeStamp]]-Table6[[#This Row],[Fault Start TimeStamp]])*24</f>
        <v>0</v>
      </c>
      <c r="P94" s="19">
        <f>(Table6[[#This Row],[Fault Clearance time]]-Table6[[#This Row],[Fault Start TimeStamp]])*24</f>
        <v>3.4166666666666652</v>
      </c>
      <c r="Q94" s="19">
        <f>(Table6[[#This Row],[Fault Clearance time]]-Table6[[#This Row],[Fault Start TimeStamp]])*24</f>
        <v>3.4166666666666652</v>
      </c>
      <c r="R94" s="79" t="s">
        <v>428</v>
      </c>
      <c r="S94" s="79" t="s">
        <v>339</v>
      </c>
      <c r="T94" s="298">
        <f>IFERROR(Table6[[#This Row],[Breakdown Time]]*Table6[[#This Row],[Plant Equivalent Weightage]],"")</f>
        <v>7.7651515151515124E-2</v>
      </c>
      <c r="U94" s="79" t="s">
        <v>416</v>
      </c>
      <c r="W94" s="79">
        <v>1022</v>
      </c>
    </row>
    <row r="95" spans="1:23">
      <c r="A95" s="79">
        <f t="shared" si="1"/>
        <v>94</v>
      </c>
      <c r="B95" s="79">
        <f>YEAR(Table6[[#This Row],[Date]])+IF(MONTH(Table6[[#This Row],[Date]])&gt;=4,1,0)</f>
        <v>2026</v>
      </c>
      <c r="C95" s="79">
        <f>YEAR(Table6[[#This Row],[Date]])</f>
        <v>2025</v>
      </c>
      <c r="D95" s="79" t="s">
        <v>344</v>
      </c>
      <c r="E95" s="284">
        <f>Table6[[#This Row],[Date]]-DAY(Table6[[#This Row],[Date]])+1</f>
        <v>45748</v>
      </c>
      <c r="F95" s="285">
        <v>45749</v>
      </c>
      <c r="G95" s="79" t="s">
        <v>100</v>
      </c>
      <c r="H95" s="79" t="str">
        <f>IFERROR(_xlfn.XLOOKUP(Table6[[#This Row],[Affected Feeder ]],'Basic Data'!$A:$A,'Basic Data'!$B:$B),"")</f>
        <v>PWEPL</v>
      </c>
      <c r="I95" s="79" t="str">
        <f>IFERROR(_xlfn.XLOOKUP(Table6[[#This Row],[Affected Feeder ]],'Basic Data'!$A:$A,'Basic Data'!$C:$C),"")</f>
        <v>MSEDCL</v>
      </c>
      <c r="J95" s="295">
        <f>IFERROR(_xlfn.XLOOKUP(Table6[[#This Row],[Affected Feeder ]],'Basic Data'!$A:$A,'Basic Data'!$E:$E),"")</f>
        <v>2.2727272727272728E-2</v>
      </c>
      <c r="K95" s="296" t="s">
        <v>171</v>
      </c>
      <c r="L95" s="297">
        <v>0.78819444444444442</v>
      </c>
      <c r="M95" s="297">
        <v>0.78819444444444442</v>
      </c>
      <c r="N95" s="297">
        <v>0.80208333333333337</v>
      </c>
      <c r="O95" s="19">
        <f>(Table6[[#This Row],[Work Start TimeStamp]]-Table6[[#This Row],[Fault Start TimeStamp]])*24</f>
        <v>0</v>
      </c>
      <c r="P95" s="19">
        <f>(Table6[[#This Row],[Fault Clearance time]]-Table6[[#This Row],[Fault Start TimeStamp]])*24</f>
        <v>0.33333333333333481</v>
      </c>
      <c r="Q95" s="19">
        <f>(Table6[[#This Row],[Fault Clearance time]]-Table6[[#This Row],[Fault Start TimeStamp]])*24</f>
        <v>0.33333333333333481</v>
      </c>
      <c r="R95" s="79" t="s">
        <v>353</v>
      </c>
      <c r="S95" s="79" t="s">
        <v>339</v>
      </c>
      <c r="T95" s="298">
        <f>IFERROR(Table6[[#This Row],[Breakdown Time]]*Table6[[#This Row],[Plant Equivalent Weightage]],"")</f>
        <v>7.5757575757576098E-3</v>
      </c>
      <c r="U95" s="79" t="s">
        <v>416</v>
      </c>
      <c r="W95" s="79">
        <v>99</v>
      </c>
    </row>
    <row r="96" spans="1:23">
      <c r="A96" s="79">
        <f t="shared" si="1"/>
        <v>95</v>
      </c>
      <c r="B96" s="79">
        <f>YEAR(Table6[[#This Row],[Date]])+IF(MONTH(Table6[[#This Row],[Date]])&gt;=4,1,0)</f>
        <v>2026</v>
      </c>
      <c r="C96" s="79">
        <f>YEAR(Table6[[#This Row],[Date]])</f>
        <v>2025</v>
      </c>
      <c r="D96" s="79" t="s">
        <v>344</v>
      </c>
      <c r="E96" s="284">
        <f>Table6[[#This Row],[Date]]-DAY(Table6[[#This Row],[Date]])+1</f>
        <v>45748</v>
      </c>
      <c r="F96" s="285">
        <v>45749</v>
      </c>
      <c r="G96" s="79" t="s">
        <v>101</v>
      </c>
      <c r="H96" s="79" t="str">
        <f>IFERROR(_xlfn.XLOOKUP(Table6[[#This Row],[Affected Feeder ]],'Basic Data'!$A:$A,'Basic Data'!$B:$B),"")</f>
        <v>PWEPL</v>
      </c>
      <c r="I96" s="79" t="str">
        <f>IFERROR(_xlfn.XLOOKUP(Table6[[#This Row],[Affected Feeder ]],'Basic Data'!$A:$A,'Basic Data'!$C:$C),"")</f>
        <v>MSEDCL</v>
      </c>
      <c r="J96" s="295">
        <f>IFERROR(_xlfn.XLOOKUP(Table6[[#This Row],[Affected Feeder ]],'Basic Data'!$A:$A,'Basic Data'!$E:$E),"")</f>
        <v>2.2727272727272728E-2</v>
      </c>
      <c r="K96" s="296" t="s">
        <v>414</v>
      </c>
      <c r="L96" s="297">
        <v>0.64583333333333337</v>
      </c>
      <c r="M96" s="297">
        <v>0.64583333333333337</v>
      </c>
      <c r="N96" s="297">
        <v>0.78819444444444442</v>
      </c>
      <c r="O96" s="19">
        <f>(Table6[[#This Row],[Work Start TimeStamp]]-Table6[[#This Row],[Fault Start TimeStamp]])*24</f>
        <v>0</v>
      </c>
      <c r="P96" s="19">
        <f>(Table6[[#This Row],[Fault Clearance time]]-Table6[[#This Row],[Fault Start TimeStamp]])*24</f>
        <v>3.4166666666666652</v>
      </c>
      <c r="Q96" s="19">
        <f>(Table6[[#This Row],[Fault Clearance time]]-Table6[[#This Row],[Fault Start TimeStamp]])*24</f>
        <v>3.4166666666666652</v>
      </c>
      <c r="R96" s="79" t="s">
        <v>428</v>
      </c>
      <c r="S96" s="79" t="s">
        <v>339</v>
      </c>
      <c r="T96" s="298">
        <f>IFERROR(Table6[[#This Row],[Breakdown Time]]*Table6[[#This Row],[Plant Equivalent Weightage]],"")</f>
        <v>7.7651515151515124E-2</v>
      </c>
      <c r="U96" s="79" t="s">
        <v>416</v>
      </c>
      <c r="W96" s="79">
        <v>1022</v>
      </c>
    </row>
    <row r="97" spans="1:23">
      <c r="A97" s="79">
        <f t="shared" si="1"/>
        <v>96</v>
      </c>
      <c r="B97" s="79">
        <f>YEAR(Table6[[#This Row],[Date]])+IF(MONTH(Table6[[#This Row],[Date]])&gt;=4,1,0)</f>
        <v>2026</v>
      </c>
      <c r="C97" s="79">
        <f>YEAR(Table6[[#This Row],[Date]])</f>
        <v>2025</v>
      </c>
      <c r="D97" s="79" t="s">
        <v>344</v>
      </c>
      <c r="E97" s="284">
        <f>Table6[[#This Row],[Date]]-DAY(Table6[[#This Row],[Date]])+1</f>
        <v>45748</v>
      </c>
      <c r="F97" s="285">
        <v>45749</v>
      </c>
      <c r="G97" s="79" t="s">
        <v>101</v>
      </c>
      <c r="H97" s="79" t="str">
        <f>IFERROR(_xlfn.XLOOKUP(Table6[[#This Row],[Affected Feeder ]],'Basic Data'!$A:$A,'Basic Data'!$B:$B),"")</f>
        <v>PWEPL</v>
      </c>
      <c r="I97" s="79" t="str">
        <f>IFERROR(_xlfn.XLOOKUP(Table6[[#This Row],[Affected Feeder ]],'Basic Data'!$A:$A,'Basic Data'!$C:$C),"")</f>
        <v>MSEDCL</v>
      </c>
      <c r="J97" s="295">
        <f>IFERROR(_xlfn.XLOOKUP(Table6[[#This Row],[Affected Feeder ]],'Basic Data'!$A:$A,'Basic Data'!$E:$E),"")</f>
        <v>2.2727272727272728E-2</v>
      </c>
      <c r="K97" s="296" t="s">
        <v>171</v>
      </c>
      <c r="L97" s="297">
        <v>0.78819444444444442</v>
      </c>
      <c r="M97" s="297">
        <v>0.78819444444444442</v>
      </c>
      <c r="N97" s="297">
        <v>0.80208333333333337</v>
      </c>
      <c r="O97" s="19">
        <f>(Table6[[#This Row],[Work Start TimeStamp]]-Table6[[#This Row],[Fault Start TimeStamp]])*24</f>
        <v>0</v>
      </c>
      <c r="P97" s="19">
        <f>(Table6[[#This Row],[Fault Clearance time]]-Table6[[#This Row],[Fault Start TimeStamp]])*24</f>
        <v>0.33333333333333481</v>
      </c>
      <c r="Q97" s="19">
        <f>(Table6[[#This Row],[Fault Clearance time]]-Table6[[#This Row],[Fault Start TimeStamp]])*24</f>
        <v>0.33333333333333481</v>
      </c>
      <c r="R97" s="79" t="s">
        <v>353</v>
      </c>
      <c r="S97" s="79" t="s">
        <v>339</v>
      </c>
      <c r="T97" s="298">
        <f>IFERROR(Table6[[#This Row],[Breakdown Time]]*Table6[[#This Row],[Plant Equivalent Weightage]],"")</f>
        <v>7.5757575757576098E-3</v>
      </c>
      <c r="U97" s="79" t="s">
        <v>416</v>
      </c>
      <c r="W97" s="79">
        <v>99</v>
      </c>
    </row>
    <row r="98" spans="1:23">
      <c r="A98" s="79">
        <f t="shared" si="1"/>
        <v>97</v>
      </c>
      <c r="B98" s="79">
        <f>YEAR(Table6[[#This Row],[Date]])+IF(MONTH(Table6[[#This Row],[Date]])&gt;=4,1,0)</f>
        <v>2026</v>
      </c>
      <c r="C98" s="79">
        <f>YEAR(Table6[[#This Row],[Date]])</f>
        <v>2025</v>
      </c>
      <c r="D98" s="79" t="s">
        <v>344</v>
      </c>
      <c r="E98" s="284">
        <f>Table6[[#This Row],[Date]]-DAY(Table6[[#This Row],[Date]])+1</f>
        <v>45748</v>
      </c>
      <c r="F98" s="285">
        <v>45750</v>
      </c>
      <c r="G98" s="79" t="s">
        <v>89</v>
      </c>
      <c r="H98" s="79" t="str">
        <f>IFERROR(_xlfn.XLOOKUP(Table6[[#This Row],[Affected Feeder ]],'Basic Data'!$A:$A,'Basic Data'!$B:$B),"")</f>
        <v>PWEPL</v>
      </c>
      <c r="I98" s="79" t="str">
        <f>IFERROR(_xlfn.XLOOKUP(Table6[[#This Row],[Affected Feeder ]],'Basic Data'!$A:$A,'Basic Data'!$C:$C),"")</f>
        <v>MSEDCL</v>
      </c>
      <c r="J98" s="295">
        <f>IFERROR(_xlfn.XLOOKUP(Table6[[#This Row],[Affected Feeder ]],'Basic Data'!$A:$A,'Basic Data'!$E:$E),"")</f>
        <v>2.2727272727272728E-2</v>
      </c>
      <c r="K98" s="296" t="s">
        <v>414</v>
      </c>
      <c r="L98" s="297">
        <v>0.45902777777777781</v>
      </c>
      <c r="M98" s="297">
        <v>0.45902777777777781</v>
      </c>
      <c r="N98" s="297">
        <v>0.70833333333333337</v>
      </c>
      <c r="O98" s="19">
        <f>(Table6[[#This Row],[Work Start TimeStamp]]-Table6[[#This Row],[Fault Start TimeStamp]])*24</f>
        <v>0</v>
      </c>
      <c r="P98" s="19">
        <f>(Table6[[#This Row],[Fault Clearance time]]-Table6[[#This Row],[Fault Start TimeStamp]])*24</f>
        <v>5.9833333333333334</v>
      </c>
      <c r="Q98" s="19">
        <f>(Table6[[#This Row],[Fault Clearance time]]-Table6[[#This Row],[Fault Start TimeStamp]])*24</f>
        <v>5.9833333333333334</v>
      </c>
      <c r="R98" s="79" t="s">
        <v>429</v>
      </c>
      <c r="S98" s="79" t="s">
        <v>339</v>
      </c>
      <c r="T98" s="298">
        <f>IFERROR(Table6[[#This Row],[Breakdown Time]]*Table6[[#This Row],[Plant Equivalent Weightage]],"")</f>
        <v>0.13598484848484849</v>
      </c>
      <c r="U98" s="79" t="s">
        <v>416</v>
      </c>
      <c r="W98" s="79">
        <v>437</v>
      </c>
    </row>
    <row r="99" spans="1:23">
      <c r="A99" s="79">
        <f t="shared" si="1"/>
        <v>98</v>
      </c>
      <c r="B99" s="79">
        <f>YEAR(Table6[[#This Row],[Date]])+IF(MONTH(Table6[[#This Row],[Date]])&gt;=4,1,0)</f>
        <v>2026</v>
      </c>
      <c r="C99" s="79">
        <f>YEAR(Table6[[#This Row],[Date]])</f>
        <v>2025</v>
      </c>
      <c r="D99" s="79" t="s">
        <v>344</v>
      </c>
      <c r="E99" s="284">
        <f>Table6[[#This Row],[Date]]-DAY(Table6[[#This Row],[Date]])+1</f>
        <v>45748</v>
      </c>
      <c r="F99" s="285">
        <v>45750</v>
      </c>
      <c r="G99" s="79" t="s">
        <v>89</v>
      </c>
      <c r="H99" s="79" t="str">
        <f>IFERROR(_xlfn.XLOOKUP(Table6[[#This Row],[Affected Feeder ]],'Basic Data'!$A:$A,'Basic Data'!$B:$B),"")</f>
        <v>PWEPL</v>
      </c>
      <c r="I99" s="79" t="str">
        <f>IFERROR(_xlfn.XLOOKUP(Table6[[#This Row],[Affected Feeder ]],'Basic Data'!$A:$A,'Basic Data'!$C:$C),"")</f>
        <v>MSEDCL</v>
      </c>
      <c r="J99" s="295">
        <f>IFERROR(_xlfn.XLOOKUP(Table6[[#This Row],[Affected Feeder ]],'Basic Data'!$A:$A,'Basic Data'!$E:$E),"")</f>
        <v>2.2727272727272728E-2</v>
      </c>
      <c r="K99" s="296" t="s">
        <v>171</v>
      </c>
      <c r="L99" s="297">
        <v>0.70833333333333337</v>
      </c>
      <c r="M99" s="297">
        <v>0.70833333333333337</v>
      </c>
      <c r="N99" s="297">
        <v>0.72222222222222221</v>
      </c>
      <c r="O99" s="19">
        <f>(Table6[[#This Row],[Work Start TimeStamp]]-Table6[[#This Row],[Fault Start TimeStamp]])*24</f>
        <v>0</v>
      </c>
      <c r="P99" s="19">
        <f>(Table6[[#This Row],[Fault Clearance time]]-Table6[[#This Row],[Fault Start TimeStamp]])*24</f>
        <v>0.33333333333333215</v>
      </c>
      <c r="Q99" s="19">
        <f>(Table6[[#This Row],[Fault Clearance time]]-Table6[[#This Row],[Fault Start TimeStamp]])*24</f>
        <v>0.33333333333333215</v>
      </c>
      <c r="R99" s="79" t="s">
        <v>353</v>
      </c>
      <c r="S99" s="79" t="s">
        <v>339</v>
      </c>
      <c r="T99" s="298">
        <f>IFERROR(Table6[[#This Row],[Breakdown Time]]*Table6[[#This Row],[Plant Equivalent Weightage]],"")</f>
        <v>7.5757575757575491E-3</v>
      </c>
      <c r="U99" s="79" t="s">
        <v>416</v>
      </c>
      <c r="W99" s="79">
        <v>24</v>
      </c>
    </row>
    <row r="100" spans="1:23">
      <c r="A100" s="79">
        <f t="shared" si="1"/>
        <v>99</v>
      </c>
      <c r="B100" s="79">
        <f>YEAR(Table6[[#This Row],[Date]])+IF(MONTH(Table6[[#This Row],[Date]])&gt;=4,1,0)</f>
        <v>2026</v>
      </c>
      <c r="C100" s="79">
        <f>YEAR(Table6[[#This Row],[Date]])</f>
        <v>2025</v>
      </c>
      <c r="D100" s="79" t="s">
        <v>344</v>
      </c>
      <c r="E100" s="284">
        <f>Table6[[#This Row],[Date]]-DAY(Table6[[#This Row],[Date]])+1</f>
        <v>45748</v>
      </c>
      <c r="F100" s="285">
        <v>45750</v>
      </c>
      <c r="G100" s="79" t="s">
        <v>90</v>
      </c>
      <c r="H100" s="79" t="str">
        <f>IFERROR(_xlfn.XLOOKUP(Table6[[#This Row],[Affected Feeder ]],'Basic Data'!$A:$A,'Basic Data'!$B:$B),"")</f>
        <v>PWEPL</v>
      </c>
      <c r="I100" s="79" t="str">
        <f>IFERROR(_xlfn.XLOOKUP(Table6[[#This Row],[Affected Feeder ]],'Basic Data'!$A:$A,'Basic Data'!$C:$C),"")</f>
        <v>MSEDCL</v>
      </c>
      <c r="J100" s="295">
        <f>IFERROR(_xlfn.XLOOKUP(Table6[[#This Row],[Affected Feeder ]],'Basic Data'!$A:$A,'Basic Data'!$E:$E),"")</f>
        <v>2.2727272727272728E-2</v>
      </c>
      <c r="K100" s="296" t="s">
        <v>414</v>
      </c>
      <c r="L100" s="297">
        <v>0.45902777777777781</v>
      </c>
      <c r="M100" s="297">
        <v>0.45902777777777781</v>
      </c>
      <c r="N100" s="297">
        <v>0.70833333333333337</v>
      </c>
      <c r="O100" s="19">
        <f>(Table6[[#This Row],[Work Start TimeStamp]]-Table6[[#This Row],[Fault Start TimeStamp]])*24</f>
        <v>0</v>
      </c>
      <c r="P100" s="19">
        <f>(Table6[[#This Row],[Fault Clearance time]]-Table6[[#This Row],[Fault Start TimeStamp]])*24</f>
        <v>5.9833333333333334</v>
      </c>
      <c r="Q100" s="19">
        <f>(Table6[[#This Row],[Fault Clearance time]]-Table6[[#This Row],[Fault Start TimeStamp]])*24</f>
        <v>5.9833333333333334</v>
      </c>
      <c r="R100" s="79" t="s">
        <v>429</v>
      </c>
      <c r="S100" s="79" t="s">
        <v>339</v>
      </c>
      <c r="T100" s="298">
        <f>IFERROR(Table6[[#This Row],[Breakdown Time]]*Table6[[#This Row],[Plant Equivalent Weightage]],"")</f>
        <v>0.13598484848484849</v>
      </c>
      <c r="U100" s="79" t="s">
        <v>416</v>
      </c>
      <c r="W100" s="79">
        <v>437</v>
      </c>
    </row>
    <row r="101" spans="1:23">
      <c r="A101" s="79">
        <f t="shared" si="1"/>
        <v>100</v>
      </c>
      <c r="B101" s="79">
        <f>YEAR(Table6[[#This Row],[Date]])+IF(MONTH(Table6[[#This Row],[Date]])&gt;=4,1,0)</f>
        <v>2026</v>
      </c>
      <c r="C101" s="79">
        <f>YEAR(Table6[[#This Row],[Date]])</f>
        <v>2025</v>
      </c>
      <c r="D101" s="79" t="s">
        <v>344</v>
      </c>
      <c r="E101" s="284">
        <f>Table6[[#This Row],[Date]]-DAY(Table6[[#This Row],[Date]])+1</f>
        <v>45748</v>
      </c>
      <c r="F101" s="285">
        <v>45750</v>
      </c>
      <c r="G101" s="79" t="s">
        <v>90</v>
      </c>
      <c r="H101" s="79" t="str">
        <f>IFERROR(_xlfn.XLOOKUP(Table6[[#This Row],[Affected Feeder ]],'Basic Data'!$A:$A,'Basic Data'!$B:$B),"")</f>
        <v>PWEPL</v>
      </c>
      <c r="I101" s="79" t="str">
        <f>IFERROR(_xlfn.XLOOKUP(Table6[[#This Row],[Affected Feeder ]],'Basic Data'!$A:$A,'Basic Data'!$C:$C),"")</f>
        <v>MSEDCL</v>
      </c>
      <c r="J101" s="295">
        <f>IFERROR(_xlfn.XLOOKUP(Table6[[#This Row],[Affected Feeder ]],'Basic Data'!$A:$A,'Basic Data'!$E:$E),"")</f>
        <v>2.2727272727272728E-2</v>
      </c>
      <c r="K101" s="296" t="s">
        <v>171</v>
      </c>
      <c r="L101" s="297">
        <v>0.70833333333333337</v>
      </c>
      <c r="M101" s="297">
        <v>0.70833333333333337</v>
      </c>
      <c r="N101" s="297">
        <v>0.72222222222222221</v>
      </c>
      <c r="O101" s="19">
        <f>(Table6[[#This Row],[Work Start TimeStamp]]-Table6[[#This Row],[Fault Start TimeStamp]])*24</f>
        <v>0</v>
      </c>
      <c r="P101" s="19">
        <f>(Table6[[#This Row],[Fault Clearance time]]-Table6[[#This Row],[Fault Start TimeStamp]])*24</f>
        <v>0.33333333333333215</v>
      </c>
      <c r="Q101" s="19">
        <f>(Table6[[#This Row],[Fault Clearance time]]-Table6[[#This Row],[Fault Start TimeStamp]])*24</f>
        <v>0.33333333333333215</v>
      </c>
      <c r="R101" s="79" t="s">
        <v>353</v>
      </c>
      <c r="S101" s="79" t="s">
        <v>339</v>
      </c>
      <c r="T101" s="298">
        <f>IFERROR(Table6[[#This Row],[Breakdown Time]]*Table6[[#This Row],[Plant Equivalent Weightage]],"")</f>
        <v>7.5757575757575491E-3</v>
      </c>
      <c r="U101" s="79" t="s">
        <v>416</v>
      </c>
      <c r="W101" s="79">
        <v>24</v>
      </c>
    </row>
    <row r="102" spans="1:23">
      <c r="A102" s="79">
        <f t="shared" si="1"/>
        <v>101</v>
      </c>
      <c r="B102" s="79">
        <f>YEAR(Table6[[#This Row],[Date]])+IF(MONTH(Table6[[#This Row],[Date]])&gt;=4,1,0)</f>
        <v>2026</v>
      </c>
      <c r="C102" s="79">
        <f>YEAR(Table6[[#This Row],[Date]])</f>
        <v>2025</v>
      </c>
      <c r="D102" s="79" t="s">
        <v>344</v>
      </c>
      <c r="E102" s="284">
        <f>Table6[[#This Row],[Date]]-DAY(Table6[[#This Row],[Date]])+1</f>
        <v>45748</v>
      </c>
      <c r="F102" s="285">
        <v>45750</v>
      </c>
      <c r="G102" s="79" t="s">
        <v>91</v>
      </c>
      <c r="H102" s="79" t="str">
        <f>IFERROR(_xlfn.XLOOKUP(Table6[[#This Row],[Affected Feeder ]],'Basic Data'!$A:$A,'Basic Data'!$B:$B),"")</f>
        <v>PWEPL</v>
      </c>
      <c r="I102" s="79" t="str">
        <f>IFERROR(_xlfn.XLOOKUP(Table6[[#This Row],[Affected Feeder ]],'Basic Data'!$A:$A,'Basic Data'!$C:$C),"")</f>
        <v>MSEDCL</v>
      </c>
      <c r="J102" s="295">
        <f>IFERROR(_xlfn.XLOOKUP(Table6[[#This Row],[Affected Feeder ]],'Basic Data'!$A:$A,'Basic Data'!$E:$E),"")</f>
        <v>2.2727272727272728E-2</v>
      </c>
      <c r="K102" s="296" t="s">
        <v>414</v>
      </c>
      <c r="L102" s="297">
        <v>0.45902777777777781</v>
      </c>
      <c r="M102" s="297">
        <v>0.45902777777777781</v>
      </c>
      <c r="N102" s="297">
        <v>0.70833333333333337</v>
      </c>
      <c r="O102" s="19">
        <f>(Table6[[#This Row],[Work Start TimeStamp]]-Table6[[#This Row],[Fault Start TimeStamp]])*24</f>
        <v>0</v>
      </c>
      <c r="P102" s="19">
        <f>(Table6[[#This Row],[Fault Clearance time]]-Table6[[#This Row],[Fault Start TimeStamp]])*24</f>
        <v>5.9833333333333334</v>
      </c>
      <c r="Q102" s="19">
        <f>(Table6[[#This Row],[Fault Clearance time]]-Table6[[#This Row],[Fault Start TimeStamp]])*24</f>
        <v>5.9833333333333334</v>
      </c>
      <c r="R102" s="79" t="s">
        <v>429</v>
      </c>
      <c r="S102" s="79" t="s">
        <v>339</v>
      </c>
      <c r="T102" s="298">
        <f>IFERROR(Table6[[#This Row],[Breakdown Time]]*Table6[[#This Row],[Plant Equivalent Weightage]],"")</f>
        <v>0.13598484848484849</v>
      </c>
      <c r="U102" s="79" t="s">
        <v>416</v>
      </c>
      <c r="W102" s="79">
        <v>437</v>
      </c>
    </row>
    <row r="103" spans="1:23">
      <c r="A103" s="79">
        <f t="shared" si="1"/>
        <v>102</v>
      </c>
      <c r="B103" s="79">
        <f>YEAR(Table6[[#This Row],[Date]])+IF(MONTH(Table6[[#This Row],[Date]])&gt;=4,1,0)</f>
        <v>2026</v>
      </c>
      <c r="C103" s="79">
        <f>YEAR(Table6[[#This Row],[Date]])</f>
        <v>2025</v>
      </c>
      <c r="D103" s="79" t="s">
        <v>344</v>
      </c>
      <c r="E103" s="284">
        <f>Table6[[#This Row],[Date]]-DAY(Table6[[#This Row],[Date]])+1</f>
        <v>45748</v>
      </c>
      <c r="F103" s="285">
        <v>45750</v>
      </c>
      <c r="G103" s="79" t="s">
        <v>91</v>
      </c>
      <c r="H103" s="79" t="str">
        <f>IFERROR(_xlfn.XLOOKUP(Table6[[#This Row],[Affected Feeder ]],'Basic Data'!$A:$A,'Basic Data'!$B:$B),"")</f>
        <v>PWEPL</v>
      </c>
      <c r="I103" s="79" t="str">
        <f>IFERROR(_xlfn.XLOOKUP(Table6[[#This Row],[Affected Feeder ]],'Basic Data'!$A:$A,'Basic Data'!$C:$C),"")</f>
        <v>MSEDCL</v>
      </c>
      <c r="J103" s="295">
        <f>IFERROR(_xlfn.XLOOKUP(Table6[[#This Row],[Affected Feeder ]],'Basic Data'!$A:$A,'Basic Data'!$E:$E),"")</f>
        <v>2.2727272727272728E-2</v>
      </c>
      <c r="K103" s="296" t="s">
        <v>171</v>
      </c>
      <c r="L103" s="297">
        <v>0.70833333333333337</v>
      </c>
      <c r="M103" s="297">
        <v>0.70833333333333337</v>
      </c>
      <c r="N103" s="297">
        <v>0.72222222222222221</v>
      </c>
      <c r="O103" s="19">
        <f>(Table6[[#This Row],[Work Start TimeStamp]]-Table6[[#This Row],[Fault Start TimeStamp]])*24</f>
        <v>0</v>
      </c>
      <c r="P103" s="19">
        <f>(Table6[[#This Row],[Fault Clearance time]]-Table6[[#This Row],[Fault Start TimeStamp]])*24</f>
        <v>0.33333333333333215</v>
      </c>
      <c r="Q103" s="19">
        <f>(Table6[[#This Row],[Fault Clearance time]]-Table6[[#This Row],[Fault Start TimeStamp]])*24</f>
        <v>0.33333333333333215</v>
      </c>
      <c r="R103" s="79" t="s">
        <v>353</v>
      </c>
      <c r="S103" s="79" t="s">
        <v>339</v>
      </c>
      <c r="T103" s="298">
        <f>IFERROR(Table6[[#This Row],[Breakdown Time]]*Table6[[#This Row],[Plant Equivalent Weightage]],"")</f>
        <v>7.5757575757575491E-3</v>
      </c>
      <c r="U103" s="79" t="s">
        <v>416</v>
      </c>
      <c r="W103" s="79">
        <v>24</v>
      </c>
    </row>
    <row r="104" spans="1:23">
      <c r="A104" s="79">
        <f t="shared" si="1"/>
        <v>103</v>
      </c>
      <c r="B104" s="79">
        <f>YEAR(Table6[[#This Row],[Date]])+IF(MONTH(Table6[[#This Row],[Date]])&gt;=4,1,0)</f>
        <v>2026</v>
      </c>
      <c r="C104" s="79">
        <f>YEAR(Table6[[#This Row],[Date]])</f>
        <v>2025</v>
      </c>
      <c r="D104" s="79" t="s">
        <v>344</v>
      </c>
      <c r="E104" s="284">
        <f>Table6[[#This Row],[Date]]-DAY(Table6[[#This Row],[Date]])+1</f>
        <v>45748</v>
      </c>
      <c r="F104" s="285">
        <v>45750</v>
      </c>
      <c r="G104" s="79" t="s">
        <v>92</v>
      </c>
      <c r="H104" s="79" t="str">
        <f>IFERROR(_xlfn.XLOOKUP(Table6[[#This Row],[Affected Feeder ]],'Basic Data'!$A:$A,'Basic Data'!$B:$B),"")</f>
        <v>PWEPL</v>
      </c>
      <c r="I104" s="79" t="str">
        <f>IFERROR(_xlfn.XLOOKUP(Table6[[#This Row],[Affected Feeder ]],'Basic Data'!$A:$A,'Basic Data'!$C:$C),"")</f>
        <v>MSEDCL</v>
      </c>
      <c r="J104" s="295">
        <f>IFERROR(_xlfn.XLOOKUP(Table6[[#This Row],[Affected Feeder ]],'Basic Data'!$A:$A,'Basic Data'!$E:$E),"")</f>
        <v>2.2727272727272728E-2</v>
      </c>
      <c r="K104" s="296" t="s">
        <v>414</v>
      </c>
      <c r="L104" s="297">
        <v>0.45902777777777781</v>
      </c>
      <c r="M104" s="297">
        <v>0.45902777777777781</v>
      </c>
      <c r="N104" s="297">
        <v>0.70833333333333337</v>
      </c>
      <c r="O104" s="19">
        <f>(Table6[[#This Row],[Work Start TimeStamp]]-Table6[[#This Row],[Fault Start TimeStamp]])*24</f>
        <v>0</v>
      </c>
      <c r="P104" s="19">
        <f>(Table6[[#This Row],[Fault Clearance time]]-Table6[[#This Row],[Fault Start TimeStamp]])*24</f>
        <v>5.9833333333333334</v>
      </c>
      <c r="Q104" s="19">
        <f>(Table6[[#This Row],[Fault Clearance time]]-Table6[[#This Row],[Fault Start TimeStamp]])*24</f>
        <v>5.9833333333333334</v>
      </c>
      <c r="R104" s="79" t="s">
        <v>429</v>
      </c>
      <c r="S104" s="79" t="s">
        <v>339</v>
      </c>
      <c r="T104" s="298">
        <f>IFERROR(Table6[[#This Row],[Breakdown Time]]*Table6[[#This Row],[Plant Equivalent Weightage]],"")</f>
        <v>0.13598484848484849</v>
      </c>
      <c r="U104" s="79" t="s">
        <v>416</v>
      </c>
      <c r="W104" s="79">
        <v>437</v>
      </c>
    </row>
    <row r="105" spans="1:23">
      <c r="A105" s="79">
        <f t="shared" si="1"/>
        <v>104</v>
      </c>
      <c r="B105" s="79">
        <f>YEAR(Table6[[#This Row],[Date]])+IF(MONTH(Table6[[#This Row],[Date]])&gt;=4,1,0)</f>
        <v>2026</v>
      </c>
      <c r="C105" s="79">
        <f>YEAR(Table6[[#This Row],[Date]])</f>
        <v>2025</v>
      </c>
      <c r="D105" s="79" t="s">
        <v>344</v>
      </c>
      <c r="E105" s="284">
        <f>Table6[[#This Row],[Date]]-DAY(Table6[[#This Row],[Date]])+1</f>
        <v>45748</v>
      </c>
      <c r="F105" s="285">
        <v>45750</v>
      </c>
      <c r="G105" s="79" t="s">
        <v>92</v>
      </c>
      <c r="H105" s="79" t="str">
        <f>IFERROR(_xlfn.XLOOKUP(Table6[[#This Row],[Affected Feeder ]],'Basic Data'!$A:$A,'Basic Data'!$B:$B),"")</f>
        <v>PWEPL</v>
      </c>
      <c r="I105" s="79" t="str">
        <f>IFERROR(_xlfn.XLOOKUP(Table6[[#This Row],[Affected Feeder ]],'Basic Data'!$A:$A,'Basic Data'!$C:$C),"")</f>
        <v>MSEDCL</v>
      </c>
      <c r="J105" s="295">
        <f>IFERROR(_xlfn.XLOOKUP(Table6[[#This Row],[Affected Feeder ]],'Basic Data'!$A:$A,'Basic Data'!$E:$E),"")</f>
        <v>2.2727272727272728E-2</v>
      </c>
      <c r="K105" s="296" t="s">
        <v>171</v>
      </c>
      <c r="L105" s="297">
        <v>0.70833333333333337</v>
      </c>
      <c r="M105" s="297">
        <v>0.70833333333333337</v>
      </c>
      <c r="N105" s="297">
        <v>0.72222222222222221</v>
      </c>
      <c r="O105" s="19">
        <f>(Table6[[#This Row],[Work Start TimeStamp]]-Table6[[#This Row],[Fault Start TimeStamp]])*24</f>
        <v>0</v>
      </c>
      <c r="P105" s="19">
        <f>(Table6[[#This Row],[Fault Clearance time]]-Table6[[#This Row],[Fault Start TimeStamp]])*24</f>
        <v>0.33333333333333215</v>
      </c>
      <c r="Q105" s="19">
        <f>(Table6[[#This Row],[Fault Clearance time]]-Table6[[#This Row],[Fault Start TimeStamp]])*24</f>
        <v>0.33333333333333215</v>
      </c>
      <c r="R105" s="79" t="s">
        <v>353</v>
      </c>
      <c r="S105" s="79" t="s">
        <v>339</v>
      </c>
      <c r="T105" s="298">
        <f>IFERROR(Table6[[#This Row],[Breakdown Time]]*Table6[[#This Row],[Plant Equivalent Weightage]],"")</f>
        <v>7.5757575757575491E-3</v>
      </c>
      <c r="U105" s="79" t="s">
        <v>416</v>
      </c>
      <c r="W105" s="79">
        <v>24</v>
      </c>
    </row>
    <row r="106" spans="1:23">
      <c r="A106" s="79">
        <f t="shared" si="1"/>
        <v>105</v>
      </c>
      <c r="B106" s="79">
        <f>YEAR(Table6[[#This Row],[Date]])+IF(MONTH(Table6[[#This Row],[Date]])&gt;=4,1,0)</f>
        <v>2026</v>
      </c>
      <c r="C106" s="79">
        <f>YEAR(Table6[[#This Row],[Date]])</f>
        <v>2025</v>
      </c>
      <c r="D106" s="79" t="s">
        <v>344</v>
      </c>
      <c r="E106" s="284">
        <f>Table6[[#This Row],[Date]]-DAY(Table6[[#This Row],[Date]])+1</f>
        <v>45748</v>
      </c>
      <c r="F106" s="285">
        <v>45750</v>
      </c>
      <c r="G106" s="79" t="s">
        <v>94</v>
      </c>
      <c r="H106" s="79" t="str">
        <f>IFERROR(_xlfn.XLOOKUP(Table6[[#This Row],[Affected Feeder ]],'Basic Data'!$A:$A,'Basic Data'!$B:$B),"")</f>
        <v>PWEPL</v>
      </c>
      <c r="I106" s="79" t="str">
        <f>IFERROR(_xlfn.XLOOKUP(Table6[[#This Row],[Affected Feeder ]],'Basic Data'!$A:$A,'Basic Data'!$C:$C),"")</f>
        <v>MSEDCL</v>
      </c>
      <c r="J106" s="295">
        <f>IFERROR(_xlfn.XLOOKUP(Table6[[#This Row],[Affected Feeder ]],'Basic Data'!$A:$A,'Basic Data'!$E:$E),"")</f>
        <v>2.2727272727272728E-2</v>
      </c>
      <c r="K106" s="296" t="s">
        <v>414</v>
      </c>
      <c r="L106" s="297">
        <v>0.45902777777777781</v>
      </c>
      <c r="M106" s="297">
        <v>0.45902777777777781</v>
      </c>
      <c r="N106" s="297">
        <v>0.70833333333333337</v>
      </c>
      <c r="O106" s="19">
        <f>(Table6[[#This Row],[Work Start TimeStamp]]-Table6[[#This Row],[Fault Start TimeStamp]])*24</f>
        <v>0</v>
      </c>
      <c r="P106" s="19">
        <f>(Table6[[#This Row],[Fault Clearance time]]-Table6[[#This Row],[Fault Start TimeStamp]])*24</f>
        <v>5.9833333333333334</v>
      </c>
      <c r="Q106" s="19">
        <f>(Table6[[#This Row],[Fault Clearance time]]-Table6[[#This Row],[Fault Start TimeStamp]])*24</f>
        <v>5.9833333333333334</v>
      </c>
      <c r="R106" s="79" t="s">
        <v>429</v>
      </c>
      <c r="S106" s="79" t="s">
        <v>339</v>
      </c>
      <c r="T106" s="298">
        <f>IFERROR(Table6[[#This Row],[Breakdown Time]]*Table6[[#This Row],[Plant Equivalent Weightage]],"")</f>
        <v>0.13598484848484849</v>
      </c>
      <c r="U106" s="79" t="s">
        <v>416</v>
      </c>
      <c r="W106" s="79">
        <v>437</v>
      </c>
    </row>
    <row r="107" spans="1:23">
      <c r="A107" s="79">
        <f t="shared" si="1"/>
        <v>106</v>
      </c>
      <c r="B107" s="79">
        <f>YEAR(Table6[[#This Row],[Date]])+IF(MONTH(Table6[[#This Row],[Date]])&gt;=4,1,0)</f>
        <v>2026</v>
      </c>
      <c r="C107" s="79">
        <f>YEAR(Table6[[#This Row],[Date]])</f>
        <v>2025</v>
      </c>
      <c r="D107" s="79" t="s">
        <v>344</v>
      </c>
      <c r="E107" s="284">
        <f>Table6[[#This Row],[Date]]-DAY(Table6[[#This Row],[Date]])+1</f>
        <v>45748</v>
      </c>
      <c r="F107" s="285">
        <v>45750</v>
      </c>
      <c r="G107" s="79" t="s">
        <v>94</v>
      </c>
      <c r="H107" s="79" t="str">
        <f>IFERROR(_xlfn.XLOOKUP(Table6[[#This Row],[Affected Feeder ]],'Basic Data'!$A:$A,'Basic Data'!$B:$B),"")</f>
        <v>PWEPL</v>
      </c>
      <c r="I107" s="79" t="str">
        <f>IFERROR(_xlfn.XLOOKUP(Table6[[#This Row],[Affected Feeder ]],'Basic Data'!$A:$A,'Basic Data'!$C:$C),"")</f>
        <v>MSEDCL</v>
      </c>
      <c r="J107" s="295">
        <f>IFERROR(_xlfn.XLOOKUP(Table6[[#This Row],[Affected Feeder ]],'Basic Data'!$A:$A,'Basic Data'!$E:$E),"")</f>
        <v>2.2727272727272728E-2</v>
      </c>
      <c r="K107" s="296" t="s">
        <v>171</v>
      </c>
      <c r="L107" s="297">
        <v>0.70833333333333337</v>
      </c>
      <c r="M107" s="297">
        <v>0.70833333333333337</v>
      </c>
      <c r="N107" s="297">
        <v>0.72222222222222221</v>
      </c>
      <c r="O107" s="19">
        <f>(Table6[[#This Row],[Work Start TimeStamp]]-Table6[[#This Row],[Fault Start TimeStamp]])*24</f>
        <v>0</v>
      </c>
      <c r="P107" s="19">
        <f>(Table6[[#This Row],[Fault Clearance time]]-Table6[[#This Row],[Fault Start TimeStamp]])*24</f>
        <v>0.33333333333333215</v>
      </c>
      <c r="Q107" s="19">
        <f>(Table6[[#This Row],[Fault Clearance time]]-Table6[[#This Row],[Fault Start TimeStamp]])*24</f>
        <v>0.33333333333333215</v>
      </c>
      <c r="R107" s="79" t="s">
        <v>353</v>
      </c>
      <c r="S107" s="79" t="s">
        <v>339</v>
      </c>
      <c r="T107" s="298">
        <f>IFERROR(Table6[[#This Row],[Breakdown Time]]*Table6[[#This Row],[Plant Equivalent Weightage]],"")</f>
        <v>7.5757575757575491E-3</v>
      </c>
      <c r="U107" s="79" t="s">
        <v>416</v>
      </c>
      <c r="W107" s="79">
        <v>24</v>
      </c>
    </row>
    <row r="108" spans="1:23">
      <c r="A108" s="79">
        <f t="shared" si="1"/>
        <v>107</v>
      </c>
      <c r="B108" s="79">
        <f>YEAR(Table6[[#This Row],[Date]])+IF(MONTH(Table6[[#This Row],[Date]])&gt;=4,1,0)</f>
        <v>2026</v>
      </c>
      <c r="C108" s="79">
        <f>YEAR(Table6[[#This Row],[Date]])</f>
        <v>2025</v>
      </c>
      <c r="D108" s="79" t="s">
        <v>344</v>
      </c>
      <c r="E108" s="284">
        <f>Table6[[#This Row],[Date]]-DAY(Table6[[#This Row],[Date]])+1</f>
        <v>45748</v>
      </c>
      <c r="F108" s="285">
        <v>45750</v>
      </c>
      <c r="G108" s="79" t="s">
        <v>95</v>
      </c>
      <c r="H108" s="79" t="str">
        <f>IFERROR(_xlfn.XLOOKUP(Table6[[#This Row],[Affected Feeder ]],'Basic Data'!$A:$A,'Basic Data'!$B:$B),"")</f>
        <v>PWEPL</v>
      </c>
      <c r="I108" s="79" t="str">
        <f>IFERROR(_xlfn.XLOOKUP(Table6[[#This Row],[Affected Feeder ]],'Basic Data'!$A:$A,'Basic Data'!$C:$C),"")</f>
        <v>MSEDCL</v>
      </c>
      <c r="J108" s="295">
        <f>IFERROR(_xlfn.XLOOKUP(Table6[[#This Row],[Affected Feeder ]],'Basic Data'!$A:$A,'Basic Data'!$E:$E),"")</f>
        <v>2.2727272727272728E-2</v>
      </c>
      <c r="K108" s="296" t="s">
        <v>414</v>
      </c>
      <c r="L108" s="297">
        <v>0.45902777777777781</v>
      </c>
      <c r="M108" s="297">
        <v>0.45902777777777781</v>
      </c>
      <c r="N108" s="297">
        <v>0.70833333333333337</v>
      </c>
      <c r="O108" s="19">
        <f>(Table6[[#This Row],[Work Start TimeStamp]]-Table6[[#This Row],[Fault Start TimeStamp]])*24</f>
        <v>0</v>
      </c>
      <c r="P108" s="19">
        <f>(Table6[[#This Row],[Fault Clearance time]]-Table6[[#This Row],[Fault Start TimeStamp]])*24</f>
        <v>5.9833333333333334</v>
      </c>
      <c r="Q108" s="19">
        <f>(Table6[[#This Row],[Fault Clearance time]]-Table6[[#This Row],[Fault Start TimeStamp]])*24</f>
        <v>5.9833333333333334</v>
      </c>
      <c r="R108" s="79" t="s">
        <v>429</v>
      </c>
      <c r="S108" s="79" t="s">
        <v>339</v>
      </c>
      <c r="T108" s="298">
        <f>IFERROR(Table6[[#This Row],[Breakdown Time]]*Table6[[#This Row],[Plant Equivalent Weightage]],"")</f>
        <v>0.13598484848484849</v>
      </c>
      <c r="U108" s="79" t="s">
        <v>416</v>
      </c>
      <c r="W108" s="79">
        <v>437</v>
      </c>
    </row>
    <row r="109" spans="1:23">
      <c r="A109" s="79">
        <f t="shared" si="1"/>
        <v>108</v>
      </c>
      <c r="B109" s="79">
        <f>YEAR(Table6[[#This Row],[Date]])+IF(MONTH(Table6[[#This Row],[Date]])&gt;=4,1,0)</f>
        <v>2026</v>
      </c>
      <c r="C109" s="79">
        <f>YEAR(Table6[[#This Row],[Date]])</f>
        <v>2025</v>
      </c>
      <c r="D109" s="79" t="s">
        <v>344</v>
      </c>
      <c r="E109" s="284">
        <f>Table6[[#This Row],[Date]]-DAY(Table6[[#This Row],[Date]])+1</f>
        <v>45748</v>
      </c>
      <c r="F109" s="285">
        <v>45750</v>
      </c>
      <c r="G109" s="79" t="s">
        <v>95</v>
      </c>
      <c r="H109" s="79" t="str">
        <f>IFERROR(_xlfn.XLOOKUP(Table6[[#This Row],[Affected Feeder ]],'Basic Data'!$A:$A,'Basic Data'!$B:$B),"")</f>
        <v>PWEPL</v>
      </c>
      <c r="I109" s="79" t="str">
        <f>IFERROR(_xlfn.XLOOKUP(Table6[[#This Row],[Affected Feeder ]],'Basic Data'!$A:$A,'Basic Data'!$C:$C),"")</f>
        <v>MSEDCL</v>
      </c>
      <c r="J109" s="295">
        <f>IFERROR(_xlfn.XLOOKUP(Table6[[#This Row],[Affected Feeder ]],'Basic Data'!$A:$A,'Basic Data'!$E:$E),"")</f>
        <v>2.2727272727272728E-2</v>
      </c>
      <c r="K109" s="296" t="s">
        <v>171</v>
      </c>
      <c r="L109" s="297">
        <v>0.70833333333333337</v>
      </c>
      <c r="M109" s="297">
        <v>0.70833333333333337</v>
      </c>
      <c r="N109" s="297">
        <v>0.72222222222222221</v>
      </c>
      <c r="O109" s="19">
        <f>(Table6[[#This Row],[Work Start TimeStamp]]-Table6[[#This Row],[Fault Start TimeStamp]])*24</f>
        <v>0</v>
      </c>
      <c r="P109" s="19">
        <f>(Table6[[#This Row],[Fault Clearance time]]-Table6[[#This Row],[Fault Start TimeStamp]])*24</f>
        <v>0.33333333333333215</v>
      </c>
      <c r="Q109" s="19">
        <f>(Table6[[#This Row],[Fault Clearance time]]-Table6[[#This Row],[Fault Start TimeStamp]])*24</f>
        <v>0.33333333333333215</v>
      </c>
      <c r="R109" s="79" t="s">
        <v>353</v>
      </c>
      <c r="S109" s="79" t="s">
        <v>339</v>
      </c>
      <c r="T109" s="298">
        <f>IFERROR(Table6[[#This Row],[Breakdown Time]]*Table6[[#This Row],[Plant Equivalent Weightage]],"")</f>
        <v>7.5757575757575491E-3</v>
      </c>
      <c r="U109" s="79" t="s">
        <v>416</v>
      </c>
      <c r="W109" s="79">
        <v>24</v>
      </c>
    </row>
    <row r="110" spans="1:23">
      <c r="A110" s="79">
        <f t="shared" si="1"/>
        <v>109</v>
      </c>
      <c r="B110" s="79">
        <f>YEAR(Table6[[#This Row],[Date]])+IF(MONTH(Table6[[#This Row],[Date]])&gt;=4,1,0)</f>
        <v>2026</v>
      </c>
      <c r="C110" s="79">
        <f>YEAR(Table6[[#This Row],[Date]])</f>
        <v>2025</v>
      </c>
      <c r="D110" s="79" t="s">
        <v>344</v>
      </c>
      <c r="E110" s="284">
        <f>Table6[[#This Row],[Date]]-DAY(Table6[[#This Row],[Date]])+1</f>
        <v>45748</v>
      </c>
      <c r="F110" s="285">
        <v>45750</v>
      </c>
      <c r="G110" s="79" t="s">
        <v>106</v>
      </c>
      <c r="H110" s="79" t="str">
        <f>IFERROR(_xlfn.XLOOKUP(Table6[[#This Row],[Affected Feeder ]],'Basic Data'!$A:$A,'Basic Data'!$B:$B),"")</f>
        <v>PWEPL</v>
      </c>
      <c r="I110" s="79" t="str">
        <f>IFERROR(_xlfn.XLOOKUP(Table6[[#This Row],[Affected Feeder ]],'Basic Data'!$A:$A,'Basic Data'!$C:$C),"")</f>
        <v>MSEDCL</v>
      </c>
      <c r="J110" s="295">
        <f>IFERROR(_xlfn.XLOOKUP(Table6[[#This Row],[Affected Feeder ]],'Basic Data'!$A:$A,'Basic Data'!$E:$E),"")</f>
        <v>2.2727272727272728E-2</v>
      </c>
      <c r="K110" s="296" t="s">
        <v>414</v>
      </c>
      <c r="L110" s="297">
        <v>0.45902777777777781</v>
      </c>
      <c r="M110" s="297">
        <v>0.45902777777777781</v>
      </c>
      <c r="N110" s="297">
        <v>0.70833333333333337</v>
      </c>
      <c r="O110" s="19">
        <f>(Table6[[#This Row],[Work Start TimeStamp]]-Table6[[#This Row],[Fault Start TimeStamp]])*24</f>
        <v>0</v>
      </c>
      <c r="P110" s="19">
        <f>(Table6[[#This Row],[Fault Clearance time]]-Table6[[#This Row],[Fault Start TimeStamp]])*24</f>
        <v>5.9833333333333334</v>
      </c>
      <c r="Q110" s="19">
        <f>(Table6[[#This Row],[Fault Clearance time]]-Table6[[#This Row],[Fault Start TimeStamp]])*24</f>
        <v>5.9833333333333334</v>
      </c>
      <c r="R110" s="79" t="s">
        <v>429</v>
      </c>
      <c r="S110" s="79" t="s">
        <v>339</v>
      </c>
      <c r="T110" s="298">
        <f>IFERROR(Table6[[#This Row],[Breakdown Time]]*Table6[[#This Row],[Plant Equivalent Weightage]],"")</f>
        <v>0.13598484848484849</v>
      </c>
      <c r="U110" s="79" t="s">
        <v>416</v>
      </c>
      <c r="W110" s="79">
        <v>437</v>
      </c>
    </row>
    <row r="111" spans="1:23">
      <c r="A111" s="79">
        <f t="shared" si="1"/>
        <v>110</v>
      </c>
      <c r="B111" s="79">
        <f>YEAR(Table6[[#This Row],[Date]])+IF(MONTH(Table6[[#This Row],[Date]])&gt;=4,1,0)</f>
        <v>2026</v>
      </c>
      <c r="C111" s="79">
        <f>YEAR(Table6[[#This Row],[Date]])</f>
        <v>2025</v>
      </c>
      <c r="D111" s="79" t="s">
        <v>344</v>
      </c>
      <c r="E111" s="284">
        <f>Table6[[#This Row],[Date]]-DAY(Table6[[#This Row],[Date]])+1</f>
        <v>45748</v>
      </c>
      <c r="F111" s="285">
        <v>45750</v>
      </c>
      <c r="G111" s="79" t="s">
        <v>106</v>
      </c>
      <c r="H111" s="79" t="str">
        <f>IFERROR(_xlfn.XLOOKUP(Table6[[#This Row],[Affected Feeder ]],'Basic Data'!$A:$A,'Basic Data'!$B:$B),"")</f>
        <v>PWEPL</v>
      </c>
      <c r="I111" s="79" t="str">
        <f>IFERROR(_xlfn.XLOOKUP(Table6[[#This Row],[Affected Feeder ]],'Basic Data'!$A:$A,'Basic Data'!$C:$C),"")</f>
        <v>MSEDCL</v>
      </c>
      <c r="J111" s="295">
        <f>IFERROR(_xlfn.XLOOKUP(Table6[[#This Row],[Affected Feeder ]],'Basic Data'!$A:$A,'Basic Data'!$E:$E),"")</f>
        <v>2.2727272727272728E-2</v>
      </c>
      <c r="K111" s="296" t="s">
        <v>171</v>
      </c>
      <c r="L111" s="297">
        <v>0.70833333333333337</v>
      </c>
      <c r="M111" s="297">
        <v>0.70833333333333337</v>
      </c>
      <c r="N111" s="297">
        <v>0.72222222222222221</v>
      </c>
      <c r="O111" s="19">
        <f>(Table6[[#This Row],[Work Start TimeStamp]]-Table6[[#This Row],[Fault Start TimeStamp]])*24</f>
        <v>0</v>
      </c>
      <c r="P111" s="19">
        <f>(Table6[[#This Row],[Fault Clearance time]]-Table6[[#This Row],[Fault Start TimeStamp]])*24</f>
        <v>0.33333333333333215</v>
      </c>
      <c r="Q111" s="19">
        <f>(Table6[[#This Row],[Fault Clearance time]]-Table6[[#This Row],[Fault Start TimeStamp]])*24</f>
        <v>0.33333333333333215</v>
      </c>
      <c r="R111" s="79" t="s">
        <v>353</v>
      </c>
      <c r="S111" s="79" t="s">
        <v>339</v>
      </c>
      <c r="T111" s="298">
        <f>IFERROR(Table6[[#This Row],[Breakdown Time]]*Table6[[#This Row],[Plant Equivalent Weightage]],"")</f>
        <v>7.5757575757575491E-3</v>
      </c>
      <c r="U111" s="79" t="s">
        <v>416</v>
      </c>
      <c r="W111" s="79">
        <v>24</v>
      </c>
    </row>
    <row r="112" spans="1:23">
      <c r="A112" s="79">
        <f t="shared" si="1"/>
        <v>111</v>
      </c>
      <c r="B112" s="79">
        <f>YEAR(Table6[[#This Row],[Date]])+IF(MONTH(Table6[[#This Row],[Date]])&gt;=4,1,0)</f>
        <v>2026</v>
      </c>
      <c r="C112" s="79">
        <f>YEAR(Table6[[#This Row],[Date]])</f>
        <v>2025</v>
      </c>
      <c r="D112" s="79" t="s">
        <v>344</v>
      </c>
      <c r="E112" s="284">
        <f>Table6[[#This Row],[Date]]-DAY(Table6[[#This Row],[Date]])+1</f>
        <v>45748</v>
      </c>
      <c r="F112" s="285">
        <v>45750</v>
      </c>
      <c r="G112" s="79" t="s">
        <v>104</v>
      </c>
      <c r="H112" s="79" t="str">
        <f>IFERROR(_xlfn.XLOOKUP(Table6[[#This Row],[Affected Feeder ]],'Basic Data'!$A:$A,'Basic Data'!$B:$B),"")</f>
        <v>PWEPL</v>
      </c>
      <c r="I112" s="79" t="str">
        <f>IFERROR(_xlfn.XLOOKUP(Table6[[#This Row],[Affected Feeder ]],'Basic Data'!$A:$A,'Basic Data'!$C:$C),"")</f>
        <v>MSEDCL</v>
      </c>
      <c r="J112" s="295">
        <f>IFERROR(_xlfn.XLOOKUP(Table6[[#This Row],[Affected Feeder ]],'Basic Data'!$A:$A,'Basic Data'!$E:$E),"")</f>
        <v>2.2727272727272728E-2</v>
      </c>
      <c r="K112" s="296" t="s">
        <v>422</v>
      </c>
      <c r="L112" s="297">
        <v>0.39166666666666666</v>
      </c>
      <c r="M112" s="297">
        <v>0.39166666666666666</v>
      </c>
      <c r="N112" s="297">
        <v>0.4368055555555555</v>
      </c>
      <c r="O112" s="19">
        <f>(Table6[[#This Row],[Work Start TimeStamp]]-Table6[[#This Row],[Fault Start TimeStamp]])*24</f>
        <v>0</v>
      </c>
      <c r="P112" s="19">
        <f>(Table6[[#This Row],[Fault Clearance time]]-Table6[[#This Row],[Fault Start TimeStamp]])*24</f>
        <v>1.0833333333333321</v>
      </c>
      <c r="Q112" s="19">
        <f>(Table6[[#This Row],[Fault Clearance time]]-Table6[[#This Row],[Fault Start TimeStamp]])*24</f>
        <v>1.0833333333333321</v>
      </c>
      <c r="R112" s="79" t="s">
        <v>424</v>
      </c>
      <c r="S112" s="79" t="s">
        <v>339</v>
      </c>
      <c r="T112" s="298">
        <f>IFERROR(Table6[[#This Row],[Breakdown Time]]*Table6[[#This Row],[Plant Equivalent Weightage]],"")</f>
        <v>2.4621212121212096E-2</v>
      </c>
      <c r="U112" s="79" t="s">
        <v>421</v>
      </c>
      <c r="W112" s="79">
        <v>3</v>
      </c>
    </row>
    <row r="113" spans="1:23">
      <c r="A113" s="79">
        <f t="shared" si="1"/>
        <v>112</v>
      </c>
      <c r="B113" s="79">
        <f>YEAR(Table6[[#This Row],[Date]])+IF(MONTH(Table6[[#This Row],[Date]])&gt;=4,1,0)</f>
        <v>2026</v>
      </c>
      <c r="C113" s="79">
        <f>YEAR(Table6[[#This Row],[Date]])</f>
        <v>2025</v>
      </c>
      <c r="D113" s="79" t="s">
        <v>344</v>
      </c>
      <c r="E113" s="284">
        <f>Table6[[#This Row],[Date]]-DAY(Table6[[#This Row],[Date]])+1</f>
        <v>45748</v>
      </c>
      <c r="F113" s="285">
        <v>45750</v>
      </c>
      <c r="G113" s="79" t="s">
        <v>104</v>
      </c>
      <c r="H113" s="79" t="str">
        <f>IFERROR(_xlfn.XLOOKUP(Table6[[#This Row],[Affected Feeder ]],'Basic Data'!$A:$A,'Basic Data'!$B:$B),"")</f>
        <v>PWEPL</v>
      </c>
      <c r="I113" s="79" t="str">
        <f>IFERROR(_xlfn.XLOOKUP(Table6[[#This Row],[Affected Feeder ]],'Basic Data'!$A:$A,'Basic Data'!$C:$C),"")</f>
        <v>MSEDCL</v>
      </c>
      <c r="J113" s="295">
        <f>IFERROR(_xlfn.XLOOKUP(Table6[[#This Row],[Affected Feeder ]],'Basic Data'!$A:$A,'Basic Data'!$E:$E),"")</f>
        <v>2.2727272727272728E-2</v>
      </c>
      <c r="K113" s="296" t="s">
        <v>171</v>
      </c>
      <c r="L113" s="297">
        <v>0.4368055555555555</v>
      </c>
      <c r="M113" s="297">
        <v>0.4368055555555555</v>
      </c>
      <c r="N113" s="297">
        <v>0.43958333333333338</v>
      </c>
      <c r="O113" s="19">
        <f>(Table6[[#This Row],[Work Start TimeStamp]]-Table6[[#This Row],[Fault Start TimeStamp]])*24</f>
        <v>0</v>
      </c>
      <c r="P113" s="19">
        <f>(Table6[[#This Row],[Fault Clearance time]]-Table6[[#This Row],[Fault Start TimeStamp]])*24</f>
        <v>6.6666666666669094E-2</v>
      </c>
      <c r="Q113" s="19">
        <f>(Table6[[#This Row],[Fault Clearance time]]-Table6[[#This Row],[Fault Start TimeStamp]])*24</f>
        <v>6.6666666666669094E-2</v>
      </c>
      <c r="R113" s="79" t="s">
        <v>353</v>
      </c>
      <c r="S113" s="79" t="s">
        <v>339</v>
      </c>
      <c r="T113" s="298">
        <f>IFERROR(Table6[[#This Row],[Breakdown Time]]*Table6[[#This Row],[Plant Equivalent Weightage]],"")</f>
        <v>1.5151515151515704E-3</v>
      </c>
      <c r="U113" s="79" t="s">
        <v>421</v>
      </c>
      <c r="W113" s="79">
        <v>0</v>
      </c>
    </row>
    <row r="114" spans="1:23">
      <c r="A114" s="79">
        <f t="shared" si="1"/>
        <v>113</v>
      </c>
      <c r="B114" s="79">
        <f>YEAR(Table6[[#This Row],[Date]])+IF(MONTH(Table6[[#This Row],[Date]])&gt;=4,1,0)</f>
        <v>2026</v>
      </c>
      <c r="C114" s="79">
        <f>YEAR(Table6[[#This Row],[Date]])</f>
        <v>2025</v>
      </c>
      <c r="D114" s="79" t="s">
        <v>344</v>
      </c>
      <c r="E114" s="284">
        <f>Table6[[#This Row],[Date]]-DAY(Table6[[#This Row],[Date]])+1</f>
        <v>45748</v>
      </c>
      <c r="F114" s="285">
        <v>45751</v>
      </c>
      <c r="G114" s="79" t="s">
        <v>89</v>
      </c>
      <c r="H114" s="79" t="str">
        <f>IFERROR(_xlfn.XLOOKUP(Table6[[#This Row],[Affected Feeder ]],'Basic Data'!$A:$A,'Basic Data'!$B:$B),"")</f>
        <v>PWEPL</v>
      </c>
      <c r="I114" s="79" t="str">
        <f>IFERROR(_xlfn.XLOOKUP(Table6[[#This Row],[Affected Feeder ]],'Basic Data'!$A:$A,'Basic Data'!$C:$C),"")</f>
        <v>MSEDCL</v>
      </c>
      <c r="J114" s="295">
        <f>IFERROR(_xlfn.XLOOKUP(Table6[[#This Row],[Affected Feeder ]],'Basic Data'!$A:$A,'Basic Data'!$E:$E),"")</f>
        <v>2.2727272727272728E-2</v>
      </c>
      <c r="K114" s="296" t="s">
        <v>414</v>
      </c>
      <c r="L114" s="297">
        <v>0.4291666666666667</v>
      </c>
      <c r="M114" s="297">
        <v>0.4291666666666667</v>
      </c>
      <c r="N114" s="297">
        <v>0.80555555555555547</v>
      </c>
      <c r="O114" s="19">
        <f>(Table6[[#This Row],[Work Start TimeStamp]]-Table6[[#This Row],[Fault Start TimeStamp]])*24</f>
        <v>0</v>
      </c>
      <c r="P114" s="19">
        <f>(Table6[[#This Row],[Fault Clearance time]]-Table6[[#This Row],[Fault Start TimeStamp]])*24</f>
        <v>9.0333333333333314</v>
      </c>
      <c r="Q114" s="19">
        <f>(Table6[[#This Row],[Fault Clearance time]]-Table6[[#This Row],[Fault Start TimeStamp]])*24</f>
        <v>9.0333333333333314</v>
      </c>
      <c r="R114" s="79" t="s">
        <v>430</v>
      </c>
      <c r="S114" s="79" t="s">
        <v>339</v>
      </c>
      <c r="T114" s="298">
        <f>IFERROR(Table6[[#This Row],[Breakdown Time]]*Table6[[#This Row],[Plant Equivalent Weightage]],"")</f>
        <v>0.20530303030303027</v>
      </c>
      <c r="U114" s="79" t="s">
        <v>416</v>
      </c>
      <c r="W114" s="79">
        <v>1002</v>
      </c>
    </row>
    <row r="115" spans="1:23">
      <c r="A115" s="79">
        <f t="shared" si="1"/>
        <v>114</v>
      </c>
      <c r="B115" s="79">
        <f>YEAR(Table6[[#This Row],[Date]])+IF(MONTH(Table6[[#This Row],[Date]])&gt;=4,1,0)</f>
        <v>2026</v>
      </c>
      <c r="C115" s="79">
        <f>YEAR(Table6[[#This Row],[Date]])</f>
        <v>2025</v>
      </c>
      <c r="D115" s="79" t="s">
        <v>344</v>
      </c>
      <c r="E115" s="284">
        <f>Table6[[#This Row],[Date]]-DAY(Table6[[#This Row],[Date]])+1</f>
        <v>45748</v>
      </c>
      <c r="F115" s="285">
        <v>45751</v>
      </c>
      <c r="G115" s="79" t="s">
        <v>89</v>
      </c>
      <c r="H115" s="79" t="str">
        <f>IFERROR(_xlfn.XLOOKUP(Table6[[#This Row],[Affected Feeder ]],'Basic Data'!$A:$A,'Basic Data'!$B:$B),"")</f>
        <v>PWEPL</v>
      </c>
      <c r="I115" s="79" t="str">
        <f>IFERROR(_xlfn.XLOOKUP(Table6[[#This Row],[Affected Feeder ]],'Basic Data'!$A:$A,'Basic Data'!$C:$C),"")</f>
        <v>MSEDCL</v>
      </c>
      <c r="J115" s="295">
        <f>IFERROR(_xlfn.XLOOKUP(Table6[[#This Row],[Affected Feeder ]],'Basic Data'!$A:$A,'Basic Data'!$E:$E),"")</f>
        <v>2.2727272727272728E-2</v>
      </c>
      <c r="K115" s="296" t="s">
        <v>171</v>
      </c>
      <c r="L115" s="297">
        <v>0.80555555555555547</v>
      </c>
      <c r="M115" s="297">
        <v>0.80555555555555547</v>
      </c>
      <c r="N115" s="297">
        <v>0.81944444444444453</v>
      </c>
      <c r="O115" s="19">
        <f>(Table6[[#This Row],[Work Start TimeStamp]]-Table6[[#This Row],[Fault Start TimeStamp]])*24</f>
        <v>0</v>
      </c>
      <c r="P115" s="19">
        <f>(Table6[[#This Row],[Fault Clearance time]]-Table6[[#This Row],[Fault Start TimeStamp]])*24</f>
        <v>0.33333333333333748</v>
      </c>
      <c r="Q115" s="19">
        <f>(Table6[[#This Row],[Fault Clearance time]]-Table6[[#This Row],[Fault Start TimeStamp]])*24</f>
        <v>0.33333333333333748</v>
      </c>
      <c r="R115" s="79" t="s">
        <v>353</v>
      </c>
      <c r="S115" s="79" t="s">
        <v>339</v>
      </c>
      <c r="T115" s="298">
        <f>IFERROR(Table6[[#This Row],[Breakdown Time]]*Table6[[#This Row],[Plant Equivalent Weightage]],"")</f>
        <v>7.5757575757576705E-3</v>
      </c>
      <c r="U115" s="79" t="s">
        <v>416</v>
      </c>
      <c r="W115" s="79">
        <v>37</v>
      </c>
    </row>
    <row r="116" spans="1:23">
      <c r="A116" s="79">
        <f t="shared" si="1"/>
        <v>115</v>
      </c>
      <c r="B116" s="79">
        <f>YEAR(Table6[[#This Row],[Date]])+IF(MONTH(Table6[[#This Row],[Date]])&gt;=4,1,0)</f>
        <v>2026</v>
      </c>
      <c r="C116" s="79">
        <f>YEAR(Table6[[#This Row],[Date]])</f>
        <v>2025</v>
      </c>
      <c r="D116" s="79" t="s">
        <v>344</v>
      </c>
      <c r="E116" s="284">
        <f>Table6[[#This Row],[Date]]-DAY(Table6[[#This Row],[Date]])+1</f>
        <v>45748</v>
      </c>
      <c r="F116" s="285">
        <v>45751</v>
      </c>
      <c r="G116" s="79" t="s">
        <v>90</v>
      </c>
      <c r="H116" s="79" t="str">
        <f>IFERROR(_xlfn.XLOOKUP(Table6[[#This Row],[Affected Feeder ]],'Basic Data'!$A:$A,'Basic Data'!$B:$B),"")</f>
        <v>PWEPL</v>
      </c>
      <c r="I116" s="79" t="str">
        <f>IFERROR(_xlfn.XLOOKUP(Table6[[#This Row],[Affected Feeder ]],'Basic Data'!$A:$A,'Basic Data'!$C:$C),"")</f>
        <v>MSEDCL</v>
      </c>
      <c r="J116" s="295">
        <f>IFERROR(_xlfn.XLOOKUP(Table6[[#This Row],[Affected Feeder ]],'Basic Data'!$A:$A,'Basic Data'!$E:$E),"")</f>
        <v>2.2727272727272728E-2</v>
      </c>
      <c r="K116" s="296" t="s">
        <v>414</v>
      </c>
      <c r="L116" s="297">
        <v>0.4291666666666667</v>
      </c>
      <c r="M116" s="297">
        <v>0.4291666666666667</v>
      </c>
      <c r="N116" s="297">
        <v>0.80555555555555547</v>
      </c>
      <c r="O116" s="19">
        <f>(Table6[[#This Row],[Work Start TimeStamp]]-Table6[[#This Row],[Fault Start TimeStamp]])*24</f>
        <v>0</v>
      </c>
      <c r="P116" s="19">
        <f>(Table6[[#This Row],[Fault Clearance time]]-Table6[[#This Row],[Fault Start TimeStamp]])*24</f>
        <v>9.0333333333333314</v>
      </c>
      <c r="Q116" s="19">
        <f>(Table6[[#This Row],[Fault Clearance time]]-Table6[[#This Row],[Fault Start TimeStamp]])*24</f>
        <v>9.0333333333333314</v>
      </c>
      <c r="R116" s="79" t="s">
        <v>430</v>
      </c>
      <c r="S116" s="79" t="s">
        <v>339</v>
      </c>
      <c r="T116" s="298">
        <f>IFERROR(Table6[[#This Row],[Breakdown Time]]*Table6[[#This Row],[Plant Equivalent Weightage]],"")</f>
        <v>0.20530303030303027</v>
      </c>
      <c r="U116" s="79" t="s">
        <v>416</v>
      </c>
      <c r="W116" s="79">
        <v>1002</v>
      </c>
    </row>
    <row r="117" spans="1:23">
      <c r="A117" s="79">
        <f t="shared" si="1"/>
        <v>116</v>
      </c>
      <c r="B117" s="79">
        <f>YEAR(Table6[[#This Row],[Date]])+IF(MONTH(Table6[[#This Row],[Date]])&gt;=4,1,0)</f>
        <v>2026</v>
      </c>
      <c r="C117" s="79">
        <f>YEAR(Table6[[#This Row],[Date]])</f>
        <v>2025</v>
      </c>
      <c r="D117" s="79" t="s">
        <v>344</v>
      </c>
      <c r="E117" s="284">
        <f>Table6[[#This Row],[Date]]-DAY(Table6[[#This Row],[Date]])+1</f>
        <v>45748</v>
      </c>
      <c r="F117" s="285">
        <v>45751</v>
      </c>
      <c r="G117" s="79" t="s">
        <v>90</v>
      </c>
      <c r="H117" s="79" t="str">
        <f>IFERROR(_xlfn.XLOOKUP(Table6[[#This Row],[Affected Feeder ]],'Basic Data'!$A:$A,'Basic Data'!$B:$B),"")</f>
        <v>PWEPL</v>
      </c>
      <c r="I117" s="79" t="str">
        <f>IFERROR(_xlfn.XLOOKUP(Table6[[#This Row],[Affected Feeder ]],'Basic Data'!$A:$A,'Basic Data'!$C:$C),"")</f>
        <v>MSEDCL</v>
      </c>
      <c r="J117" s="295">
        <f>IFERROR(_xlfn.XLOOKUP(Table6[[#This Row],[Affected Feeder ]],'Basic Data'!$A:$A,'Basic Data'!$E:$E),"")</f>
        <v>2.2727272727272728E-2</v>
      </c>
      <c r="K117" s="296" t="s">
        <v>171</v>
      </c>
      <c r="L117" s="297">
        <v>0.80555555555555547</v>
      </c>
      <c r="M117" s="297">
        <v>0.80555555555555547</v>
      </c>
      <c r="N117" s="297">
        <v>0.81944444444444453</v>
      </c>
      <c r="O117" s="19">
        <f>(Table6[[#This Row],[Work Start TimeStamp]]-Table6[[#This Row],[Fault Start TimeStamp]])*24</f>
        <v>0</v>
      </c>
      <c r="P117" s="19">
        <f>(Table6[[#This Row],[Fault Clearance time]]-Table6[[#This Row],[Fault Start TimeStamp]])*24</f>
        <v>0.33333333333333748</v>
      </c>
      <c r="Q117" s="19">
        <f>(Table6[[#This Row],[Fault Clearance time]]-Table6[[#This Row],[Fault Start TimeStamp]])*24</f>
        <v>0.33333333333333748</v>
      </c>
      <c r="R117" s="79" t="s">
        <v>353</v>
      </c>
      <c r="S117" s="79" t="s">
        <v>339</v>
      </c>
      <c r="T117" s="298">
        <f>IFERROR(Table6[[#This Row],[Breakdown Time]]*Table6[[#This Row],[Plant Equivalent Weightage]],"")</f>
        <v>7.5757575757576705E-3</v>
      </c>
      <c r="U117" s="79" t="s">
        <v>416</v>
      </c>
      <c r="W117" s="79">
        <v>37</v>
      </c>
    </row>
    <row r="118" spans="1:23">
      <c r="A118" s="79">
        <f t="shared" si="1"/>
        <v>117</v>
      </c>
      <c r="B118" s="79">
        <f>YEAR(Table6[[#This Row],[Date]])+IF(MONTH(Table6[[#This Row],[Date]])&gt;=4,1,0)</f>
        <v>2026</v>
      </c>
      <c r="C118" s="79">
        <f>YEAR(Table6[[#This Row],[Date]])</f>
        <v>2025</v>
      </c>
      <c r="D118" s="79" t="s">
        <v>344</v>
      </c>
      <c r="E118" s="284">
        <f>Table6[[#This Row],[Date]]-DAY(Table6[[#This Row],[Date]])+1</f>
        <v>45748</v>
      </c>
      <c r="F118" s="285">
        <v>45751</v>
      </c>
      <c r="G118" s="79" t="s">
        <v>91</v>
      </c>
      <c r="H118" s="79" t="str">
        <f>IFERROR(_xlfn.XLOOKUP(Table6[[#This Row],[Affected Feeder ]],'Basic Data'!$A:$A,'Basic Data'!$B:$B),"")</f>
        <v>PWEPL</v>
      </c>
      <c r="I118" s="79" t="str">
        <f>IFERROR(_xlfn.XLOOKUP(Table6[[#This Row],[Affected Feeder ]],'Basic Data'!$A:$A,'Basic Data'!$C:$C),"")</f>
        <v>MSEDCL</v>
      </c>
      <c r="J118" s="295">
        <f>IFERROR(_xlfn.XLOOKUP(Table6[[#This Row],[Affected Feeder ]],'Basic Data'!$A:$A,'Basic Data'!$E:$E),"")</f>
        <v>2.2727272727272728E-2</v>
      </c>
      <c r="K118" s="296" t="s">
        <v>414</v>
      </c>
      <c r="L118" s="297">
        <v>0.4291666666666667</v>
      </c>
      <c r="M118" s="297">
        <v>0.4291666666666667</v>
      </c>
      <c r="N118" s="297">
        <v>0.80555555555555547</v>
      </c>
      <c r="O118" s="19">
        <f>(Table6[[#This Row],[Work Start TimeStamp]]-Table6[[#This Row],[Fault Start TimeStamp]])*24</f>
        <v>0</v>
      </c>
      <c r="P118" s="19">
        <f>(Table6[[#This Row],[Fault Clearance time]]-Table6[[#This Row],[Fault Start TimeStamp]])*24</f>
        <v>9.0333333333333314</v>
      </c>
      <c r="Q118" s="19">
        <f>(Table6[[#This Row],[Fault Clearance time]]-Table6[[#This Row],[Fault Start TimeStamp]])*24</f>
        <v>9.0333333333333314</v>
      </c>
      <c r="R118" s="79" t="s">
        <v>430</v>
      </c>
      <c r="S118" s="79" t="s">
        <v>339</v>
      </c>
      <c r="T118" s="298">
        <f>IFERROR(Table6[[#This Row],[Breakdown Time]]*Table6[[#This Row],[Plant Equivalent Weightage]],"")</f>
        <v>0.20530303030303027</v>
      </c>
      <c r="U118" s="79" t="s">
        <v>416</v>
      </c>
      <c r="W118" s="79">
        <v>1002</v>
      </c>
    </row>
    <row r="119" spans="1:23">
      <c r="A119" s="79">
        <f t="shared" si="1"/>
        <v>118</v>
      </c>
      <c r="B119" s="79">
        <f>YEAR(Table6[[#This Row],[Date]])+IF(MONTH(Table6[[#This Row],[Date]])&gt;=4,1,0)</f>
        <v>2026</v>
      </c>
      <c r="C119" s="79">
        <f>YEAR(Table6[[#This Row],[Date]])</f>
        <v>2025</v>
      </c>
      <c r="D119" s="79" t="s">
        <v>344</v>
      </c>
      <c r="E119" s="284">
        <f>Table6[[#This Row],[Date]]-DAY(Table6[[#This Row],[Date]])+1</f>
        <v>45748</v>
      </c>
      <c r="F119" s="285">
        <v>45751</v>
      </c>
      <c r="G119" s="79" t="s">
        <v>91</v>
      </c>
      <c r="H119" s="79" t="str">
        <f>IFERROR(_xlfn.XLOOKUP(Table6[[#This Row],[Affected Feeder ]],'Basic Data'!$A:$A,'Basic Data'!$B:$B),"")</f>
        <v>PWEPL</v>
      </c>
      <c r="I119" s="79" t="str">
        <f>IFERROR(_xlfn.XLOOKUP(Table6[[#This Row],[Affected Feeder ]],'Basic Data'!$A:$A,'Basic Data'!$C:$C),"")</f>
        <v>MSEDCL</v>
      </c>
      <c r="J119" s="295">
        <f>IFERROR(_xlfn.XLOOKUP(Table6[[#This Row],[Affected Feeder ]],'Basic Data'!$A:$A,'Basic Data'!$E:$E),"")</f>
        <v>2.2727272727272728E-2</v>
      </c>
      <c r="K119" s="296" t="s">
        <v>171</v>
      </c>
      <c r="L119" s="297">
        <v>0.80555555555555547</v>
      </c>
      <c r="M119" s="297">
        <v>0.80555555555555547</v>
      </c>
      <c r="N119" s="297">
        <v>0.81944444444444453</v>
      </c>
      <c r="O119" s="19">
        <f>(Table6[[#This Row],[Work Start TimeStamp]]-Table6[[#This Row],[Fault Start TimeStamp]])*24</f>
        <v>0</v>
      </c>
      <c r="P119" s="19">
        <f>(Table6[[#This Row],[Fault Clearance time]]-Table6[[#This Row],[Fault Start TimeStamp]])*24</f>
        <v>0.33333333333333748</v>
      </c>
      <c r="Q119" s="19">
        <f>(Table6[[#This Row],[Fault Clearance time]]-Table6[[#This Row],[Fault Start TimeStamp]])*24</f>
        <v>0.33333333333333748</v>
      </c>
      <c r="R119" s="79" t="s">
        <v>353</v>
      </c>
      <c r="S119" s="79" t="s">
        <v>339</v>
      </c>
      <c r="T119" s="298">
        <f>IFERROR(Table6[[#This Row],[Breakdown Time]]*Table6[[#This Row],[Plant Equivalent Weightage]],"")</f>
        <v>7.5757575757576705E-3</v>
      </c>
      <c r="U119" s="79" t="s">
        <v>416</v>
      </c>
      <c r="W119" s="79">
        <v>37</v>
      </c>
    </row>
    <row r="120" spans="1:23">
      <c r="A120" s="79">
        <f t="shared" si="1"/>
        <v>119</v>
      </c>
      <c r="B120" s="79">
        <f>YEAR(Table6[[#This Row],[Date]])+IF(MONTH(Table6[[#This Row],[Date]])&gt;=4,1,0)</f>
        <v>2026</v>
      </c>
      <c r="C120" s="79">
        <f>YEAR(Table6[[#This Row],[Date]])</f>
        <v>2025</v>
      </c>
      <c r="D120" s="79" t="s">
        <v>344</v>
      </c>
      <c r="E120" s="284">
        <f>Table6[[#This Row],[Date]]-DAY(Table6[[#This Row],[Date]])+1</f>
        <v>45748</v>
      </c>
      <c r="F120" s="285">
        <v>45751</v>
      </c>
      <c r="G120" s="79" t="s">
        <v>92</v>
      </c>
      <c r="H120" s="79" t="str">
        <f>IFERROR(_xlfn.XLOOKUP(Table6[[#This Row],[Affected Feeder ]],'Basic Data'!$A:$A,'Basic Data'!$B:$B),"")</f>
        <v>PWEPL</v>
      </c>
      <c r="I120" s="79" t="str">
        <f>IFERROR(_xlfn.XLOOKUP(Table6[[#This Row],[Affected Feeder ]],'Basic Data'!$A:$A,'Basic Data'!$C:$C),"")</f>
        <v>MSEDCL</v>
      </c>
      <c r="J120" s="295">
        <f>IFERROR(_xlfn.XLOOKUP(Table6[[#This Row],[Affected Feeder ]],'Basic Data'!$A:$A,'Basic Data'!$E:$E),"")</f>
        <v>2.2727272727272728E-2</v>
      </c>
      <c r="K120" s="296" t="s">
        <v>414</v>
      </c>
      <c r="L120" s="297">
        <v>0.4291666666666667</v>
      </c>
      <c r="M120" s="297">
        <v>0.4291666666666667</v>
      </c>
      <c r="N120" s="297">
        <v>0.80555555555555547</v>
      </c>
      <c r="O120" s="19">
        <f>(Table6[[#This Row],[Work Start TimeStamp]]-Table6[[#This Row],[Fault Start TimeStamp]])*24</f>
        <v>0</v>
      </c>
      <c r="P120" s="19">
        <f>(Table6[[#This Row],[Fault Clearance time]]-Table6[[#This Row],[Fault Start TimeStamp]])*24</f>
        <v>9.0333333333333314</v>
      </c>
      <c r="Q120" s="19">
        <f>(Table6[[#This Row],[Fault Clearance time]]-Table6[[#This Row],[Fault Start TimeStamp]])*24</f>
        <v>9.0333333333333314</v>
      </c>
      <c r="R120" s="79" t="s">
        <v>430</v>
      </c>
      <c r="S120" s="79" t="s">
        <v>339</v>
      </c>
      <c r="T120" s="298">
        <f>IFERROR(Table6[[#This Row],[Breakdown Time]]*Table6[[#This Row],[Plant Equivalent Weightage]],"")</f>
        <v>0.20530303030303027</v>
      </c>
      <c r="U120" s="79" t="s">
        <v>416</v>
      </c>
      <c r="W120" s="79">
        <v>1002</v>
      </c>
    </row>
    <row r="121" spans="1:23">
      <c r="A121" s="79">
        <f t="shared" si="1"/>
        <v>120</v>
      </c>
      <c r="B121" s="79">
        <f>YEAR(Table6[[#This Row],[Date]])+IF(MONTH(Table6[[#This Row],[Date]])&gt;=4,1,0)</f>
        <v>2026</v>
      </c>
      <c r="C121" s="79">
        <f>YEAR(Table6[[#This Row],[Date]])</f>
        <v>2025</v>
      </c>
      <c r="D121" s="79" t="s">
        <v>344</v>
      </c>
      <c r="E121" s="284">
        <f>Table6[[#This Row],[Date]]-DAY(Table6[[#This Row],[Date]])+1</f>
        <v>45748</v>
      </c>
      <c r="F121" s="285">
        <v>45751</v>
      </c>
      <c r="G121" s="79" t="s">
        <v>92</v>
      </c>
      <c r="H121" s="79" t="str">
        <f>IFERROR(_xlfn.XLOOKUP(Table6[[#This Row],[Affected Feeder ]],'Basic Data'!$A:$A,'Basic Data'!$B:$B),"")</f>
        <v>PWEPL</v>
      </c>
      <c r="I121" s="79" t="str">
        <f>IFERROR(_xlfn.XLOOKUP(Table6[[#This Row],[Affected Feeder ]],'Basic Data'!$A:$A,'Basic Data'!$C:$C),"")</f>
        <v>MSEDCL</v>
      </c>
      <c r="J121" s="295">
        <f>IFERROR(_xlfn.XLOOKUP(Table6[[#This Row],[Affected Feeder ]],'Basic Data'!$A:$A,'Basic Data'!$E:$E),"")</f>
        <v>2.2727272727272728E-2</v>
      </c>
      <c r="K121" s="296" t="s">
        <v>171</v>
      </c>
      <c r="L121" s="297">
        <v>0.80555555555555547</v>
      </c>
      <c r="M121" s="297">
        <v>0.80555555555555547</v>
      </c>
      <c r="N121" s="297">
        <v>0.81944444444444453</v>
      </c>
      <c r="O121" s="19">
        <f>(Table6[[#This Row],[Work Start TimeStamp]]-Table6[[#This Row],[Fault Start TimeStamp]])*24</f>
        <v>0</v>
      </c>
      <c r="P121" s="19">
        <f>(Table6[[#This Row],[Fault Clearance time]]-Table6[[#This Row],[Fault Start TimeStamp]])*24</f>
        <v>0.33333333333333748</v>
      </c>
      <c r="Q121" s="19">
        <f>(Table6[[#This Row],[Fault Clearance time]]-Table6[[#This Row],[Fault Start TimeStamp]])*24</f>
        <v>0.33333333333333748</v>
      </c>
      <c r="R121" s="79" t="s">
        <v>353</v>
      </c>
      <c r="S121" s="79" t="s">
        <v>339</v>
      </c>
      <c r="T121" s="298">
        <f>IFERROR(Table6[[#This Row],[Breakdown Time]]*Table6[[#This Row],[Plant Equivalent Weightage]],"")</f>
        <v>7.5757575757576705E-3</v>
      </c>
      <c r="U121" s="79" t="s">
        <v>416</v>
      </c>
      <c r="W121" s="79">
        <v>37</v>
      </c>
    </row>
    <row r="122" spans="1:23">
      <c r="A122" s="79">
        <f t="shared" si="1"/>
        <v>121</v>
      </c>
      <c r="B122" s="79">
        <f>YEAR(Table6[[#This Row],[Date]])+IF(MONTH(Table6[[#This Row],[Date]])&gt;=4,1,0)</f>
        <v>2026</v>
      </c>
      <c r="C122" s="79">
        <f>YEAR(Table6[[#This Row],[Date]])</f>
        <v>2025</v>
      </c>
      <c r="D122" s="79" t="s">
        <v>344</v>
      </c>
      <c r="E122" s="284">
        <f>Table6[[#This Row],[Date]]-DAY(Table6[[#This Row],[Date]])+1</f>
        <v>45748</v>
      </c>
      <c r="F122" s="285">
        <v>45751</v>
      </c>
      <c r="G122" s="79" t="s">
        <v>94</v>
      </c>
      <c r="H122" s="79" t="str">
        <f>IFERROR(_xlfn.XLOOKUP(Table6[[#This Row],[Affected Feeder ]],'Basic Data'!$A:$A,'Basic Data'!$B:$B),"")</f>
        <v>PWEPL</v>
      </c>
      <c r="I122" s="79" t="str">
        <f>IFERROR(_xlfn.XLOOKUP(Table6[[#This Row],[Affected Feeder ]],'Basic Data'!$A:$A,'Basic Data'!$C:$C),"")</f>
        <v>MSEDCL</v>
      </c>
      <c r="J122" s="295">
        <f>IFERROR(_xlfn.XLOOKUP(Table6[[#This Row],[Affected Feeder ]],'Basic Data'!$A:$A,'Basic Data'!$E:$E),"")</f>
        <v>2.2727272727272728E-2</v>
      </c>
      <c r="K122" s="296" t="s">
        <v>414</v>
      </c>
      <c r="L122" s="297">
        <v>0.4291666666666667</v>
      </c>
      <c r="M122" s="297">
        <v>0.4291666666666667</v>
      </c>
      <c r="N122" s="297">
        <v>0.80555555555555547</v>
      </c>
      <c r="O122" s="19">
        <f>(Table6[[#This Row],[Work Start TimeStamp]]-Table6[[#This Row],[Fault Start TimeStamp]])*24</f>
        <v>0</v>
      </c>
      <c r="P122" s="19">
        <f>(Table6[[#This Row],[Fault Clearance time]]-Table6[[#This Row],[Fault Start TimeStamp]])*24</f>
        <v>9.0333333333333314</v>
      </c>
      <c r="Q122" s="19">
        <f>(Table6[[#This Row],[Fault Clearance time]]-Table6[[#This Row],[Fault Start TimeStamp]])*24</f>
        <v>9.0333333333333314</v>
      </c>
      <c r="R122" s="79" t="s">
        <v>430</v>
      </c>
      <c r="S122" s="79" t="s">
        <v>339</v>
      </c>
      <c r="T122" s="298">
        <f>IFERROR(Table6[[#This Row],[Breakdown Time]]*Table6[[#This Row],[Plant Equivalent Weightage]],"")</f>
        <v>0.20530303030303027</v>
      </c>
      <c r="U122" s="79" t="s">
        <v>416</v>
      </c>
      <c r="W122" s="79">
        <v>1002</v>
      </c>
    </row>
    <row r="123" spans="1:23">
      <c r="A123" s="79">
        <f t="shared" si="1"/>
        <v>122</v>
      </c>
      <c r="B123" s="79">
        <f>YEAR(Table6[[#This Row],[Date]])+IF(MONTH(Table6[[#This Row],[Date]])&gt;=4,1,0)</f>
        <v>2026</v>
      </c>
      <c r="C123" s="79">
        <f>YEAR(Table6[[#This Row],[Date]])</f>
        <v>2025</v>
      </c>
      <c r="D123" s="79" t="s">
        <v>344</v>
      </c>
      <c r="E123" s="284">
        <f>Table6[[#This Row],[Date]]-DAY(Table6[[#This Row],[Date]])+1</f>
        <v>45748</v>
      </c>
      <c r="F123" s="285">
        <v>45751</v>
      </c>
      <c r="G123" s="79" t="s">
        <v>94</v>
      </c>
      <c r="H123" s="79" t="str">
        <f>IFERROR(_xlfn.XLOOKUP(Table6[[#This Row],[Affected Feeder ]],'Basic Data'!$A:$A,'Basic Data'!$B:$B),"")</f>
        <v>PWEPL</v>
      </c>
      <c r="I123" s="79" t="str">
        <f>IFERROR(_xlfn.XLOOKUP(Table6[[#This Row],[Affected Feeder ]],'Basic Data'!$A:$A,'Basic Data'!$C:$C),"")</f>
        <v>MSEDCL</v>
      </c>
      <c r="J123" s="295">
        <f>IFERROR(_xlfn.XLOOKUP(Table6[[#This Row],[Affected Feeder ]],'Basic Data'!$A:$A,'Basic Data'!$E:$E),"")</f>
        <v>2.2727272727272728E-2</v>
      </c>
      <c r="K123" s="296" t="s">
        <v>171</v>
      </c>
      <c r="L123" s="297">
        <v>0.80555555555555547</v>
      </c>
      <c r="M123" s="297">
        <v>0.80555555555555547</v>
      </c>
      <c r="N123" s="297">
        <v>0.81944444444444453</v>
      </c>
      <c r="O123" s="19">
        <f>(Table6[[#This Row],[Work Start TimeStamp]]-Table6[[#This Row],[Fault Start TimeStamp]])*24</f>
        <v>0</v>
      </c>
      <c r="P123" s="19">
        <f>(Table6[[#This Row],[Fault Clearance time]]-Table6[[#This Row],[Fault Start TimeStamp]])*24</f>
        <v>0.33333333333333748</v>
      </c>
      <c r="Q123" s="19">
        <f>(Table6[[#This Row],[Fault Clearance time]]-Table6[[#This Row],[Fault Start TimeStamp]])*24</f>
        <v>0.33333333333333748</v>
      </c>
      <c r="R123" s="79" t="s">
        <v>353</v>
      </c>
      <c r="S123" s="79" t="s">
        <v>339</v>
      </c>
      <c r="T123" s="298">
        <f>IFERROR(Table6[[#This Row],[Breakdown Time]]*Table6[[#This Row],[Plant Equivalent Weightage]],"")</f>
        <v>7.5757575757576705E-3</v>
      </c>
      <c r="U123" s="79" t="s">
        <v>416</v>
      </c>
      <c r="W123" s="79">
        <v>37</v>
      </c>
    </row>
    <row r="124" spans="1:23">
      <c r="A124" s="79">
        <f t="shared" si="1"/>
        <v>123</v>
      </c>
      <c r="B124" s="79">
        <f>YEAR(Table6[[#This Row],[Date]])+IF(MONTH(Table6[[#This Row],[Date]])&gt;=4,1,0)</f>
        <v>2026</v>
      </c>
      <c r="C124" s="79">
        <f>YEAR(Table6[[#This Row],[Date]])</f>
        <v>2025</v>
      </c>
      <c r="D124" s="79" t="s">
        <v>344</v>
      </c>
      <c r="E124" s="284">
        <f>Table6[[#This Row],[Date]]-DAY(Table6[[#This Row],[Date]])+1</f>
        <v>45748</v>
      </c>
      <c r="F124" s="285">
        <v>45751</v>
      </c>
      <c r="G124" s="79" t="s">
        <v>95</v>
      </c>
      <c r="H124" s="79" t="str">
        <f>IFERROR(_xlfn.XLOOKUP(Table6[[#This Row],[Affected Feeder ]],'Basic Data'!$A:$A,'Basic Data'!$B:$B),"")</f>
        <v>PWEPL</v>
      </c>
      <c r="I124" s="79" t="str">
        <f>IFERROR(_xlfn.XLOOKUP(Table6[[#This Row],[Affected Feeder ]],'Basic Data'!$A:$A,'Basic Data'!$C:$C),"")</f>
        <v>MSEDCL</v>
      </c>
      <c r="J124" s="295">
        <f>IFERROR(_xlfn.XLOOKUP(Table6[[#This Row],[Affected Feeder ]],'Basic Data'!$A:$A,'Basic Data'!$E:$E),"")</f>
        <v>2.2727272727272728E-2</v>
      </c>
      <c r="K124" s="296" t="s">
        <v>414</v>
      </c>
      <c r="L124" s="297">
        <v>0.4291666666666667</v>
      </c>
      <c r="M124" s="297">
        <v>0.4291666666666667</v>
      </c>
      <c r="N124" s="297">
        <v>0.80555555555555547</v>
      </c>
      <c r="O124" s="19">
        <f>(Table6[[#This Row],[Work Start TimeStamp]]-Table6[[#This Row],[Fault Start TimeStamp]])*24</f>
        <v>0</v>
      </c>
      <c r="P124" s="19">
        <f>(Table6[[#This Row],[Fault Clearance time]]-Table6[[#This Row],[Fault Start TimeStamp]])*24</f>
        <v>9.0333333333333314</v>
      </c>
      <c r="Q124" s="19">
        <f>(Table6[[#This Row],[Fault Clearance time]]-Table6[[#This Row],[Fault Start TimeStamp]])*24</f>
        <v>9.0333333333333314</v>
      </c>
      <c r="R124" s="79" t="s">
        <v>430</v>
      </c>
      <c r="S124" s="79" t="s">
        <v>339</v>
      </c>
      <c r="T124" s="298">
        <f>IFERROR(Table6[[#This Row],[Breakdown Time]]*Table6[[#This Row],[Plant Equivalent Weightage]],"")</f>
        <v>0.20530303030303027</v>
      </c>
      <c r="U124" s="79" t="s">
        <v>416</v>
      </c>
      <c r="W124" s="79">
        <v>1002</v>
      </c>
    </row>
    <row r="125" spans="1:23">
      <c r="A125" s="79">
        <f t="shared" si="1"/>
        <v>124</v>
      </c>
      <c r="B125" s="79">
        <f>YEAR(Table6[[#This Row],[Date]])+IF(MONTH(Table6[[#This Row],[Date]])&gt;=4,1,0)</f>
        <v>2026</v>
      </c>
      <c r="C125" s="79">
        <f>YEAR(Table6[[#This Row],[Date]])</f>
        <v>2025</v>
      </c>
      <c r="D125" s="79" t="s">
        <v>344</v>
      </c>
      <c r="E125" s="284">
        <f>Table6[[#This Row],[Date]]-DAY(Table6[[#This Row],[Date]])+1</f>
        <v>45748</v>
      </c>
      <c r="F125" s="285">
        <v>45751</v>
      </c>
      <c r="G125" s="79" t="s">
        <v>95</v>
      </c>
      <c r="H125" s="79" t="str">
        <f>IFERROR(_xlfn.XLOOKUP(Table6[[#This Row],[Affected Feeder ]],'Basic Data'!$A:$A,'Basic Data'!$B:$B),"")</f>
        <v>PWEPL</v>
      </c>
      <c r="I125" s="79" t="str">
        <f>IFERROR(_xlfn.XLOOKUP(Table6[[#This Row],[Affected Feeder ]],'Basic Data'!$A:$A,'Basic Data'!$C:$C),"")</f>
        <v>MSEDCL</v>
      </c>
      <c r="J125" s="295">
        <f>IFERROR(_xlfn.XLOOKUP(Table6[[#This Row],[Affected Feeder ]],'Basic Data'!$A:$A,'Basic Data'!$E:$E),"")</f>
        <v>2.2727272727272728E-2</v>
      </c>
      <c r="K125" s="296" t="s">
        <v>171</v>
      </c>
      <c r="L125" s="297">
        <v>0.80555555555555547</v>
      </c>
      <c r="M125" s="297">
        <v>0.80555555555555547</v>
      </c>
      <c r="N125" s="297">
        <v>0.81944444444444453</v>
      </c>
      <c r="O125" s="19">
        <f>(Table6[[#This Row],[Work Start TimeStamp]]-Table6[[#This Row],[Fault Start TimeStamp]])*24</f>
        <v>0</v>
      </c>
      <c r="P125" s="19">
        <f>(Table6[[#This Row],[Fault Clearance time]]-Table6[[#This Row],[Fault Start TimeStamp]])*24</f>
        <v>0.33333333333333748</v>
      </c>
      <c r="Q125" s="19">
        <f>(Table6[[#This Row],[Fault Clearance time]]-Table6[[#This Row],[Fault Start TimeStamp]])*24</f>
        <v>0.33333333333333748</v>
      </c>
      <c r="R125" s="79" t="s">
        <v>353</v>
      </c>
      <c r="S125" s="79" t="s">
        <v>339</v>
      </c>
      <c r="T125" s="298">
        <f>IFERROR(Table6[[#This Row],[Breakdown Time]]*Table6[[#This Row],[Plant Equivalent Weightage]],"")</f>
        <v>7.5757575757576705E-3</v>
      </c>
      <c r="U125" s="79" t="s">
        <v>416</v>
      </c>
      <c r="W125" s="79">
        <v>37</v>
      </c>
    </row>
    <row r="126" spans="1:23">
      <c r="A126" s="79">
        <f t="shared" si="1"/>
        <v>125</v>
      </c>
      <c r="B126" s="79">
        <f>YEAR(Table6[[#This Row],[Date]])+IF(MONTH(Table6[[#This Row],[Date]])&gt;=4,1,0)</f>
        <v>2026</v>
      </c>
      <c r="C126" s="79">
        <f>YEAR(Table6[[#This Row],[Date]])</f>
        <v>2025</v>
      </c>
      <c r="D126" s="79" t="s">
        <v>344</v>
      </c>
      <c r="E126" s="284">
        <f>Table6[[#This Row],[Date]]-DAY(Table6[[#This Row],[Date]])+1</f>
        <v>45748</v>
      </c>
      <c r="F126" s="285">
        <v>45751</v>
      </c>
      <c r="G126" s="79" t="s">
        <v>106</v>
      </c>
      <c r="H126" s="79" t="str">
        <f>IFERROR(_xlfn.XLOOKUP(Table6[[#This Row],[Affected Feeder ]],'Basic Data'!$A:$A,'Basic Data'!$B:$B),"")</f>
        <v>PWEPL</v>
      </c>
      <c r="I126" s="79" t="str">
        <f>IFERROR(_xlfn.XLOOKUP(Table6[[#This Row],[Affected Feeder ]],'Basic Data'!$A:$A,'Basic Data'!$C:$C),"")</f>
        <v>MSEDCL</v>
      </c>
      <c r="J126" s="295">
        <f>IFERROR(_xlfn.XLOOKUP(Table6[[#This Row],[Affected Feeder ]],'Basic Data'!$A:$A,'Basic Data'!$E:$E),"")</f>
        <v>2.2727272727272728E-2</v>
      </c>
      <c r="K126" s="296" t="s">
        <v>414</v>
      </c>
      <c r="L126" s="297">
        <v>0.4291666666666667</v>
      </c>
      <c r="M126" s="297">
        <v>0.4291666666666667</v>
      </c>
      <c r="N126" s="297">
        <v>0.80555555555555547</v>
      </c>
      <c r="O126" s="19">
        <f>(Table6[[#This Row],[Work Start TimeStamp]]-Table6[[#This Row],[Fault Start TimeStamp]])*24</f>
        <v>0</v>
      </c>
      <c r="P126" s="19">
        <f>(Table6[[#This Row],[Fault Clearance time]]-Table6[[#This Row],[Fault Start TimeStamp]])*24</f>
        <v>9.0333333333333314</v>
      </c>
      <c r="Q126" s="19">
        <f>(Table6[[#This Row],[Fault Clearance time]]-Table6[[#This Row],[Fault Start TimeStamp]])*24</f>
        <v>9.0333333333333314</v>
      </c>
      <c r="R126" s="79" t="s">
        <v>430</v>
      </c>
      <c r="S126" s="79" t="s">
        <v>339</v>
      </c>
      <c r="T126" s="298">
        <f>IFERROR(Table6[[#This Row],[Breakdown Time]]*Table6[[#This Row],[Plant Equivalent Weightage]],"")</f>
        <v>0.20530303030303027</v>
      </c>
      <c r="U126" s="79" t="s">
        <v>416</v>
      </c>
      <c r="W126" s="79">
        <v>1002</v>
      </c>
    </row>
    <row r="127" spans="1:23">
      <c r="A127" s="79">
        <f t="shared" si="1"/>
        <v>126</v>
      </c>
      <c r="B127" s="79">
        <f>YEAR(Table6[[#This Row],[Date]])+IF(MONTH(Table6[[#This Row],[Date]])&gt;=4,1,0)</f>
        <v>2026</v>
      </c>
      <c r="C127" s="79">
        <f>YEAR(Table6[[#This Row],[Date]])</f>
        <v>2025</v>
      </c>
      <c r="D127" s="79" t="s">
        <v>344</v>
      </c>
      <c r="E127" s="284">
        <f>Table6[[#This Row],[Date]]-DAY(Table6[[#This Row],[Date]])+1</f>
        <v>45748</v>
      </c>
      <c r="F127" s="285">
        <v>45751</v>
      </c>
      <c r="G127" s="79" t="s">
        <v>106</v>
      </c>
      <c r="H127" s="79" t="str">
        <f>IFERROR(_xlfn.XLOOKUP(Table6[[#This Row],[Affected Feeder ]],'Basic Data'!$A:$A,'Basic Data'!$B:$B),"")</f>
        <v>PWEPL</v>
      </c>
      <c r="I127" s="79" t="str">
        <f>IFERROR(_xlfn.XLOOKUP(Table6[[#This Row],[Affected Feeder ]],'Basic Data'!$A:$A,'Basic Data'!$C:$C),"")</f>
        <v>MSEDCL</v>
      </c>
      <c r="J127" s="295">
        <f>IFERROR(_xlfn.XLOOKUP(Table6[[#This Row],[Affected Feeder ]],'Basic Data'!$A:$A,'Basic Data'!$E:$E),"")</f>
        <v>2.2727272727272728E-2</v>
      </c>
      <c r="K127" s="296" t="s">
        <v>171</v>
      </c>
      <c r="L127" s="297">
        <v>0.80555555555555547</v>
      </c>
      <c r="M127" s="297">
        <v>0.80555555555555547</v>
      </c>
      <c r="N127" s="297">
        <v>0.81944444444444453</v>
      </c>
      <c r="O127" s="19">
        <f>(Table6[[#This Row],[Work Start TimeStamp]]-Table6[[#This Row],[Fault Start TimeStamp]])*24</f>
        <v>0</v>
      </c>
      <c r="P127" s="19">
        <f>(Table6[[#This Row],[Fault Clearance time]]-Table6[[#This Row],[Fault Start TimeStamp]])*24</f>
        <v>0.33333333333333748</v>
      </c>
      <c r="Q127" s="19">
        <f>(Table6[[#This Row],[Fault Clearance time]]-Table6[[#This Row],[Fault Start TimeStamp]])*24</f>
        <v>0.33333333333333748</v>
      </c>
      <c r="R127" s="79" t="s">
        <v>353</v>
      </c>
      <c r="S127" s="79" t="s">
        <v>339</v>
      </c>
      <c r="T127" s="298">
        <f>IFERROR(Table6[[#This Row],[Breakdown Time]]*Table6[[#This Row],[Plant Equivalent Weightage]],"")</f>
        <v>7.5757575757576705E-3</v>
      </c>
      <c r="U127" s="79" t="s">
        <v>416</v>
      </c>
      <c r="W127" s="79">
        <v>37</v>
      </c>
    </row>
    <row r="128" spans="1:23">
      <c r="A128" s="79">
        <f t="shared" si="1"/>
        <v>127</v>
      </c>
      <c r="B128" s="79">
        <f>YEAR(Table6[[#This Row],[Date]])+IF(MONTH(Table6[[#This Row],[Date]])&gt;=4,1,0)</f>
        <v>2026</v>
      </c>
      <c r="C128" s="79">
        <f>YEAR(Table6[[#This Row],[Date]])</f>
        <v>2025</v>
      </c>
      <c r="D128" s="79" t="s">
        <v>344</v>
      </c>
      <c r="E128" s="284">
        <f>Table6[[#This Row],[Date]]-DAY(Table6[[#This Row],[Date]])+1</f>
        <v>45748</v>
      </c>
      <c r="F128" s="285">
        <v>45751</v>
      </c>
      <c r="G128" s="79" t="s">
        <v>406</v>
      </c>
      <c r="H128" s="79" t="str">
        <f>IFERROR(_xlfn.XLOOKUP(Table6[[#This Row],[Affected Feeder ]],'Basic Data'!$A:$A,'Basic Data'!$B:$B),"")</f>
        <v>PWEPL</v>
      </c>
      <c r="I128" s="79" t="str">
        <f>IFERROR(_xlfn.XLOOKUP(Table6[[#This Row],[Affected Feeder ]],'Basic Data'!$A:$A,'Basic Data'!$C:$C),"")</f>
        <v>MSEDCL</v>
      </c>
      <c r="J128" s="295">
        <f>IFERROR(_xlfn.XLOOKUP(Table6[[#This Row],[Affected Feeder ]],'Basic Data'!$A:$A,'Basic Data'!$E:$E),"")</f>
        <v>0.29545454545454541</v>
      </c>
      <c r="K128" s="296" t="s">
        <v>431</v>
      </c>
      <c r="L128" s="297">
        <v>0.51041666666666663</v>
      </c>
      <c r="M128" s="297">
        <v>0.51041666666666663</v>
      </c>
      <c r="N128" s="297">
        <v>0.66319444444444442</v>
      </c>
      <c r="O128" s="19">
        <f>(Table6[[#This Row],[Work Start TimeStamp]]-Table6[[#This Row],[Fault Start TimeStamp]])*24</f>
        <v>0</v>
      </c>
      <c r="P128" s="19">
        <f>(Table6[[#This Row],[Fault Clearance time]]-Table6[[#This Row],[Fault Start TimeStamp]])*24</f>
        <v>3.666666666666667</v>
      </c>
      <c r="Q128" s="19">
        <f>(Table6[[#This Row],[Fault Clearance time]]-Table6[[#This Row],[Fault Start TimeStamp]])*24</f>
        <v>3.666666666666667</v>
      </c>
      <c r="R128" s="79" t="s">
        <v>432</v>
      </c>
      <c r="S128" s="79" t="s">
        <v>339</v>
      </c>
      <c r="T128" s="298">
        <f>IFERROR(Table6[[#This Row],[Breakdown Time]]*Table6[[#This Row],[Plant Equivalent Weightage]],"")</f>
        <v>1.0833333333333333</v>
      </c>
      <c r="U128" s="79" t="s">
        <v>416</v>
      </c>
      <c r="W128" s="79">
        <v>548</v>
      </c>
    </row>
    <row r="129" spans="1:23">
      <c r="A129" s="79">
        <f t="shared" si="1"/>
        <v>128</v>
      </c>
      <c r="B129" s="79">
        <f>YEAR(Table6[[#This Row],[Date]])+IF(MONTH(Table6[[#This Row],[Date]])&gt;=4,1,0)</f>
        <v>2026</v>
      </c>
      <c r="C129" s="79">
        <f>YEAR(Table6[[#This Row],[Date]])</f>
        <v>2025</v>
      </c>
      <c r="D129" s="79" t="s">
        <v>344</v>
      </c>
      <c r="E129" s="284">
        <f>Table6[[#This Row],[Date]]-DAY(Table6[[#This Row],[Date]])+1</f>
        <v>45748</v>
      </c>
      <c r="F129" s="285">
        <v>45751</v>
      </c>
      <c r="G129" s="79" t="s">
        <v>76</v>
      </c>
      <c r="H129" s="79" t="str">
        <f>IFERROR(_xlfn.XLOOKUP(Table6[[#This Row],[Affected Feeder ]],'Basic Data'!$A:$A,'Basic Data'!$B:$B),"")</f>
        <v>PWEPL</v>
      </c>
      <c r="I129" s="79" t="str">
        <f>IFERROR(_xlfn.XLOOKUP(Table6[[#This Row],[Affected Feeder ]],'Basic Data'!$A:$A,'Basic Data'!$C:$C),"")</f>
        <v>MSEDCL</v>
      </c>
      <c r="J129" s="295">
        <f>IFERROR(_xlfn.XLOOKUP(Table6[[#This Row],[Affected Feeder ]],'Basic Data'!$A:$A,'Basic Data'!$E:$E),"")</f>
        <v>2.2727272727272728E-2</v>
      </c>
      <c r="K129" s="296" t="s">
        <v>171</v>
      </c>
      <c r="L129" s="297">
        <v>0.66319444444444442</v>
      </c>
      <c r="M129" s="297">
        <v>0.66319444444444442</v>
      </c>
      <c r="N129" s="297">
        <v>0.67708333333333337</v>
      </c>
      <c r="O129" s="19">
        <f>(Table6[[#This Row],[Work Start TimeStamp]]-Table6[[#This Row],[Fault Start TimeStamp]])*24</f>
        <v>0</v>
      </c>
      <c r="P129" s="19">
        <f>(Table6[[#This Row],[Fault Clearance time]]-Table6[[#This Row],[Fault Start TimeStamp]])*24</f>
        <v>0.33333333333333481</v>
      </c>
      <c r="Q129" s="19">
        <f>(Table6[[#This Row],[Fault Clearance time]]-Table6[[#This Row],[Fault Start TimeStamp]])*24</f>
        <v>0.33333333333333481</v>
      </c>
      <c r="R129" s="79" t="s">
        <v>353</v>
      </c>
      <c r="S129" s="79" t="s">
        <v>339</v>
      </c>
      <c r="T129" s="298">
        <f>IFERROR(Table6[[#This Row],[Breakdown Time]]*Table6[[#This Row],[Plant Equivalent Weightage]],"")</f>
        <v>7.5757575757576098E-3</v>
      </c>
      <c r="U129" s="79" t="s">
        <v>416</v>
      </c>
      <c r="W129" s="79">
        <v>3.8</v>
      </c>
    </row>
    <row r="130" spans="1:23">
      <c r="A130" s="79">
        <f t="shared" si="1"/>
        <v>129</v>
      </c>
      <c r="B130" s="79">
        <f>YEAR(Table6[[#This Row],[Date]])+IF(MONTH(Table6[[#This Row],[Date]])&gt;=4,1,0)</f>
        <v>2026</v>
      </c>
      <c r="C130" s="79">
        <f>YEAR(Table6[[#This Row],[Date]])</f>
        <v>2025</v>
      </c>
      <c r="D130" s="79" t="s">
        <v>344</v>
      </c>
      <c r="E130" s="284">
        <f>Table6[[#This Row],[Date]]-DAY(Table6[[#This Row],[Date]])+1</f>
        <v>45748</v>
      </c>
      <c r="F130" s="285">
        <v>45751</v>
      </c>
      <c r="G130" s="79" t="s">
        <v>77</v>
      </c>
      <c r="H130" s="79" t="str">
        <f>IFERROR(_xlfn.XLOOKUP(Table6[[#This Row],[Affected Feeder ]],'Basic Data'!$A:$A,'Basic Data'!$B:$B),"")</f>
        <v>PWEPL</v>
      </c>
      <c r="I130" s="79" t="str">
        <f>IFERROR(_xlfn.XLOOKUP(Table6[[#This Row],[Affected Feeder ]],'Basic Data'!$A:$A,'Basic Data'!$C:$C),"")</f>
        <v>MSEDCL</v>
      </c>
      <c r="J130" s="295">
        <f>IFERROR(_xlfn.XLOOKUP(Table6[[#This Row],[Affected Feeder ]],'Basic Data'!$A:$A,'Basic Data'!$E:$E),"")</f>
        <v>2.2727272727272728E-2</v>
      </c>
      <c r="K130" s="296" t="s">
        <v>171</v>
      </c>
      <c r="L130" s="297">
        <v>0.66319444444444442</v>
      </c>
      <c r="M130" s="297">
        <v>0.66319444444444442</v>
      </c>
      <c r="N130" s="297">
        <v>0.67708333333333337</v>
      </c>
      <c r="O130" s="19">
        <f>(Table6[[#This Row],[Work Start TimeStamp]]-Table6[[#This Row],[Fault Start TimeStamp]])*24</f>
        <v>0</v>
      </c>
      <c r="P130" s="19">
        <f>(Table6[[#This Row],[Fault Clearance time]]-Table6[[#This Row],[Fault Start TimeStamp]])*24</f>
        <v>0.33333333333333481</v>
      </c>
      <c r="Q130" s="19">
        <f>(Table6[[#This Row],[Fault Clearance time]]-Table6[[#This Row],[Fault Start TimeStamp]])*24</f>
        <v>0.33333333333333481</v>
      </c>
      <c r="R130" s="79" t="s">
        <v>353</v>
      </c>
      <c r="S130" s="79" t="s">
        <v>339</v>
      </c>
      <c r="T130" s="298">
        <f>IFERROR(Table6[[#This Row],[Breakdown Time]]*Table6[[#This Row],[Plant Equivalent Weightage]],"")</f>
        <v>7.5757575757576098E-3</v>
      </c>
      <c r="U130" s="79" t="s">
        <v>416</v>
      </c>
      <c r="W130" s="79">
        <v>3.8</v>
      </c>
    </row>
    <row r="131" spans="1:23">
      <c r="A131" s="79">
        <f t="shared" si="1"/>
        <v>130</v>
      </c>
      <c r="B131" s="79">
        <f>YEAR(Table6[[#This Row],[Date]])+IF(MONTH(Table6[[#This Row],[Date]])&gt;=4,1,0)</f>
        <v>2026</v>
      </c>
      <c r="C131" s="79">
        <f>YEAR(Table6[[#This Row],[Date]])</f>
        <v>2025</v>
      </c>
      <c r="D131" s="79" t="s">
        <v>344</v>
      </c>
      <c r="E131" s="284">
        <f>Table6[[#This Row],[Date]]-DAY(Table6[[#This Row],[Date]])+1</f>
        <v>45748</v>
      </c>
      <c r="F131" s="285">
        <v>45751</v>
      </c>
      <c r="G131" s="79" t="s">
        <v>78</v>
      </c>
      <c r="H131" s="79" t="str">
        <f>IFERROR(_xlfn.XLOOKUP(Table6[[#This Row],[Affected Feeder ]],'Basic Data'!$A:$A,'Basic Data'!$B:$B),"")</f>
        <v>PWEPL</v>
      </c>
      <c r="I131" s="79" t="str">
        <f>IFERROR(_xlfn.XLOOKUP(Table6[[#This Row],[Affected Feeder ]],'Basic Data'!$A:$A,'Basic Data'!$C:$C),"")</f>
        <v>MSEDCL</v>
      </c>
      <c r="J131" s="295">
        <f>IFERROR(_xlfn.XLOOKUP(Table6[[#This Row],[Affected Feeder ]],'Basic Data'!$A:$A,'Basic Data'!$E:$E),"")</f>
        <v>2.2727272727272728E-2</v>
      </c>
      <c r="K131" s="296" t="s">
        <v>171</v>
      </c>
      <c r="L131" s="297">
        <v>0.66319444444444442</v>
      </c>
      <c r="M131" s="297">
        <v>0.66319444444444442</v>
      </c>
      <c r="N131" s="297">
        <v>0.67708333333333337</v>
      </c>
      <c r="O131" s="19">
        <f>(Table6[[#This Row],[Work Start TimeStamp]]-Table6[[#This Row],[Fault Start TimeStamp]])*24</f>
        <v>0</v>
      </c>
      <c r="P131" s="19">
        <f>(Table6[[#This Row],[Fault Clearance time]]-Table6[[#This Row],[Fault Start TimeStamp]])*24</f>
        <v>0.33333333333333481</v>
      </c>
      <c r="Q131" s="19">
        <f>(Table6[[#This Row],[Fault Clearance time]]-Table6[[#This Row],[Fault Start TimeStamp]])*24</f>
        <v>0.33333333333333481</v>
      </c>
      <c r="R131" s="79" t="s">
        <v>353</v>
      </c>
      <c r="S131" s="79" t="s">
        <v>339</v>
      </c>
      <c r="T131" s="298">
        <f>IFERROR(Table6[[#This Row],[Breakdown Time]]*Table6[[#This Row],[Plant Equivalent Weightage]],"")</f>
        <v>7.5757575757576098E-3</v>
      </c>
      <c r="U131" s="79" t="s">
        <v>416</v>
      </c>
      <c r="W131" s="79">
        <v>3.8</v>
      </c>
    </row>
    <row r="132" spans="1:23">
      <c r="A132" s="79">
        <f t="shared" ref="A132:A195" si="2">A131+1</f>
        <v>131</v>
      </c>
      <c r="B132" s="79">
        <f>YEAR(Table6[[#This Row],[Date]])+IF(MONTH(Table6[[#This Row],[Date]])&gt;=4,1,0)</f>
        <v>2026</v>
      </c>
      <c r="C132" s="79">
        <f>YEAR(Table6[[#This Row],[Date]])</f>
        <v>2025</v>
      </c>
      <c r="D132" s="79" t="s">
        <v>344</v>
      </c>
      <c r="E132" s="284">
        <f>Table6[[#This Row],[Date]]-DAY(Table6[[#This Row],[Date]])+1</f>
        <v>45748</v>
      </c>
      <c r="F132" s="285">
        <v>45751</v>
      </c>
      <c r="G132" s="79" t="s">
        <v>82</v>
      </c>
      <c r="H132" s="79" t="str">
        <f>IFERROR(_xlfn.XLOOKUP(Table6[[#This Row],[Affected Feeder ]],'Basic Data'!$A:$A,'Basic Data'!$B:$B),"")</f>
        <v>PWEPL</v>
      </c>
      <c r="I132" s="79" t="str">
        <f>IFERROR(_xlfn.XLOOKUP(Table6[[#This Row],[Affected Feeder ]],'Basic Data'!$A:$A,'Basic Data'!$C:$C),"")</f>
        <v>MSEDCL</v>
      </c>
      <c r="J132" s="295">
        <f>IFERROR(_xlfn.XLOOKUP(Table6[[#This Row],[Affected Feeder ]],'Basic Data'!$A:$A,'Basic Data'!$E:$E),"")</f>
        <v>2.2727272727272728E-2</v>
      </c>
      <c r="K132" s="296" t="s">
        <v>171</v>
      </c>
      <c r="L132" s="297">
        <v>0.66319444444444442</v>
      </c>
      <c r="M132" s="297">
        <v>0.66319444444444442</v>
      </c>
      <c r="N132" s="297">
        <v>0.67708333333333337</v>
      </c>
      <c r="O132" s="19">
        <f>(Table6[[#This Row],[Work Start TimeStamp]]-Table6[[#This Row],[Fault Start TimeStamp]])*24</f>
        <v>0</v>
      </c>
      <c r="P132" s="19">
        <f>(Table6[[#This Row],[Fault Clearance time]]-Table6[[#This Row],[Fault Start TimeStamp]])*24</f>
        <v>0.33333333333333481</v>
      </c>
      <c r="Q132" s="19">
        <f>(Table6[[#This Row],[Fault Clearance time]]-Table6[[#This Row],[Fault Start TimeStamp]])*24</f>
        <v>0.33333333333333481</v>
      </c>
      <c r="R132" s="79" t="s">
        <v>353</v>
      </c>
      <c r="S132" s="79" t="s">
        <v>339</v>
      </c>
      <c r="T132" s="298">
        <f>IFERROR(Table6[[#This Row],[Breakdown Time]]*Table6[[#This Row],[Plant Equivalent Weightage]],"")</f>
        <v>7.5757575757576098E-3</v>
      </c>
      <c r="U132" s="79" t="s">
        <v>416</v>
      </c>
      <c r="W132" s="79">
        <v>3.8</v>
      </c>
    </row>
    <row r="133" spans="1:23">
      <c r="A133" s="79">
        <f t="shared" si="2"/>
        <v>132</v>
      </c>
      <c r="B133" s="79">
        <f>YEAR(Table6[[#This Row],[Date]])+IF(MONTH(Table6[[#This Row],[Date]])&gt;=4,1,0)</f>
        <v>2026</v>
      </c>
      <c r="C133" s="79">
        <f>YEAR(Table6[[#This Row],[Date]])</f>
        <v>2025</v>
      </c>
      <c r="D133" s="79" t="s">
        <v>344</v>
      </c>
      <c r="E133" s="284">
        <f>Table6[[#This Row],[Date]]-DAY(Table6[[#This Row],[Date]])+1</f>
        <v>45748</v>
      </c>
      <c r="F133" s="285">
        <v>45751</v>
      </c>
      <c r="G133" s="79" t="s">
        <v>93</v>
      </c>
      <c r="H133" s="79" t="str">
        <f>IFERROR(_xlfn.XLOOKUP(Table6[[#This Row],[Affected Feeder ]],'Basic Data'!$A:$A,'Basic Data'!$B:$B),"")</f>
        <v>PWEPL</v>
      </c>
      <c r="I133" s="79" t="str">
        <f>IFERROR(_xlfn.XLOOKUP(Table6[[#This Row],[Affected Feeder ]],'Basic Data'!$A:$A,'Basic Data'!$C:$C),"")</f>
        <v>MSEDCL</v>
      </c>
      <c r="J133" s="295">
        <f>IFERROR(_xlfn.XLOOKUP(Table6[[#This Row],[Affected Feeder ]],'Basic Data'!$A:$A,'Basic Data'!$E:$E),"")</f>
        <v>2.2727272727272728E-2</v>
      </c>
      <c r="K133" s="296" t="s">
        <v>171</v>
      </c>
      <c r="L133" s="297">
        <v>0.66319444444444442</v>
      </c>
      <c r="M133" s="297">
        <v>0.66319444444444442</v>
      </c>
      <c r="N133" s="297">
        <v>0.67708333333333337</v>
      </c>
      <c r="O133" s="19">
        <f>(Table6[[#This Row],[Work Start TimeStamp]]-Table6[[#This Row],[Fault Start TimeStamp]])*24</f>
        <v>0</v>
      </c>
      <c r="P133" s="19">
        <f>(Table6[[#This Row],[Fault Clearance time]]-Table6[[#This Row],[Fault Start TimeStamp]])*24</f>
        <v>0.33333333333333481</v>
      </c>
      <c r="Q133" s="19">
        <f>(Table6[[#This Row],[Fault Clearance time]]-Table6[[#This Row],[Fault Start TimeStamp]])*24</f>
        <v>0.33333333333333481</v>
      </c>
      <c r="R133" s="79" t="s">
        <v>353</v>
      </c>
      <c r="S133" s="79" t="s">
        <v>339</v>
      </c>
      <c r="T133" s="298">
        <f>IFERROR(Table6[[#This Row],[Breakdown Time]]*Table6[[#This Row],[Plant Equivalent Weightage]],"")</f>
        <v>7.5757575757576098E-3</v>
      </c>
      <c r="U133" s="79" t="s">
        <v>416</v>
      </c>
      <c r="W133" s="79">
        <v>3.8</v>
      </c>
    </row>
    <row r="134" spans="1:23">
      <c r="A134" s="79">
        <f t="shared" si="2"/>
        <v>133</v>
      </c>
      <c r="B134" s="79">
        <f>YEAR(Table6[[#This Row],[Date]])+IF(MONTH(Table6[[#This Row],[Date]])&gt;=4,1,0)</f>
        <v>2026</v>
      </c>
      <c r="C134" s="79">
        <f>YEAR(Table6[[#This Row],[Date]])</f>
        <v>2025</v>
      </c>
      <c r="D134" s="79" t="s">
        <v>344</v>
      </c>
      <c r="E134" s="284">
        <f>Table6[[#This Row],[Date]]-DAY(Table6[[#This Row],[Date]])+1</f>
        <v>45748</v>
      </c>
      <c r="F134" s="285">
        <v>45751</v>
      </c>
      <c r="G134" s="79" t="s">
        <v>102</v>
      </c>
      <c r="H134" s="79" t="str">
        <f>IFERROR(_xlfn.XLOOKUP(Table6[[#This Row],[Affected Feeder ]],'Basic Data'!$A:$A,'Basic Data'!$B:$B),"")</f>
        <v>PWEPL</v>
      </c>
      <c r="I134" s="79" t="str">
        <f>IFERROR(_xlfn.XLOOKUP(Table6[[#This Row],[Affected Feeder ]],'Basic Data'!$A:$A,'Basic Data'!$C:$C),"")</f>
        <v>MSEDCL</v>
      </c>
      <c r="J134" s="295">
        <f>IFERROR(_xlfn.XLOOKUP(Table6[[#This Row],[Affected Feeder ]],'Basic Data'!$A:$A,'Basic Data'!$E:$E),"")</f>
        <v>2.2727272727272728E-2</v>
      </c>
      <c r="K134" s="296" t="s">
        <v>171</v>
      </c>
      <c r="L134" s="297">
        <v>0.66319444444444442</v>
      </c>
      <c r="M134" s="297">
        <v>0.66319444444444442</v>
      </c>
      <c r="N134" s="297">
        <v>0.67708333333333337</v>
      </c>
      <c r="O134" s="19">
        <f>(Table6[[#This Row],[Work Start TimeStamp]]-Table6[[#This Row],[Fault Start TimeStamp]])*24</f>
        <v>0</v>
      </c>
      <c r="P134" s="19">
        <f>(Table6[[#This Row],[Fault Clearance time]]-Table6[[#This Row],[Fault Start TimeStamp]])*24</f>
        <v>0.33333333333333481</v>
      </c>
      <c r="Q134" s="19">
        <f>(Table6[[#This Row],[Fault Clearance time]]-Table6[[#This Row],[Fault Start TimeStamp]])*24</f>
        <v>0.33333333333333481</v>
      </c>
      <c r="R134" s="79" t="s">
        <v>353</v>
      </c>
      <c r="S134" s="79" t="s">
        <v>339</v>
      </c>
      <c r="T134" s="298">
        <f>IFERROR(Table6[[#This Row],[Breakdown Time]]*Table6[[#This Row],[Plant Equivalent Weightage]],"")</f>
        <v>7.5757575757576098E-3</v>
      </c>
      <c r="U134" s="79" t="s">
        <v>416</v>
      </c>
      <c r="W134" s="79">
        <v>3.8</v>
      </c>
    </row>
    <row r="135" spans="1:23">
      <c r="A135" s="79">
        <f t="shared" si="2"/>
        <v>134</v>
      </c>
      <c r="B135" s="79">
        <f>YEAR(Table6[[#This Row],[Date]])+IF(MONTH(Table6[[#This Row],[Date]])&gt;=4,1,0)</f>
        <v>2026</v>
      </c>
      <c r="C135" s="79">
        <f>YEAR(Table6[[#This Row],[Date]])</f>
        <v>2025</v>
      </c>
      <c r="D135" s="79" t="s">
        <v>344</v>
      </c>
      <c r="E135" s="284">
        <f>Table6[[#This Row],[Date]]-DAY(Table6[[#This Row],[Date]])+1</f>
        <v>45748</v>
      </c>
      <c r="F135" s="285">
        <v>45751</v>
      </c>
      <c r="G135" s="79" t="s">
        <v>119</v>
      </c>
      <c r="H135" s="79" t="str">
        <f>IFERROR(_xlfn.XLOOKUP(Table6[[#This Row],[Affected Feeder ]],'Basic Data'!$A:$A,'Basic Data'!$B:$B),"")</f>
        <v>PWEPL</v>
      </c>
      <c r="I135" s="79" t="str">
        <f>IFERROR(_xlfn.XLOOKUP(Table6[[#This Row],[Affected Feeder ]],'Basic Data'!$A:$A,'Basic Data'!$C:$C),"")</f>
        <v>MSEDCL</v>
      </c>
      <c r="J135" s="295">
        <f>IFERROR(_xlfn.XLOOKUP(Table6[[#This Row],[Affected Feeder ]],'Basic Data'!$A:$A,'Basic Data'!$E:$E),"")</f>
        <v>2.2727272727272728E-2</v>
      </c>
      <c r="K135" s="296" t="s">
        <v>171</v>
      </c>
      <c r="L135" s="297">
        <v>0.66319444444444442</v>
      </c>
      <c r="M135" s="297">
        <v>0.66319444444444442</v>
      </c>
      <c r="N135" s="297">
        <v>0.67708333333333337</v>
      </c>
      <c r="O135" s="19">
        <f>(Table6[[#This Row],[Work Start TimeStamp]]-Table6[[#This Row],[Fault Start TimeStamp]])*24</f>
        <v>0</v>
      </c>
      <c r="P135" s="19">
        <f>(Table6[[#This Row],[Fault Clearance time]]-Table6[[#This Row],[Fault Start TimeStamp]])*24</f>
        <v>0.33333333333333481</v>
      </c>
      <c r="Q135" s="19">
        <f>(Table6[[#This Row],[Fault Clearance time]]-Table6[[#This Row],[Fault Start TimeStamp]])*24</f>
        <v>0.33333333333333481</v>
      </c>
      <c r="R135" s="79" t="s">
        <v>353</v>
      </c>
      <c r="S135" s="79" t="s">
        <v>339</v>
      </c>
      <c r="T135" s="298">
        <f>IFERROR(Table6[[#This Row],[Breakdown Time]]*Table6[[#This Row],[Plant Equivalent Weightage]],"")</f>
        <v>7.5757575757576098E-3</v>
      </c>
      <c r="U135" s="79" t="s">
        <v>416</v>
      </c>
      <c r="W135" s="79">
        <v>3.8</v>
      </c>
    </row>
    <row r="136" spans="1:23">
      <c r="A136" s="79">
        <f t="shared" si="2"/>
        <v>135</v>
      </c>
      <c r="B136" s="79">
        <f>YEAR(Table6[[#This Row],[Date]])+IF(MONTH(Table6[[#This Row],[Date]])&gt;=4,1,0)</f>
        <v>2026</v>
      </c>
      <c r="C136" s="79">
        <f>YEAR(Table6[[#This Row],[Date]])</f>
        <v>2025</v>
      </c>
      <c r="D136" s="79" t="s">
        <v>344</v>
      </c>
      <c r="E136" s="284">
        <f>Table6[[#This Row],[Date]]-DAY(Table6[[#This Row],[Date]])+1</f>
        <v>45748</v>
      </c>
      <c r="F136" s="285">
        <v>45751</v>
      </c>
      <c r="G136" s="79" t="s">
        <v>103</v>
      </c>
      <c r="H136" s="79" t="str">
        <f>IFERROR(_xlfn.XLOOKUP(Table6[[#This Row],[Affected Feeder ]],'Basic Data'!$A:$A,'Basic Data'!$B:$B),"")</f>
        <v>PWEPL</v>
      </c>
      <c r="I136" s="79" t="str">
        <f>IFERROR(_xlfn.XLOOKUP(Table6[[#This Row],[Affected Feeder ]],'Basic Data'!$A:$A,'Basic Data'!$C:$C),"")</f>
        <v>MSEDCL</v>
      </c>
      <c r="J136" s="295">
        <f>IFERROR(_xlfn.XLOOKUP(Table6[[#This Row],[Affected Feeder ]],'Basic Data'!$A:$A,'Basic Data'!$E:$E),"")</f>
        <v>2.2727272727272728E-2</v>
      </c>
      <c r="K136" s="296" t="s">
        <v>171</v>
      </c>
      <c r="L136" s="297">
        <v>0.66319444444444442</v>
      </c>
      <c r="M136" s="297">
        <v>0.66319444444444442</v>
      </c>
      <c r="N136" s="297">
        <v>0.67708333333333337</v>
      </c>
      <c r="O136" s="19">
        <f>(Table6[[#This Row],[Work Start TimeStamp]]-Table6[[#This Row],[Fault Start TimeStamp]])*24</f>
        <v>0</v>
      </c>
      <c r="P136" s="19">
        <f>(Table6[[#This Row],[Fault Clearance time]]-Table6[[#This Row],[Fault Start TimeStamp]])*24</f>
        <v>0.33333333333333481</v>
      </c>
      <c r="Q136" s="19">
        <f>(Table6[[#This Row],[Fault Clearance time]]-Table6[[#This Row],[Fault Start TimeStamp]])*24</f>
        <v>0.33333333333333481</v>
      </c>
      <c r="R136" s="79" t="s">
        <v>353</v>
      </c>
      <c r="S136" s="79" t="s">
        <v>339</v>
      </c>
      <c r="T136" s="298">
        <f>IFERROR(Table6[[#This Row],[Breakdown Time]]*Table6[[#This Row],[Plant Equivalent Weightage]],"")</f>
        <v>7.5757575757576098E-3</v>
      </c>
      <c r="U136" s="79" t="s">
        <v>416</v>
      </c>
      <c r="W136" s="79">
        <v>3.8</v>
      </c>
    </row>
    <row r="137" spans="1:23">
      <c r="A137" s="79">
        <f t="shared" si="2"/>
        <v>136</v>
      </c>
      <c r="B137" s="79">
        <f>YEAR(Table6[[#This Row],[Date]])+IF(MONTH(Table6[[#This Row],[Date]])&gt;=4,1,0)</f>
        <v>2026</v>
      </c>
      <c r="C137" s="79">
        <f>YEAR(Table6[[#This Row],[Date]])</f>
        <v>2025</v>
      </c>
      <c r="D137" s="79" t="s">
        <v>344</v>
      </c>
      <c r="E137" s="284">
        <f>Table6[[#This Row],[Date]]-DAY(Table6[[#This Row],[Date]])+1</f>
        <v>45748</v>
      </c>
      <c r="F137" s="285">
        <v>45751</v>
      </c>
      <c r="G137" s="79" t="s">
        <v>105</v>
      </c>
      <c r="H137" s="79" t="str">
        <f>IFERROR(_xlfn.XLOOKUP(Table6[[#This Row],[Affected Feeder ]],'Basic Data'!$A:$A,'Basic Data'!$B:$B),"")</f>
        <v>PWEPL</v>
      </c>
      <c r="I137" s="79" t="str">
        <f>IFERROR(_xlfn.XLOOKUP(Table6[[#This Row],[Affected Feeder ]],'Basic Data'!$A:$A,'Basic Data'!$C:$C),"")</f>
        <v>MSEDCL</v>
      </c>
      <c r="J137" s="295">
        <f>IFERROR(_xlfn.XLOOKUP(Table6[[#This Row],[Affected Feeder ]],'Basic Data'!$A:$A,'Basic Data'!$E:$E),"")</f>
        <v>2.2727272727272728E-2</v>
      </c>
      <c r="K137" s="296" t="s">
        <v>171</v>
      </c>
      <c r="L137" s="297">
        <v>0.66319444444444442</v>
      </c>
      <c r="M137" s="297">
        <v>0.66319444444444442</v>
      </c>
      <c r="N137" s="297">
        <v>0.67708333333333337</v>
      </c>
      <c r="O137" s="19">
        <f>(Table6[[#This Row],[Work Start TimeStamp]]-Table6[[#This Row],[Fault Start TimeStamp]])*24</f>
        <v>0</v>
      </c>
      <c r="P137" s="19">
        <f>(Table6[[#This Row],[Fault Clearance time]]-Table6[[#This Row],[Fault Start TimeStamp]])*24</f>
        <v>0.33333333333333481</v>
      </c>
      <c r="Q137" s="19">
        <f>(Table6[[#This Row],[Fault Clearance time]]-Table6[[#This Row],[Fault Start TimeStamp]])*24</f>
        <v>0.33333333333333481</v>
      </c>
      <c r="R137" s="79" t="s">
        <v>353</v>
      </c>
      <c r="S137" s="79" t="s">
        <v>339</v>
      </c>
      <c r="T137" s="298">
        <f>IFERROR(Table6[[#This Row],[Breakdown Time]]*Table6[[#This Row],[Plant Equivalent Weightage]],"")</f>
        <v>7.5757575757576098E-3</v>
      </c>
      <c r="U137" s="79" t="s">
        <v>416</v>
      </c>
      <c r="W137" s="79">
        <v>3.8</v>
      </c>
    </row>
    <row r="138" spans="1:23">
      <c r="A138" s="79">
        <f t="shared" si="2"/>
        <v>137</v>
      </c>
      <c r="B138" s="79">
        <f>YEAR(Table6[[#This Row],[Date]])+IF(MONTH(Table6[[#This Row],[Date]])&gt;=4,1,0)</f>
        <v>2026</v>
      </c>
      <c r="C138" s="79">
        <f>YEAR(Table6[[#This Row],[Date]])</f>
        <v>2025</v>
      </c>
      <c r="D138" s="79" t="s">
        <v>344</v>
      </c>
      <c r="E138" s="284">
        <f>Table6[[#This Row],[Date]]-DAY(Table6[[#This Row],[Date]])+1</f>
        <v>45748</v>
      </c>
      <c r="F138" s="285">
        <v>45751</v>
      </c>
      <c r="G138" s="79" t="s">
        <v>115</v>
      </c>
      <c r="H138" s="79" t="str">
        <f>IFERROR(_xlfn.XLOOKUP(Table6[[#This Row],[Affected Feeder ]],'Basic Data'!$A:$A,'Basic Data'!$B:$B),"")</f>
        <v>PWEPL</v>
      </c>
      <c r="I138" s="79" t="str">
        <f>IFERROR(_xlfn.XLOOKUP(Table6[[#This Row],[Affected Feeder ]],'Basic Data'!$A:$A,'Basic Data'!$C:$C),"")</f>
        <v>MSEDCL</v>
      </c>
      <c r="J138" s="295">
        <f>IFERROR(_xlfn.XLOOKUP(Table6[[#This Row],[Affected Feeder ]],'Basic Data'!$A:$A,'Basic Data'!$E:$E),"")</f>
        <v>2.2727272727272728E-2</v>
      </c>
      <c r="K138" s="296" t="s">
        <v>171</v>
      </c>
      <c r="L138" s="297">
        <v>0.66319444444444442</v>
      </c>
      <c r="M138" s="297">
        <v>0.66319444444444442</v>
      </c>
      <c r="N138" s="297">
        <v>0.67708333333333337</v>
      </c>
      <c r="O138" s="19">
        <f>(Table6[[#This Row],[Work Start TimeStamp]]-Table6[[#This Row],[Fault Start TimeStamp]])*24</f>
        <v>0</v>
      </c>
      <c r="P138" s="19">
        <f>(Table6[[#This Row],[Fault Clearance time]]-Table6[[#This Row],[Fault Start TimeStamp]])*24</f>
        <v>0.33333333333333481</v>
      </c>
      <c r="Q138" s="19">
        <f>(Table6[[#This Row],[Fault Clearance time]]-Table6[[#This Row],[Fault Start TimeStamp]])*24</f>
        <v>0.33333333333333481</v>
      </c>
      <c r="R138" s="79" t="s">
        <v>353</v>
      </c>
      <c r="S138" s="79" t="s">
        <v>339</v>
      </c>
      <c r="T138" s="298">
        <f>IFERROR(Table6[[#This Row],[Breakdown Time]]*Table6[[#This Row],[Plant Equivalent Weightage]],"")</f>
        <v>7.5757575757576098E-3</v>
      </c>
      <c r="U138" s="79" t="s">
        <v>416</v>
      </c>
      <c r="W138" s="79">
        <v>3.8</v>
      </c>
    </row>
    <row r="139" spans="1:23">
      <c r="A139" s="79">
        <f t="shared" si="2"/>
        <v>138</v>
      </c>
      <c r="B139" s="79">
        <f>YEAR(Table6[[#This Row],[Date]])+IF(MONTH(Table6[[#This Row],[Date]])&gt;=4,1,0)</f>
        <v>2026</v>
      </c>
      <c r="C139" s="79">
        <f>YEAR(Table6[[#This Row],[Date]])</f>
        <v>2025</v>
      </c>
      <c r="D139" s="79" t="s">
        <v>344</v>
      </c>
      <c r="E139" s="284">
        <f>Table6[[#This Row],[Date]]-DAY(Table6[[#This Row],[Date]])+1</f>
        <v>45748</v>
      </c>
      <c r="F139" s="285">
        <v>45751</v>
      </c>
      <c r="G139" s="79" t="s">
        <v>116</v>
      </c>
      <c r="H139" s="79" t="str">
        <f>IFERROR(_xlfn.XLOOKUP(Table6[[#This Row],[Affected Feeder ]],'Basic Data'!$A:$A,'Basic Data'!$B:$B),"")</f>
        <v>PWEPL</v>
      </c>
      <c r="I139" s="79" t="str">
        <f>IFERROR(_xlfn.XLOOKUP(Table6[[#This Row],[Affected Feeder ]],'Basic Data'!$A:$A,'Basic Data'!$C:$C),"")</f>
        <v>MSEDCL</v>
      </c>
      <c r="J139" s="295">
        <f>IFERROR(_xlfn.XLOOKUP(Table6[[#This Row],[Affected Feeder ]],'Basic Data'!$A:$A,'Basic Data'!$E:$E),"")</f>
        <v>2.2727272727272728E-2</v>
      </c>
      <c r="K139" s="296" t="s">
        <v>171</v>
      </c>
      <c r="L139" s="297">
        <v>0.66319444444444442</v>
      </c>
      <c r="M139" s="297">
        <v>0.66319444444444442</v>
      </c>
      <c r="N139" s="297">
        <v>0.67708333333333337</v>
      </c>
      <c r="O139" s="19">
        <f>(Table6[[#This Row],[Work Start TimeStamp]]-Table6[[#This Row],[Fault Start TimeStamp]])*24</f>
        <v>0</v>
      </c>
      <c r="P139" s="19">
        <f>(Table6[[#This Row],[Fault Clearance time]]-Table6[[#This Row],[Fault Start TimeStamp]])*24</f>
        <v>0.33333333333333481</v>
      </c>
      <c r="Q139" s="19">
        <f>(Table6[[#This Row],[Fault Clearance time]]-Table6[[#This Row],[Fault Start TimeStamp]])*24</f>
        <v>0.33333333333333481</v>
      </c>
      <c r="R139" s="79" t="s">
        <v>353</v>
      </c>
      <c r="S139" s="79" t="s">
        <v>339</v>
      </c>
      <c r="T139" s="298">
        <f>IFERROR(Table6[[#This Row],[Breakdown Time]]*Table6[[#This Row],[Plant Equivalent Weightage]],"")</f>
        <v>7.5757575757576098E-3</v>
      </c>
      <c r="U139" s="79" t="s">
        <v>416</v>
      </c>
      <c r="W139" s="79">
        <v>3.8</v>
      </c>
    </row>
    <row r="140" spans="1:23">
      <c r="A140" s="79">
        <f t="shared" si="2"/>
        <v>139</v>
      </c>
      <c r="B140" s="79">
        <f>YEAR(Table6[[#This Row],[Date]])+IF(MONTH(Table6[[#This Row],[Date]])&gt;=4,1,0)</f>
        <v>2026</v>
      </c>
      <c r="C140" s="79">
        <f>YEAR(Table6[[#This Row],[Date]])</f>
        <v>2025</v>
      </c>
      <c r="D140" s="79" t="s">
        <v>344</v>
      </c>
      <c r="E140" s="284">
        <f>Table6[[#This Row],[Date]]-DAY(Table6[[#This Row],[Date]])+1</f>
        <v>45748</v>
      </c>
      <c r="F140" s="285">
        <v>45751</v>
      </c>
      <c r="G140" s="79" t="s">
        <v>117</v>
      </c>
      <c r="H140" s="79" t="str">
        <f>IFERROR(_xlfn.XLOOKUP(Table6[[#This Row],[Affected Feeder ]],'Basic Data'!$A:$A,'Basic Data'!$B:$B),"")</f>
        <v>PWEPL</v>
      </c>
      <c r="I140" s="79" t="str">
        <f>IFERROR(_xlfn.XLOOKUP(Table6[[#This Row],[Affected Feeder ]],'Basic Data'!$A:$A,'Basic Data'!$C:$C),"")</f>
        <v>MSEDCL</v>
      </c>
      <c r="J140" s="295">
        <f>IFERROR(_xlfn.XLOOKUP(Table6[[#This Row],[Affected Feeder ]],'Basic Data'!$A:$A,'Basic Data'!$E:$E),"")</f>
        <v>2.2727272727272728E-2</v>
      </c>
      <c r="K140" s="296" t="s">
        <v>171</v>
      </c>
      <c r="L140" s="297">
        <v>0.66319444444444442</v>
      </c>
      <c r="M140" s="297">
        <v>0.66319444444444442</v>
      </c>
      <c r="N140" s="297">
        <v>0.67708333333333337</v>
      </c>
      <c r="O140" s="19">
        <f>(Table6[[#This Row],[Work Start TimeStamp]]-Table6[[#This Row],[Fault Start TimeStamp]])*24</f>
        <v>0</v>
      </c>
      <c r="P140" s="19">
        <f>(Table6[[#This Row],[Fault Clearance time]]-Table6[[#This Row],[Fault Start TimeStamp]])*24</f>
        <v>0.33333333333333481</v>
      </c>
      <c r="Q140" s="19">
        <f>(Table6[[#This Row],[Fault Clearance time]]-Table6[[#This Row],[Fault Start TimeStamp]])*24</f>
        <v>0.33333333333333481</v>
      </c>
      <c r="R140" s="79" t="s">
        <v>353</v>
      </c>
      <c r="S140" s="79" t="s">
        <v>339</v>
      </c>
      <c r="T140" s="298">
        <f>IFERROR(Table6[[#This Row],[Breakdown Time]]*Table6[[#This Row],[Plant Equivalent Weightage]],"")</f>
        <v>7.5757575757576098E-3</v>
      </c>
      <c r="U140" s="79" t="s">
        <v>416</v>
      </c>
      <c r="W140" s="79">
        <v>3.8</v>
      </c>
    </row>
    <row r="141" spans="1:23">
      <c r="A141" s="79">
        <f t="shared" si="2"/>
        <v>140</v>
      </c>
      <c r="B141" s="79">
        <f>YEAR(Table6[[#This Row],[Date]])+IF(MONTH(Table6[[#This Row],[Date]])&gt;=4,1,0)</f>
        <v>2026</v>
      </c>
      <c r="C141" s="79">
        <f>YEAR(Table6[[#This Row],[Date]])</f>
        <v>2025</v>
      </c>
      <c r="D141" s="79" t="s">
        <v>344</v>
      </c>
      <c r="E141" s="284">
        <f>Table6[[#This Row],[Date]]-DAY(Table6[[#This Row],[Date]])+1</f>
        <v>45748</v>
      </c>
      <c r="F141" s="285">
        <v>45751</v>
      </c>
      <c r="G141" s="79" t="s">
        <v>118</v>
      </c>
      <c r="H141" s="79" t="str">
        <f>IFERROR(_xlfn.XLOOKUP(Table6[[#This Row],[Affected Feeder ]],'Basic Data'!$A:$A,'Basic Data'!$B:$B),"")</f>
        <v>PWEPL</v>
      </c>
      <c r="I141" s="79" t="str">
        <f>IFERROR(_xlfn.XLOOKUP(Table6[[#This Row],[Affected Feeder ]],'Basic Data'!$A:$A,'Basic Data'!$C:$C),"")</f>
        <v>MSEDCL</v>
      </c>
      <c r="J141" s="295">
        <f>IFERROR(_xlfn.XLOOKUP(Table6[[#This Row],[Affected Feeder ]],'Basic Data'!$A:$A,'Basic Data'!$E:$E),"")</f>
        <v>2.2727272727272728E-2</v>
      </c>
      <c r="K141" s="296" t="s">
        <v>171</v>
      </c>
      <c r="L141" s="297">
        <v>0.66319444444444442</v>
      </c>
      <c r="M141" s="297">
        <v>0.66319444444444442</v>
      </c>
      <c r="N141" s="297">
        <v>0.67708333333333337</v>
      </c>
      <c r="O141" s="19">
        <f>(Table6[[#This Row],[Work Start TimeStamp]]-Table6[[#This Row],[Fault Start TimeStamp]])*24</f>
        <v>0</v>
      </c>
      <c r="P141" s="19">
        <f>(Table6[[#This Row],[Fault Clearance time]]-Table6[[#This Row],[Fault Start TimeStamp]])*24</f>
        <v>0.33333333333333481</v>
      </c>
      <c r="Q141" s="19">
        <f>(Table6[[#This Row],[Fault Clearance time]]-Table6[[#This Row],[Fault Start TimeStamp]])*24</f>
        <v>0.33333333333333481</v>
      </c>
      <c r="R141" s="79" t="s">
        <v>353</v>
      </c>
      <c r="S141" s="79" t="s">
        <v>339</v>
      </c>
      <c r="T141" s="298">
        <f>IFERROR(Table6[[#This Row],[Breakdown Time]]*Table6[[#This Row],[Plant Equivalent Weightage]],"")</f>
        <v>7.5757575757576098E-3</v>
      </c>
      <c r="U141" s="79" t="s">
        <v>416</v>
      </c>
      <c r="W141" s="79">
        <v>3.8</v>
      </c>
    </row>
    <row r="142" spans="1:23">
      <c r="A142" s="79">
        <f t="shared" si="2"/>
        <v>141</v>
      </c>
      <c r="B142" s="79">
        <f>YEAR(Table6[[#This Row],[Date]])+IF(MONTH(Table6[[#This Row],[Date]])&gt;=4,1,0)</f>
        <v>2026</v>
      </c>
      <c r="C142" s="79">
        <f>YEAR(Table6[[#This Row],[Date]])</f>
        <v>2025</v>
      </c>
      <c r="D142" s="79" t="s">
        <v>344</v>
      </c>
      <c r="E142" s="284">
        <f>Table6[[#This Row],[Date]]-DAY(Table6[[#This Row],[Date]])+1</f>
        <v>45748</v>
      </c>
      <c r="F142" s="285">
        <v>45751</v>
      </c>
      <c r="G142" s="79" t="s">
        <v>103</v>
      </c>
      <c r="H142" s="79" t="str">
        <f>IFERROR(_xlfn.XLOOKUP(Table6[[#This Row],[Affected Feeder ]],'Basic Data'!$A:$A,'Basic Data'!$B:$B),"")</f>
        <v>PWEPL</v>
      </c>
      <c r="I142" s="79" t="str">
        <f>IFERROR(_xlfn.XLOOKUP(Table6[[#This Row],[Affected Feeder ]],'Basic Data'!$A:$A,'Basic Data'!$C:$C),"")</f>
        <v>MSEDCL</v>
      </c>
      <c r="J142" s="295">
        <f>IFERROR(_xlfn.XLOOKUP(Table6[[#This Row],[Affected Feeder ]],'Basic Data'!$A:$A,'Basic Data'!$E:$E),"")</f>
        <v>2.2727272727272728E-2</v>
      </c>
      <c r="K142" s="296" t="s">
        <v>433</v>
      </c>
      <c r="L142" s="297">
        <v>0.70486111111111116</v>
      </c>
      <c r="M142" s="297">
        <v>0.70486111111111116</v>
      </c>
      <c r="N142" s="297">
        <v>0.72569444444444442</v>
      </c>
      <c r="O142" s="19">
        <f>(Table6[[#This Row],[Work Start TimeStamp]]-Table6[[#This Row],[Fault Start TimeStamp]])*24</f>
        <v>0</v>
      </c>
      <c r="P142" s="19">
        <f>(Table6[[#This Row],[Fault Clearance time]]-Table6[[#This Row],[Fault Start TimeStamp]])*24</f>
        <v>0.49999999999999822</v>
      </c>
      <c r="Q142" s="19">
        <f>(Table6[[#This Row],[Fault Clearance time]]-Table6[[#This Row],[Fault Start TimeStamp]])*24</f>
        <v>0.49999999999999822</v>
      </c>
      <c r="R142" s="79" t="s">
        <v>434</v>
      </c>
      <c r="S142" s="79" t="s">
        <v>339</v>
      </c>
      <c r="T142" s="298">
        <f>IFERROR(Table6[[#This Row],[Breakdown Time]]*Table6[[#This Row],[Plant Equivalent Weightage]],"")</f>
        <v>1.1363636363636324E-2</v>
      </c>
      <c r="U142" s="79" t="s">
        <v>416</v>
      </c>
      <c r="W142" s="79">
        <v>55</v>
      </c>
    </row>
    <row r="143" spans="1:23">
      <c r="A143" s="79">
        <f t="shared" si="2"/>
        <v>142</v>
      </c>
      <c r="B143" s="79">
        <f>YEAR(Table6[[#This Row],[Date]])+IF(MONTH(Table6[[#This Row],[Date]])&gt;=4,1,0)</f>
        <v>2026</v>
      </c>
      <c r="C143" s="79">
        <f>YEAR(Table6[[#This Row],[Date]])</f>
        <v>2025</v>
      </c>
      <c r="D143" s="79" t="s">
        <v>344</v>
      </c>
      <c r="E143" s="284">
        <f>Table6[[#This Row],[Date]]-DAY(Table6[[#This Row],[Date]])+1</f>
        <v>45748</v>
      </c>
      <c r="F143" s="285">
        <v>45751</v>
      </c>
      <c r="G143" s="79" t="s">
        <v>105</v>
      </c>
      <c r="H143" s="79" t="str">
        <f>IFERROR(_xlfn.XLOOKUP(Table6[[#This Row],[Affected Feeder ]],'Basic Data'!$A:$A,'Basic Data'!$B:$B),"")</f>
        <v>PWEPL</v>
      </c>
      <c r="I143" s="79" t="str">
        <f>IFERROR(_xlfn.XLOOKUP(Table6[[#This Row],[Affected Feeder ]],'Basic Data'!$A:$A,'Basic Data'!$C:$C),"")</f>
        <v>MSEDCL</v>
      </c>
      <c r="J143" s="295">
        <f>IFERROR(_xlfn.XLOOKUP(Table6[[#This Row],[Affected Feeder ]],'Basic Data'!$A:$A,'Basic Data'!$E:$E),"")</f>
        <v>2.2727272727272728E-2</v>
      </c>
      <c r="K143" s="296" t="s">
        <v>433</v>
      </c>
      <c r="L143" s="297">
        <v>0.70486111111111116</v>
      </c>
      <c r="M143" s="297">
        <v>0.70486111111111116</v>
      </c>
      <c r="N143" s="297">
        <v>0.72569444444444442</v>
      </c>
      <c r="O143" s="19">
        <f>(Table6[[#This Row],[Work Start TimeStamp]]-Table6[[#This Row],[Fault Start TimeStamp]])*24</f>
        <v>0</v>
      </c>
      <c r="P143" s="19">
        <f>(Table6[[#This Row],[Fault Clearance time]]-Table6[[#This Row],[Fault Start TimeStamp]])*24</f>
        <v>0.49999999999999822</v>
      </c>
      <c r="Q143" s="19">
        <f>(Table6[[#This Row],[Fault Clearance time]]-Table6[[#This Row],[Fault Start TimeStamp]])*24</f>
        <v>0.49999999999999822</v>
      </c>
      <c r="R143" s="79" t="s">
        <v>434</v>
      </c>
      <c r="S143" s="79" t="s">
        <v>339</v>
      </c>
      <c r="T143" s="298">
        <f>IFERROR(Table6[[#This Row],[Breakdown Time]]*Table6[[#This Row],[Plant Equivalent Weightage]],"")</f>
        <v>1.1363636363636324E-2</v>
      </c>
      <c r="U143" s="79" t="s">
        <v>416</v>
      </c>
      <c r="W143" s="79">
        <v>55</v>
      </c>
    </row>
    <row r="144" spans="1:23">
      <c r="A144" s="79">
        <f t="shared" si="2"/>
        <v>143</v>
      </c>
      <c r="B144" s="79">
        <f>YEAR(Table6[[#This Row],[Date]])+IF(MONTH(Table6[[#This Row],[Date]])&gt;=4,1,0)</f>
        <v>2026</v>
      </c>
      <c r="C144" s="79">
        <f>YEAR(Table6[[#This Row],[Date]])</f>
        <v>2025</v>
      </c>
      <c r="D144" s="79" t="s">
        <v>344</v>
      </c>
      <c r="E144" s="284">
        <f>Table6[[#This Row],[Date]]-DAY(Table6[[#This Row],[Date]])+1</f>
        <v>45748</v>
      </c>
      <c r="F144" s="285">
        <v>45751</v>
      </c>
      <c r="G144" s="79" t="s">
        <v>115</v>
      </c>
      <c r="H144" s="79" t="str">
        <f>IFERROR(_xlfn.XLOOKUP(Table6[[#This Row],[Affected Feeder ]],'Basic Data'!$A:$A,'Basic Data'!$B:$B),"")</f>
        <v>PWEPL</v>
      </c>
      <c r="I144" s="79" t="str">
        <f>IFERROR(_xlfn.XLOOKUP(Table6[[#This Row],[Affected Feeder ]],'Basic Data'!$A:$A,'Basic Data'!$C:$C),"")</f>
        <v>MSEDCL</v>
      </c>
      <c r="J144" s="295">
        <f>IFERROR(_xlfn.XLOOKUP(Table6[[#This Row],[Affected Feeder ]],'Basic Data'!$A:$A,'Basic Data'!$E:$E),"")</f>
        <v>2.2727272727272728E-2</v>
      </c>
      <c r="K144" s="296" t="s">
        <v>433</v>
      </c>
      <c r="L144" s="297">
        <v>0.70486111111111116</v>
      </c>
      <c r="M144" s="297">
        <v>0.70486111111111116</v>
      </c>
      <c r="N144" s="297">
        <v>0.72569444444444442</v>
      </c>
      <c r="O144" s="19">
        <f>(Table6[[#This Row],[Work Start TimeStamp]]-Table6[[#This Row],[Fault Start TimeStamp]])*24</f>
        <v>0</v>
      </c>
      <c r="P144" s="19">
        <f>(Table6[[#This Row],[Fault Clearance time]]-Table6[[#This Row],[Fault Start TimeStamp]])*24</f>
        <v>0.49999999999999822</v>
      </c>
      <c r="Q144" s="19">
        <f>(Table6[[#This Row],[Fault Clearance time]]-Table6[[#This Row],[Fault Start TimeStamp]])*24</f>
        <v>0.49999999999999822</v>
      </c>
      <c r="R144" s="79" t="s">
        <v>434</v>
      </c>
      <c r="S144" s="79" t="s">
        <v>339</v>
      </c>
      <c r="T144" s="298">
        <f>IFERROR(Table6[[#This Row],[Breakdown Time]]*Table6[[#This Row],[Plant Equivalent Weightage]],"")</f>
        <v>1.1363636363636324E-2</v>
      </c>
      <c r="U144" s="79" t="s">
        <v>416</v>
      </c>
      <c r="W144" s="79">
        <v>55</v>
      </c>
    </row>
    <row r="145" spans="1:23">
      <c r="A145" s="79">
        <f t="shared" si="2"/>
        <v>144</v>
      </c>
      <c r="B145" s="79">
        <f>YEAR(Table6[[#This Row],[Date]])+IF(MONTH(Table6[[#This Row],[Date]])&gt;=4,1,0)</f>
        <v>2026</v>
      </c>
      <c r="C145" s="79">
        <f>YEAR(Table6[[#This Row],[Date]])</f>
        <v>2025</v>
      </c>
      <c r="D145" s="79" t="s">
        <v>344</v>
      </c>
      <c r="E145" s="284">
        <f>Table6[[#This Row],[Date]]-DAY(Table6[[#This Row],[Date]])+1</f>
        <v>45748</v>
      </c>
      <c r="F145" s="285">
        <v>45751</v>
      </c>
      <c r="G145" s="79" t="s">
        <v>116</v>
      </c>
      <c r="H145" s="79" t="str">
        <f>IFERROR(_xlfn.XLOOKUP(Table6[[#This Row],[Affected Feeder ]],'Basic Data'!$A:$A,'Basic Data'!$B:$B),"")</f>
        <v>PWEPL</v>
      </c>
      <c r="I145" s="79" t="str">
        <f>IFERROR(_xlfn.XLOOKUP(Table6[[#This Row],[Affected Feeder ]],'Basic Data'!$A:$A,'Basic Data'!$C:$C),"")</f>
        <v>MSEDCL</v>
      </c>
      <c r="J145" s="295">
        <f>IFERROR(_xlfn.XLOOKUP(Table6[[#This Row],[Affected Feeder ]],'Basic Data'!$A:$A,'Basic Data'!$E:$E),"")</f>
        <v>2.2727272727272728E-2</v>
      </c>
      <c r="K145" s="296" t="s">
        <v>433</v>
      </c>
      <c r="L145" s="297">
        <v>0.70486111111111116</v>
      </c>
      <c r="M145" s="297">
        <v>0.70486111111111116</v>
      </c>
      <c r="N145" s="297">
        <v>0.72569444444444442</v>
      </c>
      <c r="O145" s="19">
        <f>(Table6[[#This Row],[Work Start TimeStamp]]-Table6[[#This Row],[Fault Start TimeStamp]])*24</f>
        <v>0</v>
      </c>
      <c r="P145" s="19">
        <f>(Table6[[#This Row],[Fault Clearance time]]-Table6[[#This Row],[Fault Start TimeStamp]])*24</f>
        <v>0.49999999999999822</v>
      </c>
      <c r="Q145" s="19">
        <f>(Table6[[#This Row],[Fault Clearance time]]-Table6[[#This Row],[Fault Start TimeStamp]])*24</f>
        <v>0.49999999999999822</v>
      </c>
      <c r="R145" s="79" t="s">
        <v>434</v>
      </c>
      <c r="S145" s="79" t="s">
        <v>339</v>
      </c>
      <c r="T145" s="298">
        <f>IFERROR(Table6[[#This Row],[Breakdown Time]]*Table6[[#This Row],[Plant Equivalent Weightage]],"")</f>
        <v>1.1363636363636324E-2</v>
      </c>
      <c r="U145" s="79" t="s">
        <v>416</v>
      </c>
      <c r="W145" s="79">
        <v>55</v>
      </c>
    </row>
    <row r="146" spans="1:23">
      <c r="A146" s="79">
        <f t="shared" si="2"/>
        <v>145</v>
      </c>
      <c r="B146" s="79">
        <f>YEAR(Table6[[#This Row],[Date]])+IF(MONTH(Table6[[#This Row],[Date]])&gt;=4,1,0)</f>
        <v>2026</v>
      </c>
      <c r="C146" s="79">
        <f>YEAR(Table6[[#This Row],[Date]])</f>
        <v>2025</v>
      </c>
      <c r="D146" s="79" t="s">
        <v>344</v>
      </c>
      <c r="E146" s="284">
        <f>Table6[[#This Row],[Date]]-DAY(Table6[[#This Row],[Date]])+1</f>
        <v>45748</v>
      </c>
      <c r="F146" s="285">
        <v>45751</v>
      </c>
      <c r="G146" s="79" t="s">
        <v>117</v>
      </c>
      <c r="H146" s="79" t="str">
        <f>IFERROR(_xlfn.XLOOKUP(Table6[[#This Row],[Affected Feeder ]],'Basic Data'!$A:$A,'Basic Data'!$B:$B),"")</f>
        <v>PWEPL</v>
      </c>
      <c r="I146" s="79" t="str">
        <f>IFERROR(_xlfn.XLOOKUP(Table6[[#This Row],[Affected Feeder ]],'Basic Data'!$A:$A,'Basic Data'!$C:$C),"")</f>
        <v>MSEDCL</v>
      </c>
      <c r="J146" s="295">
        <f>IFERROR(_xlfn.XLOOKUP(Table6[[#This Row],[Affected Feeder ]],'Basic Data'!$A:$A,'Basic Data'!$E:$E),"")</f>
        <v>2.2727272727272728E-2</v>
      </c>
      <c r="K146" s="296" t="s">
        <v>433</v>
      </c>
      <c r="L146" s="297">
        <v>0.70486111111111116</v>
      </c>
      <c r="M146" s="297">
        <v>0.70486111111111116</v>
      </c>
      <c r="N146" s="297">
        <v>0.72569444444444442</v>
      </c>
      <c r="O146" s="19">
        <f>(Table6[[#This Row],[Work Start TimeStamp]]-Table6[[#This Row],[Fault Start TimeStamp]])*24</f>
        <v>0</v>
      </c>
      <c r="P146" s="19">
        <f>(Table6[[#This Row],[Fault Clearance time]]-Table6[[#This Row],[Fault Start TimeStamp]])*24</f>
        <v>0.49999999999999822</v>
      </c>
      <c r="Q146" s="19">
        <f>(Table6[[#This Row],[Fault Clearance time]]-Table6[[#This Row],[Fault Start TimeStamp]])*24</f>
        <v>0.49999999999999822</v>
      </c>
      <c r="R146" s="79" t="s">
        <v>434</v>
      </c>
      <c r="S146" s="79" t="s">
        <v>339</v>
      </c>
      <c r="T146" s="298">
        <f>IFERROR(Table6[[#This Row],[Breakdown Time]]*Table6[[#This Row],[Plant Equivalent Weightage]],"")</f>
        <v>1.1363636363636324E-2</v>
      </c>
      <c r="U146" s="79" t="s">
        <v>416</v>
      </c>
      <c r="W146" s="79">
        <v>55</v>
      </c>
    </row>
    <row r="147" spans="1:23">
      <c r="A147" s="79">
        <f t="shared" si="2"/>
        <v>146</v>
      </c>
      <c r="B147" s="79">
        <f>YEAR(Table6[[#This Row],[Date]])+IF(MONTH(Table6[[#This Row],[Date]])&gt;=4,1,0)</f>
        <v>2026</v>
      </c>
      <c r="C147" s="79">
        <f>YEAR(Table6[[#This Row],[Date]])</f>
        <v>2025</v>
      </c>
      <c r="D147" s="79" t="s">
        <v>344</v>
      </c>
      <c r="E147" s="284">
        <f>Table6[[#This Row],[Date]]-DAY(Table6[[#This Row],[Date]])+1</f>
        <v>45748</v>
      </c>
      <c r="F147" s="285">
        <v>45751</v>
      </c>
      <c r="G147" s="79" t="s">
        <v>118</v>
      </c>
      <c r="H147" s="79" t="str">
        <f>IFERROR(_xlfn.XLOOKUP(Table6[[#This Row],[Affected Feeder ]],'Basic Data'!$A:$A,'Basic Data'!$B:$B),"")</f>
        <v>PWEPL</v>
      </c>
      <c r="I147" s="79" t="str">
        <f>IFERROR(_xlfn.XLOOKUP(Table6[[#This Row],[Affected Feeder ]],'Basic Data'!$A:$A,'Basic Data'!$C:$C),"")</f>
        <v>MSEDCL</v>
      </c>
      <c r="J147" s="295">
        <f>IFERROR(_xlfn.XLOOKUP(Table6[[#This Row],[Affected Feeder ]],'Basic Data'!$A:$A,'Basic Data'!$E:$E),"")</f>
        <v>2.2727272727272728E-2</v>
      </c>
      <c r="K147" s="296" t="s">
        <v>433</v>
      </c>
      <c r="L147" s="297">
        <v>0.70486111111111116</v>
      </c>
      <c r="M147" s="297">
        <v>0.70486111111111116</v>
      </c>
      <c r="N147" s="297">
        <v>0.72569444444444442</v>
      </c>
      <c r="O147" s="19">
        <f>(Table6[[#This Row],[Work Start TimeStamp]]-Table6[[#This Row],[Fault Start TimeStamp]])*24</f>
        <v>0</v>
      </c>
      <c r="P147" s="19">
        <f>(Table6[[#This Row],[Fault Clearance time]]-Table6[[#This Row],[Fault Start TimeStamp]])*24</f>
        <v>0.49999999999999822</v>
      </c>
      <c r="Q147" s="19">
        <f>(Table6[[#This Row],[Fault Clearance time]]-Table6[[#This Row],[Fault Start TimeStamp]])*24</f>
        <v>0.49999999999999822</v>
      </c>
      <c r="R147" s="79" t="s">
        <v>434</v>
      </c>
      <c r="S147" s="79" t="s">
        <v>339</v>
      </c>
      <c r="T147" s="298">
        <f>IFERROR(Table6[[#This Row],[Breakdown Time]]*Table6[[#This Row],[Plant Equivalent Weightage]],"")</f>
        <v>1.1363636363636324E-2</v>
      </c>
      <c r="U147" s="79" t="s">
        <v>416</v>
      </c>
      <c r="W147" s="79">
        <v>55</v>
      </c>
    </row>
    <row r="148" spans="1:23">
      <c r="A148" s="79">
        <f t="shared" si="2"/>
        <v>147</v>
      </c>
      <c r="B148" s="79">
        <f>YEAR(Table6[[#This Row],[Date]])+IF(MONTH(Table6[[#This Row],[Date]])&gt;=4,1,0)</f>
        <v>2026</v>
      </c>
      <c r="C148" s="79">
        <f>YEAR(Table6[[#This Row],[Date]])</f>
        <v>2025</v>
      </c>
      <c r="D148" s="79" t="s">
        <v>344</v>
      </c>
      <c r="E148" s="284">
        <f>Table6[[#This Row],[Date]]-DAY(Table6[[#This Row],[Date]])+1</f>
        <v>45748</v>
      </c>
      <c r="F148" s="285">
        <v>45752</v>
      </c>
      <c r="G148" s="79" t="s">
        <v>76</v>
      </c>
      <c r="H148" s="79" t="str">
        <f>IFERROR(_xlfn.XLOOKUP(Table6[[#This Row],[Affected Feeder ]],'Basic Data'!$A:$A,'Basic Data'!$B:$B),"")</f>
        <v>PWEPL</v>
      </c>
      <c r="I148" s="79" t="str">
        <f>IFERROR(_xlfn.XLOOKUP(Table6[[#This Row],[Affected Feeder ]],'Basic Data'!$A:$A,'Basic Data'!$C:$C),"")</f>
        <v>MSEDCL</v>
      </c>
      <c r="J148" s="295">
        <f>IFERROR(_xlfn.XLOOKUP(Table6[[#This Row],[Affected Feeder ]],'Basic Data'!$A:$A,'Basic Data'!$E:$E),"")</f>
        <v>2.2727272727272728E-2</v>
      </c>
      <c r="K148" s="296" t="s">
        <v>414</v>
      </c>
      <c r="L148" s="297">
        <v>0.3611111111111111</v>
      </c>
      <c r="M148" s="297">
        <v>0.3611111111111111</v>
      </c>
      <c r="N148" s="297">
        <v>0.81597222222222221</v>
      </c>
      <c r="O148" s="19">
        <f>(Table6[[#This Row],[Work Start TimeStamp]]-Table6[[#This Row],[Fault Start TimeStamp]])*24</f>
        <v>0</v>
      </c>
      <c r="P148" s="19">
        <f>(Table6[[#This Row],[Fault Clearance time]]-Table6[[#This Row],[Fault Start TimeStamp]])*24</f>
        <v>10.916666666666666</v>
      </c>
      <c r="Q148" s="19">
        <f>(Table6[[#This Row],[Fault Clearance time]]-Table6[[#This Row],[Fault Start TimeStamp]])*24</f>
        <v>10.916666666666666</v>
      </c>
      <c r="R148" s="79" t="s">
        <v>435</v>
      </c>
      <c r="S148" s="79" t="s">
        <v>339</v>
      </c>
      <c r="T148" s="298">
        <f>IFERROR(Table6[[#This Row],[Breakdown Time]]*Table6[[#This Row],[Plant Equivalent Weightage]],"")</f>
        <v>0.24810606060606061</v>
      </c>
      <c r="U148" s="79" t="s">
        <v>416</v>
      </c>
      <c r="W148" s="79">
        <v>1318</v>
      </c>
    </row>
    <row r="149" spans="1:23">
      <c r="A149" s="79">
        <f t="shared" si="2"/>
        <v>148</v>
      </c>
      <c r="B149" s="79">
        <f>YEAR(Table6[[#This Row],[Date]])+IF(MONTH(Table6[[#This Row],[Date]])&gt;=4,1,0)</f>
        <v>2026</v>
      </c>
      <c r="C149" s="79">
        <f>YEAR(Table6[[#This Row],[Date]])</f>
        <v>2025</v>
      </c>
      <c r="D149" s="79" t="s">
        <v>344</v>
      </c>
      <c r="E149" s="284">
        <f>Table6[[#This Row],[Date]]-DAY(Table6[[#This Row],[Date]])+1</f>
        <v>45748</v>
      </c>
      <c r="F149" s="285">
        <v>45752</v>
      </c>
      <c r="G149" s="79" t="s">
        <v>76</v>
      </c>
      <c r="H149" s="79" t="str">
        <f>IFERROR(_xlfn.XLOOKUP(Table6[[#This Row],[Affected Feeder ]],'Basic Data'!$A:$A,'Basic Data'!$B:$B),"")</f>
        <v>PWEPL</v>
      </c>
      <c r="I149" s="79" t="str">
        <f>IFERROR(_xlfn.XLOOKUP(Table6[[#This Row],[Affected Feeder ]],'Basic Data'!$A:$A,'Basic Data'!$C:$C),"")</f>
        <v>MSEDCL</v>
      </c>
      <c r="J149" s="295">
        <f>IFERROR(_xlfn.XLOOKUP(Table6[[#This Row],[Affected Feeder ]],'Basic Data'!$A:$A,'Basic Data'!$E:$E),"")</f>
        <v>2.2727272727272728E-2</v>
      </c>
      <c r="K149" s="296" t="s">
        <v>171</v>
      </c>
      <c r="L149" s="297">
        <v>0.81597222222222221</v>
      </c>
      <c r="M149" s="297">
        <v>0.81597222222222221</v>
      </c>
      <c r="N149" s="297">
        <v>0.82986111111111116</v>
      </c>
      <c r="O149" s="19">
        <f>(Table6[[#This Row],[Work Start TimeStamp]]-Table6[[#This Row],[Fault Start TimeStamp]])*24</f>
        <v>0</v>
      </c>
      <c r="P149" s="19">
        <f>(Table6[[#This Row],[Fault Clearance time]]-Table6[[#This Row],[Fault Start TimeStamp]])*24</f>
        <v>0.33333333333333481</v>
      </c>
      <c r="Q149" s="19">
        <f>(Table6[[#This Row],[Fault Clearance time]]-Table6[[#This Row],[Fault Start TimeStamp]])*24</f>
        <v>0.33333333333333481</v>
      </c>
      <c r="R149" s="79" t="s">
        <v>353</v>
      </c>
      <c r="S149" s="79" t="s">
        <v>339</v>
      </c>
      <c r="T149" s="298">
        <f>IFERROR(Table6[[#This Row],[Breakdown Time]]*Table6[[#This Row],[Plant Equivalent Weightage]],"")</f>
        <v>7.5757575757576098E-3</v>
      </c>
      <c r="U149" s="79" t="s">
        <v>416</v>
      </c>
      <c r="W149" s="79">
        <v>40</v>
      </c>
    </row>
    <row r="150" spans="1:23">
      <c r="A150" s="79">
        <f t="shared" si="2"/>
        <v>149</v>
      </c>
      <c r="B150" s="79">
        <f>YEAR(Table6[[#This Row],[Date]])+IF(MONTH(Table6[[#This Row],[Date]])&gt;=4,1,0)</f>
        <v>2026</v>
      </c>
      <c r="C150" s="79">
        <f>YEAR(Table6[[#This Row],[Date]])</f>
        <v>2025</v>
      </c>
      <c r="D150" s="79" t="s">
        <v>344</v>
      </c>
      <c r="E150" s="284">
        <f>Table6[[#This Row],[Date]]-DAY(Table6[[#This Row],[Date]])+1</f>
        <v>45748</v>
      </c>
      <c r="F150" s="285">
        <v>45752</v>
      </c>
      <c r="G150" s="79" t="s">
        <v>77</v>
      </c>
      <c r="H150" s="79" t="str">
        <f>IFERROR(_xlfn.XLOOKUP(Table6[[#This Row],[Affected Feeder ]],'Basic Data'!$A:$A,'Basic Data'!$B:$B),"")</f>
        <v>PWEPL</v>
      </c>
      <c r="I150" s="79" t="str">
        <f>IFERROR(_xlfn.XLOOKUP(Table6[[#This Row],[Affected Feeder ]],'Basic Data'!$A:$A,'Basic Data'!$C:$C),"")</f>
        <v>MSEDCL</v>
      </c>
      <c r="J150" s="295">
        <f>IFERROR(_xlfn.XLOOKUP(Table6[[#This Row],[Affected Feeder ]],'Basic Data'!$A:$A,'Basic Data'!$E:$E),"")</f>
        <v>2.2727272727272728E-2</v>
      </c>
      <c r="K150" s="296" t="s">
        <v>414</v>
      </c>
      <c r="L150" s="297">
        <v>0.3611111111111111</v>
      </c>
      <c r="M150" s="297">
        <v>0.3611111111111111</v>
      </c>
      <c r="N150" s="297">
        <v>0.37847222222222227</v>
      </c>
      <c r="O150" s="19">
        <f>(Table6[[#This Row],[Work Start TimeStamp]]-Table6[[#This Row],[Fault Start TimeStamp]])*24</f>
        <v>0</v>
      </c>
      <c r="P150" s="19">
        <f>(Table6[[#This Row],[Fault Clearance time]]-Table6[[#This Row],[Fault Start TimeStamp]])*24</f>
        <v>0.41666666666666785</v>
      </c>
      <c r="Q150" s="19">
        <f>(Table6[[#This Row],[Fault Clearance time]]-Table6[[#This Row],[Fault Start TimeStamp]])*24</f>
        <v>0.41666666666666785</v>
      </c>
      <c r="R150" s="79" t="s">
        <v>436</v>
      </c>
      <c r="S150" s="79" t="s">
        <v>339</v>
      </c>
      <c r="T150" s="298">
        <f>IFERROR(Table6[[#This Row],[Breakdown Time]]*Table6[[#This Row],[Plant Equivalent Weightage]],"")</f>
        <v>9.4696969696969977E-3</v>
      </c>
      <c r="U150" s="79" t="s">
        <v>416</v>
      </c>
      <c r="W150" s="79">
        <v>91</v>
      </c>
    </row>
    <row r="151" spans="1:23">
      <c r="A151" s="79">
        <f t="shared" si="2"/>
        <v>150</v>
      </c>
      <c r="B151" s="79">
        <f>YEAR(Table6[[#This Row],[Date]])+IF(MONTH(Table6[[#This Row],[Date]])&gt;=4,1,0)</f>
        <v>2026</v>
      </c>
      <c r="C151" s="79">
        <f>YEAR(Table6[[#This Row],[Date]])</f>
        <v>2025</v>
      </c>
      <c r="D151" s="79" t="s">
        <v>344</v>
      </c>
      <c r="E151" s="284">
        <f>Table6[[#This Row],[Date]]-DAY(Table6[[#This Row],[Date]])+1</f>
        <v>45748</v>
      </c>
      <c r="F151" s="285">
        <v>45752</v>
      </c>
      <c r="G151" s="79" t="s">
        <v>77</v>
      </c>
      <c r="H151" s="79" t="str">
        <f>IFERROR(_xlfn.XLOOKUP(Table6[[#This Row],[Affected Feeder ]],'Basic Data'!$A:$A,'Basic Data'!$B:$B),"")</f>
        <v>PWEPL</v>
      </c>
      <c r="I151" s="79" t="str">
        <f>IFERROR(_xlfn.XLOOKUP(Table6[[#This Row],[Affected Feeder ]],'Basic Data'!$A:$A,'Basic Data'!$C:$C),"")</f>
        <v>MSEDCL</v>
      </c>
      <c r="J151" s="295">
        <f>IFERROR(_xlfn.XLOOKUP(Table6[[#This Row],[Affected Feeder ]],'Basic Data'!$A:$A,'Basic Data'!$E:$E),"")</f>
        <v>2.2727272727272728E-2</v>
      </c>
      <c r="K151" s="296" t="s">
        <v>171</v>
      </c>
      <c r="L151" s="297">
        <v>0.37847222222222227</v>
      </c>
      <c r="M151" s="297">
        <v>0.37847222222222227</v>
      </c>
      <c r="N151" s="297">
        <v>0.3923611111111111</v>
      </c>
      <c r="O151" s="19">
        <f>(Table6[[#This Row],[Work Start TimeStamp]]-Table6[[#This Row],[Fault Start TimeStamp]])*24</f>
        <v>0</v>
      </c>
      <c r="P151" s="19">
        <f>(Table6[[#This Row],[Fault Clearance time]]-Table6[[#This Row],[Fault Start TimeStamp]])*24</f>
        <v>0.33333333333333215</v>
      </c>
      <c r="Q151" s="19">
        <f>(Table6[[#This Row],[Fault Clearance time]]-Table6[[#This Row],[Fault Start TimeStamp]])*24</f>
        <v>0.33333333333333215</v>
      </c>
      <c r="R151" s="79" t="s">
        <v>353</v>
      </c>
      <c r="S151" s="79" t="s">
        <v>339</v>
      </c>
      <c r="T151" s="298">
        <f>IFERROR(Table6[[#This Row],[Breakdown Time]]*Table6[[#This Row],[Plant Equivalent Weightage]],"")</f>
        <v>7.5757575757575491E-3</v>
      </c>
      <c r="U151" s="79" t="s">
        <v>416</v>
      </c>
      <c r="W151" s="79">
        <v>40</v>
      </c>
    </row>
    <row r="152" spans="1:23">
      <c r="A152" s="79">
        <f t="shared" si="2"/>
        <v>151</v>
      </c>
      <c r="B152" s="79">
        <f>YEAR(Table6[[#This Row],[Date]])+IF(MONTH(Table6[[#This Row],[Date]])&gt;=4,1,0)</f>
        <v>2026</v>
      </c>
      <c r="C152" s="79">
        <f>YEAR(Table6[[#This Row],[Date]])</f>
        <v>2025</v>
      </c>
      <c r="D152" s="79" t="s">
        <v>344</v>
      </c>
      <c r="E152" s="284">
        <f>Table6[[#This Row],[Date]]-DAY(Table6[[#This Row],[Date]])+1</f>
        <v>45748</v>
      </c>
      <c r="F152" s="285">
        <v>45752</v>
      </c>
      <c r="G152" s="79" t="s">
        <v>78</v>
      </c>
      <c r="H152" s="79" t="str">
        <f>IFERROR(_xlfn.XLOOKUP(Table6[[#This Row],[Affected Feeder ]],'Basic Data'!$A:$A,'Basic Data'!$B:$B),"")</f>
        <v>PWEPL</v>
      </c>
      <c r="I152" s="79" t="str">
        <f>IFERROR(_xlfn.XLOOKUP(Table6[[#This Row],[Affected Feeder ]],'Basic Data'!$A:$A,'Basic Data'!$C:$C),"")</f>
        <v>MSEDCL</v>
      </c>
      <c r="J152" s="295">
        <f>IFERROR(_xlfn.XLOOKUP(Table6[[#This Row],[Affected Feeder ]],'Basic Data'!$A:$A,'Basic Data'!$E:$E),"")</f>
        <v>2.2727272727272728E-2</v>
      </c>
      <c r="K152" s="296" t="s">
        <v>414</v>
      </c>
      <c r="L152" s="297">
        <v>0.3611111111111111</v>
      </c>
      <c r="M152" s="297">
        <v>0.3611111111111111</v>
      </c>
      <c r="N152" s="297">
        <v>0.37847222222222227</v>
      </c>
      <c r="O152" s="19">
        <f>(Table6[[#This Row],[Work Start TimeStamp]]-Table6[[#This Row],[Fault Start TimeStamp]])*24</f>
        <v>0</v>
      </c>
      <c r="P152" s="19">
        <f>(Table6[[#This Row],[Fault Clearance time]]-Table6[[#This Row],[Fault Start TimeStamp]])*24</f>
        <v>0.41666666666666785</v>
      </c>
      <c r="Q152" s="19">
        <f>(Table6[[#This Row],[Fault Clearance time]]-Table6[[#This Row],[Fault Start TimeStamp]])*24</f>
        <v>0.41666666666666785</v>
      </c>
      <c r="R152" s="79" t="s">
        <v>436</v>
      </c>
      <c r="S152" s="79" t="s">
        <v>339</v>
      </c>
      <c r="T152" s="298">
        <f>IFERROR(Table6[[#This Row],[Breakdown Time]]*Table6[[#This Row],[Plant Equivalent Weightage]],"")</f>
        <v>9.4696969696969977E-3</v>
      </c>
      <c r="U152" s="79" t="s">
        <v>416</v>
      </c>
      <c r="W152" s="79">
        <v>91</v>
      </c>
    </row>
    <row r="153" spans="1:23">
      <c r="A153" s="79">
        <f t="shared" si="2"/>
        <v>152</v>
      </c>
      <c r="B153" s="79">
        <f>YEAR(Table6[[#This Row],[Date]])+IF(MONTH(Table6[[#This Row],[Date]])&gt;=4,1,0)</f>
        <v>2026</v>
      </c>
      <c r="C153" s="79">
        <f>YEAR(Table6[[#This Row],[Date]])</f>
        <v>2025</v>
      </c>
      <c r="D153" s="79" t="s">
        <v>344</v>
      </c>
      <c r="E153" s="284">
        <f>Table6[[#This Row],[Date]]-DAY(Table6[[#This Row],[Date]])+1</f>
        <v>45748</v>
      </c>
      <c r="F153" s="285">
        <v>45752</v>
      </c>
      <c r="G153" s="79" t="s">
        <v>78</v>
      </c>
      <c r="H153" s="79" t="str">
        <f>IFERROR(_xlfn.XLOOKUP(Table6[[#This Row],[Affected Feeder ]],'Basic Data'!$A:$A,'Basic Data'!$B:$B),"")</f>
        <v>PWEPL</v>
      </c>
      <c r="I153" s="79" t="str">
        <f>IFERROR(_xlfn.XLOOKUP(Table6[[#This Row],[Affected Feeder ]],'Basic Data'!$A:$A,'Basic Data'!$C:$C),"")</f>
        <v>MSEDCL</v>
      </c>
      <c r="J153" s="295">
        <f>IFERROR(_xlfn.XLOOKUP(Table6[[#This Row],[Affected Feeder ]],'Basic Data'!$A:$A,'Basic Data'!$E:$E),"")</f>
        <v>2.2727272727272728E-2</v>
      </c>
      <c r="K153" s="296" t="s">
        <v>171</v>
      </c>
      <c r="L153" s="297">
        <v>0.37847222222222227</v>
      </c>
      <c r="M153" s="297">
        <v>0.37847222222222227</v>
      </c>
      <c r="N153" s="297">
        <v>0.3923611111111111</v>
      </c>
      <c r="O153" s="19">
        <f>(Table6[[#This Row],[Work Start TimeStamp]]-Table6[[#This Row],[Fault Start TimeStamp]])*24</f>
        <v>0</v>
      </c>
      <c r="P153" s="19">
        <f>(Table6[[#This Row],[Fault Clearance time]]-Table6[[#This Row],[Fault Start TimeStamp]])*24</f>
        <v>0.33333333333333215</v>
      </c>
      <c r="Q153" s="19">
        <f>(Table6[[#This Row],[Fault Clearance time]]-Table6[[#This Row],[Fault Start TimeStamp]])*24</f>
        <v>0.33333333333333215</v>
      </c>
      <c r="R153" s="79" t="s">
        <v>353</v>
      </c>
      <c r="S153" s="79" t="s">
        <v>339</v>
      </c>
      <c r="T153" s="298">
        <f>IFERROR(Table6[[#This Row],[Breakdown Time]]*Table6[[#This Row],[Plant Equivalent Weightage]],"")</f>
        <v>7.5757575757575491E-3</v>
      </c>
      <c r="U153" s="79" t="s">
        <v>416</v>
      </c>
      <c r="W153" s="79">
        <v>40</v>
      </c>
    </row>
    <row r="154" spans="1:23">
      <c r="A154" s="79">
        <f t="shared" si="2"/>
        <v>153</v>
      </c>
      <c r="B154" s="79">
        <f>YEAR(Table6[[#This Row],[Date]])+IF(MONTH(Table6[[#This Row],[Date]])&gt;=4,1,0)</f>
        <v>2026</v>
      </c>
      <c r="C154" s="79">
        <f>YEAR(Table6[[#This Row],[Date]])</f>
        <v>2025</v>
      </c>
      <c r="D154" s="79" t="s">
        <v>344</v>
      </c>
      <c r="E154" s="284">
        <f>Table6[[#This Row],[Date]]-DAY(Table6[[#This Row],[Date]])+1</f>
        <v>45748</v>
      </c>
      <c r="F154" s="285">
        <v>45752</v>
      </c>
      <c r="G154" s="79" t="s">
        <v>82</v>
      </c>
      <c r="H154" s="79" t="str">
        <f>IFERROR(_xlfn.XLOOKUP(Table6[[#This Row],[Affected Feeder ]],'Basic Data'!$A:$A,'Basic Data'!$B:$B),"")</f>
        <v>PWEPL</v>
      </c>
      <c r="I154" s="79" t="str">
        <f>IFERROR(_xlfn.XLOOKUP(Table6[[#This Row],[Affected Feeder ]],'Basic Data'!$A:$A,'Basic Data'!$C:$C),"")</f>
        <v>MSEDCL</v>
      </c>
      <c r="J154" s="295">
        <f>IFERROR(_xlfn.XLOOKUP(Table6[[#This Row],[Affected Feeder ]],'Basic Data'!$A:$A,'Basic Data'!$E:$E),"")</f>
        <v>2.2727272727272728E-2</v>
      </c>
      <c r="K154" s="296" t="s">
        <v>414</v>
      </c>
      <c r="L154" s="297">
        <v>0.3611111111111111</v>
      </c>
      <c r="M154" s="297">
        <v>0.3611111111111111</v>
      </c>
      <c r="N154" s="297">
        <v>0.37847222222222227</v>
      </c>
      <c r="O154" s="19">
        <f>(Table6[[#This Row],[Work Start TimeStamp]]-Table6[[#This Row],[Fault Start TimeStamp]])*24</f>
        <v>0</v>
      </c>
      <c r="P154" s="19">
        <f>(Table6[[#This Row],[Fault Clearance time]]-Table6[[#This Row],[Fault Start TimeStamp]])*24</f>
        <v>0.41666666666666785</v>
      </c>
      <c r="Q154" s="19">
        <f>(Table6[[#This Row],[Fault Clearance time]]-Table6[[#This Row],[Fault Start TimeStamp]])*24</f>
        <v>0.41666666666666785</v>
      </c>
      <c r="R154" s="79" t="s">
        <v>436</v>
      </c>
      <c r="S154" s="79" t="s">
        <v>339</v>
      </c>
      <c r="T154" s="298">
        <f>IFERROR(Table6[[#This Row],[Breakdown Time]]*Table6[[#This Row],[Plant Equivalent Weightage]],"")</f>
        <v>9.4696969696969977E-3</v>
      </c>
      <c r="U154" s="79" t="s">
        <v>416</v>
      </c>
      <c r="W154" s="79">
        <v>91</v>
      </c>
    </row>
    <row r="155" spans="1:23">
      <c r="A155" s="79">
        <f t="shared" si="2"/>
        <v>154</v>
      </c>
      <c r="B155" s="79">
        <f>YEAR(Table6[[#This Row],[Date]])+IF(MONTH(Table6[[#This Row],[Date]])&gt;=4,1,0)</f>
        <v>2026</v>
      </c>
      <c r="C155" s="79">
        <f>YEAR(Table6[[#This Row],[Date]])</f>
        <v>2025</v>
      </c>
      <c r="D155" s="79" t="s">
        <v>344</v>
      </c>
      <c r="E155" s="284">
        <f>Table6[[#This Row],[Date]]-DAY(Table6[[#This Row],[Date]])+1</f>
        <v>45748</v>
      </c>
      <c r="F155" s="285">
        <v>45752</v>
      </c>
      <c r="G155" s="79" t="s">
        <v>82</v>
      </c>
      <c r="H155" s="79" t="str">
        <f>IFERROR(_xlfn.XLOOKUP(Table6[[#This Row],[Affected Feeder ]],'Basic Data'!$A:$A,'Basic Data'!$B:$B),"")</f>
        <v>PWEPL</v>
      </c>
      <c r="I155" s="79" t="str">
        <f>IFERROR(_xlfn.XLOOKUP(Table6[[#This Row],[Affected Feeder ]],'Basic Data'!$A:$A,'Basic Data'!$C:$C),"")</f>
        <v>MSEDCL</v>
      </c>
      <c r="J155" s="295">
        <f>IFERROR(_xlfn.XLOOKUP(Table6[[#This Row],[Affected Feeder ]],'Basic Data'!$A:$A,'Basic Data'!$E:$E),"")</f>
        <v>2.2727272727272728E-2</v>
      </c>
      <c r="K155" s="296" t="s">
        <v>171</v>
      </c>
      <c r="L155" s="297">
        <v>0.37847222222222227</v>
      </c>
      <c r="M155" s="297">
        <v>0.37847222222222227</v>
      </c>
      <c r="N155" s="297">
        <v>0.3923611111111111</v>
      </c>
      <c r="O155" s="19">
        <f>(Table6[[#This Row],[Work Start TimeStamp]]-Table6[[#This Row],[Fault Start TimeStamp]])*24</f>
        <v>0</v>
      </c>
      <c r="P155" s="19">
        <f>(Table6[[#This Row],[Fault Clearance time]]-Table6[[#This Row],[Fault Start TimeStamp]])*24</f>
        <v>0.33333333333333215</v>
      </c>
      <c r="Q155" s="19">
        <f>(Table6[[#This Row],[Fault Clearance time]]-Table6[[#This Row],[Fault Start TimeStamp]])*24</f>
        <v>0.33333333333333215</v>
      </c>
      <c r="R155" s="79" t="s">
        <v>353</v>
      </c>
      <c r="S155" s="79" t="s">
        <v>339</v>
      </c>
      <c r="T155" s="298">
        <f>IFERROR(Table6[[#This Row],[Breakdown Time]]*Table6[[#This Row],[Plant Equivalent Weightage]],"")</f>
        <v>7.5757575757575491E-3</v>
      </c>
      <c r="U155" s="79" t="s">
        <v>416</v>
      </c>
      <c r="W155" s="79">
        <v>40</v>
      </c>
    </row>
    <row r="156" spans="1:23">
      <c r="A156" s="79">
        <f t="shared" si="2"/>
        <v>155</v>
      </c>
      <c r="B156" s="79">
        <f>YEAR(Table6[[#This Row],[Date]])+IF(MONTH(Table6[[#This Row],[Date]])&gt;=4,1,0)</f>
        <v>2026</v>
      </c>
      <c r="C156" s="79">
        <f>YEAR(Table6[[#This Row],[Date]])</f>
        <v>2025</v>
      </c>
      <c r="D156" s="79" t="s">
        <v>344</v>
      </c>
      <c r="E156" s="284">
        <f>Table6[[#This Row],[Date]]-DAY(Table6[[#This Row],[Date]])+1</f>
        <v>45748</v>
      </c>
      <c r="F156" s="285">
        <v>45752</v>
      </c>
      <c r="G156" s="79" t="s">
        <v>93</v>
      </c>
      <c r="H156" s="79" t="str">
        <f>IFERROR(_xlfn.XLOOKUP(Table6[[#This Row],[Affected Feeder ]],'Basic Data'!$A:$A,'Basic Data'!$B:$B),"")</f>
        <v>PWEPL</v>
      </c>
      <c r="I156" s="79" t="str">
        <f>IFERROR(_xlfn.XLOOKUP(Table6[[#This Row],[Affected Feeder ]],'Basic Data'!$A:$A,'Basic Data'!$C:$C),"")</f>
        <v>MSEDCL</v>
      </c>
      <c r="J156" s="295">
        <f>IFERROR(_xlfn.XLOOKUP(Table6[[#This Row],[Affected Feeder ]],'Basic Data'!$A:$A,'Basic Data'!$E:$E),"")</f>
        <v>2.2727272727272728E-2</v>
      </c>
      <c r="K156" s="296" t="s">
        <v>414</v>
      </c>
      <c r="L156" s="297">
        <v>0.3611111111111111</v>
      </c>
      <c r="M156" s="297">
        <v>0.3611111111111111</v>
      </c>
      <c r="N156" s="297">
        <v>0.37847222222222227</v>
      </c>
      <c r="O156" s="19">
        <f>(Table6[[#This Row],[Work Start TimeStamp]]-Table6[[#This Row],[Fault Start TimeStamp]])*24</f>
        <v>0</v>
      </c>
      <c r="P156" s="19">
        <f>(Table6[[#This Row],[Fault Clearance time]]-Table6[[#This Row],[Fault Start TimeStamp]])*24</f>
        <v>0.41666666666666785</v>
      </c>
      <c r="Q156" s="19">
        <f>(Table6[[#This Row],[Fault Clearance time]]-Table6[[#This Row],[Fault Start TimeStamp]])*24</f>
        <v>0.41666666666666785</v>
      </c>
      <c r="R156" s="79" t="s">
        <v>436</v>
      </c>
      <c r="S156" s="79" t="s">
        <v>339</v>
      </c>
      <c r="T156" s="298">
        <f>IFERROR(Table6[[#This Row],[Breakdown Time]]*Table6[[#This Row],[Plant Equivalent Weightage]],"")</f>
        <v>9.4696969696969977E-3</v>
      </c>
      <c r="U156" s="79" t="s">
        <v>416</v>
      </c>
      <c r="W156" s="79">
        <v>91</v>
      </c>
    </row>
    <row r="157" spans="1:23">
      <c r="A157" s="79">
        <f t="shared" si="2"/>
        <v>156</v>
      </c>
      <c r="B157" s="79">
        <f>YEAR(Table6[[#This Row],[Date]])+IF(MONTH(Table6[[#This Row],[Date]])&gt;=4,1,0)</f>
        <v>2026</v>
      </c>
      <c r="C157" s="79">
        <f>YEAR(Table6[[#This Row],[Date]])</f>
        <v>2025</v>
      </c>
      <c r="D157" s="79" t="s">
        <v>344</v>
      </c>
      <c r="E157" s="284">
        <f>Table6[[#This Row],[Date]]-DAY(Table6[[#This Row],[Date]])+1</f>
        <v>45748</v>
      </c>
      <c r="F157" s="285">
        <v>45752</v>
      </c>
      <c r="G157" s="79" t="s">
        <v>93</v>
      </c>
      <c r="H157" s="79" t="str">
        <f>IFERROR(_xlfn.XLOOKUP(Table6[[#This Row],[Affected Feeder ]],'Basic Data'!$A:$A,'Basic Data'!$B:$B),"")</f>
        <v>PWEPL</v>
      </c>
      <c r="I157" s="79" t="str">
        <f>IFERROR(_xlfn.XLOOKUP(Table6[[#This Row],[Affected Feeder ]],'Basic Data'!$A:$A,'Basic Data'!$C:$C),"")</f>
        <v>MSEDCL</v>
      </c>
      <c r="J157" s="295">
        <f>IFERROR(_xlfn.XLOOKUP(Table6[[#This Row],[Affected Feeder ]],'Basic Data'!$A:$A,'Basic Data'!$E:$E),"")</f>
        <v>2.2727272727272728E-2</v>
      </c>
      <c r="K157" s="296" t="s">
        <v>171</v>
      </c>
      <c r="L157" s="297">
        <v>0.37847222222222227</v>
      </c>
      <c r="M157" s="297">
        <v>0.37847222222222227</v>
      </c>
      <c r="N157" s="297">
        <v>0.3923611111111111</v>
      </c>
      <c r="O157" s="19">
        <f>(Table6[[#This Row],[Work Start TimeStamp]]-Table6[[#This Row],[Fault Start TimeStamp]])*24</f>
        <v>0</v>
      </c>
      <c r="P157" s="19">
        <f>(Table6[[#This Row],[Fault Clearance time]]-Table6[[#This Row],[Fault Start TimeStamp]])*24</f>
        <v>0.33333333333333215</v>
      </c>
      <c r="Q157" s="19">
        <f>(Table6[[#This Row],[Fault Clearance time]]-Table6[[#This Row],[Fault Start TimeStamp]])*24</f>
        <v>0.33333333333333215</v>
      </c>
      <c r="R157" s="79" t="s">
        <v>353</v>
      </c>
      <c r="S157" s="79" t="s">
        <v>339</v>
      </c>
      <c r="T157" s="298">
        <f>IFERROR(Table6[[#This Row],[Breakdown Time]]*Table6[[#This Row],[Plant Equivalent Weightage]],"")</f>
        <v>7.5757575757575491E-3</v>
      </c>
      <c r="U157" s="79" t="s">
        <v>416</v>
      </c>
      <c r="W157" s="79">
        <v>40</v>
      </c>
    </row>
    <row r="158" spans="1:23">
      <c r="A158" s="79">
        <f t="shared" si="2"/>
        <v>157</v>
      </c>
      <c r="B158" s="79">
        <f>YEAR(Table6[[#This Row],[Date]])+IF(MONTH(Table6[[#This Row],[Date]])&gt;=4,1,0)</f>
        <v>2026</v>
      </c>
      <c r="C158" s="79">
        <f>YEAR(Table6[[#This Row],[Date]])</f>
        <v>2025</v>
      </c>
      <c r="D158" s="79" t="s">
        <v>344</v>
      </c>
      <c r="E158" s="284">
        <f>Table6[[#This Row],[Date]]-DAY(Table6[[#This Row],[Date]])+1</f>
        <v>45748</v>
      </c>
      <c r="F158" s="285">
        <v>45752</v>
      </c>
      <c r="G158" s="79" t="s">
        <v>102</v>
      </c>
      <c r="H158" s="79" t="str">
        <f>IFERROR(_xlfn.XLOOKUP(Table6[[#This Row],[Affected Feeder ]],'Basic Data'!$A:$A,'Basic Data'!$B:$B),"")</f>
        <v>PWEPL</v>
      </c>
      <c r="I158" s="79" t="str">
        <f>IFERROR(_xlfn.XLOOKUP(Table6[[#This Row],[Affected Feeder ]],'Basic Data'!$A:$A,'Basic Data'!$C:$C),"")</f>
        <v>MSEDCL</v>
      </c>
      <c r="J158" s="295">
        <f>IFERROR(_xlfn.XLOOKUP(Table6[[#This Row],[Affected Feeder ]],'Basic Data'!$A:$A,'Basic Data'!$E:$E),"")</f>
        <v>2.2727272727272728E-2</v>
      </c>
      <c r="K158" s="296" t="s">
        <v>414</v>
      </c>
      <c r="L158" s="297">
        <v>0.3611111111111111</v>
      </c>
      <c r="M158" s="297">
        <v>0.3611111111111111</v>
      </c>
      <c r="N158" s="297">
        <v>0.37847222222222227</v>
      </c>
      <c r="O158" s="19">
        <f>(Table6[[#This Row],[Work Start TimeStamp]]-Table6[[#This Row],[Fault Start TimeStamp]])*24</f>
        <v>0</v>
      </c>
      <c r="P158" s="19">
        <f>(Table6[[#This Row],[Fault Clearance time]]-Table6[[#This Row],[Fault Start TimeStamp]])*24</f>
        <v>0.41666666666666785</v>
      </c>
      <c r="Q158" s="19">
        <f>(Table6[[#This Row],[Fault Clearance time]]-Table6[[#This Row],[Fault Start TimeStamp]])*24</f>
        <v>0.41666666666666785</v>
      </c>
      <c r="R158" s="79" t="s">
        <v>436</v>
      </c>
      <c r="S158" s="79" t="s">
        <v>339</v>
      </c>
      <c r="T158" s="298">
        <f>IFERROR(Table6[[#This Row],[Breakdown Time]]*Table6[[#This Row],[Plant Equivalent Weightage]],"")</f>
        <v>9.4696969696969977E-3</v>
      </c>
      <c r="U158" s="79" t="s">
        <v>416</v>
      </c>
      <c r="W158" s="79">
        <v>91</v>
      </c>
    </row>
    <row r="159" spans="1:23">
      <c r="A159" s="79">
        <f t="shared" si="2"/>
        <v>158</v>
      </c>
      <c r="B159" s="79">
        <f>YEAR(Table6[[#This Row],[Date]])+IF(MONTH(Table6[[#This Row],[Date]])&gt;=4,1,0)</f>
        <v>2026</v>
      </c>
      <c r="C159" s="79">
        <f>YEAR(Table6[[#This Row],[Date]])</f>
        <v>2025</v>
      </c>
      <c r="D159" s="79" t="s">
        <v>344</v>
      </c>
      <c r="E159" s="284">
        <f>Table6[[#This Row],[Date]]-DAY(Table6[[#This Row],[Date]])+1</f>
        <v>45748</v>
      </c>
      <c r="F159" s="285">
        <v>45752</v>
      </c>
      <c r="G159" s="79" t="s">
        <v>102</v>
      </c>
      <c r="H159" s="79" t="str">
        <f>IFERROR(_xlfn.XLOOKUP(Table6[[#This Row],[Affected Feeder ]],'Basic Data'!$A:$A,'Basic Data'!$B:$B),"")</f>
        <v>PWEPL</v>
      </c>
      <c r="I159" s="79" t="str">
        <f>IFERROR(_xlfn.XLOOKUP(Table6[[#This Row],[Affected Feeder ]],'Basic Data'!$A:$A,'Basic Data'!$C:$C),"")</f>
        <v>MSEDCL</v>
      </c>
      <c r="J159" s="295">
        <f>IFERROR(_xlfn.XLOOKUP(Table6[[#This Row],[Affected Feeder ]],'Basic Data'!$A:$A,'Basic Data'!$E:$E),"")</f>
        <v>2.2727272727272728E-2</v>
      </c>
      <c r="K159" s="296" t="s">
        <v>171</v>
      </c>
      <c r="L159" s="297">
        <v>0.37847222222222227</v>
      </c>
      <c r="M159" s="297">
        <v>0.37847222222222227</v>
      </c>
      <c r="N159" s="297">
        <v>0.3923611111111111</v>
      </c>
      <c r="O159" s="19">
        <f>(Table6[[#This Row],[Work Start TimeStamp]]-Table6[[#This Row],[Fault Start TimeStamp]])*24</f>
        <v>0</v>
      </c>
      <c r="P159" s="19">
        <f>(Table6[[#This Row],[Fault Clearance time]]-Table6[[#This Row],[Fault Start TimeStamp]])*24</f>
        <v>0.33333333333333215</v>
      </c>
      <c r="Q159" s="19">
        <f>(Table6[[#This Row],[Fault Clearance time]]-Table6[[#This Row],[Fault Start TimeStamp]])*24</f>
        <v>0.33333333333333215</v>
      </c>
      <c r="R159" s="79" t="s">
        <v>353</v>
      </c>
      <c r="S159" s="79" t="s">
        <v>339</v>
      </c>
      <c r="T159" s="298">
        <f>IFERROR(Table6[[#This Row],[Breakdown Time]]*Table6[[#This Row],[Plant Equivalent Weightage]],"")</f>
        <v>7.5757575757575491E-3</v>
      </c>
      <c r="U159" s="79" t="s">
        <v>416</v>
      </c>
      <c r="W159" s="79">
        <v>40</v>
      </c>
    </row>
    <row r="160" spans="1:23">
      <c r="A160" s="79">
        <f t="shared" si="2"/>
        <v>159</v>
      </c>
      <c r="B160" s="79">
        <f>YEAR(Table6[[#This Row],[Date]])+IF(MONTH(Table6[[#This Row],[Date]])&gt;=4,1,0)</f>
        <v>2026</v>
      </c>
      <c r="C160" s="79">
        <f>YEAR(Table6[[#This Row],[Date]])</f>
        <v>2025</v>
      </c>
      <c r="D160" s="79" t="s">
        <v>344</v>
      </c>
      <c r="E160" s="284">
        <f>Table6[[#This Row],[Date]]-DAY(Table6[[#This Row],[Date]])+1</f>
        <v>45748</v>
      </c>
      <c r="F160" s="285">
        <v>45752</v>
      </c>
      <c r="G160" s="79" t="s">
        <v>119</v>
      </c>
      <c r="H160" s="79" t="str">
        <f>IFERROR(_xlfn.XLOOKUP(Table6[[#This Row],[Affected Feeder ]],'Basic Data'!$A:$A,'Basic Data'!$B:$B),"")</f>
        <v>PWEPL</v>
      </c>
      <c r="I160" s="79" t="str">
        <f>IFERROR(_xlfn.XLOOKUP(Table6[[#This Row],[Affected Feeder ]],'Basic Data'!$A:$A,'Basic Data'!$C:$C),"")</f>
        <v>MSEDCL</v>
      </c>
      <c r="J160" s="295">
        <f>IFERROR(_xlfn.XLOOKUP(Table6[[#This Row],[Affected Feeder ]],'Basic Data'!$A:$A,'Basic Data'!$E:$E),"")</f>
        <v>2.2727272727272728E-2</v>
      </c>
      <c r="K160" s="296" t="s">
        <v>414</v>
      </c>
      <c r="L160" s="297">
        <v>0.3611111111111111</v>
      </c>
      <c r="M160" s="297">
        <v>0.3611111111111111</v>
      </c>
      <c r="N160" s="297">
        <v>0.37847222222222227</v>
      </c>
      <c r="O160" s="19">
        <f>(Table6[[#This Row],[Work Start TimeStamp]]-Table6[[#This Row],[Fault Start TimeStamp]])*24</f>
        <v>0</v>
      </c>
      <c r="P160" s="19">
        <f>(Table6[[#This Row],[Fault Clearance time]]-Table6[[#This Row],[Fault Start TimeStamp]])*24</f>
        <v>0.41666666666666785</v>
      </c>
      <c r="Q160" s="19">
        <f>(Table6[[#This Row],[Fault Clearance time]]-Table6[[#This Row],[Fault Start TimeStamp]])*24</f>
        <v>0.41666666666666785</v>
      </c>
      <c r="R160" s="79" t="s">
        <v>436</v>
      </c>
      <c r="S160" s="79" t="s">
        <v>339</v>
      </c>
      <c r="T160" s="298">
        <f>IFERROR(Table6[[#This Row],[Breakdown Time]]*Table6[[#This Row],[Plant Equivalent Weightage]],"")</f>
        <v>9.4696969696969977E-3</v>
      </c>
      <c r="U160" s="79" t="s">
        <v>416</v>
      </c>
      <c r="W160" s="79">
        <v>91</v>
      </c>
    </row>
    <row r="161" spans="1:23">
      <c r="A161" s="79">
        <f t="shared" si="2"/>
        <v>160</v>
      </c>
      <c r="B161" s="79">
        <f>YEAR(Table6[[#This Row],[Date]])+IF(MONTH(Table6[[#This Row],[Date]])&gt;=4,1,0)</f>
        <v>2026</v>
      </c>
      <c r="C161" s="79">
        <f>YEAR(Table6[[#This Row],[Date]])</f>
        <v>2025</v>
      </c>
      <c r="D161" s="79" t="s">
        <v>344</v>
      </c>
      <c r="E161" s="284">
        <f>Table6[[#This Row],[Date]]-DAY(Table6[[#This Row],[Date]])+1</f>
        <v>45748</v>
      </c>
      <c r="F161" s="285">
        <v>45752</v>
      </c>
      <c r="G161" s="79" t="s">
        <v>119</v>
      </c>
      <c r="H161" s="79" t="str">
        <f>IFERROR(_xlfn.XLOOKUP(Table6[[#This Row],[Affected Feeder ]],'Basic Data'!$A:$A,'Basic Data'!$B:$B),"")</f>
        <v>PWEPL</v>
      </c>
      <c r="I161" s="79" t="str">
        <f>IFERROR(_xlfn.XLOOKUP(Table6[[#This Row],[Affected Feeder ]],'Basic Data'!$A:$A,'Basic Data'!$C:$C),"")</f>
        <v>MSEDCL</v>
      </c>
      <c r="J161" s="295">
        <f>IFERROR(_xlfn.XLOOKUP(Table6[[#This Row],[Affected Feeder ]],'Basic Data'!$A:$A,'Basic Data'!$E:$E),"")</f>
        <v>2.2727272727272728E-2</v>
      </c>
      <c r="K161" s="296" t="s">
        <v>171</v>
      </c>
      <c r="L161" s="297">
        <v>0.37847222222222227</v>
      </c>
      <c r="M161" s="297">
        <v>0.37847222222222227</v>
      </c>
      <c r="N161" s="297">
        <v>0.3923611111111111</v>
      </c>
      <c r="O161" s="19">
        <f>(Table6[[#This Row],[Work Start TimeStamp]]-Table6[[#This Row],[Fault Start TimeStamp]])*24</f>
        <v>0</v>
      </c>
      <c r="P161" s="19">
        <f>(Table6[[#This Row],[Fault Clearance time]]-Table6[[#This Row],[Fault Start TimeStamp]])*24</f>
        <v>0.33333333333333215</v>
      </c>
      <c r="Q161" s="19">
        <f>(Table6[[#This Row],[Fault Clearance time]]-Table6[[#This Row],[Fault Start TimeStamp]])*24</f>
        <v>0.33333333333333215</v>
      </c>
      <c r="R161" s="79" t="s">
        <v>353</v>
      </c>
      <c r="S161" s="79" t="s">
        <v>339</v>
      </c>
      <c r="T161" s="298">
        <f>IFERROR(Table6[[#This Row],[Breakdown Time]]*Table6[[#This Row],[Plant Equivalent Weightage]],"")</f>
        <v>7.5757575757575491E-3</v>
      </c>
      <c r="U161" s="79" t="s">
        <v>416</v>
      </c>
      <c r="W161" s="79">
        <v>40</v>
      </c>
    </row>
    <row r="162" spans="1:23">
      <c r="A162" s="79">
        <f t="shared" si="2"/>
        <v>161</v>
      </c>
      <c r="B162" s="79">
        <f>YEAR(Table6[[#This Row],[Date]])+IF(MONTH(Table6[[#This Row],[Date]])&gt;=4,1,0)</f>
        <v>2026</v>
      </c>
      <c r="C162" s="79">
        <f>YEAR(Table6[[#This Row],[Date]])</f>
        <v>2025</v>
      </c>
      <c r="D162" s="79" t="s">
        <v>344</v>
      </c>
      <c r="E162" s="284">
        <f>Table6[[#This Row],[Date]]-DAY(Table6[[#This Row],[Date]])+1</f>
        <v>45748</v>
      </c>
      <c r="F162" s="285">
        <v>45752</v>
      </c>
      <c r="G162" s="79" t="s">
        <v>77</v>
      </c>
      <c r="H162" s="79" t="str">
        <f>IFERROR(_xlfn.XLOOKUP(Table6[[#This Row],[Affected Feeder ]],'Basic Data'!$A:$A,'Basic Data'!$B:$B),"")</f>
        <v>PWEPL</v>
      </c>
      <c r="I162" s="79" t="str">
        <f>IFERROR(_xlfn.XLOOKUP(Table6[[#This Row],[Affected Feeder ]],'Basic Data'!$A:$A,'Basic Data'!$C:$C),"")</f>
        <v>MSEDCL</v>
      </c>
      <c r="J162" s="295">
        <f>IFERROR(_xlfn.XLOOKUP(Table6[[#This Row],[Affected Feeder ]],'Basic Data'!$A:$A,'Basic Data'!$E:$E),"")</f>
        <v>2.2727272727272728E-2</v>
      </c>
      <c r="K162" s="296" t="s">
        <v>414</v>
      </c>
      <c r="L162" s="297">
        <v>0.78472222222222221</v>
      </c>
      <c r="M162" s="297">
        <v>0.78472222222222221</v>
      </c>
      <c r="N162" s="297">
        <v>0.81597222222222221</v>
      </c>
      <c r="O162" s="19">
        <f>(Table6[[#This Row],[Work Start TimeStamp]]-Table6[[#This Row],[Fault Start TimeStamp]])*24</f>
        <v>0</v>
      </c>
      <c r="P162" s="19">
        <f>(Table6[[#This Row],[Fault Clearance time]]-Table6[[#This Row],[Fault Start TimeStamp]])*24</f>
        <v>0.75</v>
      </c>
      <c r="Q162" s="19">
        <f>(Table6[[#This Row],[Fault Clearance time]]-Table6[[#This Row],[Fault Start TimeStamp]])*24</f>
        <v>0.75</v>
      </c>
      <c r="R162" s="79" t="s">
        <v>437</v>
      </c>
      <c r="S162" s="79" t="s">
        <v>339</v>
      </c>
      <c r="T162" s="298">
        <f>IFERROR(Table6[[#This Row],[Breakdown Time]]*Table6[[#This Row],[Plant Equivalent Weightage]],"")</f>
        <v>1.7045454545454544E-2</v>
      </c>
      <c r="U162" s="79" t="s">
        <v>416</v>
      </c>
      <c r="W162" s="79">
        <v>50</v>
      </c>
    </row>
    <row r="163" spans="1:23">
      <c r="A163" s="79">
        <f t="shared" si="2"/>
        <v>162</v>
      </c>
      <c r="B163" s="79">
        <f>YEAR(Table6[[#This Row],[Date]])+IF(MONTH(Table6[[#This Row],[Date]])&gt;=4,1,0)</f>
        <v>2026</v>
      </c>
      <c r="C163" s="79">
        <f>YEAR(Table6[[#This Row],[Date]])</f>
        <v>2025</v>
      </c>
      <c r="D163" s="79" t="s">
        <v>344</v>
      </c>
      <c r="E163" s="284">
        <f>Table6[[#This Row],[Date]]-DAY(Table6[[#This Row],[Date]])+1</f>
        <v>45748</v>
      </c>
      <c r="F163" s="285">
        <v>45752</v>
      </c>
      <c r="G163" s="79" t="s">
        <v>77</v>
      </c>
      <c r="H163" s="79" t="str">
        <f>IFERROR(_xlfn.XLOOKUP(Table6[[#This Row],[Affected Feeder ]],'Basic Data'!$A:$A,'Basic Data'!$B:$B),"")</f>
        <v>PWEPL</v>
      </c>
      <c r="I163" s="79" t="str">
        <f>IFERROR(_xlfn.XLOOKUP(Table6[[#This Row],[Affected Feeder ]],'Basic Data'!$A:$A,'Basic Data'!$C:$C),"")</f>
        <v>MSEDCL</v>
      </c>
      <c r="J163" s="295">
        <f>IFERROR(_xlfn.XLOOKUP(Table6[[#This Row],[Affected Feeder ]],'Basic Data'!$A:$A,'Basic Data'!$E:$E),"")</f>
        <v>2.2727272727272728E-2</v>
      </c>
      <c r="K163" s="296" t="s">
        <v>171</v>
      </c>
      <c r="L163" s="297">
        <v>0.81597222222222221</v>
      </c>
      <c r="M163" s="297">
        <v>0.81597222222222221</v>
      </c>
      <c r="N163" s="297">
        <v>0.82986111111111116</v>
      </c>
      <c r="O163" s="19">
        <f>(Table6[[#This Row],[Work Start TimeStamp]]-Table6[[#This Row],[Fault Start TimeStamp]])*24</f>
        <v>0</v>
      </c>
      <c r="P163" s="19">
        <f>(Table6[[#This Row],[Fault Clearance time]]-Table6[[#This Row],[Fault Start TimeStamp]])*24</f>
        <v>0.33333333333333481</v>
      </c>
      <c r="Q163" s="19">
        <f>(Table6[[#This Row],[Fault Clearance time]]-Table6[[#This Row],[Fault Start TimeStamp]])*24</f>
        <v>0.33333333333333481</v>
      </c>
      <c r="R163" s="79" t="s">
        <v>353</v>
      </c>
      <c r="S163" s="79" t="s">
        <v>339</v>
      </c>
      <c r="T163" s="298">
        <f>IFERROR(Table6[[#This Row],[Breakdown Time]]*Table6[[#This Row],[Plant Equivalent Weightage]],"")</f>
        <v>7.5757575757576098E-3</v>
      </c>
      <c r="U163" s="79" t="s">
        <v>416</v>
      </c>
      <c r="W163" s="79">
        <v>40</v>
      </c>
    </row>
    <row r="164" spans="1:23">
      <c r="A164" s="79">
        <f t="shared" si="2"/>
        <v>163</v>
      </c>
      <c r="B164" s="79">
        <f>YEAR(Table6[[#This Row],[Date]])+IF(MONTH(Table6[[#This Row],[Date]])&gt;=4,1,0)</f>
        <v>2026</v>
      </c>
      <c r="C164" s="79">
        <f>YEAR(Table6[[#This Row],[Date]])</f>
        <v>2025</v>
      </c>
      <c r="D164" s="79" t="s">
        <v>344</v>
      </c>
      <c r="E164" s="284">
        <f>Table6[[#This Row],[Date]]-DAY(Table6[[#This Row],[Date]])+1</f>
        <v>45748</v>
      </c>
      <c r="F164" s="285">
        <v>45752</v>
      </c>
      <c r="G164" s="79" t="s">
        <v>78</v>
      </c>
      <c r="H164" s="79" t="str">
        <f>IFERROR(_xlfn.XLOOKUP(Table6[[#This Row],[Affected Feeder ]],'Basic Data'!$A:$A,'Basic Data'!$B:$B),"")</f>
        <v>PWEPL</v>
      </c>
      <c r="I164" s="79" t="str">
        <f>IFERROR(_xlfn.XLOOKUP(Table6[[#This Row],[Affected Feeder ]],'Basic Data'!$A:$A,'Basic Data'!$C:$C),"")</f>
        <v>MSEDCL</v>
      </c>
      <c r="J164" s="295">
        <f>IFERROR(_xlfn.XLOOKUP(Table6[[#This Row],[Affected Feeder ]],'Basic Data'!$A:$A,'Basic Data'!$E:$E),"")</f>
        <v>2.2727272727272728E-2</v>
      </c>
      <c r="K164" s="296" t="s">
        <v>414</v>
      </c>
      <c r="L164" s="297">
        <v>0.78472222222222221</v>
      </c>
      <c r="M164" s="297">
        <v>0.78472222222222221</v>
      </c>
      <c r="N164" s="297">
        <v>0.81597222222222221</v>
      </c>
      <c r="O164" s="19">
        <f>(Table6[[#This Row],[Work Start TimeStamp]]-Table6[[#This Row],[Fault Start TimeStamp]])*24</f>
        <v>0</v>
      </c>
      <c r="P164" s="19">
        <f>(Table6[[#This Row],[Fault Clearance time]]-Table6[[#This Row],[Fault Start TimeStamp]])*24</f>
        <v>0.75</v>
      </c>
      <c r="Q164" s="19">
        <f>(Table6[[#This Row],[Fault Clearance time]]-Table6[[#This Row],[Fault Start TimeStamp]])*24</f>
        <v>0.75</v>
      </c>
      <c r="R164" s="79" t="s">
        <v>437</v>
      </c>
      <c r="S164" s="79" t="s">
        <v>339</v>
      </c>
      <c r="T164" s="298">
        <f>IFERROR(Table6[[#This Row],[Breakdown Time]]*Table6[[#This Row],[Plant Equivalent Weightage]],"")</f>
        <v>1.7045454545454544E-2</v>
      </c>
      <c r="U164" s="79" t="s">
        <v>416</v>
      </c>
      <c r="W164" s="79">
        <v>50</v>
      </c>
    </row>
    <row r="165" spans="1:23">
      <c r="A165" s="79">
        <f t="shared" si="2"/>
        <v>164</v>
      </c>
      <c r="B165" s="79">
        <f>YEAR(Table6[[#This Row],[Date]])+IF(MONTH(Table6[[#This Row],[Date]])&gt;=4,1,0)</f>
        <v>2026</v>
      </c>
      <c r="C165" s="79">
        <f>YEAR(Table6[[#This Row],[Date]])</f>
        <v>2025</v>
      </c>
      <c r="D165" s="79" t="s">
        <v>344</v>
      </c>
      <c r="E165" s="284">
        <f>Table6[[#This Row],[Date]]-DAY(Table6[[#This Row],[Date]])+1</f>
        <v>45748</v>
      </c>
      <c r="F165" s="285">
        <v>45752</v>
      </c>
      <c r="G165" s="79" t="s">
        <v>78</v>
      </c>
      <c r="H165" s="79" t="str">
        <f>IFERROR(_xlfn.XLOOKUP(Table6[[#This Row],[Affected Feeder ]],'Basic Data'!$A:$A,'Basic Data'!$B:$B),"")</f>
        <v>PWEPL</v>
      </c>
      <c r="I165" s="79" t="str">
        <f>IFERROR(_xlfn.XLOOKUP(Table6[[#This Row],[Affected Feeder ]],'Basic Data'!$A:$A,'Basic Data'!$C:$C),"")</f>
        <v>MSEDCL</v>
      </c>
      <c r="J165" s="295">
        <f>IFERROR(_xlfn.XLOOKUP(Table6[[#This Row],[Affected Feeder ]],'Basic Data'!$A:$A,'Basic Data'!$E:$E),"")</f>
        <v>2.2727272727272728E-2</v>
      </c>
      <c r="K165" s="296" t="s">
        <v>171</v>
      </c>
      <c r="L165" s="297">
        <v>0.81597222222222221</v>
      </c>
      <c r="M165" s="297">
        <v>0.81597222222222221</v>
      </c>
      <c r="N165" s="297">
        <v>0.82986111111111116</v>
      </c>
      <c r="O165" s="19">
        <f>(Table6[[#This Row],[Work Start TimeStamp]]-Table6[[#This Row],[Fault Start TimeStamp]])*24</f>
        <v>0</v>
      </c>
      <c r="P165" s="19">
        <f>(Table6[[#This Row],[Fault Clearance time]]-Table6[[#This Row],[Fault Start TimeStamp]])*24</f>
        <v>0.33333333333333481</v>
      </c>
      <c r="Q165" s="19">
        <f>(Table6[[#This Row],[Fault Clearance time]]-Table6[[#This Row],[Fault Start TimeStamp]])*24</f>
        <v>0.33333333333333481</v>
      </c>
      <c r="R165" s="79" t="s">
        <v>353</v>
      </c>
      <c r="S165" s="79" t="s">
        <v>339</v>
      </c>
      <c r="T165" s="298">
        <f>IFERROR(Table6[[#This Row],[Breakdown Time]]*Table6[[#This Row],[Plant Equivalent Weightage]],"")</f>
        <v>7.5757575757576098E-3</v>
      </c>
      <c r="U165" s="79" t="s">
        <v>416</v>
      </c>
      <c r="W165" s="79">
        <v>40</v>
      </c>
    </row>
    <row r="166" spans="1:23">
      <c r="A166" s="79">
        <f t="shared" si="2"/>
        <v>165</v>
      </c>
      <c r="B166" s="79">
        <f>YEAR(Table6[[#This Row],[Date]])+IF(MONTH(Table6[[#This Row],[Date]])&gt;=4,1,0)</f>
        <v>2026</v>
      </c>
      <c r="C166" s="79">
        <f>YEAR(Table6[[#This Row],[Date]])</f>
        <v>2025</v>
      </c>
      <c r="D166" s="79" t="s">
        <v>344</v>
      </c>
      <c r="E166" s="284">
        <f>Table6[[#This Row],[Date]]-DAY(Table6[[#This Row],[Date]])+1</f>
        <v>45748</v>
      </c>
      <c r="F166" s="285">
        <v>45752</v>
      </c>
      <c r="G166" s="79" t="s">
        <v>82</v>
      </c>
      <c r="H166" s="79" t="str">
        <f>IFERROR(_xlfn.XLOOKUP(Table6[[#This Row],[Affected Feeder ]],'Basic Data'!$A:$A,'Basic Data'!$B:$B),"")</f>
        <v>PWEPL</v>
      </c>
      <c r="I166" s="79" t="str">
        <f>IFERROR(_xlfn.XLOOKUP(Table6[[#This Row],[Affected Feeder ]],'Basic Data'!$A:$A,'Basic Data'!$C:$C),"")</f>
        <v>MSEDCL</v>
      </c>
      <c r="J166" s="295">
        <f>IFERROR(_xlfn.XLOOKUP(Table6[[#This Row],[Affected Feeder ]],'Basic Data'!$A:$A,'Basic Data'!$E:$E),"")</f>
        <v>2.2727272727272728E-2</v>
      </c>
      <c r="K166" s="296" t="s">
        <v>414</v>
      </c>
      <c r="L166" s="297">
        <v>0.78472222222222221</v>
      </c>
      <c r="M166" s="297">
        <v>0.78472222222222221</v>
      </c>
      <c r="N166" s="297">
        <v>0.81597222222222221</v>
      </c>
      <c r="O166" s="19">
        <f>(Table6[[#This Row],[Work Start TimeStamp]]-Table6[[#This Row],[Fault Start TimeStamp]])*24</f>
        <v>0</v>
      </c>
      <c r="P166" s="19">
        <f>(Table6[[#This Row],[Fault Clearance time]]-Table6[[#This Row],[Fault Start TimeStamp]])*24</f>
        <v>0.75</v>
      </c>
      <c r="Q166" s="19">
        <f>(Table6[[#This Row],[Fault Clearance time]]-Table6[[#This Row],[Fault Start TimeStamp]])*24</f>
        <v>0.75</v>
      </c>
      <c r="R166" s="79" t="s">
        <v>437</v>
      </c>
      <c r="S166" s="79" t="s">
        <v>339</v>
      </c>
      <c r="T166" s="298">
        <f>IFERROR(Table6[[#This Row],[Breakdown Time]]*Table6[[#This Row],[Plant Equivalent Weightage]],"")</f>
        <v>1.7045454545454544E-2</v>
      </c>
      <c r="U166" s="79" t="s">
        <v>416</v>
      </c>
      <c r="W166" s="79">
        <v>50</v>
      </c>
    </row>
    <row r="167" spans="1:23">
      <c r="A167" s="79">
        <f t="shared" si="2"/>
        <v>166</v>
      </c>
      <c r="B167" s="79">
        <f>YEAR(Table6[[#This Row],[Date]])+IF(MONTH(Table6[[#This Row],[Date]])&gt;=4,1,0)</f>
        <v>2026</v>
      </c>
      <c r="C167" s="79">
        <f>YEAR(Table6[[#This Row],[Date]])</f>
        <v>2025</v>
      </c>
      <c r="D167" s="79" t="s">
        <v>344</v>
      </c>
      <c r="E167" s="284">
        <f>Table6[[#This Row],[Date]]-DAY(Table6[[#This Row],[Date]])+1</f>
        <v>45748</v>
      </c>
      <c r="F167" s="285">
        <v>45752</v>
      </c>
      <c r="G167" s="79" t="s">
        <v>82</v>
      </c>
      <c r="H167" s="79" t="str">
        <f>IFERROR(_xlfn.XLOOKUP(Table6[[#This Row],[Affected Feeder ]],'Basic Data'!$A:$A,'Basic Data'!$B:$B),"")</f>
        <v>PWEPL</v>
      </c>
      <c r="I167" s="79" t="str">
        <f>IFERROR(_xlfn.XLOOKUP(Table6[[#This Row],[Affected Feeder ]],'Basic Data'!$A:$A,'Basic Data'!$C:$C),"")</f>
        <v>MSEDCL</v>
      </c>
      <c r="J167" s="295">
        <f>IFERROR(_xlfn.XLOOKUP(Table6[[#This Row],[Affected Feeder ]],'Basic Data'!$A:$A,'Basic Data'!$E:$E),"")</f>
        <v>2.2727272727272728E-2</v>
      </c>
      <c r="K167" s="296" t="s">
        <v>171</v>
      </c>
      <c r="L167" s="297">
        <v>0.81597222222222221</v>
      </c>
      <c r="M167" s="297">
        <v>0.81597222222222221</v>
      </c>
      <c r="N167" s="297">
        <v>0.82986111111111116</v>
      </c>
      <c r="O167" s="19">
        <f>(Table6[[#This Row],[Work Start TimeStamp]]-Table6[[#This Row],[Fault Start TimeStamp]])*24</f>
        <v>0</v>
      </c>
      <c r="P167" s="19">
        <f>(Table6[[#This Row],[Fault Clearance time]]-Table6[[#This Row],[Fault Start TimeStamp]])*24</f>
        <v>0.33333333333333481</v>
      </c>
      <c r="Q167" s="19">
        <f>(Table6[[#This Row],[Fault Clearance time]]-Table6[[#This Row],[Fault Start TimeStamp]])*24</f>
        <v>0.33333333333333481</v>
      </c>
      <c r="R167" s="79" t="s">
        <v>353</v>
      </c>
      <c r="S167" s="79" t="s">
        <v>339</v>
      </c>
      <c r="T167" s="298">
        <f>IFERROR(Table6[[#This Row],[Breakdown Time]]*Table6[[#This Row],[Plant Equivalent Weightage]],"")</f>
        <v>7.5757575757576098E-3</v>
      </c>
      <c r="U167" s="79" t="s">
        <v>416</v>
      </c>
      <c r="W167" s="79">
        <v>40</v>
      </c>
    </row>
    <row r="168" spans="1:23">
      <c r="A168" s="79">
        <f t="shared" si="2"/>
        <v>167</v>
      </c>
      <c r="B168" s="79">
        <f>YEAR(Table6[[#This Row],[Date]])+IF(MONTH(Table6[[#This Row],[Date]])&gt;=4,1,0)</f>
        <v>2026</v>
      </c>
      <c r="C168" s="79">
        <f>YEAR(Table6[[#This Row],[Date]])</f>
        <v>2025</v>
      </c>
      <c r="D168" s="79" t="s">
        <v>344</v>
      </c>
      <c r="E168" s="284">
        <f>Table6[[#This Row],[Date]]-DAY(Table6[[#This Row],[Date]])+1</f>
        <v>45748</v>
      </c>
      <c r="F168" s="285">
        <v>45752</v>
      </c>
      <c r="G168" s="79" t="s">
        <v>93</v>
      </c>
      <c r="H168" s="79" t="str">
        <f>IFERROR(_xlfn.XLOOKUP(Table6[[#This Row],[Affected Feeder ]],'Basic Data'!$A:$A,'Basic Data'!$B:$B),"")</f>
        <v>PWEPL</v>
      </c>
      <c r="I168" s="79" t="str">
        <f>IFERROR(_xlfn.XLOOKUP(Table6[[#This Row],[Affected Feeder ]],'Basic Data'!$A:$A,'Basic Data'!$C:$C),"")</f>
        <v>MSEDCL</v>
      </c>
      <c r="J168" s="295">
        <f>IFERROR(_xlfn.XLOOKUP(Table6[[#This Row],[Affected Feeder ]],'Basic Data'!$A:$A,'Basic Data'!$E:$E),"")</f>
        <v>2.2727272727272728E-2</v>
      </c>
      <c r="K168" s="296" t="s">
        <v>414</v>
      </c>
      <c r="L168" s="297">
        <v>0.78472222222222221</v>
      </c>
      <c r="M168" s="297">
        <v>0.78472222222222221</v>
      </c>
      <c r="N168" s="297">
        <v>0.81597222222222221</v>
      </c>
      <c r="O168" s="19">
        <f>(Table6[[#This Row],[Work Start TimeStamp]]-Table6[[#This Row],[Fault Start TimeStamp]])*24</f>
        <v>0</v>
      </c>
      <c r="P168" s="19">
        <f>(Table6[[#This Row],[Fault Clearance time]]-Table6[[#This Row],[Fault Start TimeStamp]])*24</f>
        <v>0.75</v>
      </c>
      <c r="Q168" s="19">
        <f>(Table6[[#This Row],[Fault Clearance time]]-Table6[[#This Row],[Fault Start TimeStamp]])*24</f>
        <v>0.75</v>
      </c>
      <c r="R168" s="79" t="s">
        <v>437</v>
      </c>
      <c r="S168" s="79" t="s">
        <v>339</v>
      </c>
      <c r="T168" s="298">
        <f>IFERROR(Table6[[#This Row],[Breakdown Time]]*Table6[[#This Row],[Plant Equivalent Weightage]],"")</f>
        <v>1.7045454545454544E-2</v>
      </c>
      <c r="U168" s="79" t="s">
        <v>416</v>
      </c>
      <c r="W168" s="79">
        <v>50</v>
      </c>
    </row>
    <row r="169" spans="1:23">
      <c r="A169" s="79">
        <f t="shared" si="2"/>
        <v>168</v>
      </c>
      <c r="B169" s="79">
        <f>YEAR(Table6[[#This Row],[Date]])+IF(MONTH(Table6[[#This Row],[Date]])&gt;=4,1,0)</f>
        <v>2026</v>
      </c>
      <c r="C169" s="79">
        <f>YEAR(Table6[[#This Row],[Date]])</f>
        <v>2025</v>
      </c>
      <c r="D169" s="79" t="s">
        <v>344</v>
      </c>
      <c r="E169" s="284">
        <f>Table6[[#This Row],[Date]]-DAY(Table6[[#This Row],[Date]])+1</f>
        <v>45748</v>
      </c>
      <c r="F169" s="285">
        <v>45752</v>
      </c>
      <c r="G169" s="79" t="s">
        <v>93</v>
      </c>
      <c r="H169" s="79" t="str">
        <f>IFERROR(_xlfn.XLOOKUP(Table6[[#This Row],[Affected Feeder ]],'Basic Data'!$A:$A,'Basic Data'!$B:$B),"")</f>
        <v>PWEPL</v>
      </c>
      <c r="I169" s="79" t="str">
        <f>IFERROR(_xlfn.XLOOKUP(Table6[[#This Row],[Affected Feeder ]],'Basic Data'!$A:$A,'Basic Data'!$C:$C),"")</f>
        <v>MSEDCL</v>
      </c>
      <c r="J169" s="295">
        <f>IFERROR(_xlfn.XLOOKUP(Table6[[#This Row],[Affected Feeder ]],'Basic Data'!$A:$A,'Basic Data'!$E:$E),"")</f>
        <v>2.2727272727272728E-2</v>
      </c>
      <c r="K169" s="296" t="s">
        <v>171</v>
      </c>
      <c r="L169" s="297">
        <v>0.81597222222222221</v>
      </c>
      <c r="M169" s="297">
        <v>0.81597222222222221</v>
      </c>
      <c r="N169" s="297">
        <v>0.82986111111111116</v>
      </c>
      <c r="O169" s="19">
        <f>(Table6[[#This Row],[Work Start TimeStamp]]-Table6[[#This Row],[Fault Start TimeStamp]])*24</f>
        <v>0</v>
      </c>
      <c r="P169" s="19">
        <f>(Table6[[#This Row],[Fault Clearance time]]-Table6[[#This Row],[Fault Start TimeStamp]])*24</f>
        <v>0.33333333333333481</v>
      </c>
      <c r="Q169" s="19">
        <f>(Table6[[#This Row],[Fault Clearance time]]-Table6[[#This Row],[Fault Start TimeStamp]])*24</f>
        <v>0.33333333333333481</v>
      </c>
      <c r="R169" s="79" t="s">
        <v>353</v>
      </c>
      <c r="S169" s="79" t="s">
        <v>339</v>
      </c>
      <c r="T169" s="298">
        <f>IFERROR(Table6[[#This Row],[Breakdown Time]]*Table6[[#This Row],[Plant Equivalent Weightage]],"")</f>
        <v>7.5757575757576098E-3</v>
      </c>
      <c r="U169" s="79" t="s">
        <v>416</v>
      </c>
      <c r="W169" s="79">
        <v>40</v>
      </c>
    </row>
    <row r="170" spans="1:23">
      <c r="A170" s="79">
        <f t="shared" si="2"/>
        <v>169</v>
      </c>
      <c r="B170" s="79">
        <f>YEAR(Table6[[#This Row],[Date]])+IF(MONTH(Table6[[#This Row],[Date]])&gt;=4,1,0)</f>
        <v>2026</v>
      </c>
      <c r="C170" s="79">
        <f>YEAR(Table6[[#This Row],[Date]])</f>
        <v>2025</v>
      </c>
      <c r="D170" s="79" t="s">
        <v>344</v>
      </c>
      <c r="E170" s="284">
        <f>Table6[[#This Row],[Date]]-DAY(Table6[[#This Row],[Date]])+1</f>
        <v>45748</v>
      </c>
      <c r="F170" s="285">
        <v>45752</v>
      </c>
      <c r="G170" s="79" t="s">
        <v>102</v>
      </c>
      <c r="H170" s="79" t="str">
        <f>IFERROR(_xlfn.XLOOKUP(Table6[[#This Row],[Affected Feeder ]],'Basic Data'!$A:$A,'Basic Data'!$B:$B),"")</f>
        <v>PWEPL</v>
      </c>
      <c r="I170" s="79" t="str">
        <f>IFERROR(_xlfn.XLOOKUP(Table6[[#This Row],[Affected Feeder ]],'Basic Data'!$A:$A,'Basic Data'!$C:$C),"")</f>
        <v>MSEDCL</v>
      </c>
      <c r="J170" s="295">
        <f>IFERROR(_xlfn.XLOOKUP(Table6[[#This Row],[Affected Feeder ]],'Basic Data'!$A:$A,'Basic Data'!$E:$E),"")</f>
        <v>2.2727272727272728E-2</v>
      </c>
      <c r="K170" s="296" t="s">
        <v>414</v>
      </c>
      <c r="L170" s="297">
        <v>0.78472222222222221</v>
      </c>
      <c r="M170" s="297">
        <v>0.78472222222222221</v>
      </c>
      <c r="N170" s="297">
        <v>0.81597222222222221</v>
      </c>
      <c r="O170" s="19">
        <f>(Table6[[#This Row],[Work Start TimeStamp]]-Table6[[#This Row],[Fault Start TimeStamp]])*24</f>
        <v>0</v>
      </c>
      <c r="P170" s="19">
        <f>(Table6[[#This Row],[Fault Clearance time]]-Table6[[#This Row],[Fault Start TimeStamp]])*24</f>
        <v>0.75</v>
      </c>
      <c r="Q170" s="19">
        <f>(Table6[[#This Row],[Fault Clearance time]]-Table6[[#This Row],[Fault Start TimeStamp]])*24</f>
        <v>0.75</v>
      </c>
      <c r="R170" s="79" t="s">
        <v>437</v>
      </c>
      <c r="S170" s="79" t="s">
        <v>339</v>
      </c>
      <c r="T170" s="298">
        <f>IFERROR(Table6[[#This Row],[Breakdown Time]]*Table6[[#This Row],[Plant Equivalent Weightage]],"")</f>
        <v>1.7045454545454544E-2</v>
      </c>
      <c r="U170" s="79" t="s">
        <v>416</v>
      </c>
      <c r="W170" s="79">
        <v>50</v>
      </c>
    </row>
    <row r="171" spans="1:23">
      <c r="A171" s="79">
        <f t="shared" si="2"/>
        <v>170</v>
      </c>
      <c r="B171" s="79">
        <f>YEAR(Table6[[#This Row],[Date]])+IF(MONTH(Table6[[#This Row],[Date]])&gt;=4,1,0)</f>
        <v>2026</v>
      </c>
      <c r="C171" s="79">
        <f>YEAR(Table6[[#This Row],[Date]])</f>
        <v>2025</v>
      </c>
      <c r="D171" s="79" t="s">
        <v>344</v>
      </c>
      <c r="E171" s="284">
        <f>Table6[[#This Row],[Date]]-DAY(Table6[[#This Row],[Date]])+1</f>
        <v>45748</v>
      </c>
      <c r="F171" s="285">
        <v>45752</v>
      </c>
      <c r="G171" s="79" t="s">
        <v>102</v>
      </c>
      <c r="H171" s="79" t="str">
        <f>IFERROR(_xlfn.XLOOKUP(Table6[[#This Row],[Affected Feeder ]],'Basic Data'!$A:$A,'Basic Data'!$B:$B),"")</f>
        <v>PWEPL</v>
      </c>
      <c r="I171" s="79" t="str">
        <f>IFERROR(_xlfn.XLOOKUP(Table6[[#This Row],[Affected Feeder ]],'Basic Data'!$A:$A,'Basic Data'!$C:$C),"")</f>
        <v>MSEDCL</v>
      </c>
      <c r="J171" s="295">
        <f>IFERROR(_xlfn.XLOOKUP(Table6[[#This Row],[Affected Feeder ]],'Basic Data'!$A:$A,'Basic Data'!$E:$E),"")</f>
        <v>2.2727272727272728E-2</v>
      </c>
      <c r="K171" s="296" t="s">
        <v>171</v>
      </c>
      <c r="L171" s="297">
        <v>0.81597222222222221</v>
      </c>
      <c r="M171" s="297">
        <v>0.81597222222222221</v>
      </c>
      <c r="N171" s="297">
        <v>0.82986111111111116</v>
      </c>
      <c r="O171" s="19">
        <f>(Table6[[#This Row],[Work Start TimeStamp]]-Table6[[#This Row],[Fault Start TimeStamp]])*24</f>
        <v>0</v>
      </c>
      <c r="P171" s="19">
        <f>(Table6[[#This Row],[Fault Clearance time]]-Table6[[#This Row],[Fault Start TimeStamp]])*24</f>
        <v>0.33333333333333481</v>
      </c>
      <c r="Q171" s="19">
        <f>(Table6[[#This Row],[Fault Clearance time]]-Table6[[#This Row],[Fault Start TimeStamp]])*24</f>
        <v>0.33333333333333481</v>
      </c>
      <c r="R171" s="79" t="s">
        <v>353</v>
      </c>
      <c r="S171" s="79" t="s">
        <v>339</v>
      </c>
      <c r="T171" s="298">
        <f>IFERROR(Table6[[#This Row],[Breakdown Time]]*Table6[[#This Row],[Plant Equivalent Weightage]],"")</f>
        <v>7.5757575757576098E-3</v>
      </c>
      <c r="U171" s="79" t="s">
        <v>416</v>
      </c>
      <c r="W171" s="79">
        <v>40</v>
      </c>
    </row>
    <row r="172" spans="1:23">
      <c r="A172" s="79">
        <f t="shared" si="2"/>
        <v>171</v>
      </c>
      <c r="B172" s="79">
        <f>YEAR(Table6[[#This Row],[Date]])+IF(MONTH(Table6[[#This Row],[Date]])&gt;=4,1,0)</f>
        <v>2026</v>
      </c>
      <c r="C172" s="79">
        <f>YEAR(Table6[[#This Row],[Date]])</f>
        <v>2025</v>
      </c>
      <c r="D172" s="79" t="s">
        <v>344</v>
      </c>
      <c r="E172" s="284">
        <f>Table6[[#This Row],[Date]]-DAY(Table6[[#This Row],[Date]])+1</f>
        <v>45748</v>
      </c>
      <c r="F172" s="285">
        <v>45752</v>
      </c>
      <c r="G172" s="79" t="s">
        <v>119</v>
      </c>
      <c r="H172" s="79" t="str">
        <f>IFERROR(_xlfn.XLOOKUP(Table6[[#This Row],[Affected Feeder ]],'Basic Data'!$A:$A,'Basic Data'!$B:$B),"")</f>
        <v>PWEPL</v>
      </c>
      <c r="I172" s="79" t="str">
        <f>IFERROR(_xlfn.XLOOKUP(Table6[[#This Row],[Affected Feeder ]],'Basic Data'!$A:$A,'Basic Data'!$C:$C),"")</f>
        <v>MSEDCL</v>
      </c>
      <c r="J172" s="295">
        <f>IFERROR(_xlfn.XLOOKUP(Table6[[#This Row],[Affected Feeder ]],'Basic Data'!$A:$A,'Basic Data'!$E:$E),"")</f>
        <v>2.2727272727272728E-2</v>
      </c>
      <c r="K172" s="296" t="s">
        <v>414</v>
      </c>
      <c r="L172" s="297">
        <v>0.78472222222222221</v>
      </c>
      <c r="M172" s="297">
        <v>0.78472222222222221</v>
      </c>
      <c r="N172" s="297">
        <v>0.81597222222222221</v>
      </c>
      <c r="O172" s="19">
        <f>(Table6[[#This Row],[Work Start TimeStamp]]-Table6[[#This Row],[Fault Start TimeStamp]])*24</f>
        <v>0</v>
      </c>
      <c r="P172" s="19">
        <f>(Table6[[#This Row],[Fault Clearance time]]-Table6[[#This Row],[Fault Start TimeStamp]])*24</f>
        <v>0.75</v>
      </c>
      <c r="Q172" s="19">
        <f>(Table6[[#This Row],[Fault Clearance time]]-Table6[[#This Row],[Fault Start TimeStamp]])*24</f>
        <v>0.75</v>
      </c>
      <c r="R172" s="79" t="s">
        <v>437</v>
      </c>
      <c r="S172" s="79" t="s">
        <v>339</v>
      </c>
      <c r="T172" s="298">
        <f>IFERROR(Table6[[#This Row],[Breakdown Time]]*Table6[[#This Row],[Plant Equivalent Weightage]],"")</f>
        <v>1.7045454545454544E-2</v>
      </c>
      <c r="U172" s="79" t="s">
        <v>416</v>
      </c>
      <c r="W172" s="79">
        <v>50</v>
      </c>
    </row>
    <row r="173" spans="1:23">
      <c r="A173" s="79">
        <f t="shared" si="2"/>
        <v>172</v>
      </c>
      <c r="B173" s="79">
        <f>YEAR(Table6[[#This Row],[Date]])+IF(MONTH(Table6[[#This Row],[Date]])&gt;=4,1,0)</f>
        <v>2026</v>
      </c>
      <c r="C173" s="79">
        <f>YEAR(Table6[[#This Row],[Date]])</f>
        <v>2025</v>
      </c>
      <c r="D173" s="79" t="s">
        <v>344</v>
      </c>
      <c r="E173" s="284">
        <f>Table6[[#This Row],[Date]]-DAY(Table6[[#This Row],[Date]])+1</f>
        <v>45748</v>
      </c>
      <c r="F173" s="285">
        <v>45752</v>
      </c>
      <c r="G173" s="79" t="s">
        <v>119</v>
      </c>
      <c r="H173" s="79" t="str">
        <f>IFERROR(_xlfn.XLOOKUP(Table6[[#This Row],[Affected Feeder ]],'Basic Data'!$A:$A,'Basic Data'!$B:$B),"")</f>
        <v>PWEPL</v>
      </c>
      <c r="I173" s="79" t="str">
        <f>IFERROR(_xlfn.XLOOKUP(Table6[[#This Row],[Affected Feeder ]],'Basic Data'!$A:$A,'Basic Data'!$C:$C),"")</f>
        <v>MSEDCL</v>
      </c>
      <c r="J173" s="295">
        <f>IFERROR(_xlfn.XLOOKUP(Table6[[#This Row],[Affected Feeder ]],'Basic Data'!$A:$A,'Basic Data'!$E:$E),"")</f>
        <v>2.2727272727272728E-2</v>
      </c>
      <c r="K173" s="296" t="s">
        <v>171</v>
      </c>
      <c r="L173" s="297">
        <v>0.81597222222222221</v>
      </c>
      <c r="M173" s="297">
        <v>0.81597222222222221</v>
      </c>
      <c r="N173" s="297">
        <v>0.82986111111111116</v>
      </c>
      <c r="O173" s="19">
        <f>(Table6[[#This Row],[Work Start TimeStamp]]-Table6[[#This Row],[Fault Start TimeStamp]])*24</f>
        <v>0</v>
      </c>
      <c r="P173" s="19">
        <f>(Table6[[#This Row],[Fault Clearance time]]-Table6[[#This Row],[Fault Start TimeStamp]])*24</f>
        <v>0.33333333333333481</v>
      </c>
      <c r="Q173" s="19">
        <f>(Table6[[#This Row],[Fault Clearance time]]-Table6[[#This Row],[Fault Start TimeStamp]])*24</f>
        <v>0.33333333333333481</v>
      </c>
      <c r="R173" s="79" t="s">
        <v>353</v>
      </c>
      <c r="S173" s="79" t="s">
        <v>339</v>
      </c>
      <c r="T173" s="298">
        <f>IFERROR(Table6[[#This Row],[Breakdown Time]]*Table6[[#This Row],[Plant Equivalent Weightage]],"")</f>
        <v>7.5757575757576098E-3</v>
      </c>
      <c r="U173" s="79" t="s">
        <v>416</v>
      </c>
      <c r="W173" s="79">
        <v>40</v>
      </c>
    </row>
    <row r="174" spans="1:23">
      <c r="A174" s="79">
        <f t="shared" si="2"/>
        <v>173</v>
      </c>
      <c r="B174" s="79">
        <f>YEAR(Table6[[#This Row],[Date]])+IF(MONTH(Table6[[#This Row],[Date]])&gt;=4,1,0)</f>
        <v>2026</v>
      </c>
      <c r="C174" s="79">
        <f>YEAR(Table6[[#This Row],[Date]])</f>
        <v>2025</v>
      </c>
      <c r="D174" s="79" t="s">
        <v>344</v>
      </c>
      <c r="E174" s="284">
        <f>Table6[[#This Row],[Date]]-DAY(Table6[[#This Row],[Date]])+1</f>
        <v>45748</v>
      </c>
      <c r="F174" s="285">
        <v>45753</v>
      </c>
      <c r="G174" s="79" t="s">
        <v>76</v>
      </c>
      <c r="H174" s="79" t="str">
        <f>IFERROR(_xlfn.XLOOKUP(Table6[[#This Row],[Affected Feeder ]],'Basic Data'!$A:$A,'Basic Data'!$B:$B),"")</f>
        <v>PWEPL</v>
      </c>
      <c r="I174" s="79" t="str">
        <f>IFERROR(_xlfn.XLOOKUP(Table6[[#This Row],[Affected Feeder ]],'Basic Data'!$A:$A,'Basic Data'!$C:$C),"")</f>
        <v>MSEDCL</v>
      </c>
      <c r="J174" s="295">
        <f>IFERROR(_xlfn.XLOOKUP(Table6[[#This Row],[Affected Feeder ]],'Basic Data'!$A:$A,'Basic Data'!$E:$E),"")</f>
        <v>2.2727272727272728E-2</v>
      </c>
      <c r="K174" s="296" t="s">
        <v>414</v>
      </c>
      <c r="L174" s="297">
        <v>0.38958333333333334</v>
      </c>
      <c r="M174" s="297">
        <v>0.38958333333333334</v>
      </c>
      <c r="N174" s="297">
        <v>0.41180555555555554</v>
      </c>
      <c r="O174" s="19">
        <f>(Table6[[#This Row],[Work Start TimeStamp]]-Table6[[#This Row],[Fault Start TimeStamp]])*24</f>
        <v>0</v>
      </c>
      <c r="P174" s="19">
        <f>(Table6[[#This Row],[Fault Clearance time]]-Table6[[#This Row],[Fault Start TimeStamp]])*24</f>
        <v>0.53333333333333277</v>
      </c>
      <c r="Q174" s="19">
        <f>(Table6[[#This Row],[Fault Clearance time]]-Table6[[#This Row],[Fault Start TimeStamp]])*24</f>
        <v>0.53333333333333277</v>
      </c>
      <c r="R174" s="79" t="s">
        <v>438</v>
      </c>
      <c r="S174" s="79" t="s">
        <v>339</v>
      </c>
      <c r="T174" s="298">
        <f>IFERROR(Table6[[#This Row],[Breakdown Time]]*Table6[[#This Row],[Plant Equivalent Weightage]],"")</f>
        <v>1.2121212121212109E-2</v>
      </c>
      <c r="U174" s="79" t="s">
        <v>416</v>
      </c>
      <c r="W174" s="79">
        <v>47</v>
      </c>
    </row>
    <row r="175" spans="1:23">
      <c r="A175" s="79">
        <f t="shared" si="2"/>
        <v>174</v>
      </c>
      <c r="B175" s="79">
        <f>YEAR(Table6[[#This Row],[Date]])+IF(MONTH(Table6[[#This Row],[Date]])&gt;=4,1,0)</f>
        <v>2026</v>
      </c>
      <c r="C175" s="79">
        <f>YEAR(Table6[[#This Row],[Date]])</f>
        <v>2025</v>
      </c>
      <c r="D175" s="79" t="s">
        <v>344</v>
      </c>
      <c r="E175" s="284">
        <f>Table6[[#This Row],[Date]]-DAY(Table6[[#This Row],[Date]])+1</f>
        <v>45748</v>
      </c>
      <c r="F175" s="285">
        <v>45753</v>
      </c>
      <c r="G175" s="79" t="s">
        <v>76</v>
      </c>
      <c r="H175" s="79" t="str">
        <f>IFERROR(_xlfn.XLOOKUP(Table6[[#This Row],[Affected Feeder ]],'Basic Data'!$A:$A,'Basic Data'!$B:$B),"")</f>
        <v>PWEPL</v>
      </c>
      <c r="I175" s="79" t="str">
        <f>IFERROR(_xlfn.XLOOKUP(Table6[[#This Row],[Affected Feeder ]],'Basic Data'!$A:$A,'Basic Data'!$C:$C),"")</f>
        <v>MSEDCL</v>
      </c>
      <c r="J175" s="295">
        <f>IFERROR(_xlfn.XLOOKUP(Table6[[#This Row],[Affected Feeder ]],'Basic Data'!$A:$A,'Basic Data'!$E:$E),"")</f>
        <v>2.2727272727272728E-2</v>
      </c>
      <c r="K175" s="296" t="s">
        <v>171</v>
      </c>
      <c r="L175" s="297">
        <v>0.41180555555555554</v>
      </c>
      <c r="M175" s="297">
        <v>0.41180555555555554</v>
      </c>
      <c r="N175" s="297">
        <v>0.42569444444444443</v>
      </c>
      <c r="O175" s="19">
        <f>(Table6[[#This Row],[Work Start TimeStamp]]-Table6[[#This Row],[Fault Start TimeStamp]])*24</f>
        <v>0</v>
      </c>
      <c r="P175" s="19">
        <f>(Table6[[#This Row],[Fault Clearance time]]-Table6[[#This Row],[Fault Start TimeStamp]])*24</f>
        <v>0.33333333333333348</v>
      </c>
      <c r="Q175" s="19">
        <f>(Table6[[#This Row],[Fault Clearance time]]-Table6[[#This Row],[Fault Start TimeStamp]])*24</f>
        <v>0.33333333333333348</v>
      </c>
      <c r="R175" s="79" t="s">
        <v>353</v>
      </c>
      <c r="S175" s="79" t="s">
        <v>339</v>
      </c>
      <c r="T175" s="298">
        <f>IFERROR(Table6[[#This Row],[Breakdown Time]]*Table6[[#This Row],[Plant Equivalent Weightage]],"")</f>
        <v>7.5757575757575794E-3</v>
      </c>
      <c r="U175" s="79" t="s">
        <v>416</v>
      </c>
      <c r="W175" s="79">
        <v>29</v>
      </c>
    </row>
    <row r="176" spans="1:23">
      <c r="A176" s="79">
        <f t="shared" si="2"/>
        <v>175</v>
      </c>
      <c r="B176" s="79">
        <f>YEAR(Table6[[#This Row],[Date]])+IF(MONTH(Table6[[#This Row],[Date]])&gt;=4,1,0)</f>
        <v>2026</v>
      </c>
      <c r="C176" s="79">
        <f>YEAR(Table6[[#This Row],[Date]])</f>
        <v>2025</v>
      </c>
      <c r="D176" s="79" t="s">
        <v>344</v>
      </c>
      <c r="E176" s="284">
        <f>Table6[[#This Row],[Date]]-DAY(Table6[[#This Row],[Date]])+1</f>
        <v>45748</v>
      </c>
      <c r="F176" s="285">
        <v>45753</v>
      </c>
      <c r="G176" s="79" t="s">
        <v>77</v>
      </c>
      <c r="H176" s="79" t="str">
        <f>IFERROR(_xlfn.XLOOKUP(Table6[[#This Row],[Affected Feeder ]],'Basic Data'!$A:$A,'Basic Data'!$B:$B),"")</f>
        <v>PWEPL</v>
      </c>
      <c r="I176" s="79" t="str">
        <f>IFERROR(_xlfn.XLOOKUP(Table6[[#This Row],[Affected Feeder ]],'Basic Data'!$A:$A,'Basic Data'!$C:$C),"")</f>
        <v>MSEDCL</v>
      </c>
      <c r="J176" s="295">
        <f>IFERROR(_xlfn.XLOOKUP(Table6[[#This Row],[Affected Feeder ]],'Basic Data'!$A:$A,'Basic Data'!$E:$E),"")</f>
        <v>2.2727272727272728E-2</v>
      </c>
      <c r="K176" s="296" t="s">
        <v>414</v>
      </c>
      <c r="L176" s="297">
        <v>0.38958333333333334</v>
      </c>
      <c r="M176" s="297">
        <v>0.38958333333333334</v>
      </c>
      <c r="N176" s="297">
        <v>0.41180555555555554</v>
      </c>
      <c r="O176" s="19">
        <f>(Table6[[#This Row],[Work Start TimeStamp]]-Table6[[#This Row],[Fault Start TimeStamp]])*24</f>
        <v>0</v>
      </c>
      <c r="P176" s="19">
        <f>(Table6[[#This Row],[Fault Clearance time]]-Table6[[#This Row],[Fault Start TimeStamp]])*24</f>
        <v>0.53333333333333277</v>
      </c>
      <c r="Q176" s="19">
        <f>(Table6[[#This Row],[Fault Clearance time]]-Table6[[#This Row],[Fault Start TimeStamp]])*24</f>
        <v>0.53333333333333277</v>
      </c>
      <c r="R176" s="79" t="s">
        <v>438</v>
      </c>
      <c r="S176" s="79" t="s">
        <v>339</v>
      </c>
      <c r="T176" s="298">
        <f>IFERROR(Table6[[#This Row],[Breakdown Time]]*Table6[[#This Row],[Plant Equivalent Weightage]],"")</f>
        <v>1.2121212121212109E-2</v>
      </c>
      <c r="U176" s="79" t="s">
        <v>416</v>
      </c>
      <c r="W176" s="79">
        <v>47</v>
      </c>
    </row>
    <row r="177" spans="1:23">
      <c r="A177" s="79">
        <f t="shared" si="2"/>
        <v>176</v>
      </c>
      <c r="B177" s="79">
        <f>YEAR(Table6[[#This Row],[Date]])+IF(MONTH(Table6[[#This Row],[Date]])&gt;=4,1,0)</f>
        <v>2026</v>
      </c>
      <c r="C177" s="79">
        <f>YEAR(Table6[[#This Row],[Date]])</f>
        <v>2025</v>
      </c>
      <c r="D177" s="79" t="s">
        <v>344</v>
      </c>
      <c r="E177" s="284">
        <f>Table6[[#This Row],[Date]]-DAY(Table6[[#This Row],[Date]])+1</f>
        <v>45748</v>
      </c>
      <c r="F177" s="285">
        <v>45753</v>
      </c>
      <c r="G177" s="79" t="s">
        <v>77</v>
      </c>
      <c r="H177" s="79" t="str">
        <f>IFERROR(_xlfn.XLOOKUP(Table6[[#This Row],[Affected Feeder ]],'Basic Data'!$A:$A,'Basic Data'!$B:$B),"")</f>
        <v>PWEPL</v>
      </c>
      <c r="I177" s="79" t="str">
        <f>IFERROR(_xlfn.XLOOKUP(Table6[[#This Row],[Affected Feeder ]],'Basic Data'!$A:$A,'Basic Data'!$C:$C),"")</f>
        <v>MSEDCL</v>
      </c>
      <c r="J177" s="295">
        <f>IFERROR(_xlfn.XLOOKUP(Table6[[#This Row],[Affected Feeder ]],'Basic Data'!$A:$A,'Basic Data'!$E:$E),"")</f>
        <v>2.2727272727272728E-2</v>
      </c>
      <c r="K177" s="296" t="s">
        <v>171</v>
      </c>
      <c r="L177" s="297">
        <v>0.41180555555555554</v>
      </c>
      <c r="M177" s="297">
        <v>0.41180555555555554</v>
      </c>
      <c r="N177" s="297">
        <v>0.42569444444444443</v>
      </c>
      <c r="O177" s="19">
        <f>(Table6[[#This Row],[Work Start TimeStamp]]-Table6[[#This Row],[Fault Start TimeStamp]])*24</f>
        <v>0</v>
      </c>
      <c r="P177" s="19">
        <f>(Table6[[#This Row],[Fault Clearance time]]-Table6[[#This Row],[Fault Start TimeStamp]])*24</f>
        <v>0.33333333333333348</v>
      </c>
      <c r="Q177" s="19">
        <f>(Table6[[#This Row],[Fault Clearance time]]-Table6[[#This Row],[Fault Start TimeStamp]])*24</f>
        <v>0.33333333333333348</v>
      </c>
      <c r="R177" s="79" t="s">
        <v>353</v>
      </c>
      <c r="S177" s="79" t="s">
        <v>339</v>
      </c>
      <c r="T177" s="298">
        <f>IFERROR(Table6[[#This Row],[Breakdown Time]]*Table6[[#This Row],[Plant Equivalent Weightage]],"")</f>
        <v>7.5757575757575794E-3</v>
      </c>
      <c r="U177" s="79" t="s">
        <v>416</v>
      </c>
      <c r="W177" s="79">
        <v>29</v>
      </c>
    </row>
    <row r="178" spans="1:23">
      <c r="A178" s="79">
        <f t="shared" si="2"/>
        <v>177</v>
      </c>
      <c r="B178" s="79">
        <f>YEAR(Table6[[#This Row],[Date]])+IF(MONTH(Table6[[#This Row],[Date]])&gt;=4,1,0)</f>
        <v>2026</v>
      </c>
      <c r="C178" s="79">
        <f>YEAR(Table6[[#This Row],[Date]])</f>
        <v>2025</v>
      </c>
      <c r="D178" s="79" t="s">
        <v>344</v>
      </c>
      <c r="E178" s="284">
        <f>Table6[[#This Row],[Date]]-DAY(Table6[[#This Row],[Date]])+1</f>
        <v>45748</v>
      </c>
      <c r="F178" s="285">
        <v>45753</v>
      </c>
      <c r="G178" s="79" t="s">
        <v>78</v>
      </c>
      <c r="H178" s="79" t="str">
        <f>IFERROR(_xlfn.XLOOKUP(Table6[[#This Row],[Affected Feeder ]],'Basic Data'!$A:$A,'Basic Data'!$B:$B),"")</f>
        <v>PWEPL</v>
      </c>
      <c r="I178" s="79" t="str">
        <f>IFERROR(_xlfn.XLOOKUP(Table6[[#This Row],[Affected Feeder ]],'Basic Data'!$A:$A,'Basic Data'!$C:$C),"")</f>
        <v>MSEDCL</v>
      </c>
      <c r="J178" s="295">
        <f>IFERROR(_xlfn.XLOOKUP(Table6[[#This Row],[Affected Feeder ]],'Basic Data'!$A:$A,'Basic Data'!$E:$E),"")</f>
        <v>2.2727272727272728E-2</v>
      </c>
      <c r="K178" s="296" t="s">
        <v>414</v>
      </c>
      <c r="L178" s="297">
        <v>0.38958333333333334</v>
      </c>
      <c r="M178" s="297">
        <v>0.38958333333333334</v>
      </c>
      <c r="N178" s="297">
        <v>0.41180555555555554</v>
      </c>
      <c r="O178" s="19">
        <f>(Table6[[#This Row],[Work Start TimeStamp]]-Table6[[#This Row],[Fault Start TimeStamp]])*24</f>
        <v>0</v>
      </c>
      <c r="P178" s="19">
        <f>(Table6[[#This Row],[Fault Clearance time]]-Table6[[#This Row],[Fault Start TimeStamp]])*24</f>
        <v>0.53333333333333277</v>
      </c>
      <c r="Q178" s="19">
        <f>(Table6[[#This Row],[Fault Clearance time]]-Table6[[#This Row],[Fault Start TimeStamp]])*24</f>
        <v>0.53333333333333277</v>
      </c>
      <c r="R178" s="79" t="s">
        <v>438</v>
      </c>
      <c r="S178" s="79" t="s">
        <v>339</v>
      </c>
      <c r="T178" s="298">
        <f>IFERROR(Table6[[#This Row],[Breakdown Time]]*Table6[[#This Row],[Plant Equivalent Weightage]],"")</f>
        <v>1.2121212121212109E-2</v>
      </c>
      <c r="U178" s="79" t="s">
        <v>416</v>
      </c>
      <c r="W178" s="79">
        <v>47</v>
      </c>
    </row>
    <row r="179" spans="1:23">
      <c r="A179" s="79">
        <f t="shared" si="2"/>
        <v>178</v>
      </c>
      <c r="B179" s="79">
        <f>YEAR(Table6[[#This Row],[Date]])+IF(MONTH(Table6[[#This Row],[Date]])&gt;=4,1,0)</f>
        <v>2026</v>
      </c>
      <c r="C179" s="79">
        <f>YEAR(Table6[[#This Row],[Date]])</f>
        <v>2025</v>
      </c>
      <c r="D179" s="79" t="s">
        <v>344</v>
      </c>
      <c r="E179" s="284">
        <f>Table6[[#This Row],[Date]]-DAY(Table6[[#This Row],[Date]])+1</f>
        <v>45748</v>
      </c>
      <c r="F179" s="285">
        <v>45753</v>
      </c>
      <c r="G179" s="79" t="s">
        <v>78</v>
      </c>
      <c r="H179" s="79" t="str">
        <f>IFERROR(_xlfn.XLOOKUP(Table6[[#This Row],[Affected Feeder ]],'Basic Data'!$A:$A,'Basic Data'!$B:$B),"")</f>
        <v>PWEPL</v>
      </c>
      <c r="I179" s="79" t="str">
        <f>IFERROR(_xlfn.XLOOKUP(Table6[[#This Row],[Affected Feeder ]],'Basic Data'!$A:$A,'Basic Data'!$C:$C),"")</f>
        <v>MSEDCL</v>
      </c>
      <c r="J179" s="295">
        <f>IFERROR(_xlfn.XLOOKUP(Table6[[#This Row],[Affected Feeder ]],'Basic Data'!$A:$A,'Basic Data'!$E:$E),"")</f>
        <v>2.2727272727272728E-2</v>
      </c>
      <c r="K179" s="296" t="s">
        <v>171</v>
      </c>
      <c r="L179" s="297">
        <v>0.41180555555555554</v>
      </c>
      <c r="M179" s="297">
        <v>0.41180555555555554</v>
      </c>
      <c r="N179" s="297">
        <v>0.42569444444444443</v>
      </c>
      <c r="O179" s="19">
        <f>(Table6[[#This Row],[Work Start TimeStamp]]-Table6[[#This Row],[Fault Start TimeStamp]])*24</f>
        <v>0</v>
      </c>
      <c r="P179" s="19">
        <f>(Table6[[#This Row],[Fault Clearance time]]-Table6[[#This Row],[Fault Start TimeStamp]])*24</f>
        <v>0.33333333333333348</v>
      </c>
      <c r="Q179" s="19">
        <f>(Table6[[#This Row],[Fault Clearance time]]-Table6[[#This Row],[Fault Start TimeStamp]])*24</f>
        <v>0.33333333333333348</v>
      </c>
      <c r="R179" s="79" t="s">
        <v>353</v>
      </c>
      <c r="S179" s="79" t="s">
        <v>339</v>
      </c>
      <c r="T179" s="298">
        <f>IFERROR(Table6[[#This Row],[Breakdown Time]]*Table6[[#This Row],[Plant Equivalent Weightage]],"")</f>
        <v>7.5757575757575794E-3</v>
      </c>
      <c r="U179" s="79" t="s">
        <v>416</v>
      </c>
      <c r="W179" s="79">
        <v>29</v>
      </c>
    </row>
    <row r="180" spans="1:23">
      <c r="A180" s="79">
        <f t="shared" si="2"/>
        <v>179</v>
      </c>
      <c r="B180" s="79">
        <f>YEAR(Table6[[#This Row],[Date]])+IF(MONTH(Table6[[#This Row],[Date]])&gt;=4,1,0)</f>
        <v>2026</v>
      </c>
      <c r="C180" s="79">
        <f>YEAR(Table6[[#This Row],[Date]])</f>
        <v>2025</v>
      </c>
      <c r="D180" s="79" t="s">
        <v>344</v>
      </c>
      <c r="E180" s="284">
        <f>Table6[[#This Row],[Date]]-DAY(Table6[[#This Row],[Date]])+1</f>
        <v>45748</v>
      </c>
      <c r="F180" s="285">
        <v>45753</v>
      </c>
      <c r="G180" s="79" t="s">
        <v>82</v>
      </c>
      <c r="H180" s="79" t="str">
        <f>IFERROR(_xlfn.XLOOKUP(Table6[[#This Row],[Affected Feeder ]],'Basic Data'!$A:$A,'Basic Data'!$B:$B),"")</f>
        <v>PWEPL</v>
      </c>
      <c r="I180" s="79" t="str">
        <f>IFERROR(_xlfn.XLOOKUP(Table6[[#This Row],[Affected Feeder ]],'Basic Data'!$A:$A,'Basic Data'!$C:$C),"")</f>
        <v>MSEDCL</v>
      </c>
      <c r="J180" s="295">
        <f>IFERROR(_xlfn.XLOOKUP(Table6[[#This Row],[Affected Feeder ]],'Basic Data'!$A:$A,'Basic Data'!$E:$E),"")</f>
        <v>2.2727272727272728E-2</v>
      </c>
      <c r="K180" s="296" t="s">
        <v>414</v>
      </c>
      <c r="L180" s="297">
        <v>0.38958333333333334</v>
      </c>
      <c r="M180" s="297">
        <v>0.38958333333333334</v>
      </c>
      <c r="N180" s="297">
        <v>0.41180555555555554</v>
      </c>
      <c r="O180" s="19">
        <f>(Table6[[#This Row],[Work Start TimeStamp]]-Table6[[#This Row],[Fault Start TimeStamp]])*24</f>
        <v>0</v>
      </c>
      <c r="P180" s="19">
        <f>(Table6[[#This Row],[Fault Clearance time]]-Table6[[#This Row],[Fault Start TimeStamp]])*24</f>
        <v>0.53333333333333277</v>
      </c>
      <c r="Q180" s="19">
        <f>(Table6[[#This Row],[Fault Clearance time]]-Table6[[#This Row],[Fault Start TimeStamp]])*24</f>
        <v>0.53333333333333277</v>
      </c>
      <c r="R180" s="79" t="s">
        <v>438</v>
      </c>
      <c r="S180" s="79" t="s">
        <v>339</v>
      </c>
      <c r="T180" s="298">
        <f>IFERROR(Table6[[#This Row],[Breakdown Time]]*Table6[[#This Row],[Plant Equivalent Weightage]],"")</f>
        <v>1.2121212121212109E-2</v>
      </c>
      <c r="U180" s="79" t="s">
        <v>416</v>
      </c>
      <c r="W180" s="79">
        <v>47</v>
      </c>
    </row>
    <row r="181" spans="1:23">
      <c r="A181" s="79">
        <f t="shared" si="2"/>
        <v>180</v>
      </c>
      <c r="B181" s="79">
        <f>YEAR(Table6[[#This Row],[Date]])+IF(MONTH(Table6[[#This Row],[Date]])&gt;=4,1,0)</f>
        <v>2026</v>
      </c>
      <c r="C181" s="79">
        <f>YEAR(Table6[[#This Row],[Date]])</f>
        <v>2025</v>
      </c>
      <c r="D181" s="79" t="s">
        <v>344</v>
      </c>
      <c r="E181" s="284">
        <f>Table6[[#This Row],[Date]]-DAY(Table6[[#This Row],[Date]])+1</f>
        <v>45748</v>
      </c>
      <c r="F181" s="285">
        <v>45753</v>
      </c>
      <c r="G181" s="79" t="s">
        <v>82</v>
      </c>
      <c r="H181" s="79" t="str">
        <f>IFERROR(_xlfn.XLOOKUP(Table6[[#This Row],[Affected Feeder ]],'Basic Data'!$A:$A,'Basic Data'!$B:$B),"")</f>
        <v>PWEPL</v>
      </c>
      <c r="I181" s="79" t="str">
        <f>IFERROR(_xlfn.XLOOKUP(Table6[[#This Row],[Affected Feeder ]],'Basic Data'!$A:$A,'Basic Data'!$C:$C),"")</f>
        <v>MSEDCL</v>
      </c>
      <c r="J181" s="295">
        <f>IFERROR(_xlfn.XLOOKUP(Table6[[#This Row],[Affected Feeder ]],'Basic Data'!$A:$A,'Basic Data'!$E:$E),"")</f>
        <v>2.2727272727272728E-2</v>
      </c>
      <c r="K181" s="296" t="s">
        <v>171</v>
      </c>
      <c r="L181" s="297">
        <v>0.41180555555555554</v>
      </c>
      <c r="M181" s="297">
        <v>0.41180555555555554</v>
      </c>
      <c r="N181" s="297">
        <v>0.42569444444444443</v>
      </c>
      <c r="O181" s="19">
        <f>(Table6[[#This Row],[Work Start TimeStamp]]-Table6[[#This Row],[Fault Start TimeStamp]])*24</f>
        <v>0</v>
      </c>
      <c r="P181" s="19">
        <f>(Table6[[#This Row],[Fault Clearance time]]-Table6[[#This Row],[Fault Start TimeStamp]])*24</f>
        <v>0.33333333333333348</v>
      </c>
      <c r="Q181" s="19">
        <f>(Table6[[#This Row],[Fault Clearance time]]-Table6[[#This Row],[Fault Start TimeStamp]])*24</f>
        <v>0.33333333333333348</v>
      </c>
      <c r="R181" s="79" t="s">
        <v>353</v>
      </c>
      <c r="S181" s="79" t="s">
        <v>339</v>
      </c>
      <c r="T181" s="298">
        <f>IFERROR(Table6[[#This Row],[Breakdown Time]]*Table6[[#This Row],[Plant Equivalent Weightage]],"")</f>
        <v>7.5757575757575794E-3</v>
      </c>
      <c r="U181" s="79" t="s">
        <v>416</v>
      </c>
      <c r="W181" s="79">
        <v>29</v>
      </c>
    </row>
    <row r="182" spans="1:23">
      <c r="A182" s="79">
        <f t="shared" si="2"/>
        <v>181</v>
      </c>
      <c r="B182" s="79">
        <f>YEAR(Table6[[#This Row],[Date]])+IF(MONTH(Table6[[#This Row],[Date]])&gt;=4,1,0)</f>
        <v>2026</v>
      </c>
      <c r="C182" s="79">
        <f>YEAR(Table6[[#This Row],[Date]])</f>
        <v>2025</v>
      </c>
      <c r="D182" s="79" t="s">
        <v>344</v>
      </c>
      <c r="E182" s="284">
        <f>Table6[[#This Row],[Date]]-DAY(Table6[[#This Row],[Date]])+1</f>
        <v>45748</v>
      </c>
      <c r="F182" s="285">
        <v>45753</v>
      </c>
      <c r="G182" s="79" t="s">
        <v>93</v>
      </c>
      <c r="H182" s="79" t="str">
        <f>IFERROR(_xlfn.XLOOKUP(Table6[[#This Row],[Affected Feeder ]],'Basic Data'!$A:$A,'Basic Data'!$B:$B),"")</f>
        <v>PWEPL</v>
      </c>
      <c r="I182" s="79" t="str">
        <f>IFERROR(_xlfn.XLOOKUP(Table6[[#This Row],[Affected Feeder ]],'Basic Data'!$A:$A,'Basic Data'!$C:$C),"")</f>
        <v>MSEDCL</v>
      </c>
      <c r="J182" s="295">
        <f>IFERROR(_xlfn.XLOOKUP(Table6[[#This Row],[Affected Feeder ]],'Basic Data'!$A:$A,'Basic Data'!$E:$E),"")</f>
        <v>2.2727272727272728E-2</v>
      </c>
      <c r="K182" s="296" t="s">
        <v>414</v>
      </c>
      <c r="L182" s="297">
        <v>0.38958333333333334</v>
      </c>
      <c r="M182" s="297">
        <v>0.38958333333333334</v>
      </c>
      <c r="N182" s="297">
        <v>0.41180555555555554</v>
      </c>
      <c r="O182" s="19">
        <f>(Table6[[#This Row],[Work Start TimeStamp]]-Table6[[#This Row],[Fault Start TimeStamp]])*24</f>
        <v>0</v>
      </c>
      <c r="P182" s="19">
        <f>(Table6[[#This Row],[Fault Clearance time]]-Table6[[#This Row],[Fault Start TimeStamp]])*24</f>
        <v>0.53333333333333277</v>
      </c>
      <c r="Q182" s="19">
        <f>(Table6[[#This Row],[Fault Clearance time]]-Table6[[#This Row],[Fault Start TimeStamp]])*24</f>
        <v>0.53333333333333277</v>
      </c>
      <c r="R182" s="79" t="s">
        <v>438</v>
      </c>
      <c r="S182" s="79" t="s">
        <v>339</v>
      </c>
      <c r="T182" s="298">
        <f>IFERROR(Table6[[#This Row],[Breakdown Time]]*Table6[[#This Row],[Plant Equivalent Weightage]],"")</f>
        <v>1.2121212121212109E-2</v>
      </c>
      <c r="U182" s="79" t="s">
        <v>416</v>
      </c>
      <c r="W182" s="79">
        <v>47</v>
      </c>
    </row>
    <row r="183" spans="1:23">
      <c r="A183" s="79">
        <f t="shared" si="2"/>
        <v>182</v>
      </c>
      <c r="B183" s="79">
        <f>YEAR(Table6[[#This Row],[Date]])+IF(MONTH(Table6[[#This Row],[Date]])&gt;=4,1,0)</f>
        <v>2026</v>
      </c>
      <c r="C183" s="79">
        <f>YEAR(Table6[[#This Row],[Date]])</f>
        <v>2025</v>
      </c>
      <c r="D183" s="79" t="s">
        <v>344</v>
      </c>
      <c r="E183" s="284">
        <f>Table6[[#This Row],[Date]]-DAY(Table6[[#This Row],[Date]])+1</f>
        <v>45748</v>
      </c>
      <c r="F183" s="285">
        <v>45753</v>
      </c>
      <c r="G183" s="79" t="s">
        <v>93</v>
      </c>
      <c r="H183" s="79" t="str">
        <f>IFERROR(_xlfn.XLOOKUP(Table6[[#This Row],[Affected Feeder ]],'Basic Data'!$A:$A,'Basic Data'!$B:$B),"")</f>
        <v>PWEPL</v>
      </c>
      <c r="I183" s="79" t="str">
        <f>IFERROR(_xlfn.XLOOKUP(Table6[[#This Row],[Affected Feeder ]],'Basic Data'!$A:$A,'Basic Data'!$C:$C),"")</f>
        <v>MSEDCL</v>
      </c>
      <c r="J183" s="295">
        <f>IFERROR(_xlfn.XLOOKUP(Table6[[#This Row],[Affected Feeder ]],'Basic Data'!$A:$A,'Basic Data'!$E:$E),"")</f>
        <v>2.2727272727272728E-2</v>
      </c>
      <c r="K183" s="296" t="s">
        <v>171</v>
      </c>
      <c r="L183" s="297">
        <v>0.41180555555555554</v>
      </c>
      <c r="M183" s="297">
        <v>0.41180555555555554</v>
      </c>
      <c r="N183" s="297">
        <v>0.42569444444444443</v>
      </c>
      <c r="O183" s="19">
        <f>(Table6[[#This Row],[Work Start TimeStamp]]-Table6[[#This Row],[Fault Start TimeStamp]])*24</f>
        <v>0</v>
      </c>
      <c r="P183" s="19">
        <f>(Table6[[#This Row],[Fault Clearance time]]-Table6[[#This Row],[Fault Start TimeStamp]])*24</f>
        <v>0.33333333333333348</v>
      </c>
      <c r="Q183" s="19">
        <f>(Table6[[#This Row],[Fault Clearance time]]-Table6[[#This Row],[Fault Start TimeStamp]])*24</f>
        <v>0.33333333333333348</v>
      </c>
      <c r="R183" s="79" t="s">
        <v>353</v>
      </c>
      <c r="S183" s="79" t="s">
        <v>339</v>
      </c>
      <c r="T183" s="298">
        <f>IFERROR(Table6[[#This Row],[Breakdown Time]]*Table6[[#This Row],[Plant Equivalent Weightage]],"")</f>
        <v>7.5757575757575794E-3</v>
      </c>
      <c r="U183" s="79" t="s">
        <v>416</v>
      </c>
      <c r="W183" s="79">
        <v>29</v>
      </c>
    </row>
    <row r="184" spans="1:23">
      <c r="A184" s="79">
        <f t="shared" si="2"/>
        <v>183</v>
      </c>
      <c r="B184" s="79">
        <f>YEAR(Table6[[#This Row],[Date]])+IF(MONTH(Table6[[#This Row],[Date]])&gt;=4,1,0)</f>
        <v>2026</v>
      </c>
      <c r="C184" s="79">
        <f>YEAR(Table6[[#This Row],[Date]])</f>
        <v>2025</v>
      </c>
      <c r="D184" s="79" t="s">
        <v>344</v>
      </c>
      <c r="E184" s="284">
        <f>Table6[[#This Row],[Date]]-DAY(Table6[[#This Row],[Date]])+1</f>
        <v>45748</v>
      </c>
      <c r="F184" s="285">
        <v>45753</v>
      </c>
      <c r="G184" s="79" t="s">
        <v>102</v>
      </c>
      <c r="H184" s="79" t="str">
        <f>IFERROR(_xlfn.XLOOKUP(Table6[[#This Row],[Affected Feeder ]],'Basic Data'!$A:$A,'Basic Data'!$B:$B),"")</f>
        <v>PWEPL</v>
      </c>
      <c r="I184" s="79" t="str">
        <f>IFERROR(_xlfn.XLOOKUP(Table6[[#This Row],[Affected Feeder ]],'Basic Data'!$A:$A,'Basic Data'!$C:$C),"")</f>
        <v>MSEDCL</v>
      </c>
      <c r="J184" s="295">
        <f>IFERROR(_xlfn.XLOOKUP(Table6[[#This Row],[Affected Feeder ]],'Basic Data'!$A:$A,'Basic Data'!$E:$E),"")</f>
        <v>2.2727272727272728E-2</v>
      </c>
      <c r="K184" s="296" t="s">
        <v>414</v>
      </c>
      <c r="L184" s="297">
        <v>0.38958333333333334</v>
      </c>
      <c r="M184" s="297">
        <v>0.38958333333333334</v>
      </c>
      <c r="N184" s="297">
        <v>0.80625000000000002</v>
      </c>
      <c r="O184" s="19">
        <f>(Table6[[#This Row],[Work Start TimeStamp]]-Table6[[#This Row],[Fault Start TimeStamp]])*24</f>
        <v>0</v>
      </c>
      <c r="P184" s="19">
        <f>(Table6[[#This Row],[Fault Clearance time]]-Table6[[#This Row],[Fault Start TimeStamp]])*24</f>
        <v>10</v>
      </c>
      <c r="Q184" s="19">
        <f>(Table6[[#This Row],[Fault Clearance time]]-Table6[[#This Row],[Fault Start TimeStamp]])*24</f>
        <v>10</v>
      </c>
      <c r="R184" s="79" t="s">
        <v>439</v>
      </c>
      <c r="S184" s="79" t="s">
        <v>339</v>
      </c>
      <c r="T184" s="298">
        <f>IFERROR(Table6[[#This Row],[Breakdown Time]]*Table6[[#This Row],[Plant Equivalent Weightage]],"")</f>
        <v>0.22727272727272729</v>
      </c>
      <c r="U184" s="79" t="s">
        <v>416</v>
      </c>
      <c r="W184" s="79">
        <v>879</v>
      </c>
    </row>
    <row r="185" spans="1:23">
      <c r="A185" s="79">
        <f t="shared" si="2"/>
        <v>184</v>
      </c>
      <c r="B185" s="79">
        <f>YEAR(Table6[[#This Row],[Date]])+IF(MONTH(Table6[[#This Row],[Date]])&gt;=4,1,0)</f>
        <v>2026</v>
      </c>
      <c r="C185" s="79">
        <f>YEAR(Table6[[#This Row],[Date]])</f>
        <v>2025</v>
      </c>
      <c r="D185" s="79" t="s">
        <v>344</v>
      </c>
      <c r="E185" s="284">
        <f>Table6[[#This Row],[Date]]-DAY(Table6[[#This Row],[Date]])+1</f>
        <v>45748</v>
      </c>
      <c r="F185" s="285">
        <v>45753</v>
      </c>
      <c r="G185" s="79" t="s">
        <v>102</v>
      </c>
      <c r="H185" s="79" t="str">
        <f>IFERROR(_xlfn.XLOOKUP(Table6[[#This Row],[Affected Feeder ]],'Basic Data'!$A:$A,'Basic Data'!$B:$B),"")</f>
        <v>PWEPL</v>
      </c>
      <c r="I185" s="79" t="str">
        <f>IFERROR(_xlfn.XLOOKUP(Table6[[#This Row],[Affected Feeder ]],'Basic Data'!$A:$A,'Basic Data'!$C:$C),"")</f>
        <v>MSEDCL</v>
      </c>
      <c r="J185" s="295">
        <f>IFERROR(_xlfn.XLOOKUP(Table6[[#This Row],[Affected Feeder ]],'Basic Data'!$A:$A,'Basic Data'!$E:$E),"")</f>
        <v>2.2727272727272728E-2</v>
      </c>
      <c r="K185" s="296" t="s">
        <v>171</v>
      </c>
      <c r="L185" s="297">
        <v>0.80625000000000002</v>
      </c>
      <c r="M185" s="297">
        <v>0.80625000000000002</v>
      </c>
      <c r="N185" s="297">
        <v>0.82013888888888886</v>
      </c>
      <c r="O185" s="19">
        <f>(Table6[[#This Row],[Work Start TimeStamp]]-Table6[[#This Row],[Fault Start TimeStamp]])*24</f>
        <v>0</v>
      </c>
      <c r="P185" s="19">
        <f>(Table6[[#This Row],[Fault Clearance time]]-Table6[[#This Row],[Fault Start TimeStamp]])*24</f>
        <v>0.33333333333333215</v>
      </c>
      <c r="Q185" s="19">
        <f>(Table6[[#This Row],[Fault Clearance time]]-Table6[[#This Row],[Fault Start TimeStamp]])*24</f>
        <v>0.33333333333333215</v>
      </c>
      <c r="R185" s="79" t="s">
        <v>353</v>
      </c>
      <c r="S185" s="79" t="s">
        <v>339</v>
      </c>
      <c r="T185" s="298">
        <f>IFERROR(Table6[[#This Row],[Breakdown Time]]*Table6[[#This Row],[Plant Equivalent Weightage]],"")</f>
        <v>7.5757575757575491E-3</v>
      </c>
      <c r="U185" s="79" t="s">
        <v>416</v>
      </c>
      <c r="W185" s="79">
        <v>4</v>
      </c>
    </row>
    <row r="186" spans="1:23">
      <c r="A186" s="79">
        <f t="shared" si="2"/>
        <v>185</v>
      </c>
      <c r="B186" s="79">
        <f>YEAR(Table6[[#This Row],[Date]])+IF(MONTH(Table6[[#This Row],[Date]])&gt;=4,1,0)</f>
        <v>2026</v>
      </c>
      <c r="C186" s="79">
        <f>YEAR(Table6[[#This Row],[Date]])</f>
        <v>2025</v>
      </c>
      <c r="D186" s="79" t="s">
        <v>344</v>
      </c>
      <c r="E186" s="284">
        <f>Table6[[#This Row],[Date]]-DAY(Table6[[#This Row],[Date]])+1</f>
        <v>45748</v>
      </c>
      <c r="F186" s="285">
        <v>45753</v>
      </c>
      <c r="G186" s="79" t="s">
        <v>119</v>
      </c>
      <c r="H186" s="79" t="str">
        <f>IFERROR(_xlfn.XLOOKUP(Table6[[#This Row],[Affected Feeder ]],'Basic Data'!$A:$A,'Basic Data'!$B:$B),"")</f>
        <v>PWEPL</v>
      </c>
      <c r="I186" s="79" t="str">
        <f>IFERROR(_xlfn.XLOOKUP(Table6[[#This Row],[Affected Feeder ]],'Basic Data'!$A:$A,'Basic Data'!$C:$C),"")</f>
        <v>MSEDCL</v>
      </c>
      <c r="J186" s="295">
        <f>IFERROR(_xlfn.XLOOKUP(Table6[[#This Row],[Affected Feeder ]],'Basic Data'!$A:$A,'Basic Data'!$E:$E),"")</f>
        <v>2.2727272727272728E-2</v>
      </c>
      <c r="K186" s="296" t="s">
        <v>414</v>
      </c>
      <c r="L186" s="297">
        <v>0.38958333333333334</v>
      </c>
      <c r="M186" s="297">
        <v>0.38958333333333334</v>
      </c>
      <c r="N186" s="297">
        <v>0.41180555555555554</v>
      </c>
      <c r="O186" s="19">
        <f>(Table6[[#This Row],[Work Start TimeStamp]]-Table6[[#This Row],[Fault Start TimeStamp]])*24</f>
        <v>0</v>
      </c>
      <c r="P186" s="19">
        <f>(Table6[[#This Row],[Fault Clearance time]]-Table6[[#This Row],[Fault Start TimeStamp]])*24</f>
        <v>0.53333333333333277</v>
      </c>
      <c r="Q186" s="19">
        <f>(Table6[[#This Row],[Fault Clearance time]]-Table6[[#This Row],[Fault Start TimeStamp]])*24</f>
        <v>0.53333333333333277</v>
      </c>
      <c r="R186" s="79" t="s">
        <v>438</v>
      </c>
      <c r="S186" s="79" t="s">
        <v>339</v>
      </c>
      <c r="T186" s="298">
        <f>IFERROR(Table6[[#This Row],[Breakdown Time]]*Table6[[#This Row],[Plant Equivalent Weightage]],"")</f>
        <v>1.2121212121212109E-2</v>
      </c>
      <c r="U186" s="79" t="s">
        <v>416</v>
      </c>
      <c r="W186" s="79">
        <v>47</v>
      </c>
    </row>
    <row r="187" spans="1:23">
      <c r="A187" s="79">
        <f t="shared" si="2"/>
        <v>186</v>
      </c>
      <c r="B187" s="79">
        <f>YEAR(Table6[[#This Row],[Date]])+IF(MONTH(Table6[[#This Row],[Date]])&gt;=4,1,0)</f>
        <v>2026</v>
      </c>
      <c r="C187" s="79">
        <f>YEAR(Table6[[#This Row],[Date]])</f>
        <v>2025</v>
      </c>
      <c r="D187" s="79" t="s">
        <v>344</v>
      </c>
      <c r="E187" s="284">
        <f>Table6[[#This Row],[Date]]-DAY(Table6[[#This Row],[Date]])+1</f>
        <v>45748</v>
      </c>
      <c r="F187" s="285">
        <v>45753</v>
      </c>
      <c r="G187" s="79" t="s">
        <v>119</v>
      </c>
      <c r="H187" s="79" t="str">
        <f>IFERROR(_xlfn.XLOOKUP(Table6[[#This Row],[Affected Feeder ]],'Basic Data'!$A:$A,'Basic Data'!$B:$B),"")</f>
        <v>PWEPL</v>
      </c>
      <c r="I187" s="79" t="str">
        <f>IFERROR(_xlfn.XLOOKUP(Table6[[#This Row],[Affected Feeder ]],'Basic Data'!$A:$A,'Basic Data'!$C:$C),"")</f>
        <v>MSEDCL</v>
      </c>
      <c r="J187" s="295">
        <f>IFERROR(_xlfn.XLOOKUP(Table6[[#This Row],[Affected Feeder ]],'Basic Data'!$A:$A,'Basic Data'!$E:$E),"")</f>
        <v>2.2727272727272728E-2</v>
      </c>
      <c r="K187" s="296" t="s">
        <v>171</v>
      </c>
      <c r="L187" s="297">
        <v>0.41180555555555554</v>
      </c>
      <c r="M187" s="297">
        <v>0.41180555555555554</v>
      </c>
      <c r="N187" s="297">
        <v>0.42569444444444443</v>
      </c>
      <c r="O187" s="19">
        <f>(Table6[[#This Row],[Work Start TimeStamp]]-Table6[[#This Row],[Fault Start TimeStamp]])*24</f>
        <v>0</v>
      </c>
      <c r="P187" s="19">
        <f>(Table6[[#This Row],[Fault Clearance time]]-Table6[[#This Row],[Fault Start TimeStamp]])*24</f>
        <v>0.33333333333333348</v>
      </c>
      <c r="Q187" s="19">
        <f>(Table6[[#This Row],[Fault Clearance time]]-Table6[[#This Row],[Fault Start TimeStamp]])*24</f>
        <v>0.33333333333333348</v>
      </c>
      <c r="R187" s="79" t="s">
        <v>353</v>
      </c>
      <c r="S187" s="79" t="s">
        <v>339</v>
      </c>
      <c r="T187" s="298">
        <f>IFERROR(Table6[[#This Row],[Breakdown Time]]*Table6[[#This Row],[Plant Equivalent Weightage]],"")</f>
        <v>7.5757575757575794E-3</v>
      </c>
      <c r="U187" s="79" t="s">
        <v>421</v>
      </c>
      <c r="W187" s="79">
        <v>29</v>
      </c>
    </row>
    <row r="188" spans="1:23">
      <c r="A188" s="79">
        <f t="shared" si="2"/>
        <v>187</v>
      </c>
      <c r="B188" s="79">
        <f>YEAR(Table6[[#This Row],[Date]])+IF(MONTH(Table6[[#This Row],[Date]])&gt;=4,1,0)</f>
        <v>2026</v>
      </c>
      <c r="C188" s="79">
        <f>YEAR(Table6[[#This Row],[Date]])</f>
        <v>2025</v>
      </c>
      <c r="D188" s="79" t="s">
        <v>344</v>
      </c>
      <c r="E188" s="284">
        <f>Table6[[#This Row],[Date]]-DAY(Table6[[#This Row],[Date]])+1</f>
        <v>45748</v>
      </c>
      <c r="F188" s="285">
        <v>45753</v>
      </c>
      <c r="G188" s="79" t="s">
        <v>406</v>
      </c>
      <c r="H188" s="79" t="str">
        <f>IFERROR(_xlfn.XLOOKUP(Table6[[#This Row],[Affected Feeder ]],'Basic Data'!$A:$A,'Basic Data'!$B:$B),"")</f>
        <v>PWEPL</v>
      </c>
      <c r="I188" s="79" t="str">
        <f>IFERROR(_xlfn.XLOOKUP(Table6[[#This Row],[Affected Feeder ]],'Basic Data'!$A:$A,'Basic Data'!$C:$C),"")</f>
        <v>MSEDCL</v>
      </c>
      <c r="J188" s="295">
        <f>IFERROR(_xlfn.XLOOKUP(Table6[[#This Row],[Affected Feeder ]],'Basic Data'!$A:$A,'Basic Data'!$E:$E),"")</f>
        <v>0.29545454545454541</v>
      </c>
      <c r="K188" s="296" t="s">
        <v>419</v>
      </c>
      <c r="L188" s="297">
        <v>0.54027777777777775</v>
      </c>
      <c r="M188" s="297">
        <v>0.54027777777777775</v>
      </c>
      <c r="N188" s="297">
        <v>0.56597222222222221</v>
      </c>
      <c r="O188" s="19">
        <f>(Table6[[#This Row],[Work Start TimeStamp]]-Table6[[#This Row],[Fault Start TimeStamp]])*24</f>
        <v>0</v>
      </c>
      <c r="P188" s="19">
        <f>(Table6[[#This Row],[Fault Clearance time]]-Table6[[#This Row],[Fault Start TimeStamp]])*24</f>
        <v>0.61666666666666714</v>
      </c>
      <c r="Q188" s="19">
        <f>(Table6[[#This Row],[Fault Clearance time]]-Table6[[#This Row],[Fault Start TimeStamp]])*24</f>
        <v>0.61666666666666714</v>
      </c>
      <c r="R188" s="79" t="s">
        <v>420</v>
      </c>
      <c r="S188" s="79" t="s">
        <v>339</v>
      </c>
      <c r="T188" s="298">
        <f>IFERROR(Table6[[#This Row],[Breakdown Time]]*Table6[[#This Row],[Plant Equivalent Weightage]],"")</f>
        <v>0.1821969696969698</v>
      </c>
      <c r="U188" s="79" t="s">
        <v>421</v>
      </c>
      <c r="W188" s="79">
        <v>702</v>
      </c>
    </row>
    <row r="189" spans="1:23">
      <c r="A189" s="79">
        <f t="shared" si="2"/>
        <v>188</v>
      </c>
      <c r="B189" s="79">
        <f>YEAR(Table6[[#This Row],[Date]])+IF(MONTH(Table6[[#This Row],[Date]])&gt;=4,1,0)</f>
        <v>2026</v>
      </c>
      <c r="C189" s="79">
        <f>YEAR(Table6[[#This Row],[Date]])</f>
        <v>2025</v>
      </c>
      <c r="D189" s="79" t="s">
        <v>344</v>
      </c>
      <c r="E189" s="284">
        <f>Table6[[#This Row],[Date]]-DAY(Table6[[#This Row],[Date]])+1</f>
        <v>45748</v>
      </c>
      <c r="F189" s="285">
        <v>45753</v>
      </c>
      <c r="G189" s="79" t="s">
        <v>76</v>
      </c>
      <c r="H189" s="79" t="str">
        <f>IFERROR(_xlfn.XLOOKUP(Table6[[#This Row],[Affected Feeder ]],'Basic Data'!$A:$A,'Basic Data'!$B:$B),"")</f>
        <v>PWEPL</v>
      </c>
      <c r="I189" s="79" t="str">
        <f>IFERROR(_xlfn.XLOOKUP(Table6[[#This Row],[Affected Feeder ]],'Basic Data'!$A:$A,'Basic Data'!$C:$C),"")</f>
        <v>MSEDCL</v>
      </c>
      <c r="J189" s="295">
        <f>IFERROR(_xlfn.XLOOKUP(Table6[[#This Row],[Affected Feeder ]],'Basic Data'!$A:$A,'Basic Data'!$E:$E),"")</f>
        <v>2.2727272727272728E-2</v>
      </c>
      <c r="K189" s="296" t="s">
        <v>171</v>
      </c>
      <c r="L189" s="297">
        <v>0.56597222222222221</v>
      </c>
      <c r="M189" s="297">
        <v>0.56597222222222221</v>
      </c>
      <c r="N189" s="297">
        <v>0.57986111111111105</v>
      </c>
      <c r="O189" s="19">
        <f>(Table6[[#This Row],[Work Start TimeStamp]]-Table6[[#This Row],[Fault Start TimeStamp]])*24</f>
        <v>0</v>
      </c>
      <c r="P189" s="19">
        <f>(Table6[[#This Row],[Fault Clearance time]]-Table6[[#This Row],[Fault Start TimeStamp]])*24</f>
        <v>0.33333333333333215</v>
      </c>
      <c r="Q189" s="19">
        <f>(Table6[[#This Row],[Fault Clearance time]]-Table6[[#This Row],[Fault Start TimeStamp]])*24</f>
        <v>0.33333333333333215</v>
      </c>
      <c r="R189" s="79" t="s">
        <v>353</v>
      </c>
      <c r="S189" s="79" t="s">
        <v>339</v>
      </c>
      <c r="T189" s="298">
        <f>IFERROR(Table6[[#This Row],[Breakdown Time]]*Table6[[#This Row],[Plant Equivalent Weightage]],"")</f>
        <v>7.5757575757575491E-3</v>
      </c>
      <c r="U189" s="79" t="s">
        <v>421</v>
      </c>
      <c r="W189" s="79">
        <v>27</v>
      </c>
    </row>
    <row r="190" spans="1:23">
      <c r="A190" s="79">
        <f t="shared" si="2"/>
        <v>189</v>
      </c>
      <c r="B190" s="79">
        <f>YEAR(Table6[[#This Row],[Date]])+IF(MONTH(Table6[[#This Row],[Date]])&gt;=4,1,0)</f>
        <v>2026</v>
      </c>
      <c r="C190" s="79">
        <f>YEAR(Table6[[#This Row],[Date]])</f>
        <v>2025</v>
      </c>
      <c r="D190" s="79" t="s">
        <v>344</v>
      </c>
      <c r="E190" s="284">
        <f>Table6[[#This Row],[Date]]-DAY(Table6[[#This Row],[Date]])+1</f>
        <v>45748</v>
      </c>
      <c r="F190" s="285">
        <v>45753</v>
      </c>
      <c r="G190" s="79" t="s">
        <v>77</v>
      </c>
      <c r="H190" s="79" t="str">
        <f>IFERROR(_xlfn.XLOOKUP(Table6[[#This Row],[Affected Feeder ]],'Basic Data'!$A:$A,'Basic Data'!$B:$B),"")</f>
        <v>PWEPL</v>
      </c>
      <c r="I190" s="79" t="str">
        <f>IFERROR(_xlfn.XLOOKUP(Table6[[#This Row],[Affected Feeder ]],'Basic Data'!$A:$A,'Basic Data'!$C:$C),"")</f>
        <v>MSEDCL</v>
      </c>
      <c r="J190" s="295">
        <f>IFERROR(_xlfn.XLOOKUP(Table6[[#This Row],[Affected Feeder ]],'Basic Data'!$A:$A,'Basic Data'!$E:$E),"")</f>
        <v>2.2727272727272728E-2</v>
      </c>
      <c r="K190" s="296" t="s">
        <v>171</v>
      </c>
      <c r="L190" s="297">
        <v>0.56597222222222221</v>
      </c>
      <c r="M190" s="297">
        <v>0.56597222222222221</v>
      </c>
      <c r="N190" s="297">
        <v>0.57986111111111105</v>
      </c>
      <c r="O190" s="19">
        <f>(Table6[[#This Row],[Work Start TimeStamp]]-Table6[[#This Row],[Fault Start TimeStamp]])*24</f>
        <v>0</v>
      </c>
      <c r="P190" s="19">
        <f>(Table6[[#This Row],[Fault Clearance time]]-Table6[[#This Row],[Fault Start TimeStamp]])*24</f>
        <v>0.33333333333333215</v>
      </c>
      <c r="Q190" s="19">
        <f>(Table6[[#This Row],[Fault Clearance time]]-Table6[[#This Row],[Fault Start TimeStamp]])*24</f>
        <v>0.33333333333333215</v>
      </c>
      <c r="R190" s="79" t="s">
        <v>353</v>
      </c>
      <c r="S190" s="79" t="s">
        <v>339</v>
      </c>
      <c r="T190" s="298">
        <f>IFERROR(Table6[[#This Row],[Breakdown Time]]*Table6[[#This Row],[Plant Equivalent Weightage]],"")</f>
        <v>7.5757575757575491E-3</v>
      </c>
      <c r="U190" s="79" t="s">
        <v>421</v>
      </c>
      <c r="W190" s="79">
        <v>27</v>
      </c>
    </row>
    <row r="191" spans="1:23">
      <c r="A191" s="79">
        <f t="shared" si="2"/>
        <v>190</v>
      </c>
      <c r="B191" s="79">
        <f>YEAR(Table6[[#This Row],[Date]])+IF(MONTH(Table6[[#This Row],[Date]])&gt;=4,1,0)</f>
        <v>2026</v>
      </c>
      <c r="C191" s="79">
        <f>YEAR(Table6[[#This Row],[Date]])</f>
        <v>2025</v>
      </c>
      <c r="D191" s="79" t="s">
        <v>344</v>
      </c>
      <c r="E191" s="284">
        <f>Table6[[#This Row],[Date]]-DAY(Table6[[#This Row],[Date]])+1</f>
        <v>45748</v>
      </c>
      <c r="F191" s="285">
        <v>45753</v>
      </c>
      <c r="G191" s="79" t="s">
        <v>78</v>
      </c>
      <c r="H191" s="79" t="str">
        <f>IFERROR(_xlfn.XLOOKUP(Table6[[#This Row],[Affected Feeder ]],'Basic Data'!$A:$A,'Basic Data'!$B:$B),"")</f>
        <v>PWEPL</v>
      </c>
      <c r="I191" s="79" t="str">
        <f>IFERROR(_xlfn.XLOOKUP(Table6[[#This Row],[Affected Feeder ]],'Basic Data'!$A:$A,'Basic Data'!$C:$C),"")</f>
        <v>MSEDCL</v>
      </c>
      <c r="J191" s="295">
        <f>IFERROR(_xlfn.XLOOKUP(Table6[[#This Row],[Affected Feeder ]],'Basic Data'!$A:$A,'Basic Data'!$E:$E),"")</f>
        <v>2.2727272727272728E-2</v>
      </c>
      <c r="K191" s="296" t="s">
        <v>171</v>
      </c>
      <c r="L191" s="297">
        <v>0.56597222222222221</v>
      </c>
      <c r="M191" s="297">
        <v>0.56597222222222221</v>
      </c>
      <c r="N191" s="297">
        <v>0.57986111111111105</v>
      </c>
      <c r="O191" s="19">
        <f>(Table6[[#This Row],[Work Start TimeStamp]]-Table6[[#This Row],[Fault Start TimeStamp]])*24</f>
        <v>0</v>
      </c>
      <c r="P191" s="19">
        <f>(Table6[[#This Row],[Fault Clearance time]]-Table6[[#This Row],[Fault Start TimeStamp]])*24</f>
        <v>0.33333333333333215</v>
      </c>
      <c r="Q191" s="19">
        <f>(Table6[[#This Row],[Fault Clearance time]]-Table6[[#This Row],[Fault Start TimeStamp]])*24</f>
        <v>0.33333333333333215</v>
      </c>
      <c r="R191" s="79" t="s">
        <v>353</v>
      </c>
      <c r="S191" s="79" t="s">
        <v>339</v>
      </c>
      <c r="T191" s="298">
        <f>IFERROR(Table6[[#This Row],[Breakdown Time]]*Table6[[#This Row],[Plant Equivalent Weightage]],"")</f>
        <v>7.5757575757575491E-3</v>
      </c>
      <c r="U191" s="79" t="s">
        <v>421</v>
      </c>
      <c r="W191" s="79">
        <v>27</v>
      </c>
    </row>
    <row r="192" spans="1:23">
      <c r="A192" s="79">
        <f t="shared" si="2"/>
        <v>191</v>
      </c>
      <c r="B192" s="79">
        <f>YEAR(Table6[[#This Row],[Date]])+IF(MONTH(Table6[[#This Row],[Date]])&gt;=4,1,0)</f>
        <v>2026</v>
      </c>
      <c r="C192" s="79">
        <f>YEAR(Table6[[#This Row],[Date]])</f>
        <v>2025</v>
      </c>
      <c r="D192" s="79" t="s">
        <v>344</v>
      </c>
      <c r="E192" s="284">
        <f>Table6[[#This Row],[Date]]-DAY(Table6[[#This Row],[Date]])+1</f>
        <v>45748</v>
      </c>
      <c r="F192" s="285">
        <v>45753</v>
      </c>
      <c r="G192" s="79" t="s">
        <v>82</v>
      </c>
      <c r="H192" s="79" t="str">
        <f>IFERROR(_xlfn.XLOOKUP(Table6[[#This Row],[Affected Feeder ]],'Basic Data'!$A:$A,'Basic Data'!$B:$B),"")</f>
        <v>PWEPL</v>
      </c>
      <c r="I192" s="79" t="str">
        <f>IFERROR(_xlfn.XLOOKUP(Table6[[#This Row],[Affected Feeder ]],'Basic Data'!$A:$A,'Basic Data'!$C:$C),"")</f>
        <v>MSEDCL</v>
      </c>
      <c r="J192" s="295">
        <f>IFERROR(_xlfn.XLOOKUP(Table6[[#This Row],[Affected Feeder ]],'Basic Data'!$A:$A,'Basic Data'!$E:$E),"")</f>
        <v>2.2727272727272728E-2</v>
      </c>
      <c r="K192" s="296" t="s">
        <v>171</v>
      </c>
      <c r="L192" s="297">
        <v>0.56597222222222221</v>
      </c>
      <c r="M192" s="297">
        <v>0.56597222222222221</v>
      </c>
      <c r="N192" s="297">
        <v>0.57986111111111105</v>
      </c>
      <c r="O192" s="19">
        <f>(Table6[[#This Row],[Work Start TimeStamp]]-Table6[[#This Row],[Fault Start TimeStamp]])*24</f>
        <v>0</v>
      </c>
      <c r="P192" s="19">
        <f>(Table6[[#This Row],[Fault Clearance time]]-Table6[[#This Row],[Fault Start TimeStamp]])*24</f>
        <v>0.33333333333333215</v>
      </c>
      <c r="Q192" s="19">
        <f>(Table6[[#This Row],[Fault Clearance time]]-Table6[[#This Row],[Fault Start TimeStamp]])*24</f>
        <v>0.33333333333333215</v>
      </c>
      <c r="R192" s="79" t="s">
        <v>353</v>
      </c>
      <c r="S192" s="79" t="s">
        <v>339</v>
      </c>
      <c r="T192" s="298">
        <f>IFERROR(Table6[[#This Row],[Breakdown Time]]*Table6[[#This Row],[Plant Equivalent Weightage]],"")</f>
        <v>7.5757575757575491E-3</v>
      </c>
      <c r="U192" s="79" t="s">
        <v>421</v>
      </c>
      <c r="W192" s="79">
        <v>27</v>
      </c>
    </row>
    <row r="193" spans="1:23">
      <c r="A193" s="79">
        <f t="shared" si="2"/>
        <v>192</v>
      </c>
      <c r="B193" s="79">
        <f>YEAR(Table6[[#This Row],[Date]])+IF(MONTH(Table6[[#This Row],[Date]])&gt;=4,1,0)</f>
        <v>2026</v>
      </c>
      <c r="C193" s="79">
        <f>YEAR(Table6[[#This Row],[Date]])</f>
        <v>2025</v>
      </c>
      <c r="D193" s="79" t="s">
        <v>344</v>
      </c>
      <c r="E193" s="284">
        <f>Table6[[#This Row],[Date]]-DAY(Table6[[#This Row],[Date]])+1</f>
        <v>45748</v>
      </c>
      <c r="F193" s="285">
        <v>45753</v>
      </c>
      <c r="G193" s="79" t="s">
        <v>93</v>
      </c>
      <c r="H193" s="79" t="str">
        <f>IFERROR(_xlfn.XLOOKUP(Table6[[#This Row],[Affected Feeder ]],'Basic Data'!$A:$A,'Basic Data'!$B:$B),"")</f>
        <v>PWEPL</v>
      </c>
      <c r="I193" s="79" t="str">
        <f>IFERROR(_xlfn.XLOOKUP(Table6[[#This Row],[Affected Feeder ]],'Basic Data'!$A:$A,'Basic Data'!$C:$C),"")</f>
        <v>MSEDCL</v>
      </c>
      <c r="J193" s="295">
        <f>IFERROR(_xlfn.XLOOKUP(Table6[[#This Row],[Affected Feeder ]],'Basic Data'!$A:$A,'Basic Data'!$E:$E),"")</f>
        <v>2.2727272727272728E-2</v>
      </c>
      <c r="K193" s="296" t="s">
        <v>171</v>
      </c>
      <c r="L193" s="297">
        <v>0.56597222222222221</v>
      </c>
      <c r="M193" s="297">
        <v>0.56597222222222221</v>
      </c>
      <c r="N193" s="297">
        <v>0.57986111111111105</v>
      </c>
      <c r="O193" s="19">
        <f>(Table6[[#This Row],[Work Start TimeStamp]]-Table6[[#This Row],[Fault Start TimeStamp]])*24</f>
        <v>0</v>
      </c>
      <c r="P193" s="19">
        <f>(Table6[[#This Row],[Fault Clearance time]]-Table6[[#This Row],[Fault Start TimeStamp]])*24</f>
        <v>0.33333333333333215</v>
      </c>
      <c r="Q193" s="19">
        <f>(Table6[[#This Row],[Fault Clearance time]]-Table6[[#This Row],[Fault Start TimeStamp]])*24</f>
        <v>0.33333333333333215</v>
      </c>
      <c r="R193" s="79" t="s">
        <v>353</v>
      </c>
      <c r="S193" s="79" t="s">
        <v>339</v>
      </c>
      <c r="T193" s="298">
        <f>IFERROR(Table6[[#This Row],[Breakdown Time]]*Table6[[#This Row],[Plant Equivalent Weightage]],"")</f>
        <v>7.5757575757575491E-3</v>
      </c>
      <c r="U193" s="79" t="s">
        <v>421</v>
      </c>
      <c r="W193" s="79">
        <v>27</v>
      </c>
    </row>
    <row r="194" spans="1:23">
      <c r="A194" s="79">
        <f t="shared" si="2"/>
        <v>193</v>
      </c>
      <c r="B194" s="79">
        <f>YEAR(Table6[[#This Row],[Date]])+IF(MONTH(Table6[[#This Row],[Date]])&gt;=4,1,0)</f>
        <v>2026</v>
      </c>
      <c r="C194" s="79">
        <f>YEAR(Table6[[#This Row],[Date]])</f>
        <v>2025</v>
      </c>
      <c r="D194" s="79" t="s">
        <v>344</v>
      </c>
      <c r="E194" s="284">
        <f>Table6[[#This Row],[Date]]-DAY(Table6[[#This Row],[Date]])+1</f>
        <v>45748</v>
      </c>
      <c r="F194" s="285">
        <v>45753</v>
      </c>
      <c r="G194" s="79" t="s">
        <v>119</v>
      </c>
      <c r="H194" s="79" t="str">
        <f>IFERROR(_xlfn.XLOOKUP(Table6[[#This Row],[Affected Feeder ]],'Basic Data'!$A:$A,'Basic Data'!$B:$B),"")</f>
        <v>PWEPL</v>
      </c>
      <c r="I194" s="79" t="str">
        <f>IFERROR(_xlfn.XLOOKUP(Table6[[#This Row],[Affected Feeder ]],'Basic Data'!$A:$A,'Basic Data'!$C:$C),"")</f>
        <v>MSEDCL</v>
      </c>
      <c r="J194" s="295">
        <f>IFERROR(_xlfn.XLOOKUP(Table6[[#This Row],[Affected Feeder ]],'Basic Data'!$A:$A,'Basic Data'!$E:$E),"")</f>
        <v>2.2727272727272728E-2</v>
      </c>
      <c r="K194" s="296" t="s">
        <v>171</v>
      </c>
      <c r="L194" s="297">
        <v>0.56597222222222221</v>
      </c>
      <c r="M194" s="297">
        <v>0.56597222222222221</v>
      </c>
      <c r="N194" s="297">
        <v>0.57986111111111105</v>
      </c>
      <c r="O194" s="19">
        <f>(Table6[[#This Row],[Work Start TimeStamp]]-Table6[[#This Row],[Fault Start TimeStamp]])*24</f>
        <v>0</v>
      </c>
      <c r="P194" s="19">
        <f>(Table6[[#This Row],[Fault Clearance time]]-Table6[[#This Row],[Fault Start TimeStamp]])*24</f>
        <v>0.33333333333333215</v>
      </c>
      <c r="Q194" s="19">
        <f>(Table6[[#This Row],[Fault Clearance time]]-Table6[[#This Row],[Fault Start TimeStamp]])*24</f>
        <v>0.33333333333333215</v>
      </c>
      <c r="R194" s="79" t="s">
        <v>353</v>
      </c>
      <c r="S194" s="79" t="s">
        <v>339</v>
      </c>
      <c r="T194" s="298">
        <f>IFERROR(Table6[[#This Row],[Breakdown Time]]*Table6[[#This Row],[Plant Equivalent Weightage]],"")</f>
        <v>7.5757575757575491E-3</v>
      </c>
      <c r="U194" s="79" t="s">
        <v>421</v>
      </c>
      <c r="W194" s="79">
        <v>27</v>
      </c>
    </row>
    <row r="195" spans="1:23">
      <c r="A195" s="79">
        <f t="shared" si="2"/>
        <v>194</v>
      </c>
      <c r="B195" s="79">
        <f>YEAR(Table6[[#This Row],[Date]])+IF(MONTH(Table6[[#This Row],[Date]])&gt;=4,1,0)</f>
        <v>2026</v>
      </c>
      <c r="C195" s="79">
        <f>YEAR(Table6[[#This Row],[Date]])</f>
        <v>2025</v>
      </c>
      <c r="D195" s="79" t="s">
        <v>344</v>
      </c>
      <c r="E195" s="284">
        <f>Table6[[#This Row],[Date]]-DAY(Table6[[#This Row],[Date]])+1</f>
        <v>45748</v>
      </c>
      <c r="F195" s="285">
        <v>45753</v>
      </c>
      <c r="G195" s="79" t="s">
        <v>103</v>
      </c>
      <c r="H195" s="79" t="str">
        <f>IFERROR(_xlfn.XLOOKUP(Table6[[#This Row],[Affected Feeder ]],'Basic Data'!$A:$A,'Basic Data'!$B:$B),"")</f>
        <v>PWEPL</v>
      </c>
      <c r="I195" s="79" t="str">
        <f>IFERROR(_xlfn.XLOOKUP(Table6[[#This Row],[Affected Feeder ]],'Basic Data'!$A:$A,'Basic Data'!$C:$C),"")</f>
        <v>MSEDCL</v>
      </c>
      <c r="J195" s="295">
        <f>IFERROR(_xlfn.XLOOKUP(Table6[[#This Row],[Affected Feeder ]],'Basic Data'!$A:$A,'Basic Data'!$E:$E),"")</f>
        <v>2.2727272727272728E-2</v>
      </c>
      <c r="K195" s="296" t="s">
        <v>171</v>
      </c>
      <c r="L195" s="297">
        <v>0.56597222222222221</v>
      </c>
      <c r="M195" s="297">
        <v>0.56597222222222221</v>
      </c>
      <c r="N195" s="297">
        <v>0.57986111111111105</v>
      </c>
      <c r="O195" s="19">
        <f>(Table6[[#This Row],[Work Start TimeStamp]]-Table6[[#This Row],[Fault Start TimeStamp]])*24</f>
        <v>0</v>
      </c>
      <c r="P195" s="19">
        <f>(Table6[[#This Row],[Fault Clearance time]]-Table6[[#This Row],[Fault Start TimeStamp]])*24</f>
        <v>0.33333333333333215</v>
      </c>
      <c r="Q195" s="19">
        <f>(Table6[[#This Row],[Fault Clearance time]]-Table6[[#This Row],[Fault Start TimeStamp]])*24</f>
        <v>0.33333333333333215</v>
      </c>
      <c r="R195" s="79" t="s">
        <v>353</v>
      </c>
      <c r="S195" s="79" t="s">
        <v>339</v>
      </c>
      <c r="T195" s="298">
        <f>IFERROR(Table6[[#This Row],[Breakdown Time]]*Table6[[#This Row],[Plant Equivalent Weightage]],"")</f>
        <v>7.5757575757575491E-3</v>
      </c>
      <c r="U195" s="79" t="s">
        <v>421</v>
      </c>
      <c r="W195" s="79">
        <v>27</v>
      </c>
    </row>
    <row r="196" spans="1:23">
      <c r="A196" s="79">
        <f t="shared" ref="A196:A259" si="3">A195+1</f>
        <v>195</v>
      </c>
      <c r="B196" s="79">
        <f>YEAR(Table6[[#This Row],[Date]])+IF(MONTH(Table6[[#This Row],[Date]])&gt;=4,1,0)</f>
        <v>2026</v>
      </c>
      <c r="C196" s="79">
        <f>YEAR(Table6[[#This Row],[Date]])</f>
        <v>2025</v>
      </c>
      <c r="D196" s="79" t="s">
        <v>344</v>
      </c>
      <c r="E196" s="284">
        <f>Table6[[#This Row],[Date]]-DAY(Table6[[#This Row],[Date]])+1</f>
        <v>45748</v>
      </c>
      <c r="F196" s="285">
        <v>45753</v>
      </c>
      <c r="G196" s="79" t="s">
        <v>105</v>
      </c>
      <c r="H196" s="79" t="str">
        <f>IFERROR(_xlfn.XLOOKUP(Table6[[#This Row],[Affected Feeder ]],'Basic Data'!$A:$A,'Basic Data'!$B:$B),"")</f>
        <v>PWEPL</v>
      </c>
      <c r="I196" s="79" t="str">
        <f>IFERROR(_xlfn.XLOOKUP(Table6[[#This Row],[Affected Feeder ]],'Basic Data'!$A:$A,'Basic Data'!$C:$C),"")</f>
        <v>MSEDCL</v>
      </c>
      <c r="J196" s="295">
        <f>IFERROR(_xlfn.XLOOKUP(Table6[[#This Row],[Affected Feeder ]],'Basic Data'!$A:$A,'Basic Data'!$E:$E),"")</f>
        <v>2.2727272727272728E-2</v>
      </c>
      <c r="K196" s="296" t="s">
        <v>171</v>
      </c>
      <c r="L196" s="297">
        <v>0.56597222222222221</v>
      </c>
      <c r="M196" s="297">
        <v>0.56597222222222221</v>
      </c>
      <c r="N196" s="297">
        <v>0.57986111111111105</v>
      </c>
      <c r="O196" s="19">
        <f>(Table6[[#This Row],[Work Start TimeStamp]]-Table6[[#This Row],[Fault Start TimeStamp]])*24</f>
        <v>0</v>
      </c>
      <c r="P196" s="19">
        <f>(Table6[[#This Row],[Fault Clearance time]]-Table6[[#This Row],[Fault Start TimeStamp]])*24</f>
        <v>0.33333333333333215</v>
      </c>
      <c r="Q196" s="19">
        <f>(Table6[[#This Row],[Fault Clearance time]]-Table6[[#This Row],[Fault Start TimeStamp]])*24</f>
        <v>0.33333333333333215</v>
      </c>
      <c r="R196" s="79" t="s">
        <v>353</v>
      </c>
      <c r="S196" s="79" t="s">
        <v>339</v>
      </c>
      <c r="T196" s="298">
        <f>IFERROR(Table6[[#This Row],[Breakdown Time]]*Table6[[#This Row],[Plant Equivalent Weightage]],"")</f>
        <v>7.5757575757575491E-3</v>
      </c>
      <c r="U196" s="79" t="s">
        <v>421</v>
      </c>
      <c r="W196" s="79">
        <v>27</v>
      </c>
    </row>
    <row r="197" spans="1:23">
      <c r="A197" s="79">
        <f t="shared" si="3"/>
        <v>196</v>
      </c>
      <c r="B197" s="79">
        <f>YEAR(Table6[[#This Row],[Date]])+IF(MONTH(Table6[[#This Row],[Date]])&gt;=4,1,0)</f>
        <v>2026</v>
      </c>
      <c r="C197" s="79">
        <f>YEAR(Table6[[#This Row],[Date]])</f>
        <v>2025</v>
      </c>
      <c r="D197" s="79" t="s">
        <v>344</v>
      </c>
      <c r="E197" s="284">
        <f>Table6[[#This Row],[Date]]-DAY(Table6[[#This Row],[Date]])+1</f>
        <v>45748</v>
      </c>
      <c r="F197" s="285">
        <v>45753</v>
      </c>
      <c r="G197" s="79" t="s">
        <v>115</v>
      </c>
      <c r="H197" s="79" t="str">
        <f>IFERROR(_xlfn.XLOOKUP(Table6[[#This Row],[Affected Feeder ]],'Basic Data'!$A:$A,'Basic Data'!$B:$B),"")</f>
        <v>PWEPL</v>
      </c>
      <c r="I197" s="79" t="str">
        <f>IFERROR(_xlfn.XLOOKUP(Table6[[#This Row],[Affected Feeder ]],'Basic Data'!$A:$A,'Basic Data'!$C:$C),"")</f>
        <v>MSEDCL</v>
      </c>
      <c r="J197" s="295">
        <f>IFERROR(_xlfn.XLOOKUP(Table6[[#This Row],[Affected Feeder ]],'Basic Data'!$A:$A,'Basic Data'!$E:$E),"")</f>
        <v>2.2727272727272728E-2</v>
      </c>
      <c r="K197" s="296" t="s">
        <v>171</v>
      </c>
      <c r="L197" s="297">
        <v>0.56597222222222221</v>
      </c>
      <c r="M197" s="297">
        <v>0.56597222222222221</v>
      </c>
      <c r="N197" s="297">
        <v>0.57986111111111105</v>
      </c>
      <c r="O197" s="19">
        <f>(Table6[[#This Row],[Work Start TimeStamp]]-Table6[[#This Row],[Fault Start TimeStamp]])*24</f>
        <v>0</v>
      </c>
      <c r="P197" s="19">
        <f>(Table6[[#This Row],[Fault Clearance time]]-Table6[[#This Row],[Fault Start TimeStamp]])*24</f>
        <v>0.33333333333333215</v>
      </c>
      <c r="Q197" s="19">
        <f>(Table6[[#This Row],[Fault Clearance time]]-Table6[[#This Row],[Fault Start TimeStamp]])*24</f>
        <v>0.33333333333333215</v>
      </c>
      <c r="R197" s="79" t="s">
        <v>353</v>
      </c>
      <c r="S197" s="79" t="s">
        <v>339</v>
      </c>
      <c r="T197" s="298">
        <f>IFERROR(Table6[[#This Row],[Breakdown Time]]*Table6[[#This Row],[Plant Equivalent Weightage]],"")</f>
        <v>7.5757575757575491E-3</v>
      </c>
      <c r="U197" s="79" t="s">
        <v>421</v>
      </c>
      <c r="W197" s="79">
        <v>27</v>
      </c>
    </row>
    <row r="198" spans="1:23">
      <c r="A198" s="79">
        <f t="shared" si="3"/>
        <v>197</v>
      </c>
      <c r="B198" s="79">
        <f>YEAR(Table6[[#This Row],[Date]])+IF(MONTH(Table6[[#This Row],[Date]])&gt;=4,1,0)</f>
        <v>2026</v>
      </c>
      <c r="C198" s="79">
        <f>YEAR(Table6[[#This Row],[Date]])</f>
        <v>2025</v>
      </c>
      <c r="D198" s="79" t="s">
        <v>344</v>
      </c>
      <c r="E198" s="284">
        <f>Table6[[#This Row],[Date]]-DAY(Table6[[#This Row],[Date]])+1</f>
        <v>45748</v>
      </c>
      <c r="F198" s="285">
        <v>45753</v>
      </c>
      <c r="G198" s="79" t="s">
        <v>116</v>
      </c>
      <c r="H198" s="79" t="str">
        <f>IFERROR(_xlfn.XLOOKUP(Table6[[#This Row],[Affected Feeder ]],'Basic Data'!$A:$A,'Basic Data'!$B:$B),"")</f>
        <v>PWEPL</v>
      </c>
      <c r="I198" s="79" t="str">
        <f>IFERROR(_xlfn.XLOOKUP(Table6[[#This Row],[Affected Feeder ]],'Basic Data'!$A:$A,'Basic Data'!$C:$C),"")</f>
        <v>MSEDCL</v>
      </c>
      <c r="J198" s="295">
        <f>IFERROR(_xlfn.XLOOKUP(Table6[[#This Row],[Affected Feeder ]],'Basic Data'!$A:$A,'Basic Data'!$E:$E),"")</f>
        <v>2.2727272727272728E-2</v>
      </c>
      <c r="K198" s="296" t="s">
        <v>171</v>
      </c>
      <c r="L198" s="297">
        <v>0.56597222222222221</v>
      </c>
      <c r="M198" s="297">
        <v>0.56597222222222221</v>
      </c>
      <c r="N198" s="297">
        <v>0.57986111111111105</v>
      </c>
      <c r="O198" s="19">
        <f>(Table6[[#This Row],[Work Start TimeStamp]]-Table6[[#This Row],[Fault Start TimeStamp]])*24</f>
        <v>0</v>
      </c>
      <c r="P198" s="19">
        <f>(Table6[[#This Row],[Fault Clearance time]]-Table6[[#This Row],[Fault Start TimeStamp]])*24</f>
        <v>0.33333333333333215</v>
      </c>
      <c r="Q198" s="19">
        <f>(Table6[[#This Row],[Fault Clearance time]]-Table6[[#This Row],[Fault Start TimeStamp]])*24</f>
        <v>0.33333333333333215</v>
      </c>
      <c r="R198" s="79" t="s">
        <v>353</v>
      </c>
      <c r="S198" s="79" t="s">
        <v>339</v>
      </c>
      <c r="T198" s="298">
        <f>IFERROR(Table6[[#This Row],[Breakdown Time]]*Table6[[#This Row],[Plant Equivalent Weightage]],"")</f>
        <v>7.5757575757575491E-3</v>
      </c>
      <c r="U198" s="79" t="s">
        <v>421</v>
      </c>
      <c r="W198" s="79">
        <v>27</v>
      </c>
    </row>
    <row r="199" spans="1:23">
      <c r="A199" s="79">
        <f t="shared" si="3"/>
        <v>198</v>
      </c>
      <c r="B199" s="79">
        <f>YEAR(Table6[[#This Row],[Date]])+IF(MONTH(Table6[[#This Row],[Date]])&gt;=4,1,0)</f>
        <v>2026</v>
      </c>
      <c r="C199" s="79">
        <f>YEAR(Table6[[#This Row],[Date]])</f>
        <v>2025</v>
      </c>
      <c r="D199" s="79" t="s">
        <v>344</v>
      </c>
      <c r="E199" s="284">
        <f>Table6[[#This Row],[Date]]-DAY(Table6[[#This Row],[Date]])+1</f>
        <v>45748</v>
      </c>
      <c r="F199" s="285">
        <v>45753</v>
      </c>
      <c r="G199" s="79" t="s">
        <v>117</v>
      </c>
      <c r="H199" s="79" t="str">
        <f>IFERROR(_xlfn.XLOOKUP(Table6[[#This Row],[Affected Feeder ]],'Basic Data'!$A:$A,'Basic Data'!$B:$B),"")</f>
        <v>PWEPL</v>
      </c>
      <c r="I199" s="79" t="str">
        <f>IFERROR(_xlfn.XLOOKUP(Table6[[#This Row],[Affected Feeder ]],'Basic Data'!$A:$A,'Basic Data'!$C:$C),"")</f>
        <v>MSEDCL</v>
      </c>
      <c r="J199" s="295">
        <f>IFERROR(_xlfn.XLOOKUP(Table6[[#This Row],[Affected Feeder ]],'Basic Data'!$A:$A,'Basic Data'!$E:$E),"")</f>
        <v>2.2727272727272728E-2</v>
      </c>
      <c r="K199" s="296" t="s">
        <v>171</v>
      </c>
      <c r="L199" s="297">
        <v>0.56597222222222221</v>
      </c>
      <c r="M199" s="297">
        <v>0.56597222222222221</v>
      </c>
      <c r="N199" s="297">
        <v>0.57986111111111105</v>
      </c>
      <c r="O199" s="19">
        <f>(Table6[[#This Row],[Work Start TimeStamp]]-Table6[[#This Row],[Fault Start TimeStamp]])*24</f>
        <v>0</v>
      </c>
      <c r="P199" s="19">
        <f>(Table6[[#This Row],[Fault Clearance time]]-Table6[[#This Row],[Fault Start TimeStamp]])*24</f>
        <v>0.33333333333333215</v>
      </c>
      <c r="Q199" s="19">
        <f>(Table6[[#This Row],[Fault Clearance time]]-Table6[[#This Row],[Fault Start TimeStamp]])*24</f>
        <v>0.33333333333333215</v>
      </c>
      <c r="R199" s="79" t="s">
        <v>353</v>
      </c>
      <c r="S199" s="79" t="s">
        <v>339</v>
      </c>
      <c r="T199" s="298">
        <f>IFERROR(Table6[[#This Row],[Breakdown Time]]*Table6[[#This Row],[Plant Equivalent Weightage]],"")</f>
        <v>7.5757575757575491E-3</v>
      </c>
      <c r="U199" s="79" t="s">
        <v>421</v>
      </c>
      <c r="W199" s="79">
        <v>27</v>
      </c>
    </row>
    <row r="200" spans="1:23">
      <c r="A200" s="79">
        <f t="shared" si="3"/>
        <v>199</v>
      </c>
      <c r="B200" s="79">
        <f>YEAR(Table6[[#This Row],[Date]])+IF(MONTH(Table6[[#This Row],[Date]])&gt;=4,1,0)</f>
        <v>2026</v>
      </c>
      <c r="C200" s="79">
        <f>YEAR(Table6[[#This Row],[Date]])</f>
        <v>2025</v>
      </c>
      <c r="D200" s="79" t="s">
        <v>344</v>
      </c>
      <c r="E200" s="284">
        <f>Table6[[#This Row],[Date]]-DAY(Table6[[#This Row],[Date]])+1</f>
        <v>45748</v>
      </c>
      <c r="F200" s="285">
        <v>45753</v>
      </c>
      <c r="G200" s="79" t="s">
        <v>118</v>
      </c>
      <c r="H200" s="79" t="str">
        <f>IFERROR(_xlfn.XLOOKUP(Table6[[#This Row],[Affected Feeder ]],'Basic Data'!$A:$A,'Basic Data'!$B:$B),"")</f>
        <v>PWEPL</v>
      </c>
      <c r="I200" s="79" t="str">
        <f>IFERROR(_xlfn.XLOOKUP(Table6[[#This Row],[Affected Feeder ]],'Basic Data'!$A:$A,'Basic Data'!$C:$C),"")</f>
        <v>MSEDCL</v>
      </c>
      <c r="J200" s="295">
        <f>IFERROR(_xlfn.XLOOKUP(Table6[[#This Row],[Affected Feeder ]],'Basic Data'!$A:$A,'Basic Data'!$E:$E),"")</f>
        <v>2.2727272727272728E-2</v>
      </c>
      <c r="K200" s="296" t="s">
        <v>171</v>
      </c>
      <c r="L200" s="297">
        <v>0.56597222222222221</v>
      </c>
      <c r="M200" s="297">
        <v>0.56597222222222221</v>
      </c>
      <c r="N200" s="297">
        <v>0.57986111111111105</v>
      </c>
      <c r="O200" s="19">
        <f>(Table6[[#This Row],[Work Start TimeStamp]]-Table6[[#This Row],[Fault Start TimeStamp]])*24</f>
        <v>0</v>
      </c>
      <c r="P200" s="19">
        <f>(Table6[[#This Row],[Fault Clearance time]]-Table6[[#This Row],[Fault Start TimeStamp]])*24</f>
        <v>0.33333333333333215</v>
      </c>
      <c r="Q200" s="19">
        <f>(Table6[[#This Row],[Fault Clearance time]]-Table6[[#This Row],[Fault Start TimeStamp]])*24</f>
        <v>0.33333333333333215</v>
      </c>
      <c r="R200" s="79" t="s">
        <v>353</v>
      </c>
      <c r="S200" s="79" t="s">
        <v>339</v>
      </c>
      <c r="T200" s="298">
        <f>IFERROR(Table6[[#This Row],[Breakdown Time]]*Table6[[#This Row],[Plant Equivalent Weightage]],"")</f>
        <v>7.5757575757575491E-3</v>
      </c>
      <c r="U200" s="79" t="s">
        <v>416</v>
      </c>
      <c r="W200" s="79">
        <v>27</v>
      </c>
    </row>
    <row r="201" spans="1:23">
      <c r="A201" s="79">
        <f t="shared" si="3"/>
        <v>200</v>
      </c>
      <c r="B201" s="79">
        <f>YEAR(Table6[[#This Row],[Date]])+IF(MONTH(Table6[[#This Row],[Date]])&gt;=4,1,0)</f>
        <v>2026</v>
      </c>
      <c r="C201" s="79">
        <f>YEAR(Table6[[#This Row],[Date]])</f>
        <v>2025</v>
      </c>
      <c r="D201" s="79" t="s">
        <v>344</v>
      </c>
      <c r="E201" s="284">
        <f>Table6[[#This Row],[Date]]-DAY(Table6[[#This Row],[Date]])+1</f>
        <v>45748</v>
      </c>
      <c r="F201" s="285">
        <v>45753</v>
      </c>
      <c r="G201" s="79" t="s">
        <v>76</v>
      </c>
      <c r="H201" s="79" t="str">
        <f>IFERROR(_xlfn.XLOOKUP(Table6[[#This Row],[Affected Feeder ]],'Basic Data'!$A:$A,'Basic Data'!$B:$B),"")</f>
        <v>PWEPL</v>
      </c>
      <c r="I201" s="79" t="str">
        <f>IFERROR(_xlfn.XLOOKUP(Table6[[#This Row],[Affected Feeder ]],'Basic Data'!$A:$A,'Basic Data'!$C:$C),"")</f>
        <v>MSEDCL</v>
      </c>
      <c r="J201" s="295">
        <f>IFERROR(_xlfn.XLOOKUP(Table6[[#This Row],[Affected Feeder ]],'Basic Data'!$A:$A,'Basic Data'!$E:$E),"")</f>
        <v>2.2727272727272728E-2</v>
      </c>
      <c r="K201" s="296" t="s">
        <v>414</v>
      </c>
      <c r="L201" s="297">
        <v>0.77569444444444446</v>
      </c>
      <c r="M201" s="297">
        <v>0.77569444444444446</v>
      </c>
      <c r="N201" s="297">
        <v>0.80625000000000002</v>
      </c>
      <c r="O201" s="19">
        <f>(Table6[[#This Row],[Work Start TimeStamp]]-Table6[[#This Row],[Fault Start TimeStamp]])*24</f>
        <v>0</v>
      </c>
      <c r="P201" s="19">
        <f>(Table6[[#This Row],[Fault Clearance time]]-Table6[[#This Row],[Fault Start TimeStamp]])*24</f>
        <v>0.73333333333333339</v>
      </c>
      <c r="Q201" s="19">
        <f>(Table6[[#This Row],[Fault Clearance time]]-Table6[[#This Row],[Fault Start TimeStamp]])*24</f>
        <v>0.73333333333333339</v>
      </c>
      <c r="R201" s="79" t="s">
        <v>440</v>
      </c>
      <c r="S201" s="79" t="s">
        <v>339</v>
      </c>
      <c r="T201" s="298">
        <f>IFERROR(Table6[[#This Row],[Breakdown Time]]*Table6[[#This Row],[Plant Equivalent Weightage]],"")</f>
        <v>1.666666666666667E-2</v>
      </c>
      <c r="U201" s="79" t="s">
        <v>416</v>
      </c>
      <c r="W201" s="79">
        <v>65</v>
      </c>
    </row>
    <row r="202" spans="1:23">
      <c r="A202" s="79">
        <f t="shared" si="3"/>
        <v>201</v>
      </c>
      <c r="B202" s="79">
        <f>YEAR(Table6[[#This Row],[Date]])+IF(MONTH(Table6[[#This Row],[Date]])&gt;=4,1,0)</f>
        <v>2026</v>
      </c>
      <c r="C202" s="79">
        <f>YEAR(Table6[[#This Row],[Date]])</f>
        <v>2025</v>
      </c>
      <c r="D202" s="79" t="s">
        <v>344</v>
      </c>
      <c r="E202" s="284">
        <f>Table6[[#This Row],[Date]]-DAY(Table6[[#This Row],[Date]])+1</f>
        <v>45748</v>
      </c>
      <c r="F202" s="285">
        <v>45753</v>
      </c>
      <c r="G202" s="79" t="s">
        <v>76</v>
      </c>
      <c r="H202" s="79" t="str">
        <f>IFERROR(_xlfn.XLOOKUP(Table6[[#This Row],[Affected Feeder ]],'Basic Data'!$A:$A,'Basic Data'!$B:$B),"")</f>
        <v>PWEPL</v>
      </c>
      <c r="I202" s="79" t="str">
        <f>IFERROR(_xlfn.XLOOKUP(Table6[[#This Row],[Affected Feeder ]],'Basic Data'!$A:$A,'Basic Data'!$C:$C),"")</f>
        <v>MSEDCL</v>
      </c>
      <c r="J202" s="295">
        <f>IFERROR(_xlfn.XLOOKUP(Table6[[#This Row],[Affected Feeder ]],'Basic Data'!$A:$A,'Basic Data'!$E:$E),"")</f>
        <v>2.2727272727272728E-2</v>
      </c>
      <c r="K202" s="296" t="s">
        <v>171</v>
      </c>
      <c r="L202" s="297">
        <v>0.80625000000000002</v>
      </c>
      <c r="M202" s="297">
        <v>0.80625000000000002</v>
      </c>
      <c r="N202" s="297">
        <v>0.82013888888888886</v>
      </c>
      <c r="O202" s="19">
        <f>(Table6[[#This Row],[Work Start TimeStamp]]-Table6[[#This Row],[Fault Start TimeStamp]])*24</f>
        <v>0</v>
      </c>
      <c r="P202" s="19">
        <f>(Table6[[#This Row],[Fault Clearance time]]-Table6[[#This Row],[Fault Start TimeStamp]])*24</f>
        <v>0.33333333333333215</v>
      </c>
      <c r="Q202" s="19">
        <f>(Table6[[#This Row],[Fault Clearance time]]-Table6[[#This Row],[Fault Start TimeStamp]])*24</f>
        <v>0.33333333333333215</v>
      </c>
      <c r="R202" s="79" t="s">
        <v>353</v>
      </c>
      <c r="S202" s="79" t="s">
        <v>339</v>
      </c>
      <c r="T202" s="298">
        <f>IFERROR(Table6[[#This Row],[Breakdown Time]]*Table6[[#This Row],[Plant Equivalent Weightage]],"")</f>
        <v>7.5757575757575491E-3</v>
      </c>
      <c r="U202" s="79" t="s">
        <v>416</v>
      </c>
      <c r="W202" s="79">
        <v>29</v>
      </c>
    </row>
    <row r="203" spans="1:23">
      <c r="A203" s="79">
        <f t="shared" si="3"/>
        <v>202</v>
      </c>
      <c r="B203" s="79">
        <f>YEAR(Table6[[#This Row],[Date]])+IF(MONTH(Table6[[#This Row],[Date]])&gt;=4,1,0)</f>
        <v>2026</v>
      </c>
      <c r="C203" s="79">
        <f>YEAR(Table6[[#This Row],[Date]])</f>
        <v>2025</v>
      </c>
      <c r="D203" s="79" t="s">
        <v>344</v>
      </c>
      <c r="E203" s="284">
        <f>Table6[[#This Row],[Date]]-DAY(Table6[[#This Row],[Date]])+1</f>
        <v>45748</v>
      </c>
      <c r="F203" s="285">
        <v>45753</v>
      </c>
      <c r="G203" s="79" t="s">
        <v>77</v>
      </c>
      <c r="H203" s="79" t="str">
        <f>IFERROR(_xlfn.XLOOKUP(Table6[[#This Row],[Affected Feeder ]],'Basic Data'!$A:$A,'Basic Data'!$B:$B),"")</f>
        <v>PWEPL</v>
      </c>
      <c r="I203" s="79" t="str">
        <f>IFERROR(_xlfn.XLOOKUP(Table6[[#This Row],[Affected Feeder ]],'Basic Data'!$A:$A,'Basic Data'!$C:$C),"")</f>
        <v>MSEDCL</v>
      </c>
      <c r="J203" s="295">
        <f>IFERROR(_xlfn.XLOOKUP(Table6[[#This Row],[Affected Feeder ]],'Basic Data'!$A:$A,'Basic Data'!$E:$E),"")</f>
        <v>2.2727272727272728E-2</v>
      </c>
      <c r="K203" s="296" t="s">
        <v>414</v>
      </c>
      <c r="L203" s="297">
        <v>0.77569444444444446</v>
      </c>
      <c r="M203" s="297">
        <v>0.77569444444444446</v>
      </c>
      <c r="N203" s="297">
        <v>0.80625000000000002</v>
      </c>
      <c r="O203" s="19">
        <f>(Table6[[#This Row],[Work Start TimeStamp]]-Table6[[#This Row],[Fault Start TimeStamp]])*24</f>
        <v>0</v>
      </c>
      <c r="P203" s="19">
        <f>(Table6[[#This Row],[Fault Clearance time]]-Table6[[#This Row],[Fault Start TimeStamp]])*24</f>
        <v>0.73333333333333339</v>
      </c>
      <c r="Q203" s="19">
        <f>(Table6[[#This Row],[Fault Clearance time]]-Table6[[#This Row],[Fault Start TimeStamp]])*24</f>
        <v>0.73333333333333339</v>
      </c>
      <c r="R203" s="79" t="s">
        <v>440</v>
      </c>
      <c r="S203" s="79" t="s">
        <v>339</v>
      </c>
      <c r="T203" s="298">
        <f>IFERROR(Table6[[#This Row],[Breakdown Time]]*Table6[[#This Row],[Plant Equivalent Weightage]],"")</f>
        <v>1.666666666666667E-2</v>
      </c>
      <c r="U203" s="79" t="s">
        <v>416</v>
      </c>
      <c r="W203" s="79">
        <v>65</v>
      </c>
    </row>
    <row r="204" spans="1:23">
      <c r="A204" s="79">
        <f t="shared" si="3"/>
        <v>203</v>
      </c>
      <c r="B204" s="79">
        <f>YEAR(Table6[[#This Row],[Date]])+IF(MONTH(Table6[[#This Row],[Date]])&gt;=4,1,0)</f>
        <v>2026</v>
      </c>
      <c r="C204" s="79">
        <f>YEAR(Table6[[#This Row],[Date]])</f>
        <v>2025</v>
      </c>
      <c r="D204" s="79" t="s">
        <v>344</v>
      </c>
      <c r="E204" s="284">
        <f>Table6[[#This Row],[Date]]-DAY(Table6[[#This Row],[Date]])+1</f>
        <v>45748</v>
      </c>
      <c r="F204" s="285">
        <v>45753</v>
      </c>
      <c r="G204" s="79" t="s">
        <v>77</v>
      </c>
      <c r="H204" s="79" t="str">
        <f>IFERROR(_xlfn.XLOOKUP(Table6[[#This Row],[Affected Feeder ]],'Basic Data'!$A:$A,'Basic Data'!$B:$B),"")</f>
        <v>PWEPL</v>
      </c>
      <c r="I204" s="79" t="str">
        <f>IFERROR(_xlfn.XLOOKUP(Table6[[#This Row],[Affected Feeder ]],'Basic Data'!$A:$A,'Basic Data'!$C:$C),"")</f>
        <v>MSEDCL</v>
      </c>
      <c r="J204" s="295">
        <f>IFERROR(_xlfn.XLOOKUP(Table6[[#This Row],[Affected Feeder ]],'Basic Data'!$A:$A,'Basic Data'!$E:$E),"")</f>
        <v>2.2727272727272728E-2</v>
      </c>
      <c r="K204" s="296" t="s">
        <v>171</v>
      </c>
      <c r="L204" s="297">
        <v>0.80625000000000002</v>
      </c>
      <c r="M204" s="297">
        <v>0.80625000000000002</v>
      </c>
      <c r="N204" s="297">
        <v>0.82013888888888886</v>
      </c>
      <c r="O204" s="19">
        <f>(Table6[[#This Row],[Work Start TimeStamp]]-Table6[[#This Row],[Fault Start TimeStamp]])*24</f>
        <v>0</v>
      </c>
      <c r="P204" s="19">
        <f>(Table6[[#This Row],[Fault Clearance time]]-Table6[[#This Row],[Fault Start TimeStamp]])*24</f>
        <v>0.33333333333333215</v>
      </c>
      <c r="Q204" s="19">
        <f>(Table6[[#This Row],[Fault Clearance time]]-Table6[[#This Row],[Fault Start TimeStamp]])*24</f>
        <v>0.33333333333333215</v>
      </c>
      <c r="R204" s="79" t="s">
        <v>353</v>
      </c>
      <c r="S204" s="79" t="s">
        <v>339</v>
      </c>
      <c r="T204" s="298">
        <f>IFERROR(Table6[[#This Row],[Breakdown Time]]*Table6[[#This Row],[Plant Equivalent Weightage]],"")</f>
        <v>7.5757575757575491E-3</v>
      </c>
      <c r="U204" s="79" t="s">
        <v>416</v>
      </c>
      <c r="W204" s="79">
        <v>29</v>
      </c>
    </row>
    <row r="205" spans="1:23">
      <c r="A205" s="79">
        <f t="shared" si="3"/>
        <v>204</v>
      </c>
      <c r="B205" s="79">
        <f>YEAR(Table6[[#This Row],[Date]])+IF(MONTH(Table6[[#This Row],[Date]])&gt;=4,1,0)</f>
        <v>2026</v>
      </c>
      <c r="C205" s="79">
        <f>YEAR(Table6[[#This Row],[Date]])</f>
        <v>2025</v>
      </c>
      <c r="D205" s="79" t="s">
        <v>344</v>
      </c>
      <c r="E205" s="284">
        <f>Table6[[#This Row],[Date]]-DAY(Table6[[#This Row],[Date]])+1</f>
        <v>45748</v>
      </c>
      <c r="F205" s="285">
        <v>45753</v>
      </c>
      <c r="G205" s="79" t="s">
        <v>78</v>
      </c>
      <c r="H205" s="79" t="str">
        <f>IFERROR(_xlfn.XLOOKUP(Table6[[#This Row],[Affected Feeder ]],'Basic Data'!$A:$A,'Basic Data'!$B:$B),"")</f>
        <v>PWEPL</v>
      </c>
      <c r="I205" s="79" t="str">
        <f>IFERROR(_xlfn.XLOOKUP(Table6[[#This Row],[Affected Feeder ]],'Basic Data'!$A:$A,'Basic Data'!$C:$C),"")</f>
        <v>MSEDCL</v>
      </c>
      <c r="J205" s="295">
        <f>IFERROR(_xlfn.XLOOKUP(Table6[[#This Row],[Affected Feeder ]],'Basic Data'!$A:$A,'Basic Data'!$E:$E),"")</f>
        <v>2.2727272727272728E-2</v>
      </c>
      <c r="K205" s="296" t="s">
        <v>414</v>
      </c>
      <c r="L205" s="297">
        <v>0.77569444444444446</v>
      </c>
      <c r="M205" s="297">
        <v>0.77569444444444446</v>
      </c>
      <c r="N205" s="297">
        <v>0.80625000000000002</v>
      </c>
      <c r="O205" s="19">
        <f>(Table6[[#This Row],[Work Start TimeStamp]]-Table6[[#This Row],[Fault Start TimeStamp]])*24</f>
        <v>0</v>
      </c>
      <c r="P205" s="19">
        <f>(Table6[[#This Row],[Fault Clearance time]]-Table6[[#This Row],[Fault Start TimeStamp]])*24</f>
        <v>0.73333333333333339</v>
      </c>
      <c r="Q205" s="19">
        <f>(Table6[[#This Row],[Fault Clearance time]]-Table6[[#This Row],[Fault Start TimeStamp]])*24</f>
        <v>0.73333333333333339</v>
      </c>
      <c r="R205" s="79" t="s">
        <v>440</v>
      </c>
      <c r="S205" s="79" t="s">
        <v>339</v>
      </c>
      <c r="T205" s="298">
        <f>IFERROR(Table6[[#This Row],[Breakdown Time]]*Table6[[#This Row],[Plant Equivalent Weightage]],"")</f>
        <v>1.666666666666667E-2</v>
      </c>
      <c r="U205" s="79" t="s">
        <v>416</v>
      </c>
      <c r="W205" s="79">
        <v>65</v>
      </c>
    </row>
    <row r="206" spans="1:23">
      <c r="A206" s="79">
        <f t="shared" si="3"/>
        <v>205</v>
      </c>
      <c r="B206" s="79">
        <f>YEAR(Table6[[#This Row],[Date]])+IF(MONTH(Table6[[#This Row],[Date]])&gt;=4,1,0)</f>
        <v>2026</v>
      </c>
      <c r="C206" s="79">
        <f>YEAR(Table6[[#This Row],[Date]])</f>
        <v>2025</v>
      </c>
      <c r="D206" s="79" t="s">
        <v>344</v>
      </c>
      <c r="E206" s="284">
        <f>Table6[[#This Row],[Date]]-DAY(Table6[[#This Row],[Date]])+1</f>
        <v>45748</v>
      </c>
      <c r="F206" s="285">
        <v>45753</v>
      </c>
      <c r="G206" s="79" t="s">
        <v>78</v>
      </c>
      <c r="H206" s="79" t="str">
        <f>IFERROR(_xlfn.XLOOKUP(Table6[[#This Row],[Affected Feeder ]],'Basic Data'!$A:$A,'Basic Data'!$B:$B),"")</f>
        <v>PWEPL</v>
      </c>
      <c r="I206" s="79" t="str">
        <f>IFERROR(_xlfn.XLOOKUP(Table6[[#This Row],[Affected Feeder ]],'Basic Data'!$A:$A,'Basic Data'!$C:$C),"")</f>
        <v>MSEDCL</v>
      </c>
      <c r="J206" s="295">
        <f>IFERROR(_xlfn.XLOOKUP(Table6[[#This Row],[Affected Feeder ]],'Basic Data'!$A:$A,'Basic Data'!$E:$E),"")</f>
        <v>2.2727272727272728E-2</v>
      </c>
      <c r="K206" s="296" t="s">
        <v>171</v>
      </c>
      <c r="L206" s="297">
        <v>0.80625000000000002</v>
      </c>
      <c r="M206" s="297">
        <v>0.80625000000000002</v>
      </c>
      <c r="N206" s="297">
        <v>0.82013888888888886</v>
      </c>
      <c r="O206" s="19">
        <f>(Table6[[#This Row],[Work Start TimeStamp]]-Table6[[#This Row],[Fault Start TimeStamp]])*24</f>
        <v>0</v>
      </c>
      <c r="P206" s="19">
        <f>(Table6[[#This Row],[Fault Clearance time]]-Table6[[#This Row],[Fault Start TimeStamp]])*24</f>
        <v>0.33333333333333215</v>
      </c>
      <c r="Q206" s="19">
        <f>(Table6[[#This Row],[Fault Clearance time]]-Table6[[#This Row],[Fault Start TimeStamp]])*24</f>
        <v>0.33333333333333215</v>
      </c>
      <c r="R206" s="79" t="s">
        <v>353</v>
      </c>
      <c r="S206" s="79" t="s">
        <v>339</v>
      </c>
      <c r="T206" s="298">
        <f>IFERROR(Table6[[#This Row],[Breakdown Time]]*Table6[[#This Row],[Plant Equivalent Weightage]],"")</f>
        <v>7.5757575757575491E-3</v>
      </c>
      <c r="U206" s="79" t="s">
        <v>416</v>
      </c>
      <c r="W206" s="79">
        <v>29</v>
      </c>
    </row>
    <row r="207" spans="1:23">
      <c r="A207" s="79">
        <f t="shared" si="3"/>
        <v>206</v>
      </c>
      <c r="B207" s="79">
        <f>YEAR(Table6[[#This Row],[Date]])+IF(MONTH(Table6[[#This Row],[Date]])&gt;=4,1,0)</f>
        <v>2026</v>
      </c>
      <c r="C207" s="79">
        <f>YEAR(Table6[[#This Row],[Date]])</f>
        <v>2025</v>
      </c>
      <c r="D207" s="79" t="s">
        <v>344</v>
      </c>
      <c r="E207" s="284">
        <f>Table6[[#This Row],[Date]]-DAY(Table6[[#This Row],[Date]])+1</f>
        <v>45748</v>
      </c>
      <c r="F207" s="285">
        <v>45753</v>
      </c>
      <c r="G207" s="79" t="s">
        <v>82</v>
      </c>
      <c r="H207" s="79" t="str">
        <f>IFERROR(_xlfn.XLOOKUP(Table6[[#This Row],[Affected Feeder ]],'Basic Data'!$A:$A,'Basic Data'!$B:$B),"")</f>
        <v>PWEPL</v>
      </c>
      <c r="I207" s="79" t="str">
        <f>IFERROR(_xlfn.XLOOKUP(Table6[[#This Row],[Affected Feeder ]],'Basic Data'!$A:$A,'Basic Data'!$C:$C),"")</f>
        <v>MSEDCL</v>
      </c>
      <c r="J207" s="295">
        <f>IFERROR(_xlfn.XLOOKUP(Table6[[#This Row],[Affected Feeder ]],'Basic Data'!$A:$A,'Basic Data'!$E:$E),"")</f>
        <v>2.2727272727272728E-2</v>
      </c>
      <c r="K207" s="296" t="s">
        <v>414</v>
      </c>
      <c r="L207" s="297">
        <v>0.77569444444444446</v>
      </c>
      <c r="M207" s="297">
        <v>0.77569444444444446</v>
      </c>
      <c r="N207" s="297">
        <v>0.80625000000000002</v>
      </c>
      <c r="O207" s="19">
        <f>(Table6[[#This Row],[Work Start TimeStamp]]-Table6[[#This Row],[Fault Start TimeStamp]])*24</f>
        <v>0</v>
      </c>
      <c r="P207" s="19">
        <f>(Table6[[#This Row],[Fault Clearance time]]-Table6[[#This Row],[Fault Start TimeStamp]])*24</f>
        <v>0.73333333333333339</v>
      </c>
      <c r="Q207" s="19">
        <f>(Table6[[#This Row],[Fault Clearance time]]-Table6[[#This Row],[Fault Start TimeStamp]])*24</f>
        <v>0.73333333333333339</v>
      </c>
      <c r="R207" s="79" t="s">
        <v>440</v>
      </c>
      <c r="S207" s="79" t="s">
        <v>339</v>
      </c>
      <c r="T207" s="298">
        <f>IFERROR(Table6[[#This Row],[Breakdown Time]]*Table6[[#This Row],[Plant Equivalent Weightage]],"")</f>
        <v>1.666666666666667E-2</v>
      </c>
      <c r="U207" s="79" t="s">
        <v>416</v>
      </c>
      <c r="W207" s="79">
        <v>65</v>
      </c>
    </row>
    <row r="208" spans="1:23">
      <c r="A208" s="79">
        <f t="shared" si="3"/>
        <v>207</v>
      </c>
      <c r="B208" s="79">
        <f>YEAR(Table6[[#This Row],[Date]])+IF(MONTH(Table6[[#This Row],[Date]])&gt;=4,1,0)</f>
        <v>2026</v>
      </c>
      <c r="C208" s="79">
        <f>YEAR(Table6[[#This Row],[Date]])</f>
        <v>2025</v>
      </c>
      <c r="D208" s="79" t="s">
        <v>344</v>
      </c>
      <c r="E208" s="284">
        <f>Table6[[#This Row],[Date]]-DAY(Table6[[#This Row],[Date]])+1</f>
        <v>45748</v>
      </c>
      <c r="F208" s="285">
        <v>45753</v>
      </c>
      <c r="G208" s="79" t="s">
        <v>82</v>
      </c>
      <c r="H208" s="79" t="str">
        <f>IFERROR(_xlfn.XLOOKUP(Table6[[#This Row],[Affected Feeder ]],'Basic Data'!$A:$A,'Basic Data'!$B:$B),"")</f>
        <v>PWEPL</v>
      </c>
      <c r="I208" s="79" t="str">
        <f>IFERROR(_xlfn.XLOOKUP(Table6[[#This Row],[Affected Feeder ]],'Basic Data'!$A:$A,'Basic Data'!$C:$C),"")</f>
        <v>MSEDCL</v>
      </c>
      <c r="J208" s="295">
        <f>IFERROR(_xlfn.XLOOKUP(Table6[[#This Row],[Affected Feeder ]],'Basic Data'!$A:$A,'Basic Data'!$E:$E),"")</f>
        <v>2.2727272727272728E-2</v>
      </c>
      <c r="K208" s="296" t="s">
        <v>171</v>
      </c>
      <c r="L208" s="297">
        <v>0.80625000000000002</v>
      </c>
      <c r="M208" s="297">
        <v>0.80625000000000002</v>
      </c>
      <c r="N208" s="297">
        <v>0.82013888888888886</v>
      </c>
      <c r="O208" s="19">
        <f>(Table6[[#This Row],[Work Start TimeStamp]]-Table6[[#This Row],[Fault Start TimeStamp]])*24</f>
        <v>0</v>
      </c>
      <c r="P208" s="19">
        <f>(Table6[[#This Row],[Fault Clearance time]]-Table6[[#This Row],[Fault Start TimeStamp]])*24</f>
        <v>0.33333333333333215</v>
      </c>
      <c r="Q208" s="19">
        <f>(Table6[[#This Row],[Fault Clearance time]]-Table6[[#This Row],[Fault Start TimeStamp]])*24</f>
        <v>0.33333333333333215</v>
      </c>
      <c r="R208" s="79" t="s">
        <v>353</v>
      </c>
      <c r="S208" s="79" t="s">
        <v>339</v>
      </c>
      <c r="T208" s="298">
        <f>IFERROR(Table6[[#This Row],[Breakdown Time]]*Table6[[#This Row],[Plant Equivalent Weightage]],"")</f>
        <v>7.5757575757575491E-3</v>
      </c>
      <c r="U208" s="79" t="s">
        <v>416</v>
      </c>
      <c r="W208" s="79">
        <v>29</v>
      </c>
    </row>
    <row r="209" spans="1:23">
      <c r="A209" s="79">
        <f t="shared" si="3"/>
        <v>208</v>
      </c>
      <c r="B209" s="79">
        <f>YEAR(Table6[[#This Row],[Date]])+IF(MONTH(Table6[[#This Row],[Date]])&gt;=4,1,0)</f>
        <v>2026</v>
      </c>
      <c r="C209" s="79">
        <f>YEAR(Table6[[#This Row],[Date]])</f>
        <v>2025</v>
      </c>
      <c r="D209" s="79" t="s">
        <v>344</v>
      </c>
      <c r="E209" s="284">
        <f>Table6[[#This Row],[Date]]-DAY(Table6[[#This Row],[Date]])+1</f>
        <v>45748</v>
      </c>
      <c r="F209" s="285">
        <v>45753</v>
      </c>
      <c r="G209" s="79" t="s">
        <v>93</v>
      </c>
      <c r="H209" s="79" t="str">
        <f>IFERROR(_xlfn.XLOOKUP(Table6[[#This Row],[Affected Feeder ]],'Basic Data'!$A:$A,'Basic Data'!$B:$B),"")</f>
        <v>PWEPL</v>
      </c>
      <c r="I209" s="79" t="str">
        <f>IFERROR(_xlfn.XLOOKUP(Table6[[#This Row],[Affected Feeder ]],'Basic Data'!$A:$A,'Basic Data'!$C:$C),"")</f>
        <v>MSEDCL</v>
      </c>
      <c r="J209" s="295">
        <f>IFERROR(_xlfn.XLOOKUP(Table6[[#This Row],[Affected Feeder ]],'Basic Data'!$A:$A,'Basic Data'!$E:$E),"")</f>
        <v>2.2727272727272728E-2</v>
      </c>
      <c r="K209" s="296" t="s">
        <v>414</v>
      </c>
      <c r="L209" s="297">
        <v>0.77569444444444446</v>
      </c>
      <c r="M209" s="297">
        <v>0.77569444444444446</v>
      </c>
      <c r="N209" s="297">
        <v>0.80625000000000002</v>
      </c>
      <c r="O209" s="19">
        <f>(Table6[[#This Row],[Work Start TimeStamp]]-Table6[[#This Row],[Fault Start TimeStamp]])*24</f>
        <v>0</v>
      </c>
      <c r="P209" s="19">
        <f>(Table6[[#This Row],[Fault Clearance time]]-Table6[[#This Row],[Fault Start TimeStamp]])*24</f>
        <v>0.73333333333333339</v>
      </c>
      <c r="Q209" s="19">
        <f>(Table6[[#This Row],[Fault Clearance time]]-Table6[[#This Row],[Fault Start TimeStamp]])*24</f>
        <v>0.73333333333333339</v>
      </c>
      <c r="R209" s="79" t="s">
        <v>440</v>
      </c>
      <c r="S209" s="79" t="s">
        <v>339</v>
      </c>
      <c r="T209" s="298">
        <f>IFERROR(Table6[[#This Row],[Breakdown Time]]*Table6[[#This Row],[Plant Equivalent Weightage]],"")</f>
        <v>1.666666666666667E-2</v>
      </c>
      <c r="U209" s="79" t="s">
        <v>416</v>
      </c>
      <c r="W209" s="79">
        <v>65</v>
      </c>
    </row>
    <row r="210" spans="1:23">
      <c r="A210" s="79">
        <f t="shared" si="3"/>
        <v>209</v>
      </c>
      <c r="B210" s="79">
        <f>YEAR(Table6[[#This Row],[Date]])+IF(MONTH(Table6[[#This Row],[Date]])&gt;=4,1,0)</f>
        <v>2026</v>
      </c>
      <c r="C210" s="79">
        <f>YEAR(Table6[[#This Row],[Date]])</f>
        <v>2025</v>
      </c>
      <c r="D210" s="79" t="s">
        <v>344</v>
      </c>
      <c r="E210" s="284">
        <f>Table6[[#This Row],[Date]]-DAY(Table6[[#This Row],[Date]])+1</f>
        <v>45748</v>
      </c>
      <c r="F210" s="285">
        <v>45753</v>
      </c>
      <c r="G210" s="79" t="s">
        <v>93</v>
      </c>
      <c r="H210" s="79" t="str">
        <f>IFERROR(_xlfn.XLOOKUP(Table6[[#This Row],[Affected Feeder ]],'Basic Data'!$A:$A,'Basic Data'!$B:$B),"")</f>
        <v>PWEPL</v>
      </c>
      <c r="I210" s="79" t="str">
        <f>IFERROR(_xlfn.XLOOKUP(Table6[[#This Row],[Affected Feeder ]],'Basic Data'!$A:$A,'Basic Data'!$C:$C),"")</f>
        <v>MSEDCL</v>
      </c>
      <c r="J210" s="295">
        <f>IFERROR(_xlfn.XLOOKUP(Table6[[#This Row],[Affected Feeder ]],'Basic Data'!$A:$A,'Basic Data'!$E:$E),"")</f>
        <v>2.2727272727272728E-2</v>
      </c>
      <c r="K210" s="296" t="s">
        <v>171</v>
      </c>
      <c r="L210" s="297">
        <v>0.80625000000000002</v>
      </c>
      <c r="M210" s="297">
        <v>0.80625000000000002</v>
      </c>
      <c r="N210" s="297">
        <v>0.82013888888888886</v>
      </c>
      <c r="O210" s="19">
        <f>(Table6[[#This Row],[Work Start TimeStamp]]-Table6[[#This Row],[Fault Start TimeStamp]])*24</f>
        <v>0</v>
      </c>
      <c r="P210" s="19">
        <f>(Table6[[#This Row],[Fault Clearance time]]-Table6[[#This Row],[Fault Start TimeStamp]])*24</f>
        <v>0.33333333333333215</v>
      </c>
      <c r="Q210" s="19">
        <f>(Table6[[#This Row],[Fault Clearance time]]-Table6[[#This Row],[Fault Start TimeStamp]])*24</f>
        <v>0.33333333333333215</v>
      </c>
      <c r="R210" s="79" t="s">
        <v>353</v>
      </c>
      <c r="S210" s="79" t="s">
        <v>339</v>
      </c>
      <c r="T210" s="298">
        <f>IFERROR(Table6[[#This Row],[Breakdown Time]]*Table6[[#This Row],[Plant Equivalent Weightage]],"")</f>
        <v>7.5757575757575491E-3</v>
      </c>
      <c r="U210" s="79" t="s">
        <v>416</v>
      </c>
      <c r="W210" s="79">
        <v>29</v>
      </c>
    </row>
    <row r="211" spans="1:23">
      <c r="A211" s="79">
        <f t="shared" si="3"/>
        <v>210</v>
      </c>
      <c r="B211" s="79">
        <f>YEAR(Table6[[#This Row],[Date]])+IF(MONTH(Table6[[#This Row],[Date]])&gt;=4,1,0)</f>
        <v>2026</v>
      </c>
      <c r="C211" s="79">
        <f>YEAR(Table6[[#This Row],[Date]])</f>
        <v>2025</v>
      </c>
      <c r="D211" s="79" t="s">
        <v>344</v>
      </c>
      <c r="E211" s="284">
        <f>Table6[[#This Row],[Date]]-DAY(Table6[[#This Row],[Date]])+1</f>
        <v>45748</v>
      </c>
      <c r="F211" s="285">
        <v>45753</v>
      </c>
      <c r="G211" s="79" t="s">
        <v>119</v>
      </c>
      <c r="H211" s="79" t="str">
        <f>IFERROR(_xlfn.XLOOKUP(Table6[[#This Row],[Affected Feeder ]],'Basic Data'!$A:$A,'Basic Data'!$B:$B),"")</f>
        <v>PWEPL</v>
      </c>
      <c r="I211" s="79" t="str">
        <f>IFERROR(_xlfn.XLOOKUP(Table6[[#This Row],[Affected Feeder ]],'Basic Data'!$A:$A,'Basic Data'!$C:$C),"")</f>
        <v>MSEDCL</v>
      </c>
      <c r="J211" s="295">
        <f>IFERROR(_xlfn.XLOOKUP(Table6[[#This Row],[Affected Feeder ]],'Basic Data'!$A:$A,'Basic Data'!$E:$E),"")</f>
        <v>2.2727272727272728E-2</v>
      </c>
      <c r="K211" s="296" t="s">
        <v>414</v>
      </c>
      <c r="L211" s="297">
        <v>0.77569444444444446</v>
      </c>
      <c r="M211" s="297">
        <v>0.77569444444444446</v>
      </c>
      <c r="N211" s="297">
        <v>0.80625000000000002</v>
      </c>
      <c r="O211" s="19">
        <f>(Table6[[#This Row],[Work Start TimeStamp]]-Table6[[#This Row],[Fault Start TimeStamp]])*24</f>
        <v>0</v>
      </c>
      <c r="P211" s="19">
        <f>(Table6[[#This Row],[Fault Clearance time]]-Table6[[#This Row],[Fault Start TimeStamp]])*24</f>
        <v>0.73333333333333339</v>
      </c>
      <c r="Q211" s="19">
        <f>(Table6[[#This Row],[Fault Clearance time]]-Table6[[#This Row],[Fault Start TimeStamp]])*24</f>
        <v>0.73333333333333339</v>
      </c>
      <c r="R211" s="79" t="s">
        <v>440</v>
      </c>
      <c r="S211" s="79" t="s">
        <v>339</v>
      </c>
      <c r="T211" s="298">
        <f>IFERROR(Table6[[#This Row],[Breakdown Time]]*Table6[[#This Row],[Plant Equivalent Weightage]],"")</f>
        <v>1.666666666666667E-2</v>
      </c>
      <c r="U211" s="79" t="s">
        <v>416</v>
      </c>
      <c r="W211" s="79">
        <v>65</v>
      </c>
    </row>
    <row r="212" spans="1:23">
      <c r="A212" s="79">
        <f t="shared" si="3"/>
        <v>211</v>
      </c>
      <c r="B212" s="79">
        <f>YEAR(Table6[[#This Row],[Date]])+IF(MONTH(Table6[[#This Row],[Date]])&gt;=4,1,0)</f>
        <v>2026</v>
      </c>
      <c r="C212" s="79">
        <f>YEAR(Table6[[#This Row],[Date]])</f>
        <v>2025</v>
      </c>
      <c r="D212" s="79" t="s">
        <v>344</v>
      </c>
      <c r="E212" s="284">
        <f>Table6[[#This Row],[Date]]-DAY(Table6[[#This Row],[Date]])+1</f>
        <v>45748</v>
      </c>
      <c r="F212" s="285">
        <v>45753</v>
      </c>
      <c r="G212" s="79" t="s">
        <v>119</v>
      </c>
      <c r="H212" s="79" t="str">
        <f>IFERROR(_xlfn.XLOOKUP(Table6[[#This Row],[Affected Feeder ]],'Basic Data'!$A:$A,'Basic Data'!$B:$B),"")</f>
        <v>PWEPL</v>
      </c>
      <c r="I212" s="79" t="str">
        <f>IFERROR(_xlfn.XLOOKUP(Table6[[#This Row],[Affected Feeder ]],'Basic Data'!$A:$A,'Basic Data'!$C:$C),"")</f>
        <v>MSEDCL</v>
      </c>
      <c r="J212" s="295">
        <f>IFERROR(_xlfn.XLOOKUP(Table6[[#This Row],[Affected Feeder ]],'Basic Data'!$A:$A,'Basic Data'!$E:$E),"")</f>
        <v>2.2727272727272728E-2</v>
      </c>
      <c r="K212" s="296" t="s">
        <v>171</v>
      </c>
      <c r="L212" s="297">
        <v>0.80625000000000002</v>
      </c>
      <c r="M212" s="297">
        <v>0.80625000000000002</v>
      </c>
      <c r="N212" s="297">
        <v>0.82013888888888886</v>
      </c>
      <c r="O212" s="19">
        <f>(Table6[[#This Row],[Work Start TimeStamp]]-Table6[[#This Row],[Fault Start TimeStamp]])*24</f>
        <v>0</v>
      </c>
      <c r="P212" s="19">
        <f>(Table6[[#This Row],[Fault Clearance time]]-Table6[[#This Row],[Fault Start TimeStamp]])*24</f>
        <v>0.33333333333333215</v>
      </c>
      <c r="Q212" s="19">
        <f>(Table6[[#This Row],[Fault Clearance time]]-Table6[[#This Row],[Fault Start TimeStamp]])*24</f>
        <v>0.33333333333333215</v>
      </c>
      <c r="R212" s="79" t="s">
        <v>353</v>
      </c>
      <c r="S212" s="79" t="s">
        <v>339</v>
      </c>
      <c r="T212" s="298">
        <f>IFERROR(Table6[[#This Row],[Breakdown Time]]*Table6[[#This Row],[Plant Equivalent Weightage]],"")</f>
        <v>7.5757575757575491E-3</v>
      </c>
      <c r="U212" s="79" t="s">
        <v>416</v>
      </c>
      <c r="W212" s="79">
        <v>29</v>
      </c>
    </row>
    <row r="213" spans="1:23">
      <c r="A213" s="79">
        <f t="shared" si="3"/>
        <v>212</v>
      </c>
      <c r="B213" s="79">
        <f>YEAR(Table6[[#This Row],[Date]])+IF(MONTH(Table6[[#This Row],[Date]])&gt;=4,1,0)</f>
        <v>2026</v>
      </c>
      <c r="C213" s="79">
        <f>YEAR(Table6[[#This Row],[Date]])</f>
        <v>2025</v>
      </c>
      <c r="D213" s="79" t="s">
        <v>344</v>
      </c>
      <c r="E213" s="284">
        <f>Table6[[#This Row],[Date]]-DAY(Table6[[#This Row],[Date]])+1</f>
        <v>45748</v>
      </c>
      <c r="F213" s="285">
        <v>45754</v>
      </c>
      <c r="G213" s="79" t="s">
        <v>80</v>
      </c>
      <c r="H213" s="79" t="str">
        <f>IFERROR(_xlfn.XLOOKUP(Table6[[#This Row],[Affected Feeder ]],'Basic Data'!$A:$A,'Basic Data'!$B:$B),"")</f>
        <v>PWEPL</v>
      </c>
      <c r="I213" s="79" t="str">
        <f>IFERROR(_xlfn.XLOOKUP(Table6[[#This Row],[Affected Feeder ]],'Basic Data'!$A:$A,'Basic Data'!$C:$C),"")</f>
        <v>MSEDCL</v>
      </c>
      <c r="J213" s="295">
        <f>IFERROR(_xlfn.XLOOKUP(Table6[[#This Row],[Affected Feeder ]],'Basic Data'!$A:$A,'Basic Data'!$E:$E),"")</f>
        <v>2.2727272727272728E-2</v>
      </c>
      <c r="K213" s="296" t="s">
        <v>414</v>
      </c>
      <c r="L213" s="297">
        <v>0.35833333333333334</v>
      </c>
      <c r="M213" s="297">
        <v>0.35833333333333334</v>
      </c>
      <c r="N213" s="297">
        <v>0.39513888888888887</v>
      </c>
      <c r="O213" s="19">
        <f>(Table6[[#This Row],[Work Start TimeStamp]]-Table6[[#This Row],[Fault Start TimeStamp]])*24</f>
        <v>0</v>
      </c>
      <c r="P213" s="19">
        <f>(Table6[[#This Row],[Fault Clearance time]]-Table6[[#This Row],[Fault Start TimeStamp]])*24</f>
        <v>0.88333333333333286</v>
      </c>
      <c r="Q213" s="19">
        <f>(Table6[[#This Row],[Fault Clearance time]]-Table6[[#This Row],[Fault Start TimeStamp]])*24</f>
        <v>0.88333333333333286</v>
      </c>
      <c r="R213" s="79" t="s">
        <v>441</v>
      </c>
      <c r="S213" s="79" t="s">
        <v>339</v>
      </c>
      <c r="T213" s="298">
        <f>IFERROR(Table6[[#This Row],[Breakdown Time]]*Table6[[#This Row],[Plant Equivalent Weightage]],"")</f>
        <v>2.0075757575757566E-2</v>
      </c>
      <c r="U213" s="79" t="s">
        <v>416</v>
      </c>
      <c r="W213" s="79">
        <v>112</v>
      </c>
    </row>
    <row r="214" spans="1:23">
      <c r="A214" s="79">
        <f t="shared" si="3"/>
        <v>213</v>
      </c>
      <c r="B214" s="79">
        <f>YEAR(Table6[[#This Row],[Date]])+IF(MONTH(Table6[[#This Row],[Date]])&gt;=4,1,0)</f>
        <v>2026</v>
      </c>
      <c r="C214" s="79">
        <f>YEAR(Table6[[#This Row],[Date]])</f>
        <v>2025</v>
      </c>
      <c r="D214" s="79" t="s">
        <v>344</v>
      </c>
      <c r="E214" s="284">
        <f>Table6[[#This Row],[Date]]-DAY(Table6[[#This Row],[Date]])+1</f>
        <v>45748</v>
      </c>
      <c r="F214" s="285">
        <v>45754</v>
      </c>
      <c r="G214" s="79" t="s">
        <v>80</v>
      </c>
      <c r="H214" s="79" t="str">
        <f>IFERROR(_xlfn.XLOOKUP(Table6[[#This Row],[Affected Feeder ]],'Basic Data'!$A:$A,'Basic Data'!$B:$B),"")</f>
        <v>PWEPL</v>
      </c>
      <c r="I214" s="79" t="str">
        <f>IFERROR(_xlfn.XLOOKUP(Table6[[#This Row],[Affected Feeder ]],'Basic Data'!$A:$A,'Basic Data'!$C:$C),"")</f>
        <v>MSEDCL</v>
      </c>
      <c r="J214" s="295">
        <f>IFERROR(_xlfn.XLOOKUP(Table6[[#This Row],[Affected Feeder ]],'Basic Data'!$A:$A,'Basic Data'!$E:$E),"")</f>
        <v>2.2727272727272728E-2</v>
      </c>
      <c r="K214" s="296" t="s">
        <v>171</v>
      </c>
      <c r="L214" s="297">
        <v>0.39513888888888887</v>
      </c>
      <c r="M214" s="297">
        <v>0.39513888888888887</v>
      </c>
      <c r="N214" s="297">
        <v>0.40208333333333335</v>
      </c>
      <c r="O214" s="19">
        <f>(Table6[[#This Row],[Work Start TimeStamp]]-Table6[[#This Row],[Fault Start TimeStamp]])*24</f>
        <v>0</v>
      </c>
      <c r="P214" s="19">
        <f>(Table6[[#This Row],[Fault Clearance time]]-Table6[[#This Row],[Fault Start TimeStamp]])*24</f>
        <v>0.16666666666666741</v>
      </c>
      <c r="Q214" s="19">
        <f>(Table6[[#This Row],[Fault Clearance time]]-Table6[[#This Row],[Fault Start TimeStamp]])*24</f>
        <v>0.16666666666666741</v>
      </c>
      <c r="R214" s="79" t="s">
        <v>353</v>
      </c>
      <c r="S214" s="79" t="s">
        <v>339</v>
      </c>
      <c r="T214" s="298">
        <f>IFERROR(Table6[[#This Row],[Breakdown Time]]*Table6[[#This Row],[Plant Equivalent Weightage]],"")</f>
        <v>3.7878787878788049E-3</v>
      </c>
      <c r="U214" s="79" t="s">
        <v>416</v>
      </c>
      <c r="W214" s="79">
        <v>21</v>
      </c>
    </row>
    <row r="215" spans="1:23">
      <c r="A215" s="79">
        <f t="shared" si="3"/>
        <v>214</v>
      </c>
      <c r="B215" s="79">
        <f>YEAR(Table6[[#This Row],[Date]])+IF(MONTH(Table6[[#This Row],[Date]])&gt;=4,1,0)</f>
        <v>2026</v>
      </c>
      <c r="C215" s="79">
        <f>YEAR(Table6[[#This Row],[Date]])</f>
        <v>2025</v>
      </c>
      <c r="D215" s="79" t="s">
        <v>344</v>
      </c>
      <c r="E215" s="284">
        <f>Table6[[#This Row],[Date]]-DAY(Table6[[#This Row],[Date]])+1</f>
        <v>45748</v>
      </c>
      <c r="F215" s="285">
        <v>45754</v>
      </c>
      <c r="G215" s="79" t="s">
        <v>81</v>
      </c>
      <c r="H215" s="79" t="str">
        <f>IFERROR(_xlfn.XLOOKUP(Table6[[#This Row],[Affected Feeder ]],'Basic Data'!$A:$A,'Basic Data'!$B:$B),"")</f>
        <v>PWEPL</v>
      </c>
      <c r="I215" s="79" t="str">
        <f>IFERROR(_xlfn.XLOOKUP(Table6[[#This Row],[Affected Feeder ]],'Basic Data'!$A:$A,'Basic Data'!$C:$C),"")</f>
        <v>MSEDCL</v>
      </c>
      <c r="J215" s="295">
        <f>IFERROR(_xlfn.XLOOKUP(Table6[[#This Row],[Affected Feeder ]],'Basic Data'!$A:$A,'Basic Data'!$E:$E),"")</f>
        <v>2.2727272727272728E-2</v>
      </c>
      <c r="K215" s="296" t="s">
        <v>414</v>
      </c>
      <c r="L215" s="297">
        <v>0.35833333333333334</v>
      </c>
      <c r="M215" s="297">
        <v>0.35833333333333334</v>
      </c>
      <c r="N215" s="297">
        <v>0.39513888888888887</v>
      </c>
      <c r="O215" s="19">
        <f>(Table6[[#This Row],[Work Start TimeStamp]]-Table6[[#This Row],[Fault Start TimeStamp]])*24</f>
        <v>0</v>
      </c>
      <c r="P215" s="19">
        <f>(Table6[[#This Row],[Fault Clearance time]]-Table6[[#This Row],[Fault Start TimeStamp]])*24</f>
        <v>0.88333333333333286</v>
      </c>
      <c r="Q215" s="19">
        <f>(Table6[[#This Row],[Fault Clearance time]]-Table6[[#This Row],[Fault Start TimeStamp]])*24</f>
        <v>0.88333333333333286</v>
      </c>
      <c r="R215" s="79" t="s">
        <v>441</v>
      </c>
      <c r="S215" s="79" t="s">
        <v>339</v>
      </c>
      <c r="T215" s="298">
        <f>IFERROR(Table6[[#This Row],[Breakdown Time]]*Table6[[#This Row],[Plant Equivalent Weightage]],"")</f>
        <v>2.0075757575757566E-2</v>
      </c>
      <c r="U215" s="79" t="s">
        <v>416</v>
      </c>
      <c r="W215" s="79">
        <v>112</v>
      </c>
    </row>
    <row r="216" spans="1:23">
      <c r="A216" s="79">
        <f t="shared" si="3"/>
        <v>215</v>
      </c>
      <c r="B216" s="79">
        <f>YEAR(Table6[[#This Row],[Date]])+IF(MONTH(Table6[[#This Row],[Date]])&gt;=4,1,0)</f>
        <v>2026</v>
      </c>
      <c r="C216" s="79">
        <f>YEAR(Table6[[#This Row],[Date]])</f>
        <v>2025</v>
      </c>
      <c r="D216" s="79" t="s">
        <v>344</v>
      </c>
      <c r="E216" s="284">
        <f>Table6[[#This Row],[Date]]-DAY(Table6[[#This Row],[Date]])+1</f>
        <v>45748</v>
      </c>
      <c r="F216" s="285">
        <v>45754</v>
      </c>
      <c r="G216" s="79" t="s">
        <v>81</v>
      </c>
      <c r="H216" s="79" t="str">
        <f>IFERROR(_xlfn.XLOOKUP(Table6[[#This Row],[Affected Feeder ]],'Basic Data'!$A:$A,'Basic Data'!$B:$B),"")</f>
        <v>PWEPL</v>
      </c>
      <c r="I216" s="79" t="str">
        <f>IFERROR(_xlfn.XLOOKUP(Table6[[#This Row],[Affected Feeder ]],'Basic Data'!$A:$A,'Basic Data'!$C:$C),"")</f>
        <v>MSEDCL</v>
      </c>
      <c r="J216" s="295">
        <f>IFERROR(_xlfn.XLOOKUP(Table6[[#This Row],[Affected Feeder ]],'Basic Data'!$A:$A,'Basic Data'!$E:$E),"")</f>
        <v>2.2727272727272728E-2</v>
      </c>
      <c r="K216" s="296" t="s">
        <v>171</v>
      </c>
      <c r="L216" s="297">
        <v>0.39513888888888887</v>
      </c>
      <c r="M216" s="297">
        <v>0.39513888888888887</v>
      </c>
      <c r="N216" s="297">
        <v>0.40902777777777777</v>
      </c>
      <c r="O216" s="19">
        <f>(Table6[[#This Row],[Work Start TimeStamp]]-Table6[[#This Row],[Fault Start TimeStamp]])*24</f>
        <v>0</v>
      </c>
      <c r="P216" s="19">
        <f>(Table6[[#This Row],[Fault Clearance time]]-Table6[[#This Row],[Fault Start TimeStamp]])*24</f>
        <v>0.33333333333333348</v>
      </c>
      <c r="Q216" s="19">
        <f>(Table6[[#This Row],[Fault Clearance time]]-Table6[[#This Row],[Fault Start TimeStamp]])*24</f>
        <v>0.33333333333333348</v>
      </c>
      <c r="R216" s="79" t="s">
        <v>353</v>
      </c>
      <c r="S216" s="79" t="s">
        <v>339</v>
      </c>
      <c r="T216" s="298">
        <f>IFERROR(Table6[[#This Row],[Breakdown Time]]*Table6[[#This Row],[Plant Equivalent Weightage]],"")</f>
        <v>7.5757575757575794E-3</v>
      </c>
      <c r="U216" s="79" t="s">
        <v>416</v>
      </c>
      <c r="W216" s="79">
        <v>42</v>
      </c>
    </row>
    <row r="217" spans="1:23">
      <c r="A217" s="79">
        <f t="shared" si="3"/>
        <v>216</v>
      </c>
      <c r="B217" s="79">
        <f>YEAR(Table6[[#This Row],[Date]])+IF(MONTH(Table6[[#This Row],[Date]])&gt;=4,1,0)</f>
        <v>2026</v>
      </c>
      <c r="C217" s="79">
        <f>YEAR(Table6[[#This Row],[Date]])</f>
        <v>2025</v>
      </c>
      <c r="D217" s="79" t="s">
        <v>344</v>
      </c>
      <c r="E217" s="284">
        <f>Table6[[#This Row],[Date]]-DAY(Table6[[#This Row],[Date]])+1</f>
        <v>45748</v>
      </c>
      <c r="F217" s="285">
        <v>45754</v>
      </c>
      <c r="G217" s="79" t="s">
        <v>107</v>
      </c>
      <c r="H217" s="79" t="str">
        <f>IFERROR(_xlfn.XLOOKUP(Table6[[#This Row],[Affected Feeder ]],'Basic Data'!$A:$A,'Basic Data'!$B:$B),"")</f>
        <v>PWEPL</v>
      </c>
      <c r="I217" s="79" t="str">
        <f>IFERROR(_xlfn.XLOOKUP(Table6[[#This Row],[Affected Feeder ]],'Basic Data'!$A:$A,'Basic Data'!$C:$C),"")</f>
        <v>MSEDCL</v>
      </c>
      <c r="J217" s="295">
        <f>IFERROR(_xlfn.XLOOKUP(Table6[[#This Row],[Affected Feeder ]],'Basic Data'!$A:$A,'Basic Data'!$E:$E),"")</f>
        <v>2.2727272727272728E-2</v>
      </c>
      <c r="K217" s="296" t="s">
        <v>414</v>
      </c>
      <c r="L217" s="297">
        <v>0.35833333333333334</v>
      </c>
      <c r="M217" s="297">
        <v>0.35833333333333334</v>
      </c>
      <c r="N217" s="297">
        <v>0.78749999999999998</v>
      </c>
      <c r="O217" s="19">
        <f>(Table6[[#This Row],[Work Start TimeStamp]]-Table6[[#This Row],[Fault Start TimeStamp]])*24</f>
        <v>0</v>
      </c>
      <c r="P217" s="19">
        <f>(Table6[[#This Row],[Fault Clearance time]]-Table6[[#This Row],[Fault Start TimeStamp]])*24</f>
        <v>10.299999999999999</v>
      </c>
      <c r="Q217" s="19">
        <f>(Table6[[#This Row],[Fault Clearance time]]-Table6[[#This Row],[Fault Start TimeStamp]])*24</f>
        <v>10.299999999999999</v>
      </c>
      <c r="R217" s="79" t="s">
        <v>441</v>
      </c>
      <c r="S217" s="79" t="s">
        <v>339</v>
      </c>
      <c r="T217" s="298">
        <f>IFERROR(Table6[[#This Row],[Breakdown Time]]*Table6[[#This Row],[Plant Equivalent Weightage]],"")</f>
        <v>0.23409090909090907</v>
      </c>
      <c r="U217" s="79" t="s">
        <v>416</v>
      </c>
      <c r="W217" s="79">
        <v>1272</v>
      </c>
    </row>
    <row r="218" spans="1:23">
      <c r="A218" s="79">
        <f t="shared" si="3"/>
        <v>217</v>
      </c>
      <c r="B218" s="79">
        <f>YEAR(Table6[[#This Row],[Date]])+IF(MONTH(Table6[[#This Row],[Date]])&gt;=4,1,0)</f>
        <v>2026</v>
      </c>
      <c r="C218" s="79">
        <f>YEAR(Table6[[#This Row],[Date]])</f>
        <v>2025</v>
      </c>
      <c r="D218" s="79" t="s">
        <v>344</v>
      </c>
      <c r="E218" s="284">
        <f>Table6[[#This Row],[Date]]-DAY(Table6[[#This Row],[Date]])+1</f>
        <v>45748</v>
      </c>
      <c r="F218" s="285">
        <v>45754</v>
      </c>
      <c r="G218" s="79" t="s">
        <v>107</v>
      </c>
      <c r="H218" s="79" t="str">
        <f>IFERROR(_xlfn.XLOOKUP(Table6[[#This Row],[Affected Feeder ]],'Basic Data'!$A:$A,'Basic Data'!$B:$B),"")</f>
        <v>PWEPL</v>
      </c>
      <c r="I218" s="79" t="str">
        <f>IFERROR(_xlfn.XLOOKUP(Table6[[#This Row],[Affected Feeder ]],'Basic Data'!$A:$A,'Basic Data'!$C:$C),"")</f>
        <v>MSEDCL</v>
      </c>
      <c r="J218" s="295">
        <f>IFERROR(_xlfn.XLOOKUP(Table6[[#This Row],[Affected Feeder ]],'Basic Data'!$A:$A,'Basic Data'!$E:$E),"")</f>
        <v>2.2727272727272728E-2</v>
      </c>
      <c r="K218" s="296" t="s">
        <v>171</v>
      </c>
      <c r="L218" s="297">
        <v>0.78749999999999998</v>
      </c>
      <c r="M218" s="297">
        <v>0.78749999999999998</v>
      </c>
      <c r="N218" s="297">
        <v>0.7909722222222223</v>
      </c>
      <c r="O218" s="19">
        <f>(Table6[[#This Row],[Work Start TimeStamp]]-Table6[[#This Row],[Fault Start TimeStamp]])*24</f>
        <v>0</v>
      </c>
      <c r="P218" s="19">
        <f>(Table6[[#This Row],[Fault Clearance time]]-Table6[[#This Row],[Fault Start TimeStamp]])*24</f>
        <v>8.3333333333335702E-2</v>
      </c>
      <c r="Q218" s="19">
        <f>(Table6[[#This Row],[Fault Clearance time]]-Table6[[#This Row],[Fault Start TimeStamp]])*24</f>
        <v>8.3333333333335702E-2</v>
      </c>
      <c r="R218" s="79" t="s">
        <v>353</v>
      </c>
      <c r="S218" s="79" t="s">
        <v>339</v>
      </c>
      <c r="T218" s="298">
        <f>IFERROR(Table6[[#This Row],[Breakdown Time]]*Table6[[#This Row],[Plant Equivalent Weightage]],"")</f>
        <v>1.8939393939394478E-3</v>
      </c>
      <c r="U218" s="79" t="s">
        <v>416</v>
      </c>
      <c r="W218" s="79">
        <v>42</v>
      </c>
    </row>
    <row r="219" spans="1:23">
      <c r="A219" s="79">
        <f t="shared" si="3"/>
        <v>218</v>
      </c>
      <c r="B219" s="79">
        <f>YEAR(Table6[[#This Row],[Date]])+IF(MONTH(Table6[[#This Row],[Date]])&gt;=4,1,0)</f>
        <v>2026</v>
      </c>
      <c r="C219" s="79">
        <f>YEAR(Table6[[#This Row],[Date]])</f>
        <v>2025</v>
      </c>
      <c r="D219" s="79" t="s">
        <v>344</v>
      </c>
      <c r="E219" s="284">
        <f>Table6[[#This Row],[Date]]-DAY(Table6[[#This Row],[Date]])+1</f>
        <v>45748</v>
      </c>
      <c r="F219" s="285">
        <v>45754</v>
      </c>
      <c r="G219" s="79" t="s">
        <v>108</v>
      </c>
      <c r="H219" s="79" t="str">
        <f>IFERROR(_xlfn.XLOOKUP(Table6[[#This Row],[Affected Feeder ]],'Basic Data'!$A:$A,'Basic Data'!$B:$B),"")</f>
        <v>PWEPL</v>
      </c>
      <c r="I219" s="79" t="str">
        <f>IFERROR(_xlfn.XLOOKUP(Table6[[#This Row],[Affected Feeder ]],'Basic Data'!$A:$A,'Basic Data'!$C:$C),"")</f>
        <v>MSEDCL</v>
      </c>
      <c r="J219" s="295">
        <f>IFERROR(_xlfn.XLOOKUP(Table6[[#This Row],[Affected Feeder ]],'Basic Data'!$A:$A,'Basic Data'!$E:$E),"")</f>
        <v>2.2727272727272728E-2</v>
      </c>
      <c r="K219" s="296" t="s">
        <v>414</v>
      </c>
      <c r="L219" s="297">
        <v>0.35833333333333334</v>
      </c>
      <c r="M219" s="297">
        <v>0.35833333333333334</v>
      </c>
      <c r="N219" s="297">
        <v>0.39513888888888887</v>
      </c>
      <c r="O219" s="19">
        <f>(Table6[[#This Row],[Work Start TimeStamp]]-Table6[[#This Row],[Fault Start TimeStamp]])*24</f>
        <v>0</v>
      </c>
      <c r="P219" s="19">
        <f>(Table6[[#This Row],[Fault Clearance time]]-Table6[[#This Row],[Fault Start TimeStamp]])*24</f>
        <v>0.88333333333333286</v>
      </c>
      <c r="Q219" s="19">
        <f>(Table6[[#This Row],[Fault Clearance time]]-Table6[[#This Row],[Fault Start TimeStamp]])*24</f>
        <v>0.88333333333333286</v>
      </c>
      <c r="R219" s="79" t="s">
        <v>441</v>
      </c>
      <c r="S219" s="79" t="s">
        <v>339</v>
      </c>
      <c r="T219" s="298">
        <f>IFERROR(Table6[[#This Row],[Breakdown Time]]*Table6[[#This Row],[Plant Equivalent Weightage]],"")</f>
        <v>2.0075757575757566E-2</v>
      </c>
      <c r="U219" s="79" t="s">
        <v>416</v>
      </c>
      <c r="W219" s="79">
        <v>112</v>
      </c>
    </row>
    <row r="220" spans="1:23">
      <c r="A220" s="79">
        <f t="shared" si="3"/>
        <v>219</v>
      </c>
      <c r="B220" s="79">
        <f>YEAR(Table6[[#This Row],[Date]])+IF(MONTH(Table6[[#This Row],[Date]])&gt;=4,1,0)</f>
        <v>2026</v>
      </c>
      <c r="C220" s="79">
        <f>YEAR(Table6[[#This Row],[Date]])</f>
        <v>2025</v>
      </c>
      <c r="D220" s="79" t="s">
        <v>344</v>
      </c>
      <c r="E220" s="284">
        <f>Table6[[#This Row],[Date]]-DAY(Table6[[#This Row],[Date]])+1</f>
        <v>45748</v>
      </c>
      <c r="F220" s="285">
        <v>45754</v>
      </c>
      <c r="G220" s="79" t="s">
        <v>108</v>
      </c>
      <c r="H220" s="79" t="str">
        <f>IFERROR(_xlfn.XLOOKUP(Table6[[#This Row],[Affected Feeder ]],'Basic Data'!$A:$A,'Basic Data'!$B:$B),"")</f>
        <v>PWEPL</v>
      </c>
      <c r="I220" s="79" t="str">
        <f>IFERROR(_xlfn.XLOOKUP(Table6[[#This Row],[Affected Feeder ]],'Basic Data'!$A:$A,'Basic Data'!$C:$C),"")</f>
        <v>MSEDCL</v>
      </c>
      <c r="J220" s="295">
        <f>IFERROR(_xlfn.XLOOKUP(Table6[[#This Row],[Affected Feeder ]],'Basic Data'!$A:$A,'Basic Data'!$E:$E),"")</f>
        <v>2.2727272727272728E-2</v>
      </c>
      <c r="K220" s="296" t="s">
        <v>171</v>
      </c>
      <c r="L220" s="297">
        <v>0.39513888888888887</v>
      </c>
      <c r="M220" s="297">
        <v>0.39513888888888887</v>
      </c>
      <c r="N220" s="297">
        <v>0.40902777777777777</v>
      </c>
      <c r="O220" s="19">
        <f>(Table6[[#This Row],[Work Start TimeStamp]]-Table6[[#This Row],[Fault Start TimeStamp]])*24</f>
        <v>0</v>
      </c>
      <c r="P220" s="19">
        <f>(Table6[[#This Row],[Fault Clearance time]]-Table6[[#This Row],[Fault Start TimeStamp]])*24</f>
        <v>0.33333333333333348</v>
      </c>
      <c r="Q220" s="19">
        <f>(Table6[[#This Row],[Fault Clearance time]]-Table6[[#This Row],[Fault Start TimeStamp]])*24</f>
        <v>0.33333333333333348</v>
      </c>
      <c r="R220" s="79" t="s">
        <v>353</v>
      </c>
      <c r="S220" s="79" t="s">
        <v>339</v>
      </c>
      <c r="T220" s="298">
        <f>IFERROR(Table6[[#This Row],[Breakdown Time]]*Table6[[#This Row],[Plant Equivalent Weightage]],"")</f>
        <v>7.5757575757575794E-3</v>
      </c>
      <c r="U220" s="79" t="s">
        <v>416</v>
      </c>
      <c r="W220" s="79">
        <v>42</v>
      </c>
    </row>
    <row r="221" spans="1:23">
      <c r="A221" s="79">
        <f t="shared" si="3"/>
        <v>220</v>
      </c>
      <c r="B221" s="79">
        <f>YEAR(Table6[[#This Row],[Date]])+IF(MONTH(Table6[[#This Row],[Date]])&gt;=4,1,0)</f>
        <v>2026</v>
      </c>
      <c r="C221" s="79">
        <f>YEAR(Table6[[#This Row],[Date]])</f>
        <v>2025</v>
      </c>
      <c r="D221" s="79" t="s">
        <v>344</v>
      </c>
      <c r="E221" s="284">
        <f>Table6[[#This Row],[Date]]-DAY(Table6[[#This Row],[Date]])+1</f>
        <v>45748</v>
      </c>
      <c r="F221" s="285">
        <v>45754</v>
      </c>
      <c r="G221" s="79" t="s">
        <v>80</v>
      </c>
      <c r="H221" s="79" t="str">
        <f>IFERROR(_xlfn.XLOOKUP(Table6[[#This Row],[Affected Feeder ]],'Basic Data'!$A:$A,'Basic Data'!$B:$B),"")</f>
        <v>PWEPL</v>
      </c>
      <c r="I221" s="79" t="str">
        <f>IFERROR(_xlfn.XLOOKUP(Table6[[#This Row],[Affected Feeder ]],'Basic Data'!$A:$A,'Basic Data'!$C:$C),"")</f>
        <v>MSEDCL</v>
      </c>
      <c r="J221" s="295">
        <f>IFERROR(_xlfn.XLOOKUP(Table6[[#This Row],[Affected Feeder ]],'Basic Data'!$A:$A,'Basic Data'!$E:$E),"")</f>
        <v>2.2727272727272728E-2</v>
      </c>
      <c r="K221" s="296" t="s">
        <v>414</v>
      </c>
      <c r="L221" s="297">
        <v>0.74305555555555547</v>
      </c>
      <c r="M221" s="297">
        <v>0.74305555555555547</v>
      </c>
      <c r="N221" s="297">
        <v>0.78749999999999998</v>
      </c>
      <c r="O221" s="19">
        <f>(Table6[[#This Row],[Work Start TimeStamp]]-Table6[[#This Row],[Fault Start TimeStamp]])*24</f>
        <v>0</v>
      </c>
      <c r="P221" s="19">
        <f>(Table6[[#This Row],[Fault Clearance time]]-Table6[[#This Row],[Fault Start TimeStamp]])*24</f>
        <v>1.0666666666666682</v>
      </c>
      <c r="Q221" s="19">
        <f>(Table6[[#This Row],[Fault Clearance time]]-Table6[[#This Row],[Fault Start TimeStamp]])*24</f>
        <v>1.0666666666666682</v>
      </c>
      <c r="R221" s="79" t="s">
        <v>442</v>
      </c>
      <c r="S221" s="79" t="s">
        <v>339</v>
      </c>
      <c r="T221" s="298">
        <f>IFERROR(Table6[[#This Row],[Breakdown Time]]*Table6[[#This Row],[Plant Equivalent Weightage]],"")</f>
        <v>2.4242424242424277E-2</v>
      </c>
      <c r="U221" s="79" t="s">
        <v>416</v>
      </c>
      <c r="W221" s="79">
        <v>135</v>
      </c>
    </row>
    <row r="222" spans="1:23">
      <c r="A222" s="79">
        <f t="shared" si="3"/>
        <v>221</v>
      </c>
      <c r="B222" s="79">
        <f>YEAR(Table6[[#This Row],[Date]])+IF(MONTH(Table6[[#This Row],[Date]])&gt;=4,1,0)</f>
        <v>2026</v>
      </c>
      <c r="C222" s="79">
        <f>YEAR(Table6[[#This Row],[Date]])</f>
        <v>2025</v>
      </c>
      <c r="D222" s="79" t="s">
        <v>344</v>
      </c>
      <c r="E222" s="284">
        <f>Table6[[#This Row],[Date]]-DAY(Table6[[#This Row],[Date]])+1</f>
        <v>45748</v>
      </c>
      <c r="F222" s="285">
        <v>45754</v>
      </c>
      <c r="G222" s="79" t="s">
        <v>80</v>
      </c>
      <c r="H222" s="79" t="str">
        <f>IFERROR(_xlfn.XLOOKUP(Table6[[#This Row],[Affected Feeder ]],'Basic Data'!$A:$A,'Basic Data'!$B:$B),"")</f>
        <v>PWEPL</v>
      </c>
      <c r="I222" s="79" t="str">
        <f>IFERROR(_xlfn.XLOOKUP(Table6[[#This Row],[Affected Feeder ]],'Basic Data'!$A:$A,'Basic Data'!$C:$C),"")</f>
        <v>MSEDCL</v>
      </c>
      <c r="J222" s="295">
        <f>IFERROR(_xlfn.XLOOKUP(Table6[[#This Row],[Affected Feeder ]],'Basic Data'!$A:$A,'Basic Data'!$E:$E),"")</f>
        <v>2.2727272727272728E-2</v>
      </c>
      <c r="K222" s="296" t="s">
        <v>171</v>
      </c>
      <c r="L222" s="297">
        <v>0.78749999999999998</v>
      </c>
      <c r="M222" s="297">
        <v>0.78749999999999998</v>
      </c>
      <c r="N222" s="297">
        <v>0.80138888888888893</v>
      </c>
      <c r="O222" s="19">
        <f>(Table6[[#This Row],[Work Start TimeStamp]]-Table6[[#This Row],[Fault Start TimeStamp]])*24</f>
        <v>0</v>
      </c>
      <c r="P222" s="19">
        <f>(Table6[[#This Row],[Fault Clearance time]]-Table6[[#This Row],[Fault Start TimeStamp]])*24</f>
        <v>0.33333333333333481</v>
      </c>
      <c r="Q222" s="19">
        <f>(Table6[[#This Row],[Fault Clearance time]]-Table6[[#This Row],[Fault Start TimeStamp]])*24</f>
        <v>0.33333333333333481</v>
      </c>
      <c r="R222" s="79" t="s">
        <v>353</v>
      </c>
      <c r="S222" s="79" t="s">
        <v>339</v>
      </c>
      <c r="T222" s="298">
        <f>IFERROR(Table6[[#This Row],[Breakdown Time]]*Table6[[#This Row],[Plant Equivalent Weightage]],"")</f>
        <v>7.5757575757576098E-3</v>
      </c>
      <c r="U222" s="79" t="s">
        <v>416</v>
      </c>
      <c r="W222" s="79">
        <v>42</v>
      </c>
    </row>
    <row r="223" spans="1:23">
      <c r="A223" s="79">
        <f t="shared" si="3"/>
        <v>222</v>
      </c>
      <c r="B223" s="79">
        <f>YEAR(Table6[[#This Row],[Date]])+IF(MONTH(Table6[[#This Row],[Date]])&gt;=4,1,0)</f>
        <v>2026</v>
      </c>
      <c r="C223" s="79">
        <f>YEAR(Table6[[#This Row],[Date]])</f>
        <v>2025</v>
      </c>
      <c r="D223" s="79" t="s">
        <v>344</v>
      </c>
      <c r="E223" s="284">
        <f>Table6[[#This Row],[Date]]-DAY(Table6[[#This Row],[Date]])+1</f>
        <v>45748</v>
      </c>
      <c r="F223" s="285">
        <v>45754</v>
      </c>
      <c r="G223" s="79" t="s">
        <v>81</v>
      </c>
      <c r="H223" s="79" t="str">
        <f>IFERROR(_xlfn.XLOOKUP(Table6[[#This Row],[Affected Feeder ]],'Basic Data'!$A:$A,'Basic Data'!$B:$B),"")</f>
        <v>PWEPL</v>
      </c>
      <c r="I223" s="79" t="str">
        <f>IFERROR(_xlfn.XLOOKUP(Table6[[#This Row],[Affected Feeder ]],'Basic Data'!$A:$A,'Basic Data'!$C:$C),"")</f>
        <v>MSEDCL</v>
      </c>
      <c r="J223" s="295">
        <f>IFERROR(_xlfn.XLOOKUP(Table6[[#This Row],[Affected Feeder ]],'Basic Data'!$A:$A,'Basic Data'!$E:$E),"")</f>
        <v>2.2727272727272728E-2</v>
      </c>
      <c r="K223" s="296" t="s">
        <v>414</v>
      </c>
      <c r="L223" s="297">
        <v>0.74305555555555547</v>
      </c>
      <c r="M223" s="297">
        <v>0.74305555555555547</v>
      </c>
      <c r="N223" s="297">
        <v>0.78749999999999998</v>
      </c>
      <c r="O223" s="19">
        <f>(Table6[[#This Row],[Work Start TimeStamp]]-Table6[[#This Row],[Fault Start TimeStamp]])*24</f>
        <v>0</v>
      </c>
      <c r="P223" s="19">
        <f>(Table6[[#This Row],[Fault Clearance time]]-Table6[[#This Row],[Fault Start TimeStamp]])*24</f>
        <v>1.0666666666666682</v>
      </c>
      <c r="Q223" s="19">
        <f>(Table6[[#This Row],[Fault Clearance time]]-Table6[[#This Row],[Fault Start TimeStamp]])*24</f>
        <v>1.0666666666666682</v>
      </c>
      <c r="R223" s="79" t="s">
        <v>442</v>
      </c>
      <c r="S223" s="79" t="s">
        <v>339</v>
      </c>
      <c r="T223" s="298">
        <f>IFERROR(Table6[[#This Row],[Breakdown Time]]*Table6[[#This Row],[Plant Equivalent Weightage]],"")</f>
        <v>2.4242424242424277E-2</v>
      </c>
      <c r="U223" s="79" t="s">
        <v>416</v>
      </c>
      <c r="W223" s="79">
        <v>135</v>
      </c>
    </row>
    <row r="224" spans="1:23">
      <c r="A224" s="79">
        <f t="shared" si="3"/>
        <v>223</v>
      </c>
      <c r="B224" s="79">
        <f>YEAR(Table6[[#This Row],[Date]])+IF(MONTH(Table6[[#This Row],[Date]])&gt;=4,1,0)</f>
        <v>2026</v>
      </c>
      <c r="C224" s="79">
        <f>YEAR(Table6[[#This Row],[Date]])</f>
        <v>2025</v>
      </c>
      <c r="D224" s="79" t="s">
        <v>344</v>
      </c>
      <c r="E224" s="284">
        <f>Table6[[#This Row],[Date]]-DAY(Table6[[#This Row],[Date]])+1</f>
        <v>45748</v>
      </c>
      <c r="F224" s="285">
        <v>45754</v>
      </c>
      <c r="G224" s="79" t="s">
        <v>81</v>
      </c>
      <c r="H224" s="79" t="str">
        <f>IFERROR(_xlfn.XLOOKUP(Table6[[#This Row],[Affected Feeder ]],'Basic Data'!$A:$A,'Basic Data'!$B:$B),"")</f>
        <v>PWEPL</v>
      </c>
      <c r="I224" s="79" t="str">
        <f>IFERROR(_xlfn.XLOOKUP(Table6[[#This Row],[Affected Feeder ]],'Basic Data'!$A:$A,'Basic Data'!$C:$C),"")</f>
        <v>MSEDCL</v>
      </c>
      <c r="J224" s="295">
        <f>IFERROR(_xlfn.XLOOKUP(Table6[[#This Row],[Affected Feeder ]],'Basic Data'!$A:$A,'Basic Data'!$E:$E),"")</f>
        <v>2.2727272727272728E-2</v>
      </c>
      <c r="K224" s="296" t="s">
        <v>171</v>
      </c>
      <c r="L224" s="297">
        <v>0.78749999999999998</v>
      </c>
      <c r="M224" s="297">
        <v>0.78749999999999998</v>
      </c>
      <c r="N224" s="297">
        <v>0.80138888888888893</v>
      </c>
      <c r="O224" s="19">
        <f>(Table6[[#This Row],[Work Start TimeStamp]]-Table6[[#This Row],[Fault Start TimeStamp]])*24</f>
        <v>0</v>
      </c>
      <c r="P224" s="19">
        <f>(Table6[[#This Row],[Fault Clearance time]]-Table6[[#This Row],[Fault Start TimeStamp]])*24</f>
        <v>0.33333333333333481</v>
      </c>
      <c r="Q224" s="19">
        <f>(Table6[[#This Row],[Fault Clearance time]]-Table6[[#This Row],[Fault Start TimeStamp]])*24</f>
        <v>0.33333333333333481</v>
      </c>
      <c r="R224" s="79" t="s">
        <v>353</v>
      </c>
      <c r="S224" s="79" t="s">
        <v>339</v>
      </c>
      <c r="T224" s="298">
        <f>IFERROR(Table6[[#This Row],[Breakdown Time]]*Table6[[#This Row],[Plant Equivalent Weightage]],"")</f>
        <v>7.5757575757576098E-3</v>
      </c>
      <c r="U224" s="79" t="s">
        <v>416</v>
      </c>
      <c r="W224" s="79">
        <v>42</v>
      </c>
    </row>
    <row r="225" spans="1:23">
      <c r="A225" s="79">
        <f t="shared" si="3"/>
        <v>224</v>
      </c>
      <c r="B225" s="79">
        <f>YEAR(Table6[[#This Row],[Date]])+IF(MONTH(Table6[[#This Row],[Date]])&gt;=4,1,0)</f>
        <v>2026</v>
      </c>
      <c r="C225" s="79">
        <f>YEAR(Table6[[#This Row],[Date]])</f>
        <v>2025</v>
      </c>
      <c r="D225" s="79" t="s">
        <v>344</v>
      </c>
      <c r="E225" s="284">
        <f>Table6[[#This Row],[Date]]-DAY(Table6[[#This Row],[Date]])+1</f>
        <v>45748</v>
      </c>
      <c r="F225" s="285">
        <v>45754</v>
      </c>
      <c r="G225" s="79" t="s">
        <v>108</v>
      </c>
      <c r="H225" s="79" t="str">
        <f>IFERROR(_xlfn.XLOOKUP(Table6[[#This Row],[Affected Feeder ]],'Basic Data'!$A:$A,'Basic Data'!$B:$B),"")</f>
        <v>PWEPL</v>
      </c>
      <c r="I225" s="79" t="str">
        <f>IFERROR(_xlfn.XLOOKUP(Table6[[#This Row],[Affected Feeder ]],'Basic Data'!$A:$A,'Basic Data'!$C:$C),"")</f>
        <v>MSEDCL</v>
      </c>
      <c r="J225" s="295">
        <f>IFERROR(_xlfn.XLOOKUP(Table6[[#This Row],[Affected Feeder ]],'Basic Data'!$A:$A,'Basic Data'!$E:$E),"")</f>
        <v>2.2727272727272728E-2</v>
      </c>
      <c r="K225" s="296" t="s">
        <v>414</v>
      </c>
      <c r="L225" s="297">
        <v>0.74305555555555547</v>
      </c>
      <c r="M225" s="297">
        <v>0.74305555555555547</v>
      </c>
      <c r="N225" s="297">
        <v>0.78749999999999998</v>
      </c>
      <c r="O225" s="19">
        <f>(Table6[[#This Row],[Work Start TimeStamp]]-Table6[[#This Row],[Fault Start TimeStamp]])*24</f>
        <v>0</v>
      </c>
      <c r="P225" s="19">
        <f>(Table6[[#This Row],[Fault Clearance time]]-Table6[[#This Row],[Fault Start TimeStamp]])*24</f>
        <v>1.0666666666666682</v>
      </c>
      <c r="Q225" s="19">
        <f>(Table6[[#This Row],[Fault Clearance time]]-Table6[[#This Row],[Fault Start TimeStamp]])*24</f>
        <v>1.0666666666666682</v>
      </c>
      <c r="R225" s="79" t="s">
        <v>442</v>
      </c>
      <c r="S225" s="79" t="s">
        <v>339</v>
      </c>
      <c r="T225" s="298">
        <f>IFERROR(Table6[[#This Row],[Breakdown Time]]*Table6[[#This Row],[Plant Equivalent Weightage]],"")</f>
        <v>2.4242424242424277E-2</v>
      </c>
      <c r="U225" s="79" t="s">
        <v>416</v>
      </c>
      <c r="W225" s="79">
        <v>135</v>
      </c>
    </row>
    <row r="226" spans="1:23">
      <c r="A226" s="79">
        <f t="shared" si="3"/>
        <v>225</v>
      </c>
      <c r="B226" s="79">
        <f>YEAR(Table6[[#This Row],[Date]])+IF(MONTH(Table6[[#This Row],[Date]])&gt;=4,1,0)</f>
        <v>2026</v>
      </c>
      <c r="C226" s="79">
        <f>YEAR(Table6[[#This Row],[Date]])</f>
        <v>2025</v>
      </c>
      <c r="D226" s="79" t="s">
        <v>344</v>
      </c>
      <c r="E226" s="284">
        <f>Table6[[#This Row],[Date]]-DAY(Table6[[#This Row],[Date]])+1</f>
        <v>45748</v>
      </c>
      <c r="F226" s="285">
        <v>45754</v>
      </c>
      <c r="G226" s="79" t="s">
        <v>108</v>
      </c>
      <c r="H226" s="79" t="str">
        <f>IFERROR(_xlfn.XLOOKUP(Table6[[#This Row],[Affected Feeder ]],'Basic Data'!$A:$A,'Basic Data'!$B:$B),"")</f>
        <v>PWEPL</v>
      </c>
      <c r="I226" s="79" t="str">
        <f>IFERROR(_xlfn.XLOOKUP(Table6[[#This Row],[Affected Feeder ]],'Basic Data'!$A:$A,'Basic Data'!$C:$C),"")</f>
        <v>MSEDCL</v>
      </c>
      <c r="J226" s="295">
        <f>IFERROR(_xlfn.XLOOKUP(Table6[[#This Row],[Affected Feeder ]],'Basic Data'!$A:$A,'Basic Data'!$E:$E),"")</f>
        <v>2.2727272727272728E-2</v>
      </c>
      <c r="K226" s="296" t="s">
        <v>171</v>
      </c>
      <c r="L226" s="297">
        <v>0.78749999999999998</v>
      </c>
      <c r="M226" s="297">
        <v>0.78749999999999998</v>
      </c>
      <c r="N226" s="297">
        <v>0.80138888888888893</v>
      </c>
      <c r="O226" s="19">
        <f>(Table6[[#This Row],[Work Start TimeStamp]]-Table6[[#This Row],[Fault Start TimeStamp]])*24</f>
        <v>0</v>
      </c>
      <c r="P226" s="19">
        <f>(Table6[[#This Row],[Fault Clearance time]]-Table6[[#This Row],[Fault Start TimeStamp]])*24</f>
        <v>0.33333333333333481</v>
      </c>
      <c r="Q226" s="19">
        <f>(Table6[[#This Row],[Fault Clearance time]]-Table6[[#This Row],[Fault Start TimeStamp]])*24</f>
        <v>0.33333333333333481</v>
      </c>
      <c r="R226" s="79" t="s">
        <v>353</v>
      </c>
      <c r="S226" s="79" t="s">
        <v>339</v>
      </c>
      <c r="T226" s="298">
        <f>IFERROR(Table6[[#This Row],[Breakdown Time]]*Table6[[#This Row],[Plant Equivalent Weightage]],"")</f>
        <v>7.5757575757576098E-3</v>
      </c>
      <c r="U226" s="79" t="s">
        <v>416</v>
      </c>
      <c r="W226" s="79">
        <v>42</v>
      </c>
    </row>
    <row r="227" spans="1:23">
      <c r="A227" s="79">
        <f t="shared" si="3"/>
        <v>226</v>
      </c>
      <c r="B227" s="79">
        <f>YEAR(Table6[[#This Row],[Date]])+IF(MONTH(Table6[[#This Row],[Date]])&gt;=4,1,0)</f>
        <v>2026</v>
      </c>
      <c r="C227" s="79">
        <f>YEAR(Table6[[#This Row],[Date]])</f>
        <v>2025</v>
      </c>
      <c r="D227" s="79" t="s">
        <v>344</v>
      </c>
      <c r="E227" s="284">
        <f>Table6[[#This Row],[Date]]-DAY(Table6[[#This Row],[Date]])+1</f>
        <v>45748</v>
      </c>
      <c r="F227" s="285">
        <v>45755</v>
      </c>
      <c r="G227" s="79" t="s">
        <v>109</v>
      </c>
      <c r="H227" s="79" t="str">
        <f>IFERROR(_xlfn.XLOOKUP(Table6[[#This Row],[Affected Feeder ]],'Basic Data'!$A:$A,'Basic Data'!$B:$B),"")</f>
        <v>PWEPL</v>
      </c>
      <c r="I227" s="79" t="str">
        <f>IFERROR(_xlfn.XLOOKUP(Table6[[#This Row],[Affected Feeder ]],'Basic Data'!$A:$A,'Basic Data'!$C:$C),"")</f>
        <v>MSEDCL</v>
      </c>
      <c r="J227" s="295">
        <f>IFERROR(_xlfn.XLOOKUP(Table6[[#This Row],[Affected Feeder ]],'Basic Data'!$A:$A,'Basic Data'!$E:$E),"")</f>
        <v>2.2727272727272728E-2</v>
      </c>
      <c r="K227" s="296" t="s">
        <v>414</v>
      </c>
      <c r="L227" s="297">
        <v>0.33749999999999997</v>
      </c>
      <c r="M227" s="297">
        <v>0.33749999999999997</v>
      </c>
      <c r="N227" s="297">
        <v>0.37291666666666662</v>
      </c>
      <c r="O227" s="19">
        <f>(Table6[[#This Row],[Work Start TimeStamp]]-Table6[[#This Row],[Fault Start TimeStamp]])*24</f>
        <v>0</v>
      </c>
      <c r="P227" s="19">
        <f>(Table6[[#This Row],[Fault Clearance time]]-Table6[[#This Row],[Fault Start TimeStamp]])*24</f>
        <v>0.84999999999999964</v>
      </c>
      <c r="Q227" s="19">
        <f>(Table6[[#This Row],[Fault Clearance time]]-Table6[[#This Row],[Fault Start TimeStamp]])*24</f>
        <v>0.84999999999999964</v>
      </c>
      <c r="R227" s="79" t="s">
        <v>443</v>
      </c>
      <c r="S227" s="79" t="s">
        <v>339</v>
      </c>
      <c r="T227" s="298">
        <f>IFERROR(Table6[[#This Row],[Breakdown Time]]*Table6[[#This Row],[Plant Equivalent Weightage]],"")</f>
        <v>1.9318181818181811E-2</v>
      </c>
      <c r="U227" s="79" t="s">
        <v>416</v>
      </c>
      <c r="W227" s="79">
        <v>74</v>
      </c>
    </row>
    <row r="228" spans="1:23">
      <c r="A228" s="79">
        <f t="shared" si="3"/>
        <v>227</v>
      </c>
      <c r="B228" s="79">
        <f>YEAR(Table6[[#This Row],[Date]])+IF(MONTH(Table6[[#This Row],[Date]])&gt;=4,1,0)</f>
        <v>2026</v>
      </c>
      <c r="C228" s="79">
        <f>YEAR(Table6[[#This Row],[Date]])</f>
        <v>2025</v>
      </c>
      <c r="D228" s="79" t="s">
        <v>344</v>
      </c>
      <c r="E228" s="284">
        <f>Table6[[#This Row],[Date]]-DAY(Table6[[#This Row],[Date]])+1</f>
        <v>45748</v>
      </c>
      <c r="F228" s="285">
        <v>45755</v>
      </c>
      <c r="G228" s="79" t="s">
        <v>109</v>
      </c>
      <c r="H228" s="79" t="str">
        <f>IFERROR(_xlfn.XLOOKUP(Table6[[#This Row],[Affected Feeder ]],'Basic Data'!$A:$A,'Basic Data'!$B:$B),"")</f>
        <v>PWEPL</v>
      </c>
      <c r="I228" s="79" t="str">
        <f>IFERROR(_xlfn.XLOOKUP(Table6[[#This Row],[Affected Feeder ]],'Basic Data'!$A:$A,'Basic Data'!$C:$C),"")</f>
        <v>MSEDCL</v>
      </c>
      <c r="J228" s="295">
        <f>IFERROR(_xlfn.XLOOKUP(Table6[[#This Row],[Affected Feeder ]],'Basic Data'!$A:$A,'Basic Data'!$E:$E),"")</f>
        <v>2.2727272727272728E-2</v>
      </c>
      <c r="K228" s="296" t="s">
        <v>171</v>
      </c>
      <c r="L228" s="297">
        <v>0.37291666666666662</v>
      </c>
      <c r="M228" s="297">
        <v>0.37291666666666662</v>
      </c>
      <c r="N228" s="297">
        <v>0.38680555555555557</v>
      </c>
      <c r="O228" s="19">
        <f>(Table6[[#This Row],[Work Start TimeStamp]]-Table6[[#This Row],[Fault Start TimeStamp]])*24</f>
        <v>0</v>
      </c>
      <c r="P228" s="19">
        <f>(Table6[[#This Row],[Fault Clearance time]]-Table6[[#This Row],[Fault Start TimeStamp]])*24</f>
        <v>0.33333333333333481</v>
      </c>
      <c r="Q228" s="19">
        <f>(Table6[[#This Row],[Fault Clearance time]]-Table6[[#This Row],[Fault Start TimeStamp]])*24</f>
        <v>0.33333333333333481</v>
      </c>
      <c r="R228" s="79" t="s">
        <v>353</v>
      </c>
      <c r="S228" s="79" t="s">
        <v>339</v>
      </c>
      <c r="T228" s="298">
        <f>IFERROR(Table6[[#This Row],[Breakdown Time]]*Table6[[#This Row],[Plant Equivalent Weightage]],"")</f>
        <v>7.5757575757576098E-3</v>
      </c>
      <c r="U228" s="79" t="s">
        <v>416</v>
      </c>
      <c r="W228" s="79">
        <v>20</v>
      </c>
    </row>
    <row r="229" spans="1:23">
      <c r="A229" s="79">
        <f t="shared" si="3"/>
        <v>228</v>
      </c>
      <c r="B229" s="79">
        <f>YEAR(Table6[[#This Row],[Date]])+IF(MONTH(Table6[[#This Row],[Date]])&gt;=4,1,0)</f>
        <v>2026</v>
      </c>
      <c r="C229" s="79">
        <f>YEAR(Table6[[#This Row],[Date]])</f>
        <v>2025</v>
      </c>
      <c r="D229" s="79" t="s">
        <v>344</v>
      </c>
      <c r="E229" s="284">
        <f>Table6[[#This Row],[Date]]-DAY(Table6[[#This Row],[Date]])+1</f>
        <v>45748</v>
      </c>
      <c r="F229" s="285">
        <v>45755</v>
      </c>
      <c r="G229" s="79" t="s">
        <v>111</v>
      </c>
      <c r="H229" s="79" t="str">
        <f>IFERROR(_xlfn.XLOOKUP(Table6[[#This Row],[Affected Feeder ]],'Basic Data'!$A:$A,'Basic Data'!$B:$B),"")</f>
        <v>PWEPL</v>
      </c>
      <c r="I229" s="79" t="str">
        <f>IFERROR(_xlfn.XLOOKUP(Table6[[#This Row],[Affected Feeder ]],'Basic Data'!$A:$A,'Basic Data'!$C:$C),"")</f>
        <v>MSEDCL</v>
      </c>
      <c r="J229" s="295">
        <f>IFERROR(_xlfn.XLOOKUP(Table6[[#This Row],[Affected Feeder ]],'Basic Data'!$A:$A,'Basic Data'!$E:$E),"")</f>
        <v>2.2727272727272728E-2</v>
      </c>
      <c r="K229" s="296" t="s">
        <v>414</v>
      </c>
      <c r="L229" s="297">
        <v>0.33749999999999997</v>
      </c>
      <c r="M229" s="297">
        <v>0.33749999999999997</v>
      </c>
      <c r="N229" s="297">
        <v>0.37291666666666662</v>
      </c>
      <c r="O229" s="19">
        <f>(Table6[[#This Row],[Work Start TimeStamp]]-Table6[[#This Row],[Fault Start TimeStamp]])*24</f>
        <v>0</v>
      </c>
      <c r="P229" s="19">
        <f>(Table6[[#This Row],[Fault Clearance time]]-Table6[[#This Row],[Fault Start TimeStamp]])*24</f>
        <v>0.84999999999999964</v>
      </c>
      <c r="Q229" s="19">
        <f>(Table6[[#This Row],[Fault Clearance time]]-Table6[[#This Row],[Fault Start TimeStamp]])*24</f>
        <v>0.84999999999999964</v>
      </c>
      <c r="R229" s="79" t="s">
        <v>443</v>
      </c>
      <c r="S229" s="79" t="s">
        <v>339</v>
      </c>
      <c r="T229" s="298">
        <f>IFERROR(Table6[[#This Row],[Breakdown Time]]*Table6[[#This Row],[Plant Equivalent Weightage]],"")</f>
        <v>1.9318181818181811E-2</v>
      </c>
      <c r="U229" s="79" t="s">
        <v>416</v>
      </c>
      <c r="W229" s="79">
        <v>74</v>
      </c>
    </row>
    <row r="230" spans="1:23">
      <c r="A230" s="79">
        <f t="shared" si="3"/>
        <v>229</v>
      </c>
      <c r="B230" s="79">
        <f>YEAR(Table6[[#This Row],[Date]])+IF(MONTH(Table6[[#This Row],[Date]])&gt;=4,1,0)</f>
        <v>2026</v>
      </c>
      <c r="C230" s="79">
        <f>YEAR(Table6[[#This Row],[Date]])</f>
        <v>2025</v>
      </c>
      <c r="D230" s="79" t="s">
        <v>344</v>
      </c>
      <c r="E230" s="284">
        <f>Table6[[#This Row],[Date]]-DAY(Table6[[#This Row],[Date]])+1</f>
        <v>45748</v>
      </c>
      <c r="F230" s="285">
        <v>45755</v>
      </c>
      <c r="G230" s="79" t="s">
        <v>111</v>
      </c>
      <c r="H230" s="79" t="str">
        <f>IFERROR(_xlfn.XLOOKUP(Table6[[#This Row],[Affected Feeder ]],'Basic Data'!$A:$A,'Basic Data'!$B:$B),"")</f>
        <v>PWEPL</v>
      </c>
      <c r="I230" s="79" t="str">
        <f>IFERROR(_xlfn.XLOOKUP(Table6[[#This Row],[Affected Feeder ]],'Basic Data'!$A:$A,'Basic Data'!$C:$C),"")</f>
        <v>MSEDCL</v>
      </c>
      <c r="J230" s="295">
        <f>IFERROR(_xlfn.XLOOKUP(Table6[[#This Row],[Affected Feeder ]],'Basic Data'!$A:$A,'Basic Data'!$E:$E),"")</f>
        <v>2.2727272727272728E-2</v>
      </c>
      <c r="K230" s="296" t="s">
        <v>171</v>
      </c>
      <c r="L230" s="297">
        <v>0.37291666666666662</v>
      </c>
      <c r="M230" s="297">
        <v>0.37291666666666662</v>
      </c>
      <c r="N230" s="297">
        <v>0.38680555555555557</v>
      </c>
      <c r="O230" s="19">
        <f>(Table6[[#This Row],[Work Start TimeStamp]]-Table6[[#This Row],[Fault Start TimeStamp]])*24</f>
        <v>0</v>
      </c>
      <c r="P230" s="19">
        <f>(Table6[[#This Row],[Fault Clearance time]]-Table6[[#This Row],[Fault Start TimeStamp]])*24</f>
        <v>0.33333333333333481</v>
      </c>
      <c r="Q230" s="19">
        <f>(Table6[[#This Row],[Fault Clearance time]]-Table6[[#This Row],[Fault Start TimeStamp]])*24</f>
        <v>0.33333333333333481</v>
      </c>
      <c r="R230" s="79" t="s">
        <v>353</v>
      </c>
      <c r="S230" s="79" t="s">
        <v>339</v>
      </c>
      <c r="T230" s="298">
        <f>IFERROR(Table6[[#This Row],[Breakdown Time]]*Table6[[#This Row],[Plant Equivalent Weightage]],"")</f>
        <v>7.5757575757576098E-3</v>
      </c>
      <c r="U230" s="79" t="s">
        <v>416</v>
      </c>
      <c r="W230" s="79">
        <v>20</v>
      </c>
    </row>
    <row r="231" spans="1:23">
      <c r="A231" s="79">
        <f t="shared" si="3"/>
        <v>230</v>
      </c>
      <c r="B231" s="79">
        <f>YEAR(Table6[[#This Row],[Date]])+IF(MONTH(Table6[[#This Row],[Date]])&gt;=4,1,0)</f>
        <v>2026</v>
      </c>
      <c r="C231" s="79">
        <f>YEAR(Table6[[#This Row],[Date]])</f>
        <v>2025</v>
      </c>
      <c r="D231" s="79" t="s">
        <v>344</v>
      </c>
      <c r="E231" s="284">
        <f>Table6[[#This Row],[Date]]-DAY(Table6[[#This Row],[Date]])+1</f>
        <v>45748</v>
      </c>
      <c r="F231" s="285">
        <v>45755</v>
      </c>
      <c r="G231" s="79" t="s">
        <v>112</v>
      </c>
      <c r="H231" s="79" t="str">
        <f>IFERROR(_xlfn.XLOOKUP(Table6[[#This Row],[Affected Feeder ]],'Basic Data'!$A:$A,'Basic Data'!$B:$B),"")</f>
        <v>PWEPL</v>
      </c>
      <c r="I231" s="79" t="str">
        <f>IFERROR(_xlfn.XLOOKUP(Table6[[#This Row],[Affected Feeder ]],'Basic Data'!$A:$A,'Basic Data'!$C:$C),"")</f>
        <v>MSEDCL</v>
      </c>
      <c r="J231" s="295">
        <f>IFERROR(_xlfn.XLOOKUP(Table6[[#This Row],[Affected Feeder ]],'Basic Data'!$A:$A,'Basic Data'!$E:$E),"")</f>
        <v>2.2727272727272728E-2</v>
      </c>
      <c r="K231" s="296" t="s">
        <v>414</v>
      </c>
      <c r="L231" s="297">
        <v>0.33749999999999997</v>
      </c>
      <c r="M231" s="297">
        <v>0.33749999999999997</v>
      </c>
      <c r="N231" s="297">
        <v>0.37291666666666662</v>
      </c>
      <c r="O231" s="19">
        <f>(Table6[[#This Row],[Work Start TimeStamp]]-Table6[[#This Row],[Fault Start TimeStamp]])*24</f>
        <v>0</v>
      </c>
      <c r="P231" s="19">
        <f>(Table6[[#This Row],[Fault Clearance time]]-Table6[[#This Row],[Fault Start TimeStamp]])*24</f>
        <v>0.84999999999999964</v>
      </c>
      <c r="Q231" s="19">
        <f>(Table6[[#This Row],[Fault Clearance time]]-Table6[[#This Row],[Fault Start TimeStamp]])*24</f>
        <v>0.84999999999999964</v>
      </c>
      <c r="R231" s="79" t="s">
        <v>443</v>
      </c>
      <c r="S231" s="79" t="s">
        <v>339</v>
      </c>
      <c r="T231" s="298">
        <f>IFERROR(Table6[[#This Row],[Breakdown Time]]*Table6[[#This Row],[Plant Equivalent Weightage]],"")</f>
        <v>1.9318181818181811E-2</v>
      </c>
      <c r="U231" s="79" t="s">
        <v>416</v>
      </c>
      <c r="W231" s="79">
        <v>74</v>
      </c>
    </row>
    <row r="232" spans="1:23">
      <c r="A232" s="79">
        <f t="shared" si="3"/>
        <v>231</v>
      </c>
      <c r="B232" s="79">
        <f>YEAR(Table6[[#This Row],[Date]])+IF(MONTH(Table6[[#This Row],[Date]])&gt;=4,1,0)</f>
        <v>2026</v>
      </c>
      <c r="C232" s="79">
        <f>YEAR(Table6[[#This Row],[Date]])</f>
        <v>2025</v>
      </c>
      <c r="D232" s="79" t="s">
        <v>344</v>
      </c>
      <c r="E232" s="284">
        <f>Table6[[#This Row],[Date]]-DAY(Table6[[#This Row],[Date]])+1</f>
        <v>45748</v>
      </c>
      <c r="F232" s="285">
        <v>45755</v>
      </c>
      <c r="G232" s="79" t="s">
        <v>112</v>
      </c>
      <c r="H232" s="79" t="str">
        <f>IFERROR(_xlfn.XLOOKUP(Table6[[#This Row],[Affected Feeder ]],'Basic Data'!$A:$A,'Basic Data'!$B:$B),"")</f>
        <v>PWEPL</v>
      </c>
      <c r="I232" s="79" t="str">
        <f>IFERROR(_xlfn.XLOOKUP(Table6[[#This Row],[Affected Feeder ]],'Basic Data'!$A:$A,'Basic Data'!$C:$C),"")</f>
        <v>MSEDCL</v>
      </c>
      <c r="J232" s="295">
        <f>IFERROR(_xlfn.XLOOKUP(Table6[[#This Row],[Affected Feeder ]],'Basic Data'!$A:$A,'Basic Data'!$E:$E),"")</f>
        <v>2.2727272727272728E-2</v>
      </c>
      <c r="K232" s="296" t="s">
        <v>171</v>
      </c>
      <c r="L232" s="297">
        <v>0.37291666666666662</v>
      </c>
      <c r="M232" s="297">
        <v>0.37291666666666662</v>
      </c>
      <c r="N232" s="297">
        <v>0.38680555555555557</v>
      </c>
      <c r="O232" s="19">
        <f>(Table6[[#This Row],[Work Start TimeStamp]]-Table6[[#This Row],[Fault Start TimeStamp]])*24</f>
        <v>0</v>
      </c>
      <c r="P232" s="19">
        <f>(Table6[[#This Row],[Fault Clearance time]]-Table6[[#This Row],[Fault Start TimeStamp]])*24</f>
        <v>0.33333333333333481</v>
      </c>
      <c r="Q232" s="19">
        <f>(Table6[[#This Row],[Fault Clearance time]]-Table6[[#This Row],[Fault Start TimeStamp]])*24</f>
        <v>0.33333333333333481</v>
      </c>
      <c r="R232" s="79" t="s">
        <v>353</v>
      </c>
      <c r="S232" s="79" t="s">
        <v>339</v>
      </c>
      <c r="T232" s="298">
        <f>IFERROR(Table6[[#This Row],[Breakdown Time]]*Table6[[#This Row],[Plant Equivalent Weightage]],"")</f>
        <v>7.5757575757576098E-3</v>
      </c>
      <c r="U232" s="79" t="s">
        <v>416</v>
      </c>
      <c r="W232" s="79">
        <v>20</v>
      </c>
    </row>
    <row r="233" spans="1:23">
      <c r="A233" s="79">
        <f t="shared" si="3"/>
        <v>232</v>
      </c>
      <c r="B233" s="79">
        <f>YEAR(Table6[[#This Row],[Date]])+IF(MONTH(Table6[[#This Row],[Date]])&gt;=4,1,0)</f>
        <v>2026</v>
      </c>
      <c r="C233" s="79">
        <f>YEAR(Table6[[#This Row],[Date]])</f>
        <v>2025</v>
      </c>
      <c r="D233" s="79" t="s">
        <v>344</v>
      </c>
      <c r="E233" s="284">
        <f>Table6[[#This Row],[Date]]-DAY(Table6[[#This Row],[Date]])+1</f>
        <v>45748</v>
      </c>
      <c r="F233" s="285">
        <v>45755</v>
      </c>
      <c r="G233" s="79" t="s">
        <v>113</v>
      </c>
      <c r="H233" s="79" t="str">
        <f>IFERROR(_xlfn.XLOOKUP(Table6[[#This Row],[Affected Feeder ]],'Basic Data'!$A:$A,'Basic Data'!$B:$B),"")</f>
        <v>PWEPL</v>
      </c>
      <c r="I233" s="79" t="str">
        <f>IFERROR(_xlfn.XLOOKUP(Table6[[#This Row],[Affected Feeder ]],'Basic Data'!$A:$A,'Basic Data'!$C:$C),"")</f>
        <v>MSEDCL</v>
      </c>
      <c r="J233" s="295">
        <f>IFERROR(_xlfn.XLOOKUP(Table6[[#This Row],[Affected Feeder ]],'Basic Data'!$A:$A,'Basic Data'!$E:$E),"")</f>
        <v>2.2727272727272728E-2</v>
      </c>
      <c r="K233" s="296" t="s">
        <v>414</v>
      </c>
      <c r="L233" s="297">
        <v>0.33750000000000002</v>
      </c>
      <c r="M233" s="297">
        <v>0.33750000000000002</v>
      </c>
      <c r="N233" s="297">
        <v>0.70972222222222225</v>
      </c>
      <c r="O233" s="19">
        <f>(Table6[[#This Row],[Work Start TimeStamp]]-Table6[[#This Row],[Fault Start TimeStamp]])*24</f>
        <v>0</v>
      </c>
      <c r="P233" s="19">
        <f>(Table6[[#This Row],[Fault Clearance time]]-Table6[[#This Row],[Fault Start TimeStamp]])*24</f>
        <v>8.9333333333333336</v>
      </c>
      <c r="Q233" s="19">
        <f>(Table6[[#This Row],[Fault Clearance time]]-Table6[[#This Row],[Fault Start TimeStamp]])*24</f>
        <v>8.9333333333333336</v>
      </c>
      <c r="R233" s="79" t="s">
        <v>444</v>
      </c>
      <c r="S233" s="79" t="s">
        <v>339</v>
      </c>
      <c r="T233" s="298">
        <f>IFERROR(Table6[[#This Row],[Breakdown Time]]*Table6[[#This Row],[Plant Equivalent Weightage]],"")</f>
        <v>0.20303030303030303</v>
      </c>
      <c r="U233" s="79" t="s">
        <v>416</v>
      </c>
      <c r="W233" s="79">
        <v>785</v>
      </c>
    </row>
    <row r="234" spans="1:23">
      <c r="A234" s="79">
        <f t="shared" si="3"/>
        <v>233</v>
      </c>
      <c r="B234" s="79">
        <f>YEAR(Table6[[#This Row],[Date]])+IF(MONTH(Table6[[#This Row],[Date]])&gt;=4,1,0)</f>
        <v>2026</v>
      </c>
      <c r="C234" s="79">
        <f>YEAR(Table6[[#This Row],[Date]])</f>
        <v>2025</v>
      </c>
      <c r="D234" s="79" t="s">
        <v>344</v>
      </c>
      <c r="E234" s="284">
        <f>Table6[[#This Row],[Date]]-DAY(Table6[[#This Row],[Date]])+1</f>
        <v>45748</v>
      </c>
      <c r="F234" s="285">
        <v>45755</v>
      </c>
      <c r="G234" s="79" t="s">
        <v>114</v>
      </c>
      <c r="H234" s="79" t="str">
        <f>IFERROR(_xlfn.XLOOKUP(Table6[[#This Row],[Affected Feeder ]],'Basic Data'!$A:$A,'Basic Data'!$B:$B),"")</f>
        <v>PWEPL</v>
      </c>
      <c r="I234" s="79" t="str">
        <f>IFERROR(_xlfn.XLOOKUP(Table6[[#This Row],[Affected Feeder ]],'Basic Data'!$A:$A,'Basic Data'!$C:$C),"")</f>
        <v>MSEDCL</v>
      </c>
      <c r="J234" s="295">
        <f>IFERROR(_xlfn.XLOOKUP(Table6[[#This Row],[Affected Feeder ]],'Basic Data'!$A:$A,'Basic Data'!$E:$E),"")</f>
        <v>2.2727272727272728E-2</v>
      </c>
      <c r="K234" s="296" t="s">
        <v>414</v>
      </c>
      <c r="L234" s="297">
        <v>0.33749999999999997</v>
      </c>
      <c r="M234" s="297">
        <v>0.33749999999999997</v>
      </c>
      <c r="N234" s="297">
        <v>0.37291666666666662</v>
      </c>
      <c r="O234" s="19">
        <f>(Table6[[#This Row],[Work Start TimeStamp]]-Table6[[#This Row],[Fault Start TimeStamp]])*24</f>
        <v>0</v>
      </c>
      <c r="P234" s="19">
        <f>(Table6[[#This Row],[Fault Clearance time]]-Table6[[#This Row],[Fault Start TimeStamp]])*24</f>
        <v>0.84999999999999964</v>
      </c>
      <c r="Q234" s="19">
        <f>(Table6[[#This Row],[Fault Clearance time]]-Table6[[#This Row],[Fault Start TimeStamp]])*24</f>
        <v>0.84999999999999964</v>
      </c>
      <c r="R234" s="79" t="s">
        <v>443</v>
      </c>
      <c r="S234" s="79" t="s">
        <v>339</v>
      </c>
      <c r="T234" s="298">
        <f>IFERROR(Table6[[#This Row],[Breakdown Time]]*Table6[[#This Row],[Plant Equivalent Weightage]],"")</f>
        <v>1.9318181818181811E-2</v>
      </c>
      <c r="U234" s="79" t="s">
        <v>416</v>
      </c>
      <c r="W234" s="79">
        <v>74</v>
      </c>
    </row>
    <row r="235" spans="1:23">
      <c r="A235" s="79">
        <f t="shared" si="3"/>
        <v>234</v>
      </c>
      <c r="B235" s="79">
        <f>YEAR(Table6[[#This Row],[Date]])+IF(MONTH(Table6[[#This Row],[Date]])&gt;=4,1,0)</f>
        <v>2026</v>
      </c>
      <c r="C235" s="79">
        <f>YEAR(Table6[[#This Row],[Date]])</f>
        <v>2025</v>
      </c>
      <c r="D235" s="79" t="s">
        <v>344</v>
      </c>
      <c r="E235" s="284">
        <f>Table6[[#This Row],[Date]]-DAY(Table6[[#This Row],[Date]])+1</f>
        <v>45748</v>
      </c>
      <c r="F235" s="285">
        <v>45755</v>
      </c>
      <c r="G235" s="79" t="s">
        <v>114</v>
      </c>
      <c r="H235" s="79" t="str">
        <f>IFERROR(_xlfn.XLOOKUP(Table6[[#This Row],[Affected Feeder ]],'Basic Data'!$A:$A,'Basic Data'!$B:$B),"")</f>
        <v>PWEPL</v>
      </c>
      <c r="I235" s="79" t="str">
        <f>IFERROR(_xlfn.XLOOKUP(Table6[[#This Row],[Affected Feeder ]],'Basic Data'!$A:$A,'Basic Data'!$C:$C),"")</f>
        <v>MSEDCL</v>
      </c>
      <c r="J235" s="295">
        <f>IFERROR(_xlfn.XLOOKUP(Table6[[#This Row],[Affected Feeder ]],'Basic Data'!$A:$A,'Basic Data'!$E:$E),"")</f>
        <v>2.2727272727272728E-2</v>
      </c>
      <c r="K235" s="296" t="s">
        <v>171</v>
      </c>
      <c r="L235" s="297">
        <v>0.37291666666666662</v>
      </c>
      <c r="M235" s="297">
        <v>0.37291666666666662</v>
      </c>
      <c r="N235" s="297">
        <v>0.38680555555555557</v>
      </c>
      <c r="O235" s="19">
        <f>(Table6[[#This Row],[Work Start TimeStamp]]-Table6[[#This Row],[Fault Start TimeStamp]])*24</f>
        <v>0</v>
      </c>
      <c r="P235" s="19">
        <f>(Table6[[#This Row],[Fault Clearance time]]-Table6[[#This Row],[Fault Start TimeStamp]])*24</f>
        <v>0.33333333333333481</v>
      </c>
      <c r="Q235" s="19">
        <f>(Table6[[#This Row],[Fault Clearance time]]-Table6[[#This Row],[Fault Start TimeStamp]])*24</f>
        <v>0.33333333333333481</v>
      </c>
      <c r="R235" s="79" t="s">
        <v>353</v>
      </c>
      <c r="S235" s="79" t="s">
        <v>339</v>
      </c>
      <c r="T235" s="298">
        <f>IFERROR(Table6[[#This Row],[Breakdown Time]]*Table6[[#This Row],[Plant Equivalent Weightage]],"")</f>
        <v>7.5757575757576098E-3</v>
      </c>
      <c r="U235" s="79" t="s">
        <v>416</v>
      </c>
      <c r="W235" s="79">
        <v>20</v>
      </c>
    </row>
    <row r="236" spans="1:23">
      <c r="A236" s="79">
        <f t="shared" si="3"/>
        <v>235</v>
      </c>
      <c r="B236" s="79">
        <f>YEAR(Table6[[#This Row],[Date]])+IF(MONTH(Table6[[#This Row],[Date]])&gt;=4,1,0)</f>
        <v>2026</v>
      </c>
      <c r="C236" s="79">
        <f>YEAR(Table6[[#This Row],[Date]])</f>
        <v>2025</v>
      </c>
      <c r="D236" s="79" t="s">
        <v>344</v>
      </c>
      <c r="E236" s="284">
        <f>Table6[[#This Row],[Date]]-DAY(Table6[[#This Row],[Date]])+1</f>
        <v>45748</v>
      </c>
      <c r="F236" s="285">
        <v>45756</v>
      </c>
      <c r="G236" s="79" t="s">
        <v>109</v>
      </c>
      <c r="H236" s="79" t="str">
        <f>IFERROR(_xlfn.XLOOKUP(Table6[[#This Row],[Affected Feeder ]],'Basic Data'!$A:$A,'Basic Data'!$B:$B),"")</f>
        <v>PWEPL</v>
      </c>
      <c r="I236" s="79" t="str">
        <f>IFERROR(_xlfn.XLOOKUP(Table6[[#This Row],[Affected Feeder ]],'Basic Data'!$A:$A,'Basic Data'!$C:$C),"")</f>
        <v>MSEDCL</v>
      </c>
      <c r="J236" s="295">
        <f>IFERROR(_xlfn.XLOOKUP(Table6[[#This Row],[Affected Feeder ]],'Basic Data'!$A:$A,'Basic Data'!$E:$E),"")</f>
        <v>2.2727272727272728E-2</v>
      </c>
      <c r="K236" s="296" t="s">
        <v>414</v>
      </c>
      <c r="L236" s="297">
        <v>0.3354166666666667</v>
      </c>
      <c r="M236" s="297">
        <v>0.3354166666666667</v>
      </c>
      <c r="N236" s="297">
        <v>0.36527777777777781</v>
      </c>
      <c r="O236" s="19">
        <f>(Table6[[#This Row],[Work Start TimeStamp]]-Table6[[#This Row],[Fault Start TimeStamp]])*24</f>
        <v>0</v>
      </c>
      <c r="P236" s="19">
        <f>(Table6[[#This Row],[Fault Clearance time]]-Table6[[#This Row],[Fault Start TimeStamp]])*24</f>
        <v>0.71666666666666679</v>
      </c>
      <c r="Q236" s="19">
        <f>(Table6[[#This Row],[Fault Clearance time]]-Table6[[#This Row],[Fault Start TimeStamp]])*24</f>
        <v>0.71666666666666679</v>
      </c>
      <c r="R236" s="79" t="s">
        <v>445</v>
      </c>
      <c r="S236" s="79" t="s">
        <v>339</v>
      </c>
      <c r="T236" s="298">
        <f>IFERROR(Table6[[#This Row],[Breakdown Time]]*Table6[[#This Row],[Plant Equivalent Weightage]],"")</f>
        <v>1.6287878787878792E-2</v>
      </c>
      <c r="U236" s="79" t="s">
        <v>416</v>
      </c>
      <c r="W236" s="79">
        <v>95</v>
      </c>
    </row>
    <row r="237" spans="1:23">
      <c r="A237" s="79">
        <f t="shared" si="3"/>
        <v>236</v>
      </c>
      <c r="B237" s="79">
        <f>YEAR(Table6[[#This Row],[Date]])+IF(MONTH(Table6[[#This Row],[Date]])&gt;=4,1,0)</f>
        <v>2026</v>
      </c>
      <c r="C237" s="79">
        <f>YEAR(Table6[[#This Row],[Date]])</f>
        <v>2025</v>
      </c>
      <c r="D237" s="79" t="s">
        <v>344</v>
      </c>
      <c r="E237" s="284">
        <f>Table6[[#This Row],[Date]]-DAY(Table6[[#This Row],[Date]])+1</f>
        <v>45748</v>
      </c>
      <c r="F237" s="285">
        <v>45756</v>
      </c>
      <c r="G237" s="79" t="s">
        <v>109</v>
      </c>
      <c r="H237" s="79" t="str">
        <f>IFERROR(_xlfn.XLOOKUP(Table6[[#This Row],[Affected Feeder ]],'Basic Data'!$A:$A,'Basic Data'!$B:$B),"")</f>
        <v>PWEPL</v>
      </c>
      <c r="I237" s="79" t="str">
        <f>IFERROR(_xlfn.XLOOKUP(Table6[[#This Row],[Affected Feeder ]],'Basic Data'!$A:$A,'Basic Data'!$C:$C),"")</f>
        <v>MSEDCL</v>
      </c>
      <c r="J237" s="295">
        <f>IFERROR(_xlfn.XLOOKUP(Table6[[#This Row],[Affected Feeder ]],'Basic Data'!$A:$A,'Basic Data'!$E:$E),"")</f>
        <v>2.2727272727272728E-2</v>
      </c>
      <c r="K237" s="296" t="s">
        <v>171</v>
      </c>
      <c r="L237" s="297">
        <v>0.36527777777777781</v>
      </c>
      <c r="M237" s="297">
        <v>0.36527777777777781</v>
      </c>
      <c r="N237" s="297">
        <v>0.37916666666666665</v>
      </c>
      <c r="O237" s="19">
        <f>(Table6[[#This Row],[Work Start TimeStamp]]-Table6[[#This Row],[Fault Start TimeStamp]])*24</f>
        <v>0</v>
      </c>
      <c r="P237" s="19">
        <f>(Table6[[#This Row],[Fault Clearance time]]-Table6[[#This Row],[Fault Start TimeStamp]])*24</f>
        <v>0.33333333333333215</v>
      </c>
      <c r="Q237" s="19">
        <f>(Table6[[#This Row],[Fault Clearance time]]-Table6[[#This Row],[Fault Start TimeStamp]])*24</f>
        <v>0.33333333333333215</v>
      </c>
      <c r="R237" s="79" t="s">
        <v>353</v>
      </c>
      <c r="S237" s="79" t="s">
        <v>339</v>
      </c>
      <c r="T237" s="298">
        <f>IFERROR(Table6[[#This Row],[Breakdown Time]]*Table6[[#This Row],[Plant Equivalent Weightage]],"")</f>
        <v>7.5757575757575491E-3</v>
      </c>
      <c r="U237" s="79" t="s">
        <v>416</v>
      </c>
      <c r="W237" s="79">
        <v>44</v>
      </c>
    </row>
    <row r="238" spans="1:23">
      <c r="A238" s="79">
        <f t="shared" si="3"/>
        <v>237</v>
      </c>
      <c r="B238" s="79">
        <f>YEAR(Table6[[#This Row],[Date]])+IF(MONTH(Table6[[#This Row],[Date]])&gt;=4,1,0)</f>
        <v>2026</v>
      </c>
      <c r="C238" s="79">
        <f>YEAR(Table6[[#This Row],[Date]])</f>
        <v>2025</v>
      </c>
      <c r="D238" s="79" t="s">
        <v>344</v>
      </c>
      <c r="E238" s="284">
        <f>Table6[[#This Row],[Date]]-DAY(Table6[[#This Row],[Date]])+1</f>
        <v>45748</v>
      </c>
      <c r="F238" s="285">
        <v>45756</v>
      </c>
      <c r="G238" s="79" t="s">
        <v>111</v>
      </c>
      <c r="H238" s="79" t="str">
        <f>IFERROR(_xlfn.XLOOKUP(Table6[[#This Row],[Affected Feeder ]],'Basic Data'!$A:$A,'Basic Data'!$B:$B),"")</f>
        <v>PWEPL</v>
      </c>
      <c r="I238" s="79" t="str">
        <f>IFERROR(_xlfn.XLOOKUP(Table6[[#This Row],[Affected Feeder ]],'Basic Data'!$A:$A,'Basic Data'!$C:$C),"")</f>
        <v>MSEDCL</v>
      </c>
      <c r="J238" s="295">
        <f>IFERROR(_xlfn.XLOOKUP(Table6[[#This Row],[Affected Feeder ]],'Basic Data'!$A:$A,'Basic Data'!$E:$E),"")</f>
        <v>2.2727272727272728E-2</v>
      </c>
      <c r="K238" s="296" t="s">
        <v>414</v>
      </c>
      <c r="L238" s="297">
        <v>0.3354166666666667</v>
      </c>
      <c r="M238" s="297">
        <v>0.3354166666666667</v>
      </c>
      <c r="N238" s="297">
        <v>0.36527777777777781</v>
      </c>
      <c r="O238" s="19">
        <f>(Table6[[#This Row],[Work Start TimeStamp]]-Table6[[#This Row],[Fault Start TimeStamp]])*24</f>
        <v>0</v>
      </c>
      <c r="P238" s="19">
        <f>(Table6[[#This Row],[Fault Clearance time]]-Table6[[#This Row],[Fault Start TimeStamp]])*24</f>
        <v>0.71666666666666679</v>
      </c>
      <c r="Q238" s="19">
        <f>(Table6[[#This Row],[Fault Clearance time]]-Table6[[#This Row],[Fault Start TimeStamp]])*24</f>
        <v>0.71666666666666679</v>
      </c>
      <c r="R238" s="79" t="s">
        <v>445</v>
      </c>
      <c r="S238" s="79" t="s">
        <v>339</v>
      </c>
      <c r="T238" s="298">
        <f>IFERROR(Table6[[#This Row],[Breakdown Time]]*Table6[[#This Row],[Plant Equivalent Weightage]],"")</f>
        <v>1.6287878787878792E-2</v>
      </c>
      <c r="U238" s="79" t="s">
        <v>416</v>
      </c>
      <c r="W238" s="79">
        <v>95</v>
      </c>
    </row>
    <row r="239" spans="1:23">
      <c r="A239" s="79">
        <f t="shared" si="3"/>
        <v>238</v>
      </c>
      <c r="B239" s="79">
        <f>YEAR(Table6[[#This Row],[Date]])+IF(MONTH(Table6[[#This Row],[Date]])&gt;=4,1,0)</f>
        <v>2026</v>
      </c>
      <c r="C239" s="79">
        <f>YEAR(Table6[[#This Row],[Date]])</f>
        <v>2025</v>
      </c>
      <c r="D239" s="79" t="s">
        <v>344</v>
      </c>
      <c r="E239" s="284">
        <f>Table6[[#This Row],[Date]]-DAY(Table6[[#This Row],[Date]])+1</f>
        <v>45748</v>
      </c>
      <c r="F239" s="285">
        <v>45756</v>
      </c>
      <c r="G239" s="79" t="s">
        <v>111</v>
      </c>
      <c r="H239" s="79" t="str">
        <f>IFERROR(_xlfn.XLOOKUP(Table6[[#This Row],[Affected Feeder ]],'Basic Data'!$A:$A,'Basic Data'!$B:$B),"")</f>
        <v>PWEPL</v>
      </c>
      <c r="I239" s="79" t="str">
        <f>IFERROR(_xlfn.XLOOKUP(Table6[[#This Row],[Affected Feeder ]],'Basic Data'!$A:$A,'Basic Data'!$C:$C),"")</f>
        <v>MSEDCL</v>
      </c>
      <c r="J239" s="295">
        <f>IFERROR(_xlfn.XLOOKUP(Table6[[#This Row],[Affected Feeder ]],'Basic Data'!$A:$A,'Basic Data'!$E:$E),"")</f>
        <v>2.2727272727272728E-2</v>
      </c>
      <c r="K239" s="296" t="s">
        <v>171</v>
      </c>
      <c r="L239" s="297">
        <v>0.36527777777777781</v>
      </c>
      <c r="M239" s="297">
        <v>0.36527777777777781</v>
      </c>
      <c r="N239" s="297">
        <v>0.37916666666666665</v>
      </c>
      <c r="O239" s="19">
        <f>(Table6[[#This Row],[Work Start TimeStamp]]-Table6[[#This Row],[Fault Start TimeStamp]])*24</f>
        <v>0</v>
      </c>
      <c r="P239" s="19">
        <f>(Table6[[#This Row],[Fault Clearance time]]-Table6[[#This Row],[Fault Start TimeStamp]])*24</f>
        <v>0.33333333333333215</v>
      </c>
      <c r="Q239" s="19">
        <f>(Table6[[#This Row],[Fault Clearance time]]-Table6[[#This Row],[Fault Start TimeStamp]])*24</f>
        <v>0.33333333333333215</v>
      </c>
      <c r="R239" s="79" t="s">
        <v>353</v>
      </c>
      <c r="S239" s="79" t="s">
        <v>339</v>
      </c>
      <c r="T239" s="298">
        <f>IFERROR(Table6[[#This Row],[Breakdown Time]]*Table6[[#This Row],[Plant Equivalent Weightage]],"")</f>
        <v>7.5757575757575491E-3</v>
      </c>
      <c r="U239" s="79" t="s">
        <v>416</v>
      </c>
      <c r="W239" s="79">
        <v>44</v>
      </c>
    </row>
    <row r="240" spans="1:23">
      <c r="A240" s="79">
        <f t="shared" si="3"/>
        <v>239</v>
      </c>
      <c r="B240" s="79">
        <f>YEAR(Table6[[#This Row],[Date]])+IF(MONTH(Table6[[#This Row],[Date]])&gt;=4,1,0)</f>
        <v>2026</v>
      </c>
      <c r="C240" s="79">
        <f>YEAR(Table6[[#This Row],[Date]])</f>
        <v>2025</v>
      </c>
      <c r="D240" s="79" t="s">
        <v>344</v>
      </c>
      <c r="E240" s="284">
        <f>Table6[[#This Row],[Date]]-DAY(Table6[[#This Row],[Date]])+1</f>
        <v>45748</v>
      </c>
      <c r="F240" s="285">
        <v>45756</v>
      </c>
      <c r="G240" s="79" t="s">
        <v>112</v>
      </c>
      <c r="H240" s="79" t="str">
        <f>IFERROR(_xlfn.XLOOKUP(Table6[[#This Row],[Affected Feeder ]],'Basic Data'!$A:$A,'Basic Data'!$B:$B),"")</f>
        <v>PWEPL</v>
      </c>
      <c r="I240" s="79" t="str">
        <f>IFERROR(_xlfn.XLOOKUP(Table6[[#This Row],[Affected Feeder ]],'Basic Data'!$A:$A,'Basic Data'!$C:$C),"")</f>
        <v>MSEDCL</v>
      </c>
      <c r="J240" s="295">
        <f>IFERROR(_xlfn.XLOOKUP(Table6[[#This Row],[Affected Feeder ]],'Basic Data'!$A:$A,'Basic Data'!$E:$E),"")</f>
        <v>2.2727272727272728E-2</v>
      </c>
      <c r="K240" s="296" t="s">
        <v>414</v>
      </c>
      <c r="L240" s="297">
        <v>0.3354166666666667</v>
      </c>
      <c r="M240" s="297">
        <v>0.3354166666666667</v>
      </c>
      <c r="N240" s="297">
        <v>0.36527777777777781</v>
      </c>
      <c r="O240" s="19">
        <f>(Table6[[#This Row],[Work Start TimeStamp]]-Table6[[#This Row],[Fault Start TimeStamp]])*24</f>
        <v>0</v>
      </c>
      <c r="P240" s="19">
        <f>(Table6[[#This Row],[Fault Clearance time]]-Table6[[#This Row],[Fault Start TimeStamp]])*24</f>
        <v>0.71666666666666679</v>
      </c>
      <c r="Q240" s="19">
        <f>(Table6[[#This Row],[Fault Clearance time]]-Table6[[#This Row],[Fault Start TimeStamp]])*24</f>
        <v>0.71666666666666679</v>
      </c>
      <c r="R240" s="79" t="s">
        <v>445</v>
      </c>
      <c r="S240" s="79" t="s">
        <v>339</v>
      </c>
      <c r="T240" s="298">
        <f>IFERROR(Table6[[#This Row],[Breakdown Time]]*Table6[[#This Row],[Plant Equivalent Weightage]],"")</f>
        <v>1.6287878787878792E-2</v>
      </c>
      <c r="U240" s="79" t="s">
        <v>416</v>
      </c>
      <c r="W240" s="79">
        <v>95</v>
      </c>
    </row>
    <row r="241" spans="1:23">
      <c r="A241" s="79">
        <f t="shared" si="3"/>
        <v>240</v>
      </c>
      <c r="B241" s="79">
        <f>YEAR(Table6[[#This Row],[Date]])+IF(MONTH(Table6[[#This Row],[Date]])&gt;=4,1,0)</f>
        <v>2026</v>
      </c>
      <c r="C241" s="79">
        <f>YEAR(Table6[[#This Row],[Date]])</f>
        <v>2025</v>
      </c>
      <c r="D241" s="79" t="s">
        <v>344</v>
      </c>
      <c r="E241" s="284">
        <f>Table6[[#This Row],[Date]]-DAY(Table6[[#This Row],[Date]])+1</f>
        <v>45748</v>
      </c>
      <c r="F241" s="285">
        <v>45756</v>
      </c>
      <c r="G241" s="79" t="s">
        <v>112</v>
      </c>
      <c r="H241" s="79" t="str">
        <f>IFERROR(_xlfn.XLOOKUP(Table6[[#This Row],[Affected Feeder ]],'Basic Data'!$A:$A,'Basic Data'!$B:$B),"")</f>
        <v>PWEPL</v>
      </c>
      <c r="I241" s="79" t="str">
        <f>IFERROR(_xlfn.XLOOKUP(Table6[[#This Row],[Affected Feeder ]],'Basic Data'!$A:$A,'Basic Data'!$C:$C),"")</f>
        <v>MSEDCL</v>
      </c>
      <c r="J241" s="295">
        <f>IFERROR(_xlfn.XLOOKUP(Table6[[#This Row],[Affected Feeder ]],'Basic Data'!$A:$A,'Basic Data'!$E:$E),"")</f>
        <v>2.2727272727272728E-2</v>
      </c>
      <c r="K241" s="296" t="s">
        <v>171</v>
      </c>
      <c r="L241" s="297">
        <v>0.36527777777777781</v>
      </c>
      <c r="M241" s="297">
        <v>0.36527777777777781</v>
      </c>
      <c r="N241" s="297">
        <v>0.36805555555555558</v>
      </c>
      <c r="O241" s="19">
        <f>(Table6[[#This Row],[Work Start TimeStamp]]-Table6[[#This Row],[Fault Start TimeStamp]])*24</f>
        <v>0</v>
      </c>
      <c r="P241" s="19">
        <f>(Table6[[#This Row],[Fault Clearance time]]-Table6[[#This Row],[Fault Start TimeStamp]])*24</f>
        <v>6.666666666666643E-2</v>
      </c>
      <c r="Q241" s="19">
        <f>(Table6[[#This Row],[Fault Clearance time]]-Table6[[#This Row],[Fault Start TimeStamp]])*24</f>
        <v>6.666666666666643E-2</v>
      </c>
      <c r="R241" s="79" t="s">
        <v>353</v>
      </c>
      <c r="S241" s="79" t="s">
        <v>339</v>
      </c>
      <c r="T241" s="298">
        <f>IFERROR(Table6[[#This Row],[Breakdown Time]]*Table6[[#This Row],[Plant Equivalent Weightage]],"")</f>
        <v>1.5151515151515097E-3</v>
      </c>
      <c r="U241" s="79" t="s">
        <v>416</v>
      </c>
      <c r="W241" s="79">
        <v>9</v>
      </c>
    </row>
    <row r="242" spans="1:23">
      <c r="A242" s="79">
        <f t="shared" si="3"/>
        <v>241</v>
      </c>
      <c r="B242" s="79">
        <f>YEAR(Table6[[#This Row],[Date]])+IF(MONTH(Table6[[#This Row],[Date]])&gt;=4,1,0)</f>
        <v>2026</v>
      </c>
      <c r="C242" s="79">
        <f>YEAR(Table6[[#This Row],[Date]])</f>
        <v>2025</v>
      </c>
      <c r="D242" s="79" t="s">
        <v>344</v>
      </c>
      <c r="E242" s="284">
        <f>Table6[[#This Row],[Date]]-DAY(Table6[[#This Row],[Date]])+1</f>
        <v>45748</v>
      </c>
      <c r="F242" s="285">
        <v>45756</v>
      </c>
      <c r="G242" s="79" t="s">
        <v>113</v>
      </c>
      <c r="H242" s="79" t="str">
        <f>IFERROR(_xlfn.XLOOKUP(Table6[[#This Row],[Affected Feeder ]],'Basic Data'!$A:$A,'Basic Data'!$B:$B),"")</f>
        <v>PWEPL</v>
      </c>
      <c r="I242" s="79" t="str">
        <f>IFERROR(_xlfn.XLOOKUP(Table6[[#This Row],[Affected Feeder ]],'Basic Data'!$A:$A,'Basic Data'!$C:$C),"")</f>
        <v>MSEDCL</v>
      </c>
      <c r="J242" s="295">
        <f>IFERROR(_xlfn.XLOOKUP(Table6[[#This Row],[Affected Feeder ]],'Basic Data'!$A:$A,'Basic Data'!$E:$E),"")</f>
        <v>2.2727272727272728E-2</v>
      </c>
      <c r="K242" s="296" t="s">
        <v>414</v>
      </c>
      <c r="L242" s="297">
        <v>0.3354166666666667</v>
      </c>
      <c r="M242" s="297">
        <v>0.3354166666666667</v>
      </c>
      <c r="N242" s="297">
        <v>0.36527777777777781</v>
      </c>
      <c r="O242" s="19">
        <f>(Table6[[#This Row],[Work Start TimeStamp]]-Table6[[#This Row],[Fault Start TimeStamp]])*24</f>
        <v>0</v>
      </c>
      <c r="P242" s="19">
        <f>(Table6[[#This Row],[Fault Clearance time]]-Table6[[#This Row],[Fault Start TimeStamp]])*24</f>
        <v>0.71666666666666679</v>
      </c>
      <c r="Q242" s="19">
        <f>(Table6[[#This Row],[Fault Clearance time]]-Table6[[#This Row],[Fault Start TimeStamp]])*24</f>
        <v>0.71666666666666679</v>
      </c>
      <c r="R242" s="79" t="s">
        <v>445</v>
      </c>
      <c r="S242" s="79" t="s">
        <v>339</v>
      </c>
      <c r="T242" s="298">
        <f>IFERROR(Table6[[#This Row],[Breakdown Time]]*Table6[[#This Row],[Plant Equivalent Weightage]],"")</f>
        <v>1.6287878787878792E-2</v>
      </c>
      <c r="U242" s="79" t="s">
        <v>416</v>
      </c>
      <c r="W242" s="79">
        <v>95</v>
      </c>
    </row>
    <row r="243" spans="1:23">
      <c r="A243" s="79">
        <f t="shared" si="3"/>
        <v>242</v>
      </c>
      <c r="B243" s="79">
        <f>YEAR(Table6[[#This Row],[Date]])+IF(MONTH(Table6[[#This Row],[Date]])&gt;=4,1,0)</f>
        <v>2026</v>
      </c>
      <c r="C243" s="79">
        <f>YEAR(Table6[[#This Row],[Date]])</f>
        <v>2025</v>
      </c>
      <c r="D243" s="79" t="s">
        <v>344</v>
      </c>
      <c r="E243" s="284">
        <f>Table6[[#This Row],[Date]]-DAY(Table6[[#This Row],[Date]])+1</f>
        <v>45748</v>
      </c>
      <c r="F243" s="285">
        <v>45756</v>
      </c>
      <c r="G243" s="79" t="s">
        <v>113</v>
      </c>
      <c r="H243" s="79" t="str">
        <f>IFERROR(_xlfn.XLOOKUP(Table6[[#This Row],[Affected Feeder ]],'Basic Data'!$A:$A,'Basic Data'!$B:$B),"")</f>
        <v>PWEPL</v>
      </c>
      <c r="I243" s="79" t="str">
        <f>IFERROR(_xlfn.XLOOKUP(Table6[[#This Row],[Affected Feeder ]],'Basic Data'!$A:$A,'Basic Data'!$C:$C),"")</f>
        <v>MSEDCL</v>
      </c>
      <c r="J243" s="295">
        <f>IFERROR(_xlfn.XLOOKUP(Table6[[#This Row],[Affected Feeder ]],'Basic Data'!$A:$A,'Basic Data'!$E:$E),"")</f>
        <v>2.2727272727272728E-2</v>
      </c>
      <c r="K243" s="296" t="s">
        <v>171</v>
      </c>
      <c r="L243" s="297">
        <v>0.36527777777777781</v>
      </c>
      <c r="M243" s="297">
        <v>0.36527777777777781</v>
      </c>
      <c r="N243" s="297">
        <v>0.37916666666666665</v>
      </c>
      <c r="O243" s="19">
        <f>(Table6[[#This Row],[Work Start TimeStamp]]-Table6[[#This Row],[Fault Start TimeStamp]])*24</f>
        <v>0</v>
      </c>
      <c r="P243" s="19">
        <f>(Table6[[#This Row],[Fault Clearance time]]-Table6[[#This Row],[Fault Start TimeStamp]])*24</f>
        <v>0.33333333333333215</v>
      </c>
      <c r="Q243" s="19">
        <f>(Table6[[#This Row],[Fault Clearance time]]-Table6[[#This Row],[Fault Start TimeStamp]])*24</f>
        <v>0.33333333333333215</v>
      </c>
      <c r="R243" s="79" t="s">
        <v>353</v>
      </c>
      <c r="S243" s="79" t="s">
        <v>339</v>
      </c>
      <c r="T243" s="298">
        <f>IFERROR(Table6[[#This Row],[Breakdown Time]]*Table6[[#This Row],[Plant Equivalent Weightage]],"")</f>
        <v>7.5757575757575491E-3</v>
      </c>
      <c r="U243" s="79" t="s">
        <v>416</v>
      </c>
      <c r="W243" s="79">
        <v>44</v>
      </c>
    </row>
    <row r="244" spans="1:23">
      <c r="A244" s="79">
        <f t="shared" si="3"/>
        <v>243</v>
      </c>
      <c r="B244" s="79">
        <f>YEAR(Table6[[#This Row],[Date]])+IF(MONTH(Table6[[#This Row],[Date]])&gt;=4,1,0)</f>
        <v>2026</v>
      </c>
      <c r="C244" s="79">
        <f>YEAR(Table6[[#This Row],[Date]])</f>
        <v>2025</v>
      </c>
      <c r="D244" s="79" t="s">
        <v>344</v>
      </c>
      <c r="E244" s="284">
        <f>Table6[[#This Row],[Date]]-DAY(Table6[[#This Row],[Date]])+1</f>
        <v>45748</v>
      </c>
      <c r="F244" s="285">
        <v>45756</v>
      </c>
      <c r="G244" s="79" t="s">
        <v>114</v>
      </c>
      <c r="H244" s="79" t="str">
        <f>IFERROR(_xlfn.XLOOKUP(Table6[[#This Row],[Affected Feeder ]],'Basic Data'!$A:$A,'Basic Data'!$B:$B),"")</f>
        <v>PWEPL</v>
      </c>
      <c r="I244" s="79" t="str">
        <f>IFERROR(_xlfn.XLOOKUP(Table6[[#This Row],[Affected Feeder ]],'Basic Data'!$A:$A,'Basic Data'!$C:$C),"")</f>
        <v>MSEDCL</v>
      </c>
      <c r="J244" s="295">
        <f>IFERROR(_xlfn.XLOOKUP(Table6[[#This Row],[Affected Feeder ]],'Basic Data'!$A:$A,'Basic Data'!$E:$E),"")</f>
        <v>2.2727272727272728E-2</v>
      </c>
      <c r="K244" s="296" t="s">
        <v>414</v>
      </c>
      <c r="L244" s="297">
        <v>0.3354166666666667</v>
      </c>
      <c r="M244" s="297">
        <v>0.3354166666666667</v>
      </c>
      <c r="N244" s="297">
        <v>0.77847222222222223</v>
      </c>
      <c r="O244" s="19">
        <f>(Table6[[#This Row],[Work Start TimeStamp]]-Table6[[#This Row],[Fault Start TimeStamp]])*24</f>
        <v>0</v>
      </c>
      <c r="P244" s="19">
        <f>(Table6[[#This Row],[Fault Clearance time]]-Table6[[#This Row],[Fault Start TimeStamp]])*24</f>
        <v>10.633333333333333</v>
      </c>
      <c r="Q244" s="19">
        <f>(Table6[[#This Row],[Fault Clearance time]]-Table6[[#This Row],[Fault Start TimeStamp]])*24</f>
        <v>10.633333333333333</v>
      </c>
      <c r="R244" s="79" t="s">
        <v>446</v>
      </c>
      <c r="S244" s="79" t="s">
        <v>339</v>
      </c>
      <c r="T244" s="298">
        <f>IFERROR(Table6[[#This Row],[Breakdown Time]]*Table6[[#This Row],[Plant Equivalent Weightage]],"")</f>
        <v>0.24166666666666667</v>
      </c>
      <c r="U244" s="79" t="s">
        <v>416</v>
      </c>
      <c r="W244" s="79">
        <v>1400</v>
      </c>
    </row>
    <row r="245" spans="1:23">
      <c r="A245" s="79">
        <f t="shared" si="3"/>
        <v>244</v>
      </c>
      <c r="B245" s="79">
        <f>YEAR(Table6[[#This Row],[Date]])+IF(MONTH(Table6[[#This Row],[Date]])&gt;=4,1,0)</f>
        <v>2026</v>
      </c>
      <c r="C245" s="79">
        <f>YEAR(Table6[[#This Row],[Date]])</f>
        <v>2025</v>
      </c>
      <c r="D245" s="79" t="s">
        <v>344</v>
      </c>
      <c r="E245" s="284">
        <f>Table6[[#This Row],[Date]]-DAY(Table6[[#This Row],[Date]])+1</f>
        <v>45748</v>
      </c>
      <c r="F245" s="285">
        <v>45756</v>
      </c>
      <c r="G245" s="79" t="s">
        <v>114</v>
      </c>
      <c r="H245" s="79" t="str">
        <f>IFERROR(_xlfn.XLOOKUP(Table6[[#This Row],[Affected Feeder ]],'Basic Data'!$A:$A,'Basic Data'!$B:$B),"")</f>
        <v>PWEPL</v>
      </c>
      <c r="I245" s="79" t="str">
        <f>IFERROR(_xlfn.XLOOKUP(Table6[[#This Row],[Affected Feeder ]],'Basic Data'!$A:$A,'Basic Data'!$C:$C),"")</f>
        <v>MSEDCL</v>
      </c>
      <c r="J245" s="295">
        <f>IFERROR(_xlfn.XLOOKUP(Table6[[#This Row],[Affected Feeder ]],'Basic Data'!$A:$A,'Basic Data'!$E:$E),"")</f>
        <v>2.2727272727272728E-2</v>
      </c>
      <c r="K245" s="296" t="s">
        <v>171</v>
      </c>
      <c r="L245" s="297">
        <v>0.77847222222222223</v>
      </c>
      <c r="M245" s="297">
        <v>0.77847222222222223</v>
      </c>
      <c r="N245" s="297">
        <v>0.78888888888888886</v>
      </c>
      <c r="O245" s="19">
        <f>(Table6[[#This Row],[Work Start TimeStamp]]-Table6[[#This Row],[Fault Start TimeStamp]])*24</f>
        <v>0</v>
      </c>
      <c r="P245" s="19">
        <f>(Table6[[#This Row],[Fault Clearance time]]-Table6[[#This Row],[Fault Start TimeStamp]])*24</f>
        <v>0.24999999999999911</v>
      </c>
      <c r="Q245" s="19">
        <f>(Table6[[#This Row],[Fault Clearance time]]-Table6[[#This Row],[Fault Start TimeStamp]])*24</f>
        <v>0.24999999999999911</v>
      </c>
      <c r="R245" s="79" t="s">
        <v>353</v>
      </c>
      <c r="S245" s="79" t="s">
        <v>339</v>
      </c>
      <c r="T245" s="298">
        <f>IFERROR(Table6[[#This Row],[Breakdown Time]]*Table6[[#This Row],[Plant Equivalent Weightage]],"")</f>
        <v>5.681818181818162E-3</v>
      </c>
      <c r="U245" s="79" t="s">
        <v>416</v>
      </c>
      <c r="W245" s="79">
        <v>40</v>
      </c>
    </row>
    <row r="246" spans="1:23">
      <c r="A246" s="79">
        <f t="shared" si="3"/>
        <v>245</v>
      </c>
      <c r="B246" s="79">
        <f>YEAR(Table6[[#This Row],[Date]])+IF(MONTH(Table6[[#This Row],[Date]])&gt;=4,1,0)</f>
        <v>2026</v>
      </c>
      <c r="C246" s="79">
        <f>YEAR(Table6[[#This Row],[Date]])</f>
        <v>2025</v>
      </c>
      <c r="D246" s="79" t="s">
        <v>344</v>
      </c>
      <c r="E246" s="284">
        <f>Table6[[#This Row],[Date]]-DAY(Table6[[#This Row],[Date]])+1</f>
        <v>45748</v>
      </c>
      <c r="F246" s="285">
        <v>45756</v>
      </c>
      <c r="G246" s="79" t="s">
        <v>109</v>
      </c>
      <c r="H246" s="79" t="str">
        <f>IFERROR(_xlfn.XLOOKUP(Table6[[#This Row],[Affected Feeder ]],'Basic Data'!$A:$A,'Basic Data'!$B:$B),"")</f>
        <v>PWEPL</v>
      </c>
      <c r="I246" s="79" t="str">
        <f>IFERROR(_xlfn.XLOOKUP(Table6[[#This Row],[Affected Feeder ]],'Basic Data'!$A:$A,'Basic Data'!$C:$C),"")</f>
        <v>MSEDCL</v>
      </c>
      <c r="J246" s="295">
        <f>IFERROR(_xlfn.XLOOKUP(Table6[[#This Row],[Affected Feeder ]],'Basic Data'!$A:$A,'Basic Data'!$E:$E),"")</f>
        <v>2.2727272727272728E-2</v>
      </c>
      <c r="K246" s="296" t="s">
        <v>414</v>
      </c>
      <c r="L246" s="297">
        <v>0.73958333333333337</v>
      </c>
      <c r="M246" s="297">
        <v>0.73958333333333337</v>
      </c>
      <c r="N246" s="297">
        <v>0.77847222222222223</v>
      </c>
      <c r="O246" s="19">
        <f>(Table6[[#This Row],[Work Start TimeStamp]]-Table6[[#This Row],[Fault Start TimeStamp]])*24</f>
        <v>0</v>
      </c>
      <c r="P246" s="19">
        <f>(Table6[[#This Row],[Fault Clearance time]]-Table6[[#This Row],[Fault Start TimeStamp]])*24</f>
        <v>0.93333333333333268</v>
      </c>
      <c r="Q246" s="19">
        <f>(Table6[[#This Row],[Fault Clearance time]]-Table6[[#This Row],[Fault Start TimeStamp]])*24</f>
        <v>0.93333333333333268</v>
      </c>
      <c r="R246" s="79" t="s">
        <v>443</v>
      </c>
      <c r="S246" s="79" t="s">
        <v>339</v>
      </c>
      <c r="T246" s="298">
        <f>IFERROR(Table6[[#This Row],[Breakdown Time]]*Table6[[#This Row],[Plant Equivalent Weightage]],"")</f>
        <v>2.12121212121212E-2</v>
      </c>
      <c r="U246" s="79" t="s">
        <v>416</v>
      </c>
      <c r="W246" s="79">
        <v>123</v>
      </c>
    </row>
    <row r="247" spans="1:23">
      <c r="A247" s="79">
        <f t="shared" si="3"/>
        <v>246</v>
      </c>
      <c r="B247" s="79">
        <f>YEAR(Table6[[#This Row],[Date]])+IF(MONTH(Table6[[#This Row],[Date]])&gt;=4,1,0)</f>
        <v>2026</v>
      </c>
      <c r="C247" s="79">
        <f>YEAR(Table6[[#This Row],[Date]])</f>
        <v>2025</v>
      </c>
      <c r="D247" s="79" t="s">
        <v>344</v>
      </c>
      <c r="E247" s="284">
        <f>Table6[[#This Row],[Date]]-DAY(Table6[[#This Row],[Date]])+1</f>
        <v>45748</v>
      </c>
      <c r="F247" s="285">
        <v>45756</v>
      </c>
      <c r="G247" s="79" t="s">
        <v>109</v>
      </c>
      <c r="H247" s="79" t="str">
        <f>IFERROR(_xlfn.XLOOKUP(Table6[[#This Row],[Affected Feeder ]],'Basic Data'!$A:$A,'Basic Data'!$B:$B),"")</f>
        <v>PWEPL</v>
      </c>
      <c r="I247" s="79" t="str">
        <f>IFERROR(_xlfn.XLOOKUP(Table6[[#This Row],[Affected Feeder ]],'Basic Data'!$A:$A,'Basic Data'!$C:$C),"")</f>
        <v>MSEDCL</v>
      </c>
      <c r="J247" s="295">
        <f>IFERROR(_xlfn.XLOOKUP(Table6[[#This Row],[Affected Feeder ]],'Basic Data'!$A:$A,'Basic Data'!$E:$E),"")</f>
        <v>2.2727272727272728E-2</v>
      </c>
      <c r="K247" s="296" t="s">
        <v>171</v>
      </c>
      <c r="L247" s="297">
        <v>0.77847222222222223</v>
      </c>
      <c r="M247" s="297">
        <v>0.77847222222222223</v>
      </c>
      <c r="N247" s="297">
        <v>0.78472222222222221</v>
      </c>
      <c r="O247" s="19">
        <f>(Table6[[#This Row],[Work Start TimeStamp]]-Table6[[#This Row],[Fault Start TimeStamp]])*24</f>
        <v>0</v>
      </c>
      <c r="P247" s="19">
        <f>(Table6[[#This Row],[Fault Clearance time]]-Table6[[#This Row],[Fault Start TimeStamp]])*24</f>
        <v>0.14999999999999947</v>
      </c>
      <c r="Q247" s="19">
        <f>(Table6[[#This Row],[Fault Clearance time]]-Table6[[#This Row],[Fault Start TimeStamp]])*24</f>
        <v>0.14999999999999947</v>
      </c>
      <c r="R247" s="79" t="s">
        <v>353</v>
      </c>
      <c r="S247" s="79" t="s">
        <v>339</v>
      </c>
      <c r="T247" s="298">
        <f>IFERROR(Table6[[#This Row],[Breakdown Time]]*Table6[[#This Row],[Plant Equivalent Weightage]],"")</f>
        <v>3.4090909090908972E-3</v>
      </c>
      <c r="U247" s="79" t="s">
        <v>416</v>
      </c>
      <c r="W247" s="79">
        <v>20</v>
      </c>
    </row>
    <row r="248" spans="1:23">
      <c r="A248" s="79">
        <f t="shared" si="3"/>
        <v>247</v>
      </c>
      <c r="B248" s="79">
        <f>YEAR(Table6[[#This Row],[Date]])+IF(MONTH(Table6[[#This Row],[Date]])&gt;=4,1,0)</f>
        <v>2026</v>
      </c>
      <c r="C248" s="79">
        <f>YEAR(Table6[[#This Row],[Date]])</f>
        <v>2025</v>
      </c>
      <c r="D248" s="79" t="s">
        <v>344</v>
      </c>
      <c r="E248" s="284">
        <f>Table6[[#This Row],[Date]]-DAY(Table6[[#This Row],[Date]])+1</f>
        <v>45748</v>
      </c>
      <c r="F248" s="285">
        <v>45756</v>
      </c>
      <c r="G248" s="79" t="s">
        <v>111</v>
      </c>
      <c r="H248" s="79" t="str">
        <f>IFERROR(_xlfn.XLOOKUP(Table6[[#This Row],[Affected Feeder ]],'Basic Data'!$A:$A,'Basic Data'!$B:$B),"")</f>
        <v>PWEPL</v>
      </c>
      <c r="I248" s="79" t="str">
        <f>IFERROR(_xlfn.XLOOKUP(Table6[[#This Row],[Affected Feeder ]],'Basic Data'!$A:$A,'Basic Data'!$C:$C),"")</f>
        <v>MSEDCL</v>
      </c>
      <c r="J248" s="295">
        <f>IFERROR(_xlfn.XLOOKUP(Table6[[#This Row],[Affected Feeder ]],'Basic Data'!$A:$A,'Basic Data'!$E:$E),"")</f>
        <v>2.2727272727272728E-2</v>
      </c>
      <c r="K248" s="296" t="s">
        <v>414</v>
      </c>
      <c r="L248" s="297">
        <v>0.73958333333333337</v>
      </c>
      <c r="M248" s="297">
        <v>0.73958333333333337</v>
      </c>
      <c r="N248" s="297">
        <v>0.77847222222222223</v>
      </c>
      <c r="O248" s="19">
        <f>(Table6[[#This Row],[Work Start TimeStamp]]-Table6[[#This Row],[Fault Start TimeStamp]])*24</f>
        <v>0</v>
      </c>
      <c r="P248" s="19">
        <f>(Table6[[#This Row],[Fault Clearance time]]-Table6[[#This Row],[Fault Start TimeStamp]])*24</f>
        <v>0.93333333333333268</v>
      </c>
      <c r="Q248" s="19">
        <f>(Table6[[#This Row],[Fault Clearance time]]-Table6[[#This Row],[Fault Start TimeStamp]])*24</f>
        <v>0.93333333333333268</v>
      </c>
      <c r="R248" s="79" t="s">
        <v>443</v>
      </c>
      <c r="S248" s="79" t="s">
        <v>339</v>
      </c>
      <c r="T248" s="298">
        <f>IFERROR(Table6[[#This Row],[Breakdown Time]]*Table6[[#This Row],[Plant Equivalent Weightage]],"")</f>
        <v>2.12121212121212E-2</v>
      </c>
      <c r="U248" s="79" t="s">
        <v>416</v>
      </c>
      <c r="W248" s="79">
        <v>123</v>
      </c>
    </row>
    <row r="249" spans="1:23">
      <c r="A249" s="79">
        <f t="shared" si="3"/>
        <v>248</v>
      </c>
      <c r="B249" s="79">
        <f>YEAR(Table6[[#This Row],[Date]])+IF(MONTH(Table6[[#This Row],[Date]])&gt;=4,1,0)</f>
        <v>2026</v>
      </c>
      <c r="C249" s="79">
        <f>YEAR(Table6[[#This Row],[Date]])</f>
        <v>2025</v>
      </c>
      <c r="D249" s="79" t="s">
        <v>344</v>
      </c>
      <c r="E249" s="284">
        <f>Table6[[#This Row],[Date]]-DAY(Table6[[#This Row],[Date]])+1</f>
        <v>45748</v>
      </c>
      <c r="F249" s="285">
        <v>45756</v>
      </c>
      <c r="G249" s="79" t="s">
        <v>111</v>
      </c>
      <c r="H249" s="79" t="str">
        <f>IFERROR(_xlfn.XLOOKUP(Table6[[#This Row],[Affected Feeder ]],'Basic Data'!$A:$A,'Basic Data'!$B:$B),"")</f>
        <v>PWEPL</v>
      </c>
      <c r="I249" s="79" t="str">
        <f>IFERROR(_xlfn.XLOOKUP(Table6[[#This Row],[Affected Feeder ]],'Basic Data'!$A:$A,'Basic Data'!$C:$C),"")</f>
        <v>MSEDCL</v>
      </c>
      <c r="J249" s="295">
        <f>IFERROR(_xlfn.XLOOKUP(Table6[[#This Row],[Affected Feeder ]],'Basic Data'!$A:$A,'Basic Data'!$E:$E),"")</f>
        <v>2.2727272727272728E-2</v>
      </c>
      <c r="K249" s="296" t="s">
        <v>171</v>
      </c>
      <c r="L249" s="297">
        <v>0.77847222222222223</v>
      </c>
      <c r="M249" s="297">
        <v>0.77847222222222223</v>
      </c>
      <c r="N249" s="297">
        <v>0.78819444444444453</v>
      </c>
      <c r="O249" s="19">
        <f>(Table6[[#This Row],[Work Start TimeStamp]]-Table6[[#This Row],[Fault Start TimeStamp]])*24</f>
        <v>0</v>
      </c>
      <c r="P249" s="19">
        <f>(Table6[[#This Row],[Fault Clearance time]]-Table6[[#This Row],[Fault Start TimeStamp]])*24</f>
        <v>0.23333333333333517</v>
      </c>
      <c r="Q249" s="19">
        <f>(Table6[[#This Row],[Fault Clearance time]]-Table6[[#This Row],[Fault Start TimeStamp]])*24</f>
        <v>0.23333333333333517</v>
      </c>
      <c r="R249" s="79" t="s">
        <v>353</v>
      </c>
      <c r="S249" s="79" t="s">
        <v>339</v>
      </c>
      <c r="T249" s="298">
        <f>IFERROR(Table6[[#This Row],[Breakdown Time]]*Table6[[#This Row],[Plant Equivalent Weightage]],"")</f>
        <v>5.303030303030345E-3</v>
      </c>
      <c r="U249" s="79" t="s">
        <v>416</v>
      </c>
      <c r="W249" s="79">
        <v>30</v>
      </c>
    </row>
    <row r="250" spans="1:23">
      <c r="A250" s="79">
        <f t="shared" si="3"/>
        <v>249</v>
      </c>
      <c r="B250" s="79">
        <f>YEAR(Table6[[#This Row],[Date]])+IF(MONTH(Table6[[#This Row],[Date]])&gt;=4,1,0)</f>
        <v>2026</v>
      </c>
      <c r="C250" s="79">
        <f>YEAR(Table6[[#This Row],[Date]])</f>
        <v>2025</v>
      </c>
      <c r="D250" s="79" t="s">
        <v>344</v>
      </c>
      <c r="E250" s="284">
        <f>Table6[[#This Row],[Date]]-DAY(Table6[[#This Row],[Date]])+1</f>
        <v>45748</v>
      </c>
      <c r="F250" s="285">
        <v>45756</v>
      </c>
      <c r="G250" s="79" t="s">
        <v>112</v>
      </c>
      <c r="H250" s="79" t="str">
        <f>IFERROR(_xlfn.XLOOKUP(Table6[[#This Row],[Affected Feeder ]],'Basic Data'!$A:$A,'Basic Data'!$B:$B),"")</f>
        <v>PWEPL</v>
      </c>
      <c r="I250" s="79" t="str">
        <f>IFERROR(_xlfn.XLOOKUP(Table6[[#This Row],[Affected Feeder ]],'Basic Data'!$A:$A,'Basic Data'!$C:$C),"")</f>
        <v>MSEDCL</v>
      </c>
      <c r="J250" s="295">
        <f>IFERROR(_xlfn.XLOOKUP(Table6[[#This Row],[Affected Feeder ]],'Basic Data'!$A:$A,'Basic Data'!$E:$E),"")</f>
        <v>2.2727272727272728E-2</v>
      </c>
      <c r="K250" s="296" t="s">
        <v>414</v>
      </c>
      <c r="L250" s="297">
        <v>0.73958333333333337</v>
      </c>
      <c r="M250" s="297">
        <v>0.73958333333333337</v>
      </c>
      <c r="N250" s="297">
        <v>0.77847222222222223</v>
      </c>
      <c r="O250" s="19">
        <f>(Table6[[#This Row],[Work Start TimeStamp]]-Table6[[#This Row],[Fault Start TimeStamp]])*24</f>
        <v>0</v>
      </c>
      <c r="P250" s="19">
        <f>(Table6[[#This Row],[Fault Clearance time]]-Table6[[#This Row],[Fault Start TimeStamp]])*24</f>
        <v>0.93333333333333268</v>
      </c>
      <c r="Q250" s="19">
        <f>(Table6[[#This Row],[Fault Clearance time]]-Table6[[#This Row],[Fault Start TimeStamp]])*24</f>
        <v>0.93333333333333268</v>
      </c>
      <c r="R250" s="79" t="s">
        <v>443</v>
      </c>
      <c r="S250" s="79" t="s">
        <v>339</v>
      </c>
      <c r="T250" s="298">
        <f>IFERROR(Table6[[#This Row],[Breakdown Time]]*Table6[[#This Row],[Plant Equivalent Weightage]],"")</f>
        <v>2.12121212121212E-2</v>
      </c>
      <c r="U250" s="79" t="s">
        <v>416</v>
      </c>
      <c r="W250" s="79">
        <v>123</v>
      </c>
    </row>
    <row r="251" spans="1:23">
      <c r="A251" s="79">
        <f t="shared" si="3"/>
        <v>250</v>
      </c>
      <c r="B251" s="79">
        <f>YEAR(Table6[[#This Row],[Date]])+IF(MONTH(Table6[[#This Row],[Date]])&gt;=4,1,0)</f>
        <v>2026</v>
      </c>
      <c r="C251" s="79">
        <f>YEAR(Table6[[#This Row],[Date]])</f>
        <v>2025</v>
      </c>
      <c r="D251" s="79" t="s">
        <v>344</v>
      </c>
      <c r="E251" s="284">
        <f>Table6[[#This Row],[Date]]-DAY(Table6[[#This Row],[Date]])+1</f>
        <v>45748</v>
      </c>
      <c r="F251" s="285">
        <v>45756</v>
      </c>
      <c r="G251" s="79" t="s">
        <v>112</v>
      </c>
      <c r="H251" s="79" t="str">
        <f>IFERROR(_xlfn.XLOOKUP(Table6[[#This Row],[Affected Feeder ]],'Basic Data'!$A:$A,'Basic Data'!$B:$B),"")</f>
        <v>PWEPL</v>
      </c>
      <c r="I251" s="79" t="str">
        <f>IFERROR(_xlfn.XLOOKUP(Table6[[#This Row],[Affected Feeder ]],'Basic Data'!$A:$A,'Basic Data'!$C:$C),"")</f>
        <v>MSEDCL</v>
      </c>
      <c r="J251" s="295">
        <f>IFERROR(_xlfn.XLOOKUP(Table6[[#This Row],[Affected Feeder ]],'Basic Data'!$A:$A,'Basic Data'!$E:$E),"")</f>
        <v>2.2727272727272728E-2</v>
      </c>
      <c r="K251" s="296" t="s">
        <v>171</v>
      </c>
      <c r="L251" s="297">
        <v>0.77847222222222223</v>
      </c>
      <c r="M251" s="297">
        <v>0.77847222222222223</v>
      </c>
      <c r="N251" s="297">
        <v>0.78472222222222221</v>
      </c>
      <c r="O251" s="19">
        <f>(Table6[[#This Row],[Work Start TimeStamp]]-Table6[[#This Row],[Fault Start TimeStamp]])*24</f>
        <v>0</v>
      </c>
      <c r="P251" s="19">
        <f>(Table6[[#This Row],[Fault Clearance time]]-Table6[[#This Row],[Fault Start TimeStamp]])*24</f>
        <v>0.14999999999999947</v>
      </c>
      <c r="Q251" s="19">
        <f>(Table6[[#This Row],[Fault Clearance time]]-Table6[[#This Row],[Fault Start TimeStamp]])*24</f>
        <v>0.14999999999999947</v>
      </c>
      <c r="R251" s="79" t="s">
        <v>353</v>
      </c>
      <c r="S251" s="79" t="s">
        <v>339</v>
      </c>
      <c r="T251" s="298">
        <f>IFERROR(Table6[[#This Row],[Breakdown Time]]*Table6[[#This Row],[Plant Equivalent Weightage]],"")</f>
        <v>3.4090909090908972E-3</v>
      </c>
      <c r="U251" s="79" t="s">
        <v>416</v>
      </c>
      <c r="W251" s="79">
        <v>20</v>
      </c>
    </row>
    <row r="252" spans="1:23">
      <c r="A252" s="79">
        <f t="shared" si="3"/>
        <v>251</v>
      </c>
      <c r="B252" s="79">
        <f>YEAR(Table6[[#This Row],[Date]])+IF(MONTH(Table6[[#This Row],[Date]])&gt;=4,1,0)</f>
        <v>2026</v>
      </c>
      <c r="C252" s="79">
        <f>YEAR(Table6[[#This Row],[Date]])</f>
        <v>2025</v>
      </c>
      <c r="D252" s="79" t="s">
        <v>344</v>
      </c>
      <c r="E252" s="284">
        <f>Table6[[#This Row],[Date]]-DAY(Table6[[#This Row],[Date]])+1</f>
        <v>45748</v>
      </c>
      <c r="F252" s="285">
        <v>45756</v>
      </c>
      <c r="G252" s="79" t="s">
        <v>113</v>
      </c>
      <c r="H252" s="79" t="str">
        <f>IFERROR(_xlfn.XLOOKUP(Table6[[#This Row],[Affected Feeder ]],'Basic Data'!$A:$A,'Basic Data'!$B:$B),"")</f>
        <v>PWEPL</v>
      </c>
      <c r="I252" s="79" t="str">
        <f>IFERROR(_xlfn.XLOOKUP(Table6[[#This Row],[Affected Feeder ]],'Basic Data'!$A:$A,'Basic Data'!$C:$C),"")</f>
        <v>MSEDCL</v>
      </c>
      <c r="J252" s="295">
        <f>IFERROR(_xlfn.XLOOKUP(Table6[[#This Row],[Affected Feeder ]],'Basic Data'!$A:$A,'Basic Data'!$E:$E),"")</f>
        <v>2.2727272727272728E-2</v>
      </c>
      <c r="K252" s="296" t="s">
        <v>414</v>
      </c>
      <c r="L252" s="297">
        <v>0.73958333333333337</v>
      </c>
      <c r="M252" s="297">
        <v>0.73958333333333337</v>
      </c>
      <c r="N252" s="297">
        <v>0.77847222222222223</v>
      </c>
      <c r="O252" s="19">
        <f>(Table6[[#This Row],[Work Start TimeStamp]]-Table6[[#This Row],[Fault Start TimeStamp]])*24</f>
        <v>0</v>
      </c>
      <c r="P252" s="19">
        <f>(Table6[[#This Row],[Fault Clearance time]]-Table6[[#This Row],[Fault Start TimeStamp]])*24</f>
        <v>0.93333333333333268</v>
      </c>
      <c r="Q252" s="19">
        <f>(Table6[[#This Row],[Fault Clearance time]]-Table6[[#This Row],[Fault Start TimeStamp]])*24</f>
        <v>0.93333333333333268</v>
      </c>
      <c r="R252" s="79" t="s">
        <v>443</v>
      </c>
      <c r="S252" s="79" t="s">
        <v>339</v>
      </c>
      <c r="T252" s="298">
        <f>IFERROR(Table6[[#This Row],[Breakdown Time]]*Table6[[#This Row],[Plant Equivalent Weightage]],"")</f>
        <v>2.12121212121212E-2</v>
      </c>
      <c r="U252" s="79" t="s">
        <v>416</v>
      </c>
      <c r="W252" s="79">
        <v>123</v>
      </c>
    </row>
    <row r="253" spans="1:23">
      <c r="A253" s="79">
        <f t="shared" si="3"/>
        <v>252</v>
      </c>
      <c r="B253" s="79">
        <f>YEAR(Table6[[#This Row],[Date]])+IF(MONTH(Table6[[#This Row],[Date]])&gt;=4,1,0)</f>
        <v>2026</v>
      </c>
      <c r="C253" s="79">
        <f>YEAR(Table6[[#This Row],[Date]])</f>
        <v>2025</v>
      </c>
      <c r="D253" s="79" t="s">
        <v>344</v>
      </c>
      <c r="E253" s="284">
        <f>Table6[[#This Row],[Date]]-DAY(Table6[[#This Row],[Date]])+1</f>
        <v>45748</v>
      </c>
      <c r="F253" s="285">
        <v>45756</v>
      </c>
      <c r="G253" s="79" t="s">
        <v>113</v>
      </c>
      <c r="H253" s="79" t="str">
        <f>IFERROR(_xlfn.XLOOKUP(Table6[[#This Row],[Affected Feeder ]],'Basic Data'!$A:$A,'Basic Data'!$B:$B),"")</f>
        <v>PWEPL</v>
      </c>
      <c r="I253" s="79" t="str">
        <f>IFERROR(_xlfn.XLOOKUP(Table6[[#This Row],[Affected Feeder ]],'Basic Data'!$A:$A,'Basic Data'!$C:$C),"")</f>
        <v>MSEDCL</v>
      </c>
      <c r="J253" s="295">
        <f>IFERROR(_xlfn.XLOOKUP(Table6[[#This Row],[Affected Feeder ]],'Basic Data'!$A:$A,'Basic Data'!$E:$E),"")</f>
        <v>2.2727272727272728E-2</v>
      </c>
      <c r="K253" s="296" t="s">
        <v>171</v>
      </c>
      <c r="L253" s="297">
        <v>0.77847222222222223</v>
      </c>
      <c r="M253" s="297">
        <v>0.77847222222222223</v>
      </c>
      <c r="N253" s="297">
        <v>0.78611111111111109</v>
      </c>
      <c r="O253" s="19">
        <f>(Table6[[#This Row],[Work Start TimeStamp]]-Table6[[#This Row],[Fault Start TimeStamp]])*24</f>
        <v>0</v>
      </c>
      <c r="P253" s="19">
        <f>(Table6[[#This Row],[Fault Clearance time]]-Table6[[#This Row],[Fault Start TimeStamp]])*24</f>
        <v>0.18333333333333268</v>
      </c>
      <c r="Q253" s="19">
        <f>(Table6[[#This Row],[Fault Clearance time]]-Table6[[#This Row],[Fault Start TimeStamp]])*24</f>
        <v>0.18333333333333268</v>
      </c>
      <c r="R253" s="79" t="s">
        <v>353</v>
      </c>
      <c r="S253" s="79" t="s">
        <v>339</v>
      </c>
      <c r="T253" s="298">
        <f>IFERROR(Table6[[#This Row],[Breakdown Time]]*Table6[[#This Row],[Plant Equivalent Weightage]],"")</f>
        <v>4.1666666666666519E-3</v>
      </c>
      <c r="U253" s="79" t="s">
        <v>416</v>
      </c>
      <c r="W253" s="79">
        <v>24</v>
      </c>
    </row>
    <row r="254" spans="1:23">
      <c r="A254" s="79">
        <f t="shared" si="3"/>
        <v>253</v>
      </c>
      <c r="B254" s="79">
        <f>YEAR(Table6[[#This Row],[Date]])+IF(MONTH(Table6[[#This Row],[Date]])&gt;=4,1,0)</f>
        <v>2026</v>
      </c>
      <c r="C254" s="79">
        <f>YEAR(Table6[[#This Row],[Date]])</f>
        <v>2025</v>
      </c>
      <c r="D254" s="79" t="s">
        <v>344</v>
      </c>
      <c r="E254" s="284">
        <f>Table6[[#This Row],[Date]]-DAY(Table6[[#This Row],[Date]])+1</f>
        <v>45748</v>
      </c>
      <c r="F254" s="285">
        <v>45756</v>
      </c>
      <c r="G254" s="79" t="s">
        <v>399</v>
      </c>
      <c r="H254" s="79" t="str">
        <f>IFERROR(_xlfn.XLOOKUP(Table6[[#This Row],[Affected Feeder ]],'Basic Data'!$A:$A,'Basic Data'!$B:$B),"")</f>
        <v>PWEPL</v>
      </c>
      <c r="I254" s="79" t="str">
        <f>IFERROR(_xlfn.XLOOKUP(Table6[[#This Row],[Affected Feeder ]],'Basic Data'!$A:$A,'Basic Data'!$C:$C),"")</f>
        <v>MSEDCL</v>
      </c>
      <c r="J254" s="295">
        <f>IFERROR(_xlfn.XLOOKUP(Table6[[#This Row],[Affected Feeder ]],'Basic Data'!$A:$A,'Basic Data'!$E:$E),"")</f>
        <v>0.22727272727272727</v>
      </c>
      <c r="K254" s="296" t="s">
        <v>447</v>
      </c>
      <c r="L254" s="297">
        <v>8.819444444444445E-2</v>
      </c>
      <c r="M254" s="297">
        <v>8.819444444444445E-2</v>
      </c>
      <c r="N254" s="297">
        <v>0.10277777777777779</v>
      </c>
      <c r="O254" s="19">
        <f>(Table6[[#This Row],[Work Start TimeStamp]]-Table6[[#This Row],[Fault Start TimeStamp]])*24</f>
        <v>0</v>
      </c>
      <c r="P254" s="19">
        <f>(Table6[[#This Row],[Fault Clearance time]]-Table6[[#This Row],[Fault Start TimeStamp]])*24</f>
        <v>0.35000000000000009</v>
      </c>
      <c r="Q254" s="19">
        <f>(Table6[[#This Row],[Fault Clearance time]]-Table6[[#This Row],[Fault Start TimeStamp]])*24</f>
        <v>0.35000000000000009</v>
      </c>
      <c r="R254" s="79" t="s">
        <v>420</v>
      </c>
      <c r="S254" s="79" t="s">
        <v>339</v>
      </c>
      <c r="T254" s="298">
        <f>IFERROR(Table6[[#This Row],[Breakdown Time]]*Table6[[#This Row],[Plant Equivalent Weightage]],"")</f>
        <v>7.9545454545454558E-2</v>
      </c>
      <c r="U254" s="79" t="s">
        <v>416</v>
      </c>
      <c r="W254" s="79">
        <v>360</v>
      </c>
    </row>
    <row r="255" spans="1:23">
      <c r="A255" s="79">
        <f t="shared" si="3"/>
        <v>254</v>
      </c>
      <c r="B255" s="79">
        <f>YEAR(Table6[[#This Row],[Date]])+IF(MONTH(Table6[[#This Row],[Date]])&gt;=4,1,0)</f>
        <v>2026</v>
      </c>
      <c r="C255" s="79">
        <f>YEAR(Table6[[#This Row],[Date]])</f>
        <v>2025</v>
      </c>
      <c r="D255" s="79" t="s">
        <v>344</v>
      </c>
      <c r="E255" s="284">
        <f>Table6[[#This Row],[Date]]-DAY(Table6[[#This Row],[Date]])+1</f>
        <v>45748</v>
      </c>
      <c r="F255" s="285">
        <v>45756</v>
      </c>
      <c r="G255" s="79" t="s">
        <v>83</v>
      </c>
      <c r="H255" s="79" t="str">
        <f>IFERROR(_xlfn.XLOOKUP(Table6[[#This Row],[Affected Feeder ]],'Basic Data'!$A:$A,'Basic Data'!$B:$B),"")</f>
        <v>PWEPL</v>
      </c>
      <c r="I255" s="79" t="str">
        <f>IFERROR(_xlfn.XLOOKUP(Table6[[#This Row],[Affected Feeder ]],'Basic Data'!$A:$A,'Basic Data'!$C:$C),"")</f>
        <v>MSEDCL</v>
      </c>
      <c r="J255" s="295">
        <f>IFERROR(_xlfn.XLOOKUP(Table6[[#This Row],[Affected Feeder ]],'Basic Data'!$A:$A,'Basic Data'!$E:$E),"")</f>
        <v>2.2727272727272728E-2</v>
      </c>
      <c r="K255" s="296" t="s">
        <v>171</v>
      </c>
      <c r="L255" s="297">
        <v>0.10277777777777779</v>
      </c>
      <c r="M255" s="297">
        <v>0.10277777777777779</v>
      </c>
      <c r="N255" s="297">
        <v>0.11666666666666665</v>
      </c>
      <c r="O255" s="19">
        <f>(Table6[[#This Row],[Work Start TimeStamp]]-Table6[[#This Row],[Fault Start TimeStamp]])*24</f>
        <v>0</v>
      </c>
      <c r="P255" s="19">
        <f>(Table6[[#This Row],[Fault Clearance time]]-Table6[[#This Row],[Fault Start TimeStamp]])*24</f>
        <v>0.33333333333333282</v>
      </c>
      <c r="Q255" s="19">
        <f>(Table6[[#This Row],[Fault Clearance time]]-Table6[[#This Row],[Fault Start TimeStamp]])*24</f>
        <v>0.33333333333333282</v>
      </c>
      <c r="R255" s="79" t="s">
        <v>353</v>
      </c>
      <c r="S255" s="79" t="s">
        <v>339</v>
      </c>
      <c r="T255" s="298">
        <f>IFERROR(Table6[[#This Row],[Breakdown Time]]*Table6[[#This Row],[Plant Equivalent Weightage]],"")</f>
        <v>7.5757575757575638E-3</v>
      </c>
      <c r="U255" s="79" t="s">
        <v>421</v>
      </c>
      <c r="W255" s="79">
        <v>36</v>
      </c>
    </row>
    <row r="256" spans="1:23">
      <c r="A256" s="79">
        <f t="shared" si="3"/>
        <v>255</v>
      </c>
      <c r="B256" s="79">
        <f>YEAR(Table6[[#This Row],[Date]])+IF(MONTH(Table6[[#This Row],[Date]])&gt;=4,1,0)</f>
        <v>2026</v>
      </c>
      <c r="C256" s="79">
        <f>YEAR(Table6[[#This Row],[Date]])</f>
        <v>2025</v>
      </c>
      <c r="D256" s="79" t="s">
        <v>344</v>
      </c>
      <c r="E256" s="284">
        <f>Table6[[#This Row],[Date]]-DAY(Table6[[#This Row],[Date]])+1</f>
        <v>45748</v>
      </c>
      <c r="F256" s="285">
        <v>45756</v>
      </c>
      <c r="G256" s="79" t="s">
        <v>84</v>
      </c>
      <c r="H256" s="79" t="str">
        <f>IFERROR(_xlfn.XLOOKUP(Table6[[#This Row],[Affected Feeder ]],'Basic Data'!$A:$A,'Basic Data'!$B:$B),"")</f>
        <v>PWEPL</v>
      </c>
      <c r="I256" s="79" t="str">
        <f>IFERROR(_xlfn.XLOOKUP(Table6[[#This Row],[Affected Feeder ]],'Basic Data'!$A:$A,'Basic Data'!$C:$C),"")</f>
        <v>MSEDCL</v>
      </c>
      <c r="J256" s="295">
        <f>IFERROR(_xlfn.XLOOKUP(Table6[[#This Row],[Affected Feeder ]],'Basic Data'!$A:$A,'Basic Data'!$E:$E),"")</f>
        <v>2.2727272727272728E-2</v>
      </c>
      <c r="K256" s="296" t="s">
        <v>171</v>
      </c>
      <c r="L256" s="297">
        <v>0.10277777777777779</v>
      </c>
      <c r="M256" s="297">
        <v>0.10277777777777779</v>
      </c>
      <c r="N256" s="297">
        <v>0.11458333333333333</v>
      </c>
      <c r="O256" s="19">
        <f>(Table6[[#This Row],[Work Start TimeStamp]]-Table6[[#This Row],[Fault Start TimeStamp]])*24</f>
        <v>0</v>
      </c>
      <c r="P256" s="19">
        <f>(Table6[[#This Row],[Fault Clearance time]]-Table6[[#This Row],[Fault Start TimeStamp]])*24</f>
        <v>0.28333333333333299</v>
      </c>
      <c r="Q256" s="19">
        <f>(Table6[[#This Row],[Fault Clearance time]]-Table6[[#This Row],[Fault Start TimeStamp]])*24</f>
        <v>0.28333333333333299</v>
      </c>
      <c r="R256" s="79" t="s">
        <v>353</v>
      </c>
      <c r="S256" s="79" t="s">
        <v>339</v>
      </c>
      <c r="T256" s="298">
        <f>IFERROR(Table6[[#This Row],[Breakdown Time]]*Table6[[#This Row],[Plant Equivalent Weightage]],"")</f>
        <v>6.4393939393939314E-3</v>
      </c>
      <c r="U256" s="79" t="s">
        <v>421</v>
      </c>
      <c r="W256" s="79">
        <v>36</v>
      </c>
    </row>
    <row r="257" spans="1:23">
      <c r="A257" s="79">
        <f t="shared" si="3"/>
        <v>256</v>
      </c>
      <c r="B257" s="79">
        <f>YEAR(Table6[[#This Row],[Date]])+IF(MONTH(Table6[[#This Row],[Date]])&gt;=4,1,0)</f>
        <v>2026</v>
      </c>
      <c r="C257" s="79">
        <f>YEAR(Table6[[#This Row],[Date]])</f>
        <v>2025</v>
      </c>
      <c r="D257" s="79" t="s">
        <v>344</v>
      </c>
      <c r="E257" s="284">
        <f>Table6[[#This Row],[Date]]-DAY(Table6[[#This Row],[Date]])+1</f>
        <v>45748</v>
      </c>
      <c r="F257" s="285">
        <v>45756</v>
      </c>
      <c r="G257" s="79" t="s">
        <v>85</v>
      </c>
      <c r="H257" s="79" t="str">
        <f>IFERROR(_xlfn.XLOOKUP(Table6[[#This Row],[Affected Feeder ]],'Basic Data'!$A:$A,'Basic Data'!$B:$B),"")</f>
        <v>PWEPL</v>
      </c>
      <c r="I257" s="79" t="str">
        <f>IFERROR(_xlfn.XLOOKUP(Table6[[#This Row],[Affected Feeder ]],'Basic Data'!$A:$A,'Basic Data'!$C:$C),"")</f>
        <v>MSEDCL</v>
      </c>
      <c r="J257" s="295">
        <f>IFERROR(_xlfn.XLOOKUP(Table6[[#This Row],[Affected Feeder ]],'Basic Data'!$A:$A,'Basic Data'!$E:$E),"")</f>
        <v>2.2727272727272728E-2</v>
      </c>
      <c r="K257" s="296" t="s">
        <v>171</v>
      </c>
      <c r="L257" s="297">
        <v>0.10277777777777779</v>
      </c>
      <c r="M257" s="297">
        <v>0.10277777777777779</v>
      </c>
      <c r="N257" s="297">
        <v>0.11666666666666665</v>
      </c>
      <c r="O257" s="19">
        <f>(Table6[[#This Row],[Work Start TimeStamp]]-Table6[[#This Row],[Fault Start TimeStamp]])*24</f>
        <v>0</v>
      </c>
      <c r="P257" s="19">
        <f>(Table6[[#This Row],[Fault Clearance time]]-Table6[[#This Row],[Fault Start TimeStamp]])*24</f>
        <v>0.33333333333333282</v>
      </c>
      <c r="Q257" s="19">
        <f>(Table6[[#This Row],[Fault Clearance time]]-Table6[[#This Row],[Fault Start TimeStamp]])*24</f>
        <v>0.33333333333333282</v>
      </c>
      <c r="R257" s="79" t="s">
        <v>353</v>
      </c>
      <c r="S257" s="79" t="s">
        <v>339</v>
      </c>
      <c r="T257" s="298">
        <f>IFERROR(Table6[[#This Row],[Breakdown Time]]*Table6[[#This Row],[Plant Equivalent Weightage]],"")</f>
        <v>7.5757575757575638E-3</v>
      </c>
      <c r="U257" s="79" t="s">
        <v>421</v>
      </c>
      <c r="W257" s="79">
        <v>36</v>
      </c>
    </row>
    <row r="258" spans="1:23">
      <c r="A258" s="79">
        <f t="shared" si="3"/>
        <v>257</v>
      </c>
      <c r="B258" s="79">
        <f>YEAR(Table6[[#This Row],[Date]])+IF(MONTH(Table6[[#This Row],[Date]])&gt;=4,1,0)</f>
        <v>2026</v>
      </c>
      <c r="C258" s="79">
        <f>YEAR(Table6[[#This Row],[Date]])</f>
        <v>2025</v>
      </c>
      <c r="D258" s="79" t="s">
        <v>344</v>
      </c>
      <c r="E258" s="284">
        <f>Table6[[#This Row],[Date]]-DAY(Table6[[#This Row],[Date]])+1</f>
        <v>45748</v>
      </c>
      <c r="F258" s="285">
        <v>45756</v>
      </c>
      <c r="G258" s="79" t="s">
        <v>86</v>
      </c>
      <c r="H258" s="79" t="str">
        <f>IFERROR(_xlfn.XLOOKUP(Table6[[#This Row],[Affected Feeder ]],'Basic Data'!$A:$A,'Basic Data'!$B:$B),"")</f>
        <v>PWEPL</v>
      </c>
      <c r="I258" s="79" t="str">
        <f>IFERROR(_xlfn.XLOOKUP(Table6[[#This Row],[Affected Feeder ]],'Basic Data'!$A:$A,'Basic Data'!$C:$C),"")</f>
        <v>MSEDCL</v>
      </c>
      <c r="J258" s="295">
        <f>IFERROR(_xlfn.XLOOKUP(Table6[[#This Row],[Affected Feeder ]],'Basic Data'!$A:$A,'Basic Data'!$E:$E),"")</f>
        <v>2.2727272727272728E-2</v>
      </c>
      <c r="K258" s="296" t="s">
        <v>171</v>
      </c>
      <c r="L258" s="297">
        <v>0.10277777777777779</v>
      </c>
      <c r="M258" s="297">
        <v>0.10277777777777779</v>
      </c>
      <c r="N258" s="297">
        <v>0.11527777777777777</v>
      </c>
      <c r="O258" s="19">
        <f>(Table6[[#This Row],[Work Start TimeStamp]]-Table6[[#This Row],[Fault Start TimeStamp]])*24</f>
        <v>0</v>
      </c>
      <c r="P258" s="19">
        <f>(Table6[[#This Row],[Fault Clearance time]]-Table6[[#This Row],[Fault Start TimeStamp]])*24</f>
        <v>0.2999999999999996</v>
      </c>
      <c r="Q258" s="19">
        <f>(Table6[[#This Row],[Fault Clearance time]]-Table6[[#This Row],[Fault Start TimeStamp]])*24</f>
        <v>0.2999999999999996</v>
      </c>
      <c r="R258" s="79" t="s">
        <v>353</v>
      </c>
      <c r="S258" s="79" t="s">
        <v>339</v>
      </c>
      <c r="T258" s="298">
        <f>IFERROR(Table6[[#This Row],[Breakdown Time]]*Table6[[#This Row],[Plant Equivalent Weightage]],"")</f>
        <v>6.8181818181818092E-3</v>
      </c>
      <c r="U258" s="79" t="s">
        <v>421</v>
      </c>
      <c r="W258" s="79">
        <v>36</v>
      </c>
    </row>
    <row r="259" spans="1:23">
      <c r="A259" s="79">
        <f t="shared" si="3"/>
        <v>258</v>
      </c>
      <c r="B259" s="79">
        <f>YEAR(Table6[[#This Row],[Date]])+IF(MONTH(Table6[[#This Row],[Date]])&gt;=4,1,0)</f>
        <v>2026</v>
      </c>
      <c r="C259" s="79">
        <f>YEAR(Table6[[#This Row],[Date]])</f>
        <v>2025</v>
      </c>
      <c r="D259" s="79" t="s">
        <v>344</v>
      </c>
      <c r="E259" s="284">
        <f>Table6[[#This Row],[Date]]-DAY(Table6[[#This Row],[Date]])+1</f>
        <v>45748</v>
      </c>
      <c r="F259" s="285">
        <v>45756</v>
      </c>
      <c r="G259" s="79" t="s">
        <v>87</v>
      </c>
      <c r="H259" s="79" t="str">
        <f>IFERROR(_xlfn.XLOOKUP(Table6[[#This Row],[Affected Feeder ]],'Basic Data'!$A:$A,'Basic Data'!$B:$B),"")</f>
        <v>PWEPL</v>
      </c>
      <c r="I259" s="79" t="str">
        <f>IFERROR(_xlfn.XLOOKUP(Table6[[#This Row],[Affected Feeder ]],'Basic Data'!$A:$A,'Basic Data'!$C:$C),"")</f>
        <v>MSEDCL</v>
      </c>
      <c r="J259" s="295">
        <f>IFERROR(_xlfn.XLOOKUP(Table6[[#This Row],[Affected Feeder ]],'Basic Data'!$A:$A,'Basic Data'!$E:$E),"")</f>
        <v>2.2727272727272728E-2</v>
      </c>
      <c r="K259" s="296" t="s">
        <v>171</v>
      </c>
      <c r="L259" s="297">
        <v>0.10277777777777779</v>
      </c>
      <c r="M259" s="297">
        <v>0.10277777777777779</v>
      </c>
      <c r="N259" s="297">
        <v>0.11666666666666665</v>
      </c>
      <c r="O259" s="19">
        <f>(Table6[[#This Row],[Work Start TimeStamp]]-Table6[[#This Row],[Fault Start TimeStamp]])*24</f>
        <v>0</v>
      </c>
      <c r="P259" s="19">
        <f>(Table6[[#This Row],[Fault Clearance time]]-Table6[[#This Row],[Fault Start TimeStamp]])*24</f>
        <v>0.33333333333333282</v>
      </c>
      <c r="Q259" s="19">
        <f>(Table6[[#This Row],[Fault Clearance time]]-Table6[[#This Row],[Fault Start TimeStamp]])*24</f>
        <v>0.33333333333333282</v>
      </c>
      <c r="R259" s="79" t="s">
        <v>353</v>
      </c>
      <c r="S259" s="79" t="s">
        <v>339</v>
      </c>
      <c r="T259" s="298">
        <f>IFERROR(Table6[[#This Row],[Breakdown Time]]*Table6[[#This Row],[Plant Equivalent Weightage]],"")</f>
        <v>7.5757575757575638E-3</v>
      </c>
      <c r="U259" s="79" t="s">
        <v>421</v>
      </c>
      <c r="W259" s="79">
        <v>36</v>
      </c>
    </row>
    <row r="260" spans="1:23">
      <c r="A260" s="79">
        <f t="shared" ref="A260:A323" si="4">A259+1</f>
        <v>259</v>
      </c>
      <c r="B260" s="79">
        <f>YEAR(Table6[[#This Row],[Date]])+IF(MONTH(Table6[[#This Row],[Date]])&gt;=4,1,0)</f>
        <v>2026</v>
      </c>
      <c r="C260" s="79">
        <f>YEAR(Table6[[#This Row],[Date]])</f>
        <v>2025</v>
      </c>
      <c r="D260" s="79" t="s">
        <v>344</v>
      </c>
      <c r="E260" s="284">
        <f>Table6[[#This Row],[Date]]-DAY(Table6[[#This Row],[Date]])+1</f>
        <v>45748</v>
      </c>
      <c r="F260" s="285">
        <v>45756</v>
      </c>
      <c r="G260" s="79" t="s">
        <v>88</v>
      </c>
      <c r="H260" s="79" t="str">
        <f>IFERROR(_xlfn.XLOOKUP(Table6[[#This Row],[Affected Feeder ]],'Basic Data'!$A:$A,'Basic Data'!$B:$B),"")</f>
        <v>PWEPL</v>
      </c>
      <c r="I260" s="79" t="str">
        <f>IFERROR(_xlfn.XLOOKUP(Table6[[#This Row],[Affected Feeder ]],'Basic Data'!$A:$A,'Basic Data'!$C:$C),"")</f>
        <v>MSEDCL</v>
      </c>
      <c r="J260" s="295">
        <f>IFERROR(_xlfn.XLOOKUP(Table6[[#This Row],[Affected Feeder ]],'Basic Data'!$A:$A,'Basic Data'!$E:$E),"")</f>
        <v>2.2727272727272728E-2</v>
      </c>
      <c r="K260" s="296" t="s">
        <v>171</v>
      </c>
      <c r="L260" s="297">
        <v>0.10277777777777779</v>
      </c>
      <c r="M260" s="297">
        <v>0.10277777777777779</v>
      </c>
      <c r="N260" s="297">
        <v>0.11180555555555556</v>
      </c>
      <c r="O260" s="19">
        <f>(Table6[[#This Row],[Work Start TimeStamp]]-Table6[[#This Row],[Fault Start TimeStamp]])*24</f>
        <v>0</v>
      </c>
      <c r="P260" s="19">
        <f>(Table6[[#This Row],[Fault Clearance time]]-Table6[[#This Row],[Fault Start TimeStamp]])*24</f>
        <v>0.21666666666666656</v>
      </c>
      <c r="Q260" s="19">
        <f>(Table6[[#This Row],[Fault Clearance time]]-Table6[[#This Row],[Fault Start TimeStamp]])*24</f>
        <v>0.21666666666666656</v>
      </c>
      <c r="R260" s="79" t="s">
        <v>353</v>
      </c>
      <c r="S260" s="79" t="s">
        <v>339</v>
      </c>
      <c r="T260" s="298">
        <f>IFERROR(Table6[[#This Row],[Breakdown Time]]*Table6[[#This Row],[Plant Equivalent Weightage]],"")</f>
        <v>4.9242424242424221E-3</v>
      </c>
      <c r="U260" s="79" t="s">
        <v>421</v>
      </c>
      <c r="W260" s="79">
        <v>36</v>
      </c>
    </row>
    <row r="261" spans="1:23">
      <c r="A261" s="79">
        <f t="shared" si="4"/>
        <v>260</v>
      </c>
      <c r="B261" s="79">
        <f>YEAR(Table6[[#This Row],[Date]])+IF(MONTH(Table6[[#This Row],[Date]])&gt;=4,1,0)</f>
        <v>2026</v>
      </c>
      <c r="C261" s="79">
        <f>YEAR(Table6[[#This Row],[Date]])</f>
        <v>2025</v>
      </c>
      <c r="D261" s="79" t="s">
        <v>344</v>
      </c>
      <c r="E261" s="284">
        <f>Table6[[#This Row],[Date]]-DAY(Table6[[#This Row],[Date]])+1</f>
        <v>45748</v>
      </c>
      <c r="F261" s="285">
        <v>45756</v>
      </c>
      <c r="G261" s="79" t="s">
        <v>98</v>
      </c>
      <c r="H261" s="79" t="str">
        <f>IFERROR(_xlfn.XLOOKUP(Table6[[#This Row],[Affected Feeder ]],'Basic Data'!$A:$A,'Basic Data'!$B:$B),"")</f>
        <v>PWEPL</v>
      </c>
      <c r="I261" s="79" t="str">
        <f>IFERROR(_xlfn.XLOOKUP(Table6[[#This Row],[Affected Feeder ]],'Basic Data'!$A:$A,'Basic Data'!$C:$C),"")</f>
        <v>MSEDCL</v>
      </c>
      <c r="J261" s="295">
        <f>IFERROR(_xlfn.XLOOKUP(Table6[[#This Row],[Affected Feeder ]],'Basic Data'!$A:$A,'Basic Data'!$E:$E),"")</f>
        <v>2.2727272727272728E-2</v>
      </c>
      <c r="K261" s="296" t="s">
        <v>171</v>
      </c>
      <c r="L261" s="297">
        <v>0.10277777777777779</v>
      </c>
      <c r="M261" s="297">
        <v>0.10277777777777779</v>
      </c>
      <c r="N261" s="297">
        <v>0.11666666666666665</v>
      </c>
      <c r="O261" s="19">
        <f>(Table6[[#This Row],[Work Start TimeStamp]]-Table6[[#This Row],[Fault Start TimeStamp]])*24</f>
        <v>0</v>
      </c>
      <c r="P261" s="19">
        <f>(Table6[[#This Row],[Fault Clearance time]]-Table6[[#This Row],[Fault Start TimeStamp]])*24</f>
        <v>0.33333333333333282</v>
      </c>
      <c r="Q261" s="19">
        <f>(Table6[[#This Row],[Fault Clearance time]]-Table6[[#This Row],[Fault Start TimeStamp]])*24</f>
        <v>0.33333333333333282</v>
      </c>
      <c r="R261" s="79" t="s">
        <v>353</v>
      </c>
      <c r="S261" s="79" t="s">
        <v>339</v>
      </c>
      <c r="T261" s="298">
        <f>IFERROR(Table6[[#This Row],[Breakdown Time]]*Table6[[#This Row],[Plant Equivalent Weightage]],"")</f>
        <v>7.5757575757575638E-3</v>
      </c>
      <c r="U261" s="79" t="s">
        <v>421</v>
      </c>
      <c r="W261" s="79">
        <v>36</v>
      </c>
    </row>
    <row r="262" spans="1:23">
      <c r="A262" s="79">
        <f t="shared" si="4"/>
        <v>261</v>
      </c>
      <c r="B262" s="79">
        <f>YEAR(Table6[[#This Row],[Date]])+IF(MONTH(Table6[[#This Row],[Date]])&gt;=4,1,0)</f>
        <v>2026</v>
      </c>
      <c r="C262" s="79">
        <f>YEAR(Table6[[#This Row],[Date]])</f>
        <v>2025</v>
      </c>
      <c r="D262" s="79" t="s">
        <v>344</v>
      </c>
      <c r="E262" s="284">
        <f>Table6[[#This Row],[Date]]-DAY(Table6[[#This Row],[Date]])+1</f>
        <v>45748</v>
      </c>
      <c r="F262" s="285">
        <v>45756</v>
      </c>
      <c r="G262" s="79" t="s">
        <v>99</v>
      </c>
      <c r="H262" s="79" t="str">
        <f>IFERROR(_xlfn.XLOOKUP(Table6[[#This Row],[Affected Feeder ]],'Basic Data'!$A:$A,'Basic Data'!$B:$B),"")</f>
        <v>PWEPL</v>
      </c>
      <c r="I262" s="79" t="str">
        <f>IFERROR(_xlfn.XLOOKUP(Table6[[#This Row],[Affected Feeder ]],'Basic Data'!$A:$A,'Basic Data'!$C:$C),"")</f>
        <v>MSEDCL</v>
      </c>
      <c r="J262" s="295">
        <f>IFERROR(_xlfn.XLOOKUP(Table6[[#This Row],[Affected Feeder ]],'Basic Data'!$A:$A,'Basic Data'!$E:$E),"")</f>
        <v>2.2727272727272728E-2</v>
      </c>
      <c r="K262" s="296" t="s">
        <v>171</v>
      </c>
      <c r="L262" s="297">
        <v>0.10277777777777779</v>
      </c>
      <c r="M262" s="297">
        <v>0.10277777777777779</v>
      </c>
      <c r="N262" s="297">
        <v>0.11666666666666665</v>
      </c>
      <c r="O262" s="19">
        <f>(Table6[[#This Row],[Work Start TimeStamp]]-Table6[[#This Row],[Fault Start TimeStamp]])*24</f>
        <v>0</v>
      </c>
      <c r="P262" s="19">
        <f>(Table6[[#This Row],[Fault Clearance time]]-Table6[[#This Row],[Fault Start TimeStamp]])*24</f>
        <v>0.33333333333333282</v>
      </c>
      <c r="Q262" s="19">
        <f>(Table6[[#This Row],[Fault Clearance time]]-Table6[[#This Row],[Fault Start TimeStamp]])*24</f>
        <v>0.33333333333333282</v>
      </c>
      <c r="R262" s="79" t="s">
        <v>353</v>
      </c>
      <c r="S262" s="79" t="s">
        <v>339</v>
      </c>
      <c r="T262" s="298">
        <f>IFERROR(Table6[[#This Row],[Breakdown Time]]*Table6[[#This Row],[Plant Equivalent Weightage]],"")</f>
        <v>7.5757575757575638E-3</v>
      </c>
      <c r="U262" s="79" t="s">
        <v>421</v>
      </c>
      <c r="W262" s="79">
        <v>36</v>
      </c>
    </row>
    <row r="263" spans="1:23">
      <c r="A263" s="79">
        <f t="shared" si="4"/>
        <v>262</v>
      </c>
      <c r="B263" s="79">
        <f>YEAR(Table6[[#This Row],[Date]])+IF(MONTH(Table6[[#This Row],[Date]])&gt;=4,1,0)</f>
        <v>2026</v>
      </c>
      <c r="C263" s="79">
        <f>YEAR(Table6[[#This Row],[Date]])</f>
        <v>2025</v>
      </c>
      <c r="D263" s="79" t="s">
        <v>344</v>
      </c>
      <c r="E263" s="284">
        <f>Table6[[#This Row],[Date]]-DAY(Table6[[#This Row],[Date]])+1</f>
        <v>45748</v>
      </c>
      <c r="F263" s="285">
        <v>45756</v>
      </c>
      <c r="G263" s="79" t="s">
        <v>100</v>
      </c>
      <c r="H263" s="79" t="str">
        <f>IFERROR(_xlfn.XLOOKUP(Table6[[#This Row],[Affected Feeder ]],'Basic Data'!$A:$A,'Basic Data'!$B:$B),"")</f>
        <v>PWEPL</v>
      </c>
      <c r="I263" s="79" t="str">
        <f>IFERROR(_xlfn.XLOOKUP(Table6[[#This Row],[Affected Feeder ]],'Basic Data'!$A:$A,'Basic Data'!$C:$C),"")</f>
        <v>MSEDCL</v>
      </c>
      <c r="J263" s="295">
        <f>IFERROR(_xlfn.XLOOKUP(Table6[[#This Row],[Affected Feeder ]],'Basic Data'!$A:$A,'Basic Data'!$E:$E),"")</f>
        <v>2.2727272727272728E-2</v>
      </c>
      <c r="K263" s="296" t="s">
        <v>171</v>
      </c>
      <c r="L263" s="297">
        <v>0.10277777777777779</v>
      </c>
      <c r="M263" s="297">
        <v>0.10277777777777779</v>
      </c>
      <c r="N263" s="297">
        <v>0.11388888888888889</v>
      </c>
      <c r="O263" s="19">
        <f>(Table6[[#This Row],[Work Start TimeStamp]]-Table6[[#This Row],[Fault Start TimeStamp]])*24</f>
        <v>0</v>
      </c>
      <c r="P263" s="19">
        <f>(Table6[[#This Row],[Fault Clearance time]]-Table6[[#This Row],[Fault Start TimeStamp]])*24</f>
        <v>0.26666666666666639</v>
      </c>
      <c r="Q263" s="19">
        <f>(Table6[[#This Row],[Fault Clearance time]]-Table6[[#This Row],[Fault Start TimeStamp]])*24</f>
        <v>0.26666666666666639</v>
      </c>
      <c r="R263" s="79" t="s">
        <v>353</v>
      </c>
      <c r="S263" s="79" t="s">
        <v>339</v>
      </c>
      <c r="T263" s="298">
        <f>IFERROR(Table6[[#This Row],[Breakdown Time]]*Table6[[#This Row],[Plant Equivalent Weightage]],"")</f>
        <v>6.0606060606060545E-3</v>
      </c>
      <c r="U263" s="79" t="s">
        <v>421</v>
      </c>
      <c r="W263" s="79">
        <v>36</v>
      </c>
    </row>
    <row r="264" spans="1:23">
      <c r="A264" s="79">
        <f t="shared" si="4"/>
        <v>263</v>
      </c>
      <c r="B264" s="79">
        <f>YEAR(Table6[[#This Row],[Date]])+IF(MONTH(Table6[[#This Row],[Date]])&gt;=4,1,0)</f>
        <v>2026</v>
      </c>
      <c r="C264" s="79">
        <f>YEAR(Table6[[#This Row],[Date]])</f>
        <v>2025</v>
      </c>
      <c r="D264" s="79" t="s">
        <v>344</v>
      </c>
      <c r="E264" s="284">
        <f>Table6[[#This Row],[Date]]-DAY(Table6[[#This Row],[Date]])+1</f>
        <v>45748</v>
      </c>
      <c r="F264" s="285">
        <v>45756</v>
      </c>
      <c r="G264" s="79" t="s">
        <v>101</v>
      </c>
      <c r="H264" s="79" t="str">
        <f>IFERROR(_xlfn.XLOOKUP(Table6[[#This Row],[Affected Feeder ]],'Basic Data'!$A:$A,'Basic Data'!$B:$B),"")</f>
        <v>PWEPL</v>
      </c>
      <c r="I264" s="79" t="str">
        <f>IFERROR(_xlfn.XLOOKUP(Table6[[#This Row],[Affected Feeder ]],'Basic Data'!$A:$A,'Basic Data'!$C:$C),"")</f>
        <v>MSEDCL</v>
      </c>
      <c r="J264" s="295">
        <f>IFERROR(_xlfn.XLOOKUP(Table6[[#This Row],[Affected Feeder ]],'Basic Data'!$A:$A,'Basic Data'!$E:$E),"")</f>
        <v>2.2727272727272728E-2</v>
      </c>
      <c r="K264" s="296" t="s">
        <v>171</v>
      </c>
      <c r="L264" s="297">
        <v>0.10277777777777779</v>
      </c>
      <c r="M264" s="297">
        <v>0.10277777777777779</v>
      </c>
      <c r="N264" s="297">
        <v>0.11666666666666665</v>
      </c>
      <c r="O264" s="19">
        <f>(Table6[[#This Row],[Work Start TimeStamp]]-Table6[[#This Row],[Fault Start TimeStamp]])*24</f>
        <v>0</v>
      </c>
      <c r="P264" s="19">
        <f>(Table6[[#This Row],[Fault Clearance time]]-Table6[[#This Row],[Fault Start TimeStamp]])*24</f>
        <v>0.33333333333333282</v>
      </c>
      <c r="Q264" s="19">
        <f>(Table6[[#This Row],[Fault Clearance time]]-Table6[[#This Row],[Fault Start TimeStamp]])*24</f>
        <v>0.33333333333333282</v>
      </c>
      <c r="R264" s="79" t="s">
        <v>353</v>
      </c>
      <c r="S264" s="79" t="s">
        <v>339</v>
      </c>
      <c r="T264" s="298">
        <f>IFERROR(Table6[[#This Row],[Breakdown Time]]*Table6[[#This Row],[Plant Equivalent Weightage]],"")</f>
        <v>7.5757575757575638E-3</v>
      </c>
      <c r="U264" s="79" t="s">
        <v>421</v>
      </c>
      <c r="W264" s="79">
        <v>36</v>
      </c>
    </row>
    <row r="265" spans="1:23">
      <c r="A265" s="79">
        <f t="shared" si="4"/>
        <v>264</v>
      </c>
      <c r="B265" s="79">
        <f>YEAR(Table6[[#This Row],[Date]])+IF(MONTH(Table6[[#This Row],[Date]])&gt;=4,1,0)</f>
        <v>2026</v>
      </c>
      <c r="C265" s="79">
        <f>YEAR(Table6[[#This Row],[Date]])</f>
        <v>2025</v>
      </c>
      <c r="D265" s="79" t="s">
        <v>344</v>
      </c>
      <c r="E265" s="284">
        <f>Table6[[#This Row],[Date]]-DAY(Table6[[#This Row],[Date]])+1</f>
        <v>45748</v>
      </c>
      <c r="F265" s="285">
        <v>45757</v>
      </c>
      <c r="G265" s="79" t="s">
        <v>103</v>
      </c>
      <c r="H265" s="79" t="str">
        <f>IFERROR(_xlfn.XLOOKUP(Table6[[#This Row],[Affected Feeder ]],'Basic Data'!$A:$A,'Basic Data'!$B:$B),"")</f>
        <v>PWEPL</v>
      </c>
      <c r="I265" s="79" t="str">
        <f>IFERROR(_xlfn.XLOOKUP(Table6[[#This Row],[Affected Feeder ]],'Basic Data'!$A:$A,'Basic Data'!$C:$C),"")</f>
        <v>MSEDCL</v>
      </c>
      <c r="J265" s="295">
        <f>IFERROR(_xlfn.XLOOKUP(Table6[[#This Row],[Affected Feeder ]],'Basic Data'!$A:$A,'Basic Data'!$E:$E),"")</f>
        <v>2.2727272727272728E-2</v>
      </c>
      <c r="K265" s="296" t="s">
        <v>414</v>
      </c>
      <c r="L265" s="297">
        <v>0.33194444444444443</v>
      </c>
      <c r="M265" s="297">
        <v>0.33194444444444443</v>
      </c>
      <c r="N265" s="297">
        <v>0.36041666666666666</v>
      </c>
      <c r="O265" s="19">
        <f>(Table6[[#This Row],[Work Start TimeStamp]]-Table6[[#This Row],[Fault Start TimeStamp]])*24</f>
        <v>0</v>
      </c>
      <c r="P265" s="19">
        <f>(Table6[[#This Row],[Fault Clearance time]]-Table6[[#This Row],[Fault Start TimeStamp]])*24</f>
        <v>0.68333333333333357</v>
      </c>
      <c r="Q265" s="19">
        <f>(Table6[[#This Row],[Fault Clearance time]]-Table6[[#This Row],[Fault Start TimeStamp]])*24</f>
        <v>0.68333333333333357</v>
      </c>
      <c r="R265" s="79" t="s">
        <v>448</v>
      </c>
      <c r="S265" s="79" t="s">
        <v>339</v>
      </c>
      <c r="T265" s="298">
        <f>IFERROR(Table6[[#This Row],[Breakdown Time]]*Table6[[#This Row],[Plant Equivalent Weightage]],"")</f>
        <v>1.5530303030303037E-2</v>
      </c>
      <c r="U265" s="79" t="s">
        <v>416</v>
      </c>
      <c r="W265" s="79">
        <v>169</v>
      </c>
    </row>
    <row r="266" spans="1:23">
      <c r="A266" s="79">
        <f t="shared" si="4"/>
        <v>265</v>
      </c>
      <c r="B266" s="79">
        <f>YEAR(Table6[[#This Row],[Date]])+IF(MONTH(Table6[[#This Row],[Date]])&gt;=4,1,0)</f>
        <v>2026</v>
      </c>
      <c r="C266" s="79">
        <f>YEAR(Table6[[#This Row],[Date]])</f>
        <v>2025</v>
      </c>
      <c r="D266" s="79" t="s">
        <v>344</v>
      </c>
      <c r="E266" s="284">
        <f>Table6[[#This Row],[Date]]-DAY(Table6[[#This Row],[Date]])+1</f>
        <v>45748</v>
      </c>
      <c r="F266" s="285">
        <v>45757</v>
      </c>
      <c r="G266" s="79" t="s">
        <v>103</v>
      </c>
      <c r="H266" s="79" t="str">
        <f>IFERROR(_xlfn.XLOOKUP(Table6[[#This Row],[Affected Feeder ]],'Basic Data'!$A:$A,'Basic Data'!$B:$B),"")</f>
        <v>PWEPL</v>
      </c>
      <c r="I266" s="79" t="str">
        <f>IFERROR(_xlfn.XLOOKUP(Table6[[#This Row],[Affected Feeder ]],'Basic Data'!$A:$A,'Basic Data'!$C:$C),"")</f>
        <v>MSEDCL</v>
      </c>
      <c r="J266" s="295">
        <f>IFERROR(_xlfn.XLOOKUP(Table6[[#This Row],[Affected Feeder ]],'Basic Data'!$A:$A,'Basic Data'!$E:$E),"")</f>
        <v>2.2727272727272728E-2</v>
      </c>
      <c r="K266" s="296" t="s">
        <v>171</v>
      </c>
      <c r="L266" s="297">
        <v>0.36041666666666666</v>
      </c>
      <c r="M266" s="297">
        <v>0.36041666666666666</v>
      </c>
      <c r="N266" s="297">
        <v>0.36736111111111108</v>
      </c>
      <c r="O266" s="19">
        <f>(Table6[[#This Row],[Work Start TimeStamp]]-Table6[[#This Row],[Fault Start TimeStamp]])*24</f>
        <v>0</v>
      </c>
      <c r="P266" s="19">
        <f>(Table6[[#This Row],[Fault Clearance time]]-Table6[[#This Row],[Fault Start TimeStamp]])*24</f>
        <v>0.16666666666666607</v>
      </c>
      <c r="Q266" s="19">
        <f>(Table6[[#This Row],[Fault Clearance time]]-Table6[[#This Row],[Fault Start TimeStamp]])*24</f>
        <v>0.16666666666666607</v>
      </c>
      <c r="R266" s="79" t="s">
        <v>353</v>
      </c>
      <c r="S266" s="79" t="s">
        <v>339</v>
      </c>
      <c r="T266" s="298">
        <f>IFERROR(Table6[[#This Row],[Breakdown Time]]*Table6[[#This Row],[Plant Equivalent Weightage]],"")</f>
        <v>3.7878787878787745E-3</v>
      </c>
      <c r="U266" s="79" t="s">
        <v>416</v>
      </c>
      <c r="W266" s="79">
        <v>41</v>
      </c>
    </row>
    <row r="267" spans="1:23">
      <c r="A267" s="79">
        <f t="shared" si="4"/>
        <v>266</v>
      </c>
      <c r="B267" s="79">
        <f>YEAR(Table6[[#This Row],[Date]])+IF(MONTH(Table6[[#This Row],[Date]])&gt;=4,1,0)</f>
        <v>2026</v>
      </c>
      <c r="C267" s="79">
        <f>YEAR(Table6[[#This Row],[Date]])</f>
        <v>2025</v>
      </c>
      <c r="D267" s="79" t="s">
        <v>344</v>
      </c>
      <c r="E267" s="284">
        <f>Table6[[#This Row],[Date]]-DAY(Table6[[#This Row],[Date]])+1</f>
        <v>45748</v>
      </c>
      <c r="F267" s="285">
        <v>45757</v>
      </c>
      <c r="G267" s="79" t="s">
        <v>105</v>
      </c>
      <c r="H267" s="79" t="str">
        <f>IFERROR(_xlfn.XLOOKUP(Table6[[#This Row],[Affected Feeder ]],'Basic Data'!$A:$A,'Basic Data'!$B:$B),"")</f>
        <v>PWEPL</v>
      </c>
      <c r="I267" s="79" t="str">
        <f>IFERROR(_xlfn.XLOOKUP(Table6[[#This Row],[Affected Feeder ]],'Basic Data'!$A:$A,'Basic Data'!$C:$C),"")</f>
        <v>MSEDCL</v>
      </c>
      <c r="J267" s="295">
        <f>IFERROR(_xlfn.XLOOKUP(Table6[[#This Row],[Affected Feeder ]],'Basic Data'!$A:$A,'Basic Data'!$E:$E),"")</f>
        <v>2.2727272727272728E-2</v>
      </c>
      <c r="K267" s="296" t="s">
        <v>414</v>
      </c>
      <c r="L267" s="297">
        <v>0.33194444444444443</v>
      </c>
      <c r="M267" s="297">
        <v>0.33194444444444443</v>
      </c>
      <c r="N267" s="297">
        <v>0.36041666666666666</v>
      </c>
      <c r="O267" s="19">
        <f>(Table6[[#This Row],[Work Start TimeStamp]]-Table6[[#This Row],[Fault Start TimeStamp]])*24</f>
        <v>0</v>
      </c>
      <c r="P267" s="19">
        <f>(Table6[[#This Row],[Fault Clearance time]]-Table6[[#This Row],[Fault Start TimeStamp]])*24</f>
        <v>0.68333333333333357</v>
      </c>
      <c r="Q267" s="19">
        <f>(Table6[[#This Row],[Fault Clearance time]]-Table6[[#This Row],[Fault Start TimeStamp]])*24</f>
        <v>0.68333333333333357</v>
      </c>
      <c r="R267" s="79" t="s">
        <v>448</v>
      </c>
      <c r="S267" s="79" t="s">
        <v>339</v>
      </c>
      <c r="T267" s="298">
        <f>IFERROR(Table6[[#This Row],[Breakdown Time]]*Table6[[#This Row],[Plant Equivalent Weightage]],"")</f>
        <v>1.5530303030303037E-2</v>
      </c>
      <c r="U267" s="79" t="s">
        <v>416</v>
      </c>
      <c r="W267" s="79">
        <v>169</v>
      </c>
    </row>
    <row r="268" spans="1:23">
      <c r="A268" s="79">
        <f t="shared" si="4"/>
        <v>267</v>
      </c>
      <c r="B268" s="79">
        <f>YEAR(Table6[[#This Row],[Date]])+IF(MONTH(Table6[[#This Row],[Date]])&gt;=4,1,0)</f>
        <v>2026</v>
      </c>
      <c r="C268" s="79">
        <f>YEAR(Table6[[#This Row],[Date]])</f>
        <v>2025</v>
      </c>
      <c r="D268" s="79" t="s">
        <v>344</v>
      </c>
      <c r="E268" s="284">
        <f>Table6[[#This Row],[Date]]-DAY(Table6[[#This Row],[Date]])+1</f>
        <v>45748</v>
      </c>
      <c r="F268" s="285">
        <v>45757</v>
      </c>
      <c r="G268" s="79" t="s">
        <v>105</v>
      </c>
      <c r="H268" s="79" t="str">
        <f>IFERROR(_xlfn.XLOOKUP(Table6[[#This Row],[Affected Feeder ]],'Basic Data'!$A:$A,'Basic Data'!$B:$B),"")</f>
        <v>PWEPL</v>
      </c>
      <c r="I268" s="79" t="str">
        <f>IFERROR(_xlfn.XLOOKUP(Table6[[#This Row],[Affected Feeder ]],'Basic Data'!$A:$A,'Basic Data'!$C:$C),"")</f>
        <v>MSEDCL</v>
      </c>
      <c r="J268" s="295">
        <f>IFERROR(_xlfn.XLOOKUP(Table6[[#This Row],[Affected Feeder ]],'Basic Data'!$A:$A,'Basic Data'!$E:$E),"")</f>
        <v>2.2727272727272728E-2</v>
      </c>
      <c r="K268" s="296" t="s">
        <v>171</v>
      </c>
      <c r="L268" s="297">
        <v>0.36041666666666666</v>
      </c>
      <c r="M268" s="297">
        <v>0.36041666666666666</v>
      </c>
      <c r="N268" s="297">
        <v>0.36736111111111108</v>
      </c>
      <c r="O268" s="19">
        <f>(Table6[[#This Row],[Work Start TimeStamp]]-Table6[[#This Row],[Fault Start TimeStamp]])*24</f>
        <v>0</v>
      </c>
      <c r="P268" s="19">
        <f>(Table6[[#This Row],[Fault Clearance time]]-Table6[[#This Row],[Fault Start TimeStamp]])*24</f>
        <v>0.16666666666666607</v>
      </c>
      <c r="Q268" s="19">
        <f>(Table6[[#This Row],[Fault Clearance time]]-Table6[[#This Row],[Fault Start TimeStamp]])*24</f>
        <v>0.16666666666666607</v>
      </c>
      <c r="R268" s="79" t="s">
        <v>353</v>
      </c>
      <c r="S268" s="79" t="s">
        <v>339</v>
      </c>
      <c r="T268" s="298">
        <f>IFERROR(Table6[[#This Row],[Breakdown Time]]*Table6[[#This Row],[Plant Equivalent Weightage]],"")</f>
        <v>3.7878787878787745E-3</v>
      </c>
      <c r="U268" s="79" t="s">
        <v>416</v>
      </c>
      <c r="W268" s="79">
        <v>41</v>
      </c>
    </row>
    <row r="269" spans="1:23">
      <c r="A269" s="79">
        <f t="shared" si="4"/>
        <v>268</v>
      </c>
      <c r="B269" s="79">
        <f>YEAR(Table6[[#This Row],[Date]])+IF(MONTH(Table6[[#This Row],[Date]])&gt;=4,1,0)</f>
        <v>2026</v>
      </c>
      <c r="C269" s="79">
        <f>YEAR(Table6[[#This Row],[Date]])</f>
        <v>2025</v>
      </c>
      <c r="D269" s="79" t="s">
        <v>344</v>
      </c>
      <c r="E269" s="284">
        <f>Table6[[#This Row],[Date]]-DAY(Table6[[#This Row],[Date]])+1</f>
        <v>45748</v>
      </c>
      <c r="F269" s="285">
        <v>45757</v>
      </c>
      <c r="G269" s="79" t="s">
        <v>115</v>
      </c>
      <c r="H269" s="79" t="str">
        <f>IFERROR(_xlfn.XLOOKUP(Table6[[#This Row],[Affected Feeder ]],'Basic Data'!$A:$A,'Basic Data'!$B:$B),"")</f>
        <v>PWEPL</v>
      </c>
      <c r="I269" s="79" t="str">
        <f>IFERROR(_xlfn.XLOOKUP(Table6[[#This Row],[Affected Feeder ]],'Basic Data'!$A:$A,'Basic Data'!$C:$C),"")</f>
        <v>MSEDCL</v>
      </c>
      <c r="J269" s="295">
        <f>IFERROR(_xlfn.XLOOKUP(Table6[[#This Row],[Affected Feeder ]],'Basic Data'!$A:$A,'Basic Data'!$E:$E),"")</f>
        <v>2.2727272727272728E-2</v>
      </c>
      <c r="K269" s="296" t="s">
        <v>414</v>
      </c>
      <c r="L269" s="297">
        <v>0.33194444444444443</v>
      </c>
      <c r="M269" s="297">
        <v>0.33194444444444443</v>
      </c>
      <c r="N269" s="297">
        <v>0.36041666666666666</v>
      </c>
      <c r="O269" s="19">
        <f>(Table6[[#This Row],[Work Start TimeStamp]]-Table6[[#This Row],[Fault Start TimeStamp]])*24</f>
        <v>0</v>
      </c>
      <c r="P269" s="19">
        <f>(Table6[[#This Row],[Fault Clearance time]]-Table6[[#This Row],[Fault Start TimeStamp]])*24</f>
        <v>0.68333333333333357</v>
      </c>
      <c r="Q269" s="19">
        <f>(Table6[[#This Row],[Fault Clearance time]]-Table6[[#This Row],[Fault Start TimeStamp]])*24</f>
        <v>0.68333333333333357</v>
      </c>
      <c r="R269" s="79" t="s">
        <v>448</v>
      </c>
      <c r="S269" s="79" t="s">
        <v>339</v>
      </c>
      <c r="T269" s="298">
        <f>IFERROR(Table6[[#This Row],[Breakdown Time]]*Table6[[#This Row],[Plant Equivalent Weightage]],"")</f>
        <v>1.5530303030303037E-2</v>
      </c>
      <c r="U269" s="79" t="s">
        <v>416</v>
      </c>
      <c r="W269" s="79">
        <v>169</v>
      </c>
    </row>
    <row r="270" spans="1:23">
      <c r="A270" s="79">
        <f t="shared" si="4"/>
        <v>269</v>
      </c>
      <c r="B270" s="79">
        <f>YEAR(Table6[[#This Row],[Date]])+IF(MONTH(Table6[[#This Row],[Date]])&gt;=4,1,0)</f>
        <v>2026</v>
      </c>
      <c r="C270" s="79">
        <f>YEAR(Table6[[#This Row],[Date]])</f>
        <v>2025</v>
      </c>
      <c r="D270" s="79" t="s">
        <v>344</v>
      </c>
      <c r="E270" s="284">
        <f>Table6[[#This Row],[Date]]-DAY(Table6[[#This Row],[Date]])+1</f>
        <v>45748</v>
      </c>
      <c r="F270" s="285">
        <v>45757</v>
      </c>
      <c r="G270" s="79" t="s">
        <v>115</v>
      </c>
      <c r="H270" s="79" t="str">
        <f>IFERROR(_xlfn.XLOOKUP(Table6[[#This Row],[Affected Feeder ]],'Basic Data'!$A:$A,'Basic Data'!$B:$B),"")</f>
        <v>PWEPL</v>
      </c>
      <c r="I270" s="79" t="str">
        <f>IFERROR(_xlfn.XLOOKUP(Table6[[#This Row],[Affected Feeder ]],'Basic Data'!$A:$A,'Basic Data'!$C:$C),"")</f>
        <v>MSEDCL</v>
      </c>
      <c r="J270" s="295">
        <f>IFERROR(_xlfn.XLOOKUP(Table6[[#This Row],[Affected Feeder ]],'Basic Data'!$A:$A,'Basic Data'!$E:$E),"")</f>
        <v>2.2727272727272728E-2</v>
      </c>
      <c r="K270" s="296" t="s">
        <v>171</v>
      </c>
      <c r="L270" s="297">
        <v>0.36041666666666666</v>
      </c>
      <c r="M270" s="297">
        <v>0.36041666666666666</v>
      </c>
      <c r="N270" s="297">
        <v>0.36736111111111108</v>
      </c>
      <c r="O270" s="19">
        <f>(Table6[[#This Row],[Work Start TimeStamp]]-Table6[[#This Row],[Fault Start TimeStamp]])*24</f>
        <v>0</v>
      </c>
      <c r="P270" s="19">
        <f>(Table6[[#This Row],[Fault Clearance time]]-Table6[[#This Row],[Fault Start TimeStamp]])*24</f>
        <v>0.16666666666666607</v>
      </c>
      <c r="Q270" s="19">
        <f>(Table6[[#This Row],[Fault Clearance time]]-Table6[[#This Row],[Fault Start TimeStamp]])*24</f>
        <v>0.16666666666666607</v>
      </c>
      <c r="R270" s="79" t="s">
        <v>353</v>
      </c>
      <c r="S270" s="79" t="s">
        <v>339</v>
      </c>
      <c r="T270" s="298">
        <f>IFERROR(Table6[[#This Row],[Breakdown Time]]*Table6[[#This Row],[Plant Equivalent Weightage]],"")</f>
        <v>3.7878787878787745E-3</v>
      </c>
      <c r="U270" s="79" t="s">
        <v>416</v>
      </c>
      <c r="W270" s="79">
        <v>41</v>
      </c>
    </row>
    <row r="271" spans="1:23">
      <c r="A271" s="79">
        <f t="shared" si="4"/>
        <v>270</v>
      </c>
      <c r="B271" s="79">
        <f>YEAR(Table6[[#This Row],[Date]])+IF(MONTH(Table6[[#This Row],[Date]])&gt;=4,1,0)</f>
        <v>2026</v>
      </c>
      <c r="C271" s="79">
        <f>YEAR(Table6[[#This Row],[Date]])</f>
        <v>2025</v>
      </c>
      <c r="D271" s="79" t="s">
        <v>344</v>
      </c>
      <c r="E271" s="284">
        <f>Table6[[#This Row],[Date]]-DAY(Table6[[#This Row],[Date]])+1</f>
        <v>45748</v>
      </c>
      <c r="F271" s="285">
        <v>45757</v>
      </c>
      <c r="G271" s="79" t="s">
        <v>116</v>
      </c>
      <c r="H271" s="79" t="str">
        <f>IFERROR(_xlfn.XLOOKUP(Table6[[#This Row],[Affected Feeder ]],'Basic Data'!$A:$A,'Basic Data'!$B:$B),"")</f>
        <v>PWEPL</v>
      </c>
      <c r="I271" s="79" t="str">
        <f>IFERROR(_xlfn.XLOOKUP(Table6[[#This Row],[Affected Feeder ]],'Basic Data'!$A:$A,'Basic Data'!$C:$C),"")</f>
        <v>MSEDCL</v>
      </c>
      <c r="J271" s="295">
        <f>IFERROR(_xlfn.XLOOKUP(Table6[[#This Row],[Affected Feeder ]],'Basic Data'!$A:$A,'Basic Data'!$E:$E),"")</f>
        <v>2.2727272727272728E-2</v>
      </c>
      <c r="K271" s="296" t="s">
        <v>414</v>
      </c>
      <c r="L271" s="297">
        <v>0.33194444444444443</v>
      </c>
      <c r="M271" s="297">
        <v>0.33194444444444443</v>
      </c>
      <c r="N271" s="297">
        <v>0.875</v>
      </c>
      <c r="O271" s="19">
        <f>(Table6[[#This Row],[Work Start TimeStamp]]-Table6[[#This Row],[Fault Start TimeStamp]])*24</f>
        <v>0</v>
      </c>
      <c r="P271" s="19">
        <f>(Table6[[#This Row],[Fault Clearance time]]-Table6[[#This Row],[Fault Start TimeStamp]])*24</f>
        <v>13.033333333333335</v>
      </c>
      <c r="Q271" s="19">
        <f>(Table6[[#This Row],[Fault Clearance time]]-Table6[[#This Row],[Fault Start TimeStamp]])*24</f>
        <v>13.033333333333335</v>
      </c>
      <c r="R271" s="79" t="s">
        <v>449</v>
      </c>
      <c r="S271" s="79" t="s">
        <v>339</v>
      </c>
      <c r="T271" s="298">
        <f>IFERROR(Table6[[#This Row],[Breakdown Time]]*Table6[[#This Row],[Plant Equivalent Weightage]],"")</f>
        <v>0.29621212121212126</v>
      </c>
      <c r="U271" s="79" t="s">
        <v>416</v>
      </c>
      <c r="W271" s="79">
        <v>3226</v>
      </c>
    </row>
    <row r="272" spans="1:23">
      <c r="A272" s="79">
        <f t="shared" si="4"/>
        <v>271</v>
      </c>
      <c r="B272" s="79">
        <f>YEAR(Table6[[#This Row],[Date]])+IF(MONTH(Table6[[#This Row],[Date]])&gt;=4,1,0)</f>
        <v>2026</v>
      </c>
      <c r="C272" s="79">
        <f>YEAR(Table6[[#This Row],[Date]])</f>
        <v>2025</v>
      </c>
      <c r="D272" s="79" t="s">
        <v>344</v>
      </c>
      <c r="E272" s="284">
        <f>Table6[[#This Row],[Date]]-DAY(Table6[[#This Row],[Date]])+1</f>
        <v>45748</v>
      </c>
      <c r="F272" s="285">
        <v>45757</v>
      </c>
      <c r="G272" s="79" t="s">
        <v>116</v>
      </c>
      <c r="H272" s="79" t="str">
        <f>IFERROR(_xlfn.XLOOKUP(Table6[[#This Row],[Affected Feeder ]],'Basic Data'!$A:$A,'Basic Data'!$B:$B),"")</f>
        <v>PWEPL</v>
      </c>
      <c r="I272" s="79" t="str">
        <f>IFERROR(_xlfn.XLOOKUP(Table6[[#This Row],[Affected Feeder ]],'Basic Data'!$A:$A,'Basic Data'!$C:$C),"")</f>
        <v>MSEDCL</v>
      </c>
      <c r="J272" s="295">
        <f>IFERROR(_xlfn.XLOOKUP(Table6[[#This Row],[Affected Feeder ]],'Basic Data'!$A:$A,'Basic Data'!$E:$E),"")</f>
        <v>2.2727272727272728E-2</v>
      </c>
      <c r="K272" s="296" t="s">
        <v>171</v>
      </c>
      <c r="L272" s="297">
        <v>0.875</v>
      </c>
      <c r="M272" s="297">
        <v>0.875</v>
      </c>
      <c r="N272" s="297">
        <v>0.88194444444444453</v>
      </c>
      <c r="O272" s="19">
        <f>(Table6[[#This Row],[Work Start TimeStamp]]-Table6[[#This Row],[Fault Start TimeStamp]])*24</f>
        <v>0</v>
      </c>
      <c r="P272" s="19">
        <f>(Table6[[#This Row],[Fault Clearance time]]-Table6[[#This Row],[Fault Start TimeStamp]])*24</f>
        <v>0.16666666666666874</v>
      </c>
      <c r="Q272" s="19">
        <f>(Table6[[#This Row],[Fault Clearance time]]-Table6[[#This Row],[Fault Start TimeStamp]])*24</f>
        <v>0.16666666666666874</v>
      </c>
      <c r="R272" s="79" t="s">
        <v>353</v>
      </c>
      <c r="S272" s="79" t="s">
        <v>339</v>
      </c>
      <c r="T272" s="298">
        <f>IFERROR(Table6[[#This Row],[Breakdown Time]]*Table6[[#This Row],[Plant Equivalent Weightage]],"")</f>
        <v>3.7878787878788353E-3</v>
      </c>
      <c r="U272" s="79" t="s">
        <v>416</v>
      </c>
      <c r="W272" s="79">
        <v>41</v>
      </c>
    </row>
    <row r="273" spans="1:23">
      <c r="A273" s="79">
        <f t="shared" si="4"/>
        <v>272</v>
      </c>
      <c r="B273" s="79">
        <f>YEAR(Table6[[#This Row],[Date]])+IF(MONTH(Table6[[#This Row],[Date]])&gt;=4,1,0)</f>
        <v>2026</v>
      </c>
      <c r="C273" s="79">
        <f>YEAR(Table6[[#This Row],[Date]])</f>
        <v>2025</v>
      </c>
      <c r="D273" s="79" t="s">
        <v>344</v>
      </c>
      <c r="E273" s="284">
        <f>Table6[[#This Row],[Date]]-DAY(Table6[[#This Row],[Date]])+1</f>
        <v>45748</v>
      </c>
      <c r="F273" s="285">
        <v>45757</v>
      </c>
      <c r="G273" s="79" t="s">
        <v>117</v>
      </c>
      <c r="H273" s="79" t="str">
        <f>IFERROR(_xlfn.XLOOKUP(Table6[[#This Row],[Affected Feeder ]],'Basic Data'!$A:$A,'Basic Data'!$B:$B),"")</f>
        <v>PWEPL</v>
      </c>
      <c r="I273" s="79" t="str">
        <f>IFERROR(_xlfn.XLOOKUP(Table6[[#This Row],[Affected Feeder ]],'Basic Data'!$A:$A,'Basic Data'!$C:$C),"")</f>
        <v>MSEDCL</v>
      </c>
      <c r="J273" s="295">
        <f>IFERROR(_xlfn.XLOOKUP(Table6[[#This Row],[Affected Feeder ]],'Basic Data'!$A:$A,'Basic Data'!$E:$E),"")</f>
        <v>2.2727272727272728E-2</v>
      </c>
      <c r="K273" s="296" t="s">
        <v>414</v>
      </c>
      <c r="L273" s="297">
        <v>0.33194444444444443</v>
      </c>
      <c r="M273" s="297">
        <v>0.33194444444444443</v>
      </c>
      <c r="N273" s="297">
        <v>0.875</v>
      </c>
      <c r="O273" s="19">
        <f>(Table6[[#This Row],[Work Start TimeStamp]]-Table6[[#This Row],[Fault Start TimeStamp]])*24</f>
        <v>0</v>
      </c>
      <c r="P273" s="19">
        <f>(Table6[[#This Row],[Fault Clearance time]]-Table6[[#This Row],[Fault Start TimeStamp]])*24</f>
        <v>13.033333333333335</v>
      </c>
      <c r="Q273" s="19">
        <f>(Table6[[#This Row],[Fault Clearance time]]-Table6[[#This Row],[Fault Start TimeStamp]])*24</f>
        <v>13.033333333333335</v>
      </c>
      <c r="R273" s="79" t="s">
        <v>450</v>
      </c>
      <c r="S273" s="79" t="s">
        <v>339</v>
      </c>
      <c r="T273" s="298">
        <f>IFERROR(Table6[[#This Row],[Breakdown Time]]*Table6[[#This Row],[Plant Equivalent Weightage]],"")</f>
        <v>0.29621212121212126</v>
      </c>
      <c r="U273" s="79" t="s">
        <v>416</v>
      </c>
      <c r="W273" s="79">
        <v>3226</v>
      </c>
    </row>
    <row r="274" spans="1:23">
      <c r="A274" s="79">
        <f t="shared" si="4"/>
        <v>273</v>
      </c>
      <c r="B274" s="79">
        <f>YEAR(Table6[[#This Row],[Date]])+IF(MONTH(Table6[[#This Row],[Date]])&gt;=4,1,0)</f>
        <v>2026</v>
      </c>
      <c r="C274" s="79">
        <f>YEAR(Table6[[#This Row],[Date]])</f>
        <v>2025</v>
      </c>
      <c r="D274" s="79" t="s">
        <v>344</v>
      </c>
      <c r="E274" s="284">
        <f>Table6[[#This Row],[Date]]-DAY(Table6[[#This Row],[Date]])+1</f>
        <v>45748</v>
      </c>
      <c r="F274" s="285">
        <v>45757</v>
      </c>
      <c r="G274" s="79" t="s">
        <v>117</v>
      </c>
      <c r="H274" s="79" t="str">
        <f>IFERROR(_xlfn.XLOOKUP(Table6[[#This Row],[Affected Feeder ]],'Basic Data'!$A:$A,'Basic Data'!$B:$B),"")</f>
        <v>PWEPL</v>
      </c>
      <c r="I274" s="79" t="str">
        <f>IFERROR(_xlfn.XLOOKUP(Table6[[#This Row],[Affected Feeder ]],'Basic Data'!$A:$A,'Basic Data'!$C:$C),"")</f>
        <v>MSEDCL</v>
      </c>
      <c r="J274" s="295">
        <f>IFERROR(_xlfn.XLOOKUP(Table6[[#This Row],[Affected Feeder ]],'Basic Data'!$A:$A,'Basic Data'!$E:$E),"")</f>
        <v>2.2727272727272728E-2</v>
      </c>
      <c r="K274" s="296" t="s">
        <v>171</v>
      </c>
      <c r="L274" s="297">
        <v>0.875</v>
      </c>
      <c r="M274" s="297">
        <v>0.875</v>
      </c>
      <c r="N274" s="297">
        <v>0.88194444444444453</v>
      </c>
      <c r="O274" s="19">
        <f>(Table6[[#This Row],[Work Start TimeStamp]]-Table6[[#This Row],[Fault Start TimeStamp]])*24</f>
        <v>0</v>
      </c>
      <c r="P274" s="19">
        <f>(Table6[[#This Row],[Fault Clearance time]]-Table6[[#This Row],[Fault Start TimeStamp]])*24</f>
        <v>0.16666666666666874</v>
      </c>
      <c r="Q274" s="19">
        <f>(Table6[[#This Row],[Fault Clearance time]]-Table6[[#This Row],[Fault Start TimeStamp]])*24</f>
        <v>0.16666666666666874</v>
      </c>
      <c r="R274" s="79" t="s">
        <v>353</v>
      </c>
      <c r="S274" s="79" t="s">
        <v>339</v>
      </c>
      <c r="T274" s="298">
        <f>IFERROR(Table6[[#This Row],[Breakdown Time]]*Table6[[#This Row],[Plant Equivalent Weightage]],"")</f>
        <v>3.7878787878788353E-3</v>
      </c>
      <c r="U274" s="79" t="s">
        <v>416</v>
      </c>
      <c r="W274" s="79">
        <v>41</v>
      </c>
    </row>
    <row r="275" spans="1:23">
      <c r="A275" s="79">
        <f t="shared" si="4"/>
        <v>274</v>
      </c>
      <c r="B275" s="79">
        <f>YEAR(Table6[[#This Row],[Date]])+IF(MONTH(Table6[[#This Row],[Date]])&gt;=4,1,0)</f>
        <v>2026</v>
      </c>
      <c r="C275" s="79">
        <f>YEAR(Table6[[#This Row],[Date]])</f>
        <v>2025</v>
      </c>
      <c r="D275" s="79" t="s">
        <v>344</v>
      </c>
      <c r="E275" s="284">
        <f>Table6[[#This Row],[Date]]-DAY(Table6[[#This Row],[Date]])+1</f>
        <v>45748</v>
      </c>
      <c r="F275" s="285">
        <v>45757</v>
      </c>
      <c r="G275" s="79" t="s">
        <v>118</v>
      </c>
      <c r="H275" s="79" t="str">
        <f>IFERROR(_xlfn.XLOOKUP(Table6[[#This Row],[Affected Feeder ]],'Basic Data'!$A:$A,'Basic Data'!$B:$B),"")</f>
        <v>PWEPL</v>
      </c>
      <c r="I275" s="79" t="str">
        <f>IFERROR(_xlfn.XLOOKUP(Table6[[#This Row],[Affected Feeder ]],'Basic Data'!$A:$A,'Basic Data'!$C:$C),"")</f>
        <v>MSEDCL</v>
      </c>
      <c r="J275" s="295">
        <f>IFERROR(_xlfn.XLOOKUP(Table6[[#This Row],[Affected Feeder ]],'Basic Data'!$A:$A,'Basic Data'!$E:$E),"")</f>
        <v>2.2727272727272728E-2</v>
      </c>
      <c r="K275" s="296" t="s">
        <v>414</v>
      </c>
      <c r="L275" s="297">
        <v>0.33194444444444443</v>
      </c>
      <c r="M275" s="297">
        <v>0.33194444444444443</v>
      </c>
      <c r="N275" s="297">
        <v>0.36041666666666666</v>
      </c>
      <c r="O275" s="19">
        <f>(Table6[[#This Row],[Work Start TimeStamp]]-Table6[[#This Row],[Fault Start TimeStamp]])*24</f>
        <v>0</v>
      </c>
      <c r="P275" s="19">
        <f>(Table6[[#This Row],[Fault Clearance time]]-Table6[[#This Row],[Fault Start TimeStamp]])*24</f>
        <v>0.68333333333333357</v>
      </c>
      <c r="Q275" s="19">
        <f>(Table6[[#This Row],[Fault Clearance time]]-Table6[[#This Row],[Fault Start TimeStamp]])*24</f>
        <v>0.68333333333333357</v>
      </c>
      <c r="R275" s="79" t="s">
        <v>448</v>
      </c>
      <c r="S275" s="79" t="s">
        <v>339</v>
      </c>
      <c r="T275" s="298">
        <f>IFERROR(Table6[[#This Row],[Breakdown Time]]*Table6[[#This Row],[Plant Equivalent Weightage]],"")</f>
        <v>1.5530303030303037E-2</v>
      </c>
      <c r="U275" s="79" t="s">
        <v>416</v>
      </c>
      <c r="W275" s="79">
        <v>169</v>
      </c>
    </row>
    <row r="276" spans="1:23">
      <c r="A276" s="79">
        <f t="shared" si="4"/>
        <v>275</v>
      </c>
      <c r="B276" s="79">
        <f>YEAR(Table6[[#This Row],[Date]])+IF(MONTH(Table6[[#This Row],[Date]])&gt;=4,1,0)</f>
        <v>2026</v>
      </c>
      <c r="C276" s="79">
        <f>YEAR(Table6[[#This Row],[Date]])</f>
        <v>2025</v>
      </c>
      <c r="D276" s="79" t="s">
        <v>344</v>
      </c>
      <c r="E276" s="284">
        <f>Table6[[#This Row],[Date]]-DAY(Table6[[#This Row],[Date]])+1</f>
        <v>45748</v>
      </c>
      <c r="F276" s="285">
        <v>45757</v>
      </c>
      <c r="G276" s="79" t="s">
        <v>118</v>
      </c>
      <c r="H276" s="79" t="str">
        <f>IFERROR(_xlfn.XLOOKUP(Table6[[#This Row],[Affected Feeder ]],'Basic Data'!$A:$A,'Basic Data'!$B:$B),"")</f>
        <v>PWEPL</v>
      </c>
      <c r="I276" s="79" t="str">
        <f>IFERROR(_xlfn.XLOOKUP(Table6[[#This Row],[Affected Feeder ]],'Basic Data'!$A:$A,'Basic Data'!$C:$C),"")</f>
        <v>MSEDCL</v>
      </c>
      <c r="J276" s="295">
        <f>IFERROR(_xlfn.XLOOKUP(Table6[[#This Row],[Affected Feeder ]],'Basic Data'!$A:$A,'Basic Data'!$E:$E),"")</f>
        <v>2.2727272727272728E-2</v>
      </c>
      <c r="K276" s="296" t="s">
        <v>171</v>
      </c>
      <c r="L276" s="297">
        <v>0.36041666666666666</v>
      </c>
      <c r="M276" s="297">
        <v>0.36041666666666666</v>
      </c>
      <c r="N276" s="297">
        <v>0.36736111111111108</v>
      </c>
      <c r="O276" s="19">
        <f>(Table6[[#This Row],[Work Start TimeStamp]]-Table6[[#This Row],[Fault Start TimeStamp]])*24</f>
        <v>0</v>
      </c>
      <c r="P276" s="19">
        <f>(Table6[[#This Row],[Fault Clearance time]]-Table6[[#This Row],[Fault Start TimeStamp]])*24</f>
        <v>0.16666666666666607</v>
      </c>
      <c r="Q276" s="19">
        <f>(Table6[[#This Row],[Fault Clearance time]]-Table6[[#This Row],[Fault Start TimeStamp]])*24</f>
        <v>0.16666666666666607</v>
      </c>
      <c r="R276" s="79" t="s">
        <v>353</v>
      </c>
      <c r="S276" s="79" t="s">
        <v>339</v>
      </c>
      <c r="T276" s="298">
        <f>IFERROR(Table6[[#This Row],[Breakdown Time]]*Table6[[#This Row],[Plant Equivalent Weightage]],"")</f>
        <v>3.7878787878787745E-3</v>
      </c>
      <c r="U276" s="79" t="s">
        <v>416</v>
      </c>
      <c r="W276" s="79">
        <v>41</v>
      </c>
    </row>
    <row r="277" spans="1:23">
      <c r="A277" s="79">
        <f t="shared" si="4"/>
        <v>276</v>
      </c>
      <c r="B277" s="79">
        <f>YEAR(Table6[[#This Row],[Date]])+IF(MONTH(Table6[[#This Row],[Date]])&gt;=4,1,0)</f>
        <v>2026</v>
      </c>
      <c r="C277" s="79">
        <f>YEAR(Table6[[#This Row],[Date]])</f>
        <v>2025</v>
      </c>
      <c r="D277" s="79" t="s">
        <v>344</v>
      </c>
      <c r="E277" s="284">
        <f>Table6[[#This Row],[Date]]-DAY(Table6[[#This Row],[Date]])+1</f>
        <v>45748</v>
      </c>
      <c r="F277" s="285">
        <v>45757</v>
      </c>
      <c r="G277" s="79" t="s">
        <v>103</v>
      </c>
      <c r="H277" s="79" t="str">
        <f>IFERROR(_xlfn.XLOOKUP(Table6[[#This Row],[Affected Feeder ]],'Basic Data'!$A:$A,'Basic Data'!$B:$B),"")</f>
        <v>PWEPL</v>
      </c>
      <c r="I277" s="79" t="str">
        <f>IFERROR(_xlfn.XLOOKUP(Table6[[#This Row],[Affected Feeder ]],'Basic Data'!$A:$A,'Basic Data'!$C:$C),"")</f>
        <v>MSEDCL</v>
      </c>
      <c r="J277" s="295">
        <f>IFERROR(_xlfn.XLOOKUP(Table6[[#This Row],[Affected Feeder ]],'Basic Data'!$A:$A,'Basic Data'!$E:$E),"")</f>
        <v>2.2727272727272728E-2</v>
      </c>
      <c r="K277" s="296" t="s">
        <v>414</v>
      </c>
      <c r="L277" s="297">
        <v>0.85277777777777775</v>
      </c>
      <c r="M277" s="297">
        <v>0.85277777777777775</v>
      </c>
      <c r="N277" s="297">
        <v>0.875</v>
      </c>
      <c r="O277" s="19">
        <f>(Table6[[#This Row],[Work Start TimeStamp]]-Table6[[#This Row],[Fault Start TimeStamp]])*24</f>
        <v>0</v>
      </c>
      <c r="P277" s="19">
        <f>(Table6[[#This Row],[Fault Clearance time]]-Table6[[#This Row],[Fault Start TimeStamp]])*24</f>
        <v>0.5333333333333341</v>
      </c>
      <c r="Q277" s="19">
        <f>(Table6[[#This Row],[Fault Clearance time]]-Table6[[#This Row],[Fault Start TimeStamp]])*24</f>
        <v>0.5333333333333341</v>
      </c>
      <c r="R277" s="79" t="s">
        <v>451</v>
      </c>
      <c r="S277" s="79" t="s">
        <v>339</v>
      </c>
      <c r="T277" s="298">
        <f>IFERROR(Table6[[#This Row],[Breakdown Time]]*Table6[[#This Row],[Plant Equivalent Weightage]],"")</f>
        <v>1.2121212121212139E-2</v>
      </c>
      <c r="U277" s="79" t="s">
        <v>416</v>
      </c>
      <c r="W277" s="79">
        <v>132</v>
      </c>
    </row>
    <row r="278" spans="1:23">
      <c r="A278" s="79">
        <f t="shared" si="4"/>
        <v>277</v>
      </c>
      <c r="B278" s="79">
        <f>YEAR(Table6[[#This Row],[Date]])+IF(MONTH(Table6[[#This Row],[Date]])&gt;=4,1,0)</f>
        <v>2026</v>
      </c>
      <c r="C278" s="79">
        <f>YEAR(Table6[[#This Row],[Date]])</f>
        <v>2025</v>
      </c>
      <c r="D278" s="79" t="s">
        <v>344</v>
      </c>
      <c r="E278" s="284">
        <f>Table6[[#This Row],[Date]]-DAY(Table6[[#This Row],[Date]])+1</f>
        <v>45748</v>
      </c>
      <c r="F278" s="285">
        <v>45757</v>
      </c>
      <c r="G278" s="79" t="s">
        <v>103</v>
      </c>
      <c r="H278" s="79" t="str">
        <f>IFERROR(_xlfn.XLOOKUP(Table6[[#This Row],[Affected Feeder ]],'Basic Data'!$A:$A,'Basic Data'!$B:$B),"")</f>
        <v>PWEPL</v>
      </c>
      <c r="I278" s="79" t="str">
        <f>IFERROR(_xlfn.XLOOKUP(Table6[[#This Row],[Affected Feeder ]],'Basic Data'!$A:$A,'Basic Data'!$C:$C),"")</f>
        <v>MSEDCL</v>
      </c>
      <c r="J278" s="295">
        <f>IFERROR(_xlfn.XLOOKUP(Table6[[#This Row],[Affected Feeder ]],'Basic Data'!$A:$A,'Basic Data'!$E:$E),"")</f>
        <v>2.2727272727272728E-2</v>
      </c>
      <c r="K278" s="296" t="s">
        <v>171</v>
      </c>
      <c r="L278" s="297">
        <v>0.875</v>
      </c>
      <c r="M278" s="297">
        <v>0.875</v>
      </c>
      <c r="N278" s="297">
        <v>0.88680555555555562</v>
      </c>
      <c r="O278" s="19">
        <f>(Table6[[#This Row],[Work Start TimeStamp]]-Table6[[#This Row],[Fault Start TimeStamp]])*24</f>
        <v>0</v>
      </c>
      <c r="P278" s="19">
        <f>(Table6[[#This Row],[Fault Clearance time]]-Table6[[#This Row],[Fault Start TimeStamp]])*24</f>
        <v>0.28333333333333499</v>
      </c>
      <c r="Q278" s="19">
        <f>(Table6[[#This Row],[Fault Clearance time]]-Table6[[#This Row],[Fault Start TimeStamp]])*24</f>
        <v>0.28333333333333499</v>
      </c>
      <c r="R278" s="79" t="s">
        <v>353</v>
      </c>
      <c r="S278" s="79" t="s">
        <v>339</v>
      </c>
      <c r="T278" s="298">
        <f>IFERROR(Table6[[#This Row],[Breakdown Time]]*Table6[[#This Row],[Plant Equivalent Weightage]],"")</f>
        <v>6.4393939393939774E-3</v>
      </c>
      <c r="U278" s="79" t="s">
        <v>416</v>
      </c>
      <c r="W278" s="79">
        <v>70</v>
      </c>
    </row>
    <row r="279" spans="1:23">
      <c r="A279" s="79">
        <f t="shared" si="4"/>
        <v>278</v>
      </c>
      <c r="B279" s="79">
        <f>YEAR(Table6[[#This Row],[Date]])+IF(MONTH(Table6[[#This Row],[Date]])&gt;=4,1,0)</f>
        <v>2026</v>
      </c>
      <c r="C279" s="79">
        <f>YEAR(Table6[[#This Row],[Date]])</f>
        <v>2025</v>
      </c>
      <c r="D279" s="79" t="s">
        <v>344</v>
      </c>
      <c r="E279" s="284">
        <f>Table6[[#This Row],[Date]]-DAY(Table6[[#This Row],[Date]])+1</f>
        <v>45748</v>
      </c>
      <c r="F279" s="285">
        <v>45757</v>
      </c>
      <c r="G279" s="79" t="s">
        <v>105</v>
      </c>
      <c r="H279" s="79" t="str">
        <f>IFERROR(_xlfn.XLOOKUP(Table6[[#This Row],[Affected Feeder ]],'Basic Data'!$A:$A,'Basic Data'!$B:$B),"")</f>
        <v>PWEPL</v>
      </c>
      <c r="I279" s="79" t="str">
        <f>IFERROR(_xlfn.XLOOKUP(Table6[[#This Row],[Affected Feeder ]],'Basic Data'!$A:$A,'Basic Data'!$C:$C),"")</f>
        <v>MSEDCL</v>
      </c>
      <c r="J279" s="295">
        <f>IFERROR(_xlfn.XLOOKUP(Table6[[#This Row],[Affected Feeder ]],'Basic Data'!$A:$A,'Basic Data'!$E:$E),"")</f>
        <v>2.2727272727272728E-2</v>
      </c>
      <c r="K279" s="296" t="s">
        <v>414</v>
      </c>
      <c r="L279" s="297">
        <v>0.85277777777777775</v>
      </c>
      <c r="M279" s="297">
        <v>0.85277777777777775</v>
      </c>
      <c r="N279" s="297">
        <v>0.875</v>
      </c>
      <c r="O279" s="19">
        <f>(Table6[[#This Row],[Work Start TimeStamp]]-Table6[[#This Row],[Fault Start TimeStamp]])*24</f>
        <v>0</v>
      </c>
      <c r="P279" s="19">
        <f>(Table6[[#This Row],[Fault Clearance time]]-Table6[[#This Row],[Fault Start TimeStamp]])*24</f>
        <v>0.5333333333333341</v>
      </c>
      <c r="Q279" s="19">
        <f>(Table6[[#This Row],[Fault Clearance time]]-Table6[[#This Row],[Fault Start TimeStamp]])*24</f>
        <v>0.5333333333333341</v>
      </c>
      <c r="R279" s="79" t="s">
        <v>451</v>
      </c>
      <c r="S279" s="79" t="s">
        <v>339</v>
      </c>
      <c r="T279" s="298">
        <f>IFERROR(Table6[[#This Row],[Breakdown Time]]*Table6[[#This Row],[Plant Equivalent Weightage]],"")</f>
        <v>1.2121212121212139E-2</v>
      </c>
      <c r="U279" s="79" t="s">
        <v>416</v>
      </c>
      <c r="W279" s="79">
        <v>132</v>
      </c>
    </row>
    <row r="280" spans="1:23">
      <c r="A280" s="79">
        <f t="shared" si="4"/>
        <v>279</v>
      </c>
      <c r="B280" s="79">
        <f>YEAR(Table6[[#This Row],[Date]])+IF(MONTH(Table6[[#This Row],[Date]])&gt;=4,1,0)</f>
        <v>2026</v>
      </c>
      <c r="C280" s="79">
        <f>YEAR(Table6[[#This Row],[Date]])</f>
        <v>2025</v>
      </c>
      <c r="D280" s="79" t="s">
        <v>344</v>
      </c>
      <c r="E280" s="284">
        <f>Table6[[#This Row],[Date]]-DAY(Table6[[#This Row],[Date]])+1</f>
        <v>45748</v>
      </c>
      <c r="F280" s="285">
        <v>45757</v>
      </c>
      <c r="G280" s="79" t="s">
        <v>105</v>
      </c>
      <c r="H280" s="79" t="str">
        <f>IFERROR(_xlfn.XLOOKUP(Table6[[#This Row],[Affected Feeder ]],'Basic Data'!$A:$A,'Basic Data'!$B:$B),"")</f>
        <v>PWEPL</v>
      </c>
      <c r="I280" s="79" t="str">
        <f>IFERROR(_xlfn.XLOOKUP(Table6[[#This Row],[Affected Feeder ]],'Basic Data'!$A:$A,'Basic Data'!$C:$C),"")</f>
        <v>MSEDCL</v>
      </c>
      <c r="J280" s="295">
        <f>IFERROR(_xlfn.XLOOKUP(Table6[[#This Row],[Affected Feeder ]],'Basic Data'!$A:$A,'Basic Data'!$E:$E),"")</f>
        <v>2.2727272727272728E-2</v>
      </c>
      <c r="K280" s="296" t="s">
        <v>171</v>
      </c>
      <c r="L280" s="297">
        <v>0.875</v>
      </c>
      <c r="M280" s="297">
        <v>0.875</v>
      </c>
      <c r="N280" s="297">
        <v>0.88194444444444453</v>
      </c>
      <c r="O280" s="19">
        <f>(Table6[[#This Row],[Work Start TimeStamp]]-Table6[[#This Row],[Fault Start TimeStamp]])*24</f>
        <v>0</v>
      </c>
      <c r="P280" s="19">
        <f>(Table6[[#This Row],[Fault Clearance time]]-Table6[[#This Row],[Fault Start TimeStamp]])*24</f>
        <v>0.16666666666666874</v>
      </c>
      <c r="Q280" s="19">
        <f>(Table6[[#This Row],[Fault Clearance time]]-Table6[[#This Row],[Fault Start TimeStamp]])*24</f>
        <v>0.16666666666666874</v>
      </c>
      <c r="R280" s="79" t="s">
        <v>353</v>
      </c>
      <c r="S280" s="79" t="s">
        <v>339</v>
      </c>
      <c r="T280" s="298">
        <f>IFERROR(Table6[[#This Row],[Breakdown Time]]*Table6[[#This Row],[Plant Equivalent Weightage]],"")</f>
        <v>3.7878787878788353E-3</v>
      </c>
      <c r="U280" s="79" t="s">
        <v>416</v>
      </c>
      <c r="W280" s="79">
        <v>41</v>
      </c>
    </row>
    <row r="281" spans="1:23">
      <c r="A281" s="79">
        <f t="shared" si="4"/>
        <v>280</v>
      </c>
      <c r="B281" s="79">
        <f>YEAR(Table6[[#This Row],[Date]])+IF(MONTH(Table6[[#This Row],[Date]])&gt;=4,1,0)</f>
        <v>2026</v>
      </c>
      <c r="C281" s="79">
        <f>YEAR(Table6[[#This Row],[Date]])</f>
        <v>2025</v>
      </c>
      <c r="D281" s="79" t="s">
        <v>344</v>
      </c>
      <c r="E281" s="284">
        <f>Table6[[#This Row],[Date]]-DAY(Table6[[#This Row],[Date]])+1</f>
        <v>45748</v>
      </c>
      <c r="F281" s="285">
        <v>45757</v>
      </c>
      <c r="G281" s="79" t="s">
        <v>115</v>
      </c>
      <c r="H281" s="79" t="str">
        <f>IFERROR(_xlfn.XLOOKUP(Table6[[#This Row],[Affected Feeder ]],'Basic Data'!$A:$A,'Basic Data'!$B:$B),"")</f>
        <v>PWEPL</v>
      </c>
      <c r="I281" s="79" t="str">
        <f>IFERROR(_xlfn.XLOOKUP(Table6[[#This Row],[Affected Feeder ]],'Basic Data'!$A:$A,'Basic Data'!$C:$C),"")</f>
        <v>MSEDCL</v>
      </c>
      <c r="J281" s="295">
        <f>IFERROR(_xlfn.XLOOKUP(Table6[[#This Row],[Affected Feeder ]],'Basic Data'!$A:$A,'Basic Data'!$E:$E),"")</f>
        <v>2.2727272727272728E-2</v>
      </c>
      <c r="K281" s="296" t="s">
        <v>414</v>
      </c>
      <c r="L281" s="297">
        <v>0.85277777777777775</v>
      </c>
      <c r="M281" s="297">
        <v>0.85277777777777775</v>
      </c>
      <c r="N281" s="297">
        <v>0.875</v>
      </c>
      <c r="O281" s="19">
        <f>(Table6[[#This Row],[Work Start TimeStamp]]-Table6[[#This Row],[Fault Start TimeStamp]])*24</f>
        <v>0</v>
      </c>
      <c r="P281" s="19">
        <f>(Table6[[#This Row],[Fault Clearance time]]-Table6[[#This Row],[Fault Start TimeStamp]])*24</f>
        <v>0.5333333333333341</v>
      </c>
      <c r="Q281" s="19">
        <f>(Table6[[#This Row],[Fault Clearance time]]-Table6[[#This Row],[Fault Start TimeStamp]])*24</f>
        <v>0.5333333333333341</v>
      </c>
      <c r="R281" s="79" t="s">
        <v>451</v>
      </c>
      <c r="S281" s="79" t="s">
        <v>339</v>
      </c>
      <c r="T281" s="298">
        <f>IFERROR(Table6[[#This Row],[Breakdown Time]]*Table6[[#This Row],[Plant Equivalent Weightage]],"")</f>
        <v>1.2121212121212139E-2</v>
      </c>
      <c r="U281" s="79" t="s">
        <v>416</v>
      </c>
      <c r="W281" s="79">
        <v>132</v>
      </c>
    </row>
    <row r="282" spans="1:23">
      <c r="A282" s="79">
        <f t="shared" si="4"/>
        <v>281</v>
      </c>
      <c r="B282" s="79">
        <f>YEAR(Table6[[#This Row],[Date]])+IF(MONTH(Table6[[#This Row],[Date]])&gt;=4,1,0)</f>
        <v>2026</v>
      </c>
      <c r="C282" s="79">
        <f>YEAR(Table6[[#This Row],[Date]])</f>
        <v>2025</v>
      </c>
      <c r="D282" s="79" t="s">
        <v>344</v>
      </c>
      <c r="E282" s="284">
        <f>Table6[[#This Row],[Date]]-DAY(Table6[[#This Row],[Date]])+1</f>
        <v>45748</v>
      </c>
      <c r="F282" s="285">
        <v>45757</v>
      </c>
      <c r="G282" s="79" t="s">
        <v>115</v>
      </c>
      <c r="H282" s="79" t="str">
        <f>IFERROR(_xlfn.XLOOKUP(Table6[[#This Row],[Affected Feeder ]],'Basic Data'!$A:$A,'Basic Data'!$B:$B),"")</f>
        <v>PWEPL</v>
      </c>
      <c r="I282" s="79" t="str">
        <f>IFERROR(_xlfn.XLOOKUP(Table6[[#This Row],[Affected Feeder ]],'Basic Data'!$A:$A,'Basic Data'!$C:$C),"")</f>
        <v>MSEDCL</v>
      </c>
      <c r="J282" s="295">
        <f>IFERROR(_xlfn.XLOOKUP(Table6[[#This Row],[Affected Feeder ]],'Basic Data'!$A:$A,'Basic Data'!$E:$E),"")</f>
        <v>2.2727272727272728E-2</v>
      </c>
      <c r="K282" s="296" t="s">
        <v>171</v>
      </c>
      <c r="L282" s="297">
        <v>0.875</v>
      </c>
      <c r="M282" s="297">
        <v>0.875</v>
      </c>
      <c r="N282" s="297">
        <v>0.88611111111111107</v>
      </c>
      <c r="O282" s="19">
        <f>(Table6[[#This Row],[Work Start TimeStamp]]-Table6[[#This Row],[Fault Start TimeStamp]])*24</f>
        <v>0</v>
      </c>
      <c r="P282" s="19">
        <f>(Table6[[#This Row],[Fault Clearance time]]-Table6[[#This Row],[Fault Start TimeStamp]])*24</f>
        <v>0.26666666666666572</v>
      </c>
      <c r="Q282" s="19">
        <f>(Table6[[#This Row],[Fault Clearance time]]-Table6[[#This Row],[Fault Start TimeStamp]])*24</f>
        <v>0.26666666666666572</v>
      </c>
      <c r="R282" s="79" t="s">
        <v>353</v>
      </c>
      <c r="S282" s="79" t="s">
        <v>339</v>
      </c>
      <c r="T282" s="298">
        <f>IFERROR(Table6[[#This Row],[Breakdown Time]]*Table6[[#This Row],[Plant Equivalent Weightage]],"")</f>
        <v>6.0606060606060389E-3</v>
      </c>
      <c r="U282" s="79" t="s">
        <v>416</v>
      </c>
      <c r="W282" s="79">
        <v>66</v>
      </c>
    </row>
    <row r="283" spans="1:23">
      <c r="A283" s="79">
        <f t="shared" si="4"/>
        <v>282</v>
      </c>
      <c r="B283" s="79">
        <f>YEAR(Table6[[#This Row],[Date]])+IF(MONTH(Table6[[#This Row],[Date]])&gt;=4,1,0)</f>
        <v>2026</v>
      </c>
      <c r="C283" s="79">
        <f>YEAR(Table6[[#This Row],[Date]])</f>
        <v>2025</v>
      </c>
      <c r="D283" s="79" t="s">
        <v>344</v>
      </c>
      <c r="E283" s="284">
        <f>Table6[[#This Row],[Date]]-DAY(Table6[[#This Row],[Date]])+1</f>
        <v>45748</v>
      </c>
      <c r="F283" s="285">
        <v>45757</v>
      </c>
      <c r="G283" s="79" t="s">
        <v>118</v>
      </c>
      <c r="H283" s="79" t="str">
        <f>IFERROR(_xlfn.XLOOKUP(Table6[[#This Row],[Affected Feeder ]],'Basic Data'!$A:$A,'Basic Data'!$B:$B),"")</f>
        <v>PWEPL</v>
      </c>
      <c r="I283" s="79" t="str">
        <f>IFERROR(_xlfn.XLOOKUP(Table6[[#This Row],[Affected Feeder ]],'Basic Data'!$A:$A,'Basic Data'!$C:$C),"")</f>
        <v>MSEDCL</v>
      </c>
      <c r="J283" s="295">
        <f>IFERROR(_xlfn.XLOOKUP(Table6[[#This Row],[Affected Feeder ]],'Basic Data'!$A:$A,'Basic Data'!$E:$E),"")</f>
        <v>2.2727272727272728E-2</v>
      </c>
      <c r="K283" s="296" t="s">
        <v>414</v>
      </c>
      <c r="L283" s="297">
        <v>0.85277777777777775</v>
      </c>
      <c r="M283" s="297">
        <v>0.85277777777777775</v>
      </c>
      <c r="N283" s="297">
        <v>0.875</v>
      </c>
      <c r="O283" s="19">
        <f>(Table6[[#This Row],[Work Start TimeStamp]]-Table6[[#This Row],[Fault Start TimeStamp]])*24</f>
        <v>0</v>
      </c>
      <c r="P283" s="19">
        <f>(Table6[[#This Row],[Fault Clearance time]]-Table6[[#This Row],[Fault Start TimeStamp]])*24</f>
        <v>0.5333333333333341</v>
      </c>
      <c r="Q283" s="19">
        <f>(Table6[[#This Row],[Fault Clearance time]]-Table6[[#This Row],[Fault Start TimeStamp]])*24</f>
        <v>0.5333333333333341</v>
      </c>
      <c r="R283" s="79" t="s">
        <v>451</v>
      </c>
      <c r="S283" s="79" t="s">
        <v>339</v>
      </c>
      <c r="T283" s="298">
        <f>IFERROR(Table6[[#This Row],[Breakdown Time]]*Table6[[#This Row],[Plant Equivalent Weightage]],"")</f>
        <v>1.2121212121212139E-2</v>
      </c>
      <c r="U283" s="79" t="s">
        <v>416</v>
      </c>
      <c r="W283" s="79">
        <v>132</v>
      </c>
    </row>
    <row r="284" spans="1:23">
      <c r="A284" s="79">
        <f t="shared" si="4"/>
        <v>283</v>
      </c>
      <c r="B284" s="79">
        <f>YEAR(Table6[[#This Row],[Date]])+IF(MONTH(Table6[[#This Row],[Date]])&gt;=4,1,0)</f>
        <v>2026</v>
      </c>
      <c r="C284" s="79">
        <f>YEAR(Table6[[#This Row],[Date]])</f>
        <v>2025</v>
      </c>
      <c r="D284" s="79" t="s">
        <v>344</v>
      </c>
      <c r="E284" s="284">
        <f>Table6[[#This Row],[Date]]-DAY(Table6[[#This Row],[Date]])+1</f>
        <v>45748</v>
      </c>
      <c r="F284" s="285">
        <v>45757</v>
      </c>
      <c r="G284" s="79" t="s">
        <v>118</v>
      </c>
      <c r="H284" s="79" t="str">
        <f>IFERROR(_xlfn.XLOOKUP(Table6[[#This Row],[Affected Feeder ]],'Basic Data'!$A:$A,'Basic Data'!$B:$B),"")</f>
        <v>PWEPL</v>
      </c>
      <c r="I284" s="79" t="str">
        <f>IFERROR(_xlfn.XLOOKUP(Table6[[#This Row],[Affected Feeder ]],'Basic Data'!$A:$A,'Basic Data'!$C:$C),"")</f>
        <v>MSEDCL</v>
      </c>
      <c r="J284" s="295">
        <f>IFERROR(_xlfn.XLOOKUP(Table6[[#This Row],[Affected Feeder ]],'Basic Data'!$A:$A,'Basic Data'!$E:$E),"")</f>
        <v>2.2727272727272728E-2</v>
      </c>
      <c r="K284" s="296" t="s">
        <v>171</v>
      </c>
      <c r="L284" s="297">
        <v>0.875</v>
      </c>
      <c r="M284" s="297">
        <v>0.875</v>
      </c>
      <c r="N284" s="297">
        <v>0.88124999999999998</v>
      </c>
      <c r="O284" s="19">
        <f>(Table6[[#This Row],[Work Start TimeStamp]]-Table6[[#This Row],[Fault Start TimeStamp]])*24</f>
        <v>0</v>
      </c>
      <c r="P284" s="19">
        <f>(Table6[[#This Row],[Fault Clearance time]]-Table6[[#This Row],[Fault Start TimeStamp]])*24</f>
        <v>0.14999999999999947</v>
      </c>
      <c r="Q284" s="19">
        <f>(Table6[[#This Row],[Fault Clearance time]]-Table6[[#This Row],[Fault Start TimeStamp]])*24</f>
        <v>0.14999999999999947</v>
      </c>
      <c r="R284" s="79" t="s">
        <v>353</v>
      </c>
      <c r="S284" s="79" t="s">
        <v>339</v>
      </c>
      <c r="T284" s="298">
        <f>IFERROR(Table6[[#This Row],[Breakdown Time]]*Table6[[#This Row],[Plant Equivalent Weightage]],"")</f>
        <v>3.4090909090908972E-3</v>
      </c>
      <c r="U284" s="79" t="s">
        <v>416</v>
      </c>
      <c r="W284" s="79">
        <v>37</v>
      </c>
    </row>
    <row r="285" spans="1:23">
      <c r="A285" s="79">
        <f t="shared" si="4"/>
        <v>284</v>
      </c>
      <c r="B285" s="79">
        <f>YEAR(Table6[[#This Row],[Date]])+IF(MONTH(Table6[[#This Row],[Date]])&gt;=4,1,0)</f>
        <v>2026</v>
      </c>
      <c r="C285" s="79">
        <f>YEAR(Table6[[#This Row],[Date]])</f>
        <v>2025</v>
      </c>
      <c r="D285" s="79" t="s">
        <v>344</v>
      </c>
      <c r="E285" s="284">
        <f>Table6[[#This Row],[Date]]-DAY(Table6[[#This Row],[Date]])+1</f>
        <v>45748</v>
      </c>
      <c r="F285" s="285">
        <v>45758</v>
      </c>
      <c r="G285" s="79" t="s">
        <v>103</v>
      </c>
      <c r="H285" s="79" t="str">
        <f>IFERROR(_xlfn.XLOOKUP(Table6[[#This Row],[Affected Feeder ]],'Basic Data'!$A:$A,'Basic Data'!$B:$B),"")</f>
        <v>PWEPL</v>
      </c>
      <c r="I285" s="79" t="str">
        <f>IFERROR(_xlfn.XLOOKUP(Table6[[#This Row],[Affected Feeder ]],'Basic Data'!$A:$A,'Basic Data'!$C:$C),"")</f>
        <v>MSEDCL</v>
      </c>
      <c r="J285" s="295">
        <f>IFERROR(_xlfn.XLOOKUP(Table6[[#This Row],[Affected Feeder ]],'Basic Data'!$A:$A,'Basic Data'!$E:$E),"")</f>
        <v>2.2727272727272728E-2</v>
      </c>
      <c r="K285" s="296" t="s">
        <v>414</v>
      </c>
      <c r="L285" s="297">
        <v>0.46875</v>
      </c>
      <c r="M285" s="297">
        <v>0.46875</v>
      </c>
      <c r="N285" s="297">
        <v>0.87638888888888899</v>
      </c>
      <c r="O285" s="19">
        <f>(Table6[[#This Row],[Work Start TimeStamp]]-Table6[[#This Row],[Fault Start TimeStamp]])*24</f>
        <v>0</v>
      </c>
      <c r="P285" s="19">
        <f>(Table6[[#This Row],[Fault Clearance time]]-Table6[[#This Row],[Fault Start TimeStamp]])*24</f>
        <v>9.783333333333335</v>
      </c>
      <c r="Q285" s="19">
        <f>(Table6[[#This Row],[Fault Clearance time]]-Table6[[#This Row],[Fault Start TimeStamp]])*24</f>
        <v>9.783333333333335</v>
      </c>
      <c r="R285" s="79" t="s">
        <v>452</v>
      </c>
      <c r="S285" s="79" t="s">
        <v>339</v>
      </c>
      <c r="T285" s="298">
        <f>IFERROR(Table6[[#This Row],[Breakdown Time]]*Table6[[#This Row],[Plant Equivalent Weightage]],"")</f>
        <v>0.22234848484848488</v>
      </c>
      <c r="U285" s="79" t="s">
        <v>416</v>
      </c>
      <c r="W285" s="79">
        <v>2168</v>
      </c>
    </row>
    <row r="286" spans="1:23">
      <c r="A286" s="79">
        <f t="shared" si="4"/>
        <v>285</v>
      </c>
      <c r="B286" s="79">
        <f>YEAR(Table6[[#This Row],[Date]])+IF(MONTH(Table6[[#This Row],[Date]])&gt;=4,1,0)</f>
        <v>2026</v>
      </c>
      <c r="C286" s="79">
        <f>YEAR(Table6[[#This Row],[Date]])</f>
        <v>2025</v>
      </c>
      <c r="D286" s="79" t="s">
        <v>344</v>
      </c>
      <c r="E286" s="284">
        <f>Table6[[#This Row],[Date]]-DAY(Table6[[#This Row],[Date]])+1</f>
        <v>45748</v>
      </c>
      <c r="F286" s="285">
        <v>45758</v>
      </c>
      <c r="G286" s="79" t="s">
        <v>103</v>
      </c>
      <c r="H286" s="79" t="str">
        <f>IFERROR(_xlfn.XLOOKUP(Table6[[#This Row],[Affected Feeder ]],'Basic Data'!$A:$A,'Basic Data'!$B:$B),"")</f>
        <v>PWEPL</v>
      </c>
      <c r="I286" s="79" t="str">
        <f>IFERROR(_xlfn.XLOOKUP(Table6[[#This Row],[Affected Feeder ]],'Basic Data'!$A:$A,'Basic Data'!$C:$C),"")</f>
        <v>MSEDCL</v>
      </c>
      <c r="J286" s="295">
        <f>IFERROR(_xlfn.XLOOKUP(Table6[[#This Row],[Affected Feeder ]],'Basic Data'!$A:$A,'Basic Data'!$E:$E),"")</f>
        <v>2.2727272727272728E-2</v>
      </c>
      <c r="K286" s="296" t="s">
        <v>171</v>
      </c>
      <c r="L286" s="297">
        <v>0.87638888888888899</v>
      </c>
      <c r="M286" s="297">
        <v>0.87638888888888899</v>
      </c>
      <c r="N286" s="297">
        <v>0.89027777777777783</v>
      </c>
      <c r="O286" s="19">
        <f>(Table6[[#This Row],[Work Start TimeStamp]]-Table6[[#This Row],[Fault Start TimeStamp]])*24</f>
        <v>0</v>
      </c>
      <c r="P286" s="19">
        <f>(Table6[[#This Row],[Fault Clearance time]]-Table6[[#This Row],[Fault Start TimeStamp]])*24</f>
        <v>0.33333333333333215</v>
      </c>
      <c r="Q286" s="19">
        <f>(Table6[[#This Row],[Fault Clearance time]]-Table6[[#This Row],[Fault Start TimeStamp]])*24</f>
        <v>0.33333333333333215</v>
      </c>
      <c r="R286" s="79" t="s">
        <v>353</v>
      </c>
      <c r="S286" s="79" t="s">
        <v>339</v>
      </c>
      <c r="T286" s="298">
        <f>IFERROR(Table6[[#This Row],[Breakdown Time]]*Table6[[#This Row],[Plant Equivalent Weightage]],"")</f>
        <v>7.5757575757575491E-3</v>
      </c>
      <c r="U286" s="79" t="s">
        <v>416</v>
      </c>
      <c r="W286" s="79">
        <v>74</v>
      </c>
    </row>
    <row r="287" spans="1:23">
      <c r="A287" s="79">
        <f t="shared" si="4"/>
        <v>286</v>
      </c>
      <c r="B287" s="79">
        <f>YEAR(Table6[[#This Row],[Date]])+IF(MONTH(Table6[[#This Row],[Date]])&gt;=4,1,0)</f>
        <v>2026</v>
      </c>
      <c r="C287" s="79">
        <f>YEAR(Table6[[#This Row],[Date]])</f>
        <v>2025</v>
      </c>
      <c r="D287" s="79" t="s">
        <v>344</v>
      </c>
      <c r="E287" s="284">
        <f>Table6[[#This Row],[Date]]-DAY(Table6[[#This Row],[Date]])+1</f>
        <v>45748</v>
      </c>
      <c r="F287" s="285">
        <v>45758</v>
      </c>
      <c r="G287" s="79" t="s">
        <v>105</v>
      </c>
      <c r="H287" s="79" t="str">
        <f>IFERROR(_xlfn.XLOOKUP(Table6[[#This Row],[Affected Feeder ]],'Basic Data'!$A:$A,'Basic Data'!$B:$B),"")</f>
        <v>PWEPL</v>
      </c>
      <c r="I287" s="79" t="str">
        <f>IFERROR(_xlfn.XLOOKUP(Table6[[#This Row],[Affected Feeder ]],'Basic Data'!$A:$A,'Basic Data'!$C:$C),"")</f>
        <v>MSEDCL</v>
      </c>
      <c r="J287" s="295">
        <f>IFERROR(_xlfn.XLOOKUP(Table6[[#This Row],[Affected Feeder ]],'Basic Data'!$A:$A,'Basic Data'!$E:$E),"")</f>
        <v>2.2727272727272728E-2</v>
      </c>
      <c r="K287" s="296" t="s">
        <v>414</v>
      </c>
      <c r="L287" s="297">
        <v>0.46875</v>
      </c>
      <c r="M287" s="297">
        <v>0.46875</v>
      </c>
      <c r="N287" s="297">
        <v>0.87638888888888899</v>
      </c>
      <c r="O287" s="19">
        <f>(Table6[[#This Row],[Work Start TimeStamp]]-Table6[[#This Row],[Fault Start TimeStamp]])*24</f>
        <v>0</v>
      </c>
      <c r="P287" s="19">
        <f>(Table6[[#This Row],[Fault Clearance time]]-Table6[[#This Row],[Fault Start TimeStamp]])*24</f>
        <v>9.783333333333335</v>
      </c>
      <c r="Q287" s="19">
        <f>(Table6[[#This Row],[Fault Clearance time]]-Table6[[#This Row],[Fault Start TimeStamp]])*24</f>
        <v>9.783333333333335</v>
      </c>
      <c r="R287" s="79" t="s">
        <v>453</v>
      </c>
      <c r="S287" s="79" t="s">
        <v>339</v>
      </c>
      <c r="T287" s="298">
        <f>IFERROR(Table6[[#This Row],[Breakdown Time]]*Table6[[#This Row],[Plant Equivalent Weightage]],"")</f>
        <v>0.22234848484848488</v>
      </c>
      <c r="U287" s="79" t="s">
        <v>416</v>
      </c>
      <c r="W287" s="79">
        <v>2168</v>
      </c>
    </row>
    <row r="288" spans="1:23">
      <c r="A288" s="79">
        <f t="shared" si="4"/>
        <v>287</v>
      </c>
      <c r="B288" s="79">
        <f>YEAR(Table6[[#This Row],[Date]])+IF(MONTH(Table6[[#This Row],[Date]])&gt;=4,1,0)</f>
        <v>2026</v>
      </c>
      <c r="C288" s="79">
        <f>YEAR(Table6[[#This Row],[Date]])</f>
        <v>2025</v>
      </c>
      <c r="D288" s="79" t="s">
        <v>344</v>
      </c>
      <c r="E288" s="284">
        <f>Table6[[#This Row],[Date]]-DAY(Table6[[#This Row],[Date]])+1</f>
        <v>45748</v>
      </c>
      <c r="F288" s="285">
        <v>45758</v>
      </c>
      <c r="G288" s="79" t="s">
        <v>105</v>
      </c>
      <c r="H288" s="79" t="str">
        <f>IFERROR(_xlfn.XLOOKUP(Table6[[#This Row],[Affected Feeder ]],'Basic Data'!$A:$A,'Basic Data'!$B:$B),"")</f>
        <v>PWEPL</v>
      </c>
      <c r="I288" s="79" t="str">
        <f>IFERROR(_xlfn.XLOOKUP(Table6[[#This Row],[Affected Feeder ]],'Basic Data'!$A:$A,'Basic Data'!$C:$C),"")</f>
        <v>MSEDCL</v>
      </c>
      <c r="J288" s="295">
        <f>IFERROR(_xlfn.XLOOKUP(Table6[[#This Row],[Affected Feeder ]],'Basic Data'!$A:$A,'Basic Data'!$E:$E),"")</f>
        <v>2.2727272727272728E-2</v>
      </c>
      <c r="K288" s="296" t="s">
        <v>171</v>
      </c>
      <c r="L288" s="297">
        <v>0.87638888888888899</v>
      </c>
      <c r="M288" s="297">
        <v>0.87638888888888899</v>
      </c>
      <c r="N288" s="297">
        <v>0.89027777777777783</v>
      </c>
      <c r="O288" s="19">
        <f>(Table6[[#This Row],[Work Start TimeStamp]]-Table6[[#This Row],[Fault Start TimeStamp]])*24</f>
        <v>0</v>
      </c>
      <c r="P288" s="19">
        <f>(Table6[[#This Row],[Fault Clearance time]]-Table6[[#This Row],[Fault Start TimeStamp]])*24</f>
        <v>0.33333333333333215</v>
      </c>
      <c r="Q288" s="19">
        <f>(Table6[[#This Row],[Fault Clearance time]]-Table6[[#This Row],[Fault Start TimeStamp]])*24</f>
        <v>0.33333333333333215</v>
      </c>
      <c r="R288" s="79" t="s">
        <v>353</v>
      </c>
      <c r="S288" s="79" t="s">
        <v>339</v>
      </c>
      <c r="T288" s="298">
        <f>IFERROR(Table6[[#This Row],[Breakdown Time]]*Table6[[#This Row],[Plant Equivalent Weightage]],"")</f>
        <v>7.5757575757575491E-3</v>
      </c>
      <c r="U288" s="79" t="s">
        <v>416</v>
      </c>
      <c r="W288" s="79">
        <v>74</v>
      </c>
    </row>
    <row r="289" spans="1:23">
      <c r="A289" s="79">
        <f t="shared" si="4"/>
        <v>288</v>
      </c>
      <c r="B289" s="79">
        <f>YEAR(Table6[[#This Row],[Date]])+IF(MONTH(Table6[[#This Row],[Date]])&gt;=4,1,0)</f>
        <v>2026</v>
      </c>
      <c r="C289" s="79">
        <f>YEAR(Table6[[#This Row],[Date]])</f>
        <v>2025</v>
      </c>
      <c r="D289" s="79" t="s">
        <v>344</v>
      </c>
      <c r="E289" s="284">
        <f>Table6[[#This Row],[Date]]-DAY(Table6[[#This Row],[Date]])+1</f>
        <v>45748</v>
      </c>
      <c r="F289" s="285">
        <v>45758</v>
      </c>
      <c r="G289" s="79" t="s">
        <v>115</v>
      </c>
      <c r="H289" s="79" t="str">
        <f>IFERROR(_xlfn.XLOOKUP(Table6[[#This Row],[Affected Feeder ]],'Basic Data'!$A:$A,'Basic Data'!$B:$B),"")</f>
        <v>PWEPL</v>
      </c>
      <c r="I289" s="79" t="str">
        <f>IFERROR(_xlfn.XLOOKUP(Table6[[#This Row],[Affected Feeder ]],'Basic Data'!$A:$A,'Basic Data'!$C:$C),"")</f>
        <v>MSEDCL</v>
      </c>
      <c r="J289" s="295">
        <f>IFERROR(_xlfn.XLOOKUP(Table6[[#This Row],[Affected Feeder ]],'Basic Data'!$A:$A,'Basic Data'!$E:$E),"")</f>
        <v>2.2727272727272728E-2</v>
      </c>
      <c r="K289" s="296" t="s">
        <v>414</v>
      </c>
      <c r="L289" s="297">
        <v>0.46875</v>
      </c>
      <c r="M289" s="297">
        <v>0.46875</v>
      </c>
      <c r="N289" s="297">
        <v>0.51597222222222217</v>
      </c>
      <c r="O289" s="19">
        <f>(Table6[[#This Row],[Work Start TimeStamp]]-Table6[[#This Row],[Fault Start TimeStamp]])*24</f>
        <v>0</v>
      </c>
      <c r="P289" s="19">
        <f>(Table6[[#This Row],[Fault Clearance time]]-Table6[[#This Row],[Fault Start TimeStamp]])*24</f>
        <v>1.133333333333332</v>
      </c>
      <c r="Q289" s="19">
        <f>(Table6[[#This Row],[Fault Clearance time]]-Table6[[#This Row],[Fault Start TimeStamp]])*24</f>
        <v>1.133333333333332</v>
      </c>
      <c r="R289" s="79" t="s">
        <v>454</v>
      </c>
      <c r="S289" s="79" t="s">
        <v>339</v>
      </c>
      <c r="T289" s="298">
        <f>IFERROR(Table6[[#This Row],[Breakdown Time]]*Table6[[#This Row],[Plant Equivalent Weightage]],"")</f>
        <v>2.5757575757575726E-2</v>
      </c>
      <c r="U289" s="79" t="s">
        <v>416</v>
      </c>
      <c r="W289" s="79">
        <v>251</v>
      </c>
    </row>
    <row r="290" spans="1:23">
      <c r="A290" s="79">
        <f t="shared" si="4"/>
        <v>289</v>
      </c>
      <c r="B290" s="79">
        <f>YEAR(Table6[[#This Row],[Date]])+IF(MONTH(Table6[[#This Row],[Date]])&gt;=4,1,0)</f>
        <v>2026</v>
      </c>
      <c r="C290" s="79">
        <f>YEAR(Table6[[#This Row],[Date]])</f>
        <v>2025</v>
      </c>
      <c r="D290" s="79" t="s">
        <v>344</v>
      </c>
      <c r="E290" s="284">
        <f>Table6[[#This Row],[Date]]-DAY(Table6[[#This Row],[Date]])+1</f>
        <v>45748</v>
      </c>
      <c r="F290" s="285">
        <v>45758</v>
      </c>
      <c r="G290" s="79" t="s">
        <v>115</v>
      </c>
      <c r="H290" s="79" t="str">
        <f>IFERROR(_xlfn.XLOOKUP(Table6[[#This Row],[Affected Feeder ]],'Basic Data'!$A:$A,'Basic Data'!$B:$B),"")</f>
        <v>PWEPL</v>
      </c>
      <c r="I290" s="79" t="str">
        <f>IFERROR(_xlfn.XLOOKUP(Table6[[#This Row],[Affected Feeder ]],'Basic Data'!$A:$A,'Basic Data'!$C:$C),"")</f>
        <v>MSEDCL</v>
      </c>
      <c r="J290" s="295">
        <f>IFERROR(_xlfn.XLOOKUP(Table6[[#This Row],[Affected Feeder ]],'Basic Data'!$A:$A,'Basic Data'!$E:$E),"")</f>
        <v>2.2727272727272728E-2</v>
      </c>
      <c r="K290" s="296" t="s">
        <v>171</v>
      </c>
      <c r="L290" s="297">
        <v>0.51597222222222217</v>
      </c>
      <c r="M290" s="297">
        <v>0.51597222222222217</v>
      </c>
      <c r="N290" s="297">
        <v>0.52986111111111112</v>
      </c>
      <c r="O290" s="19">
        <f>(Table6[[#This Row],[Work Start TimeStamp]]-Table6[[#This Row],[Fault Start TimeStamp]])*24</f>
        <v>0</v>
      </c>
      <c r="P290" s="19">
        <f>(Table6[[#This Row],[Fault Clearance time]]-Table6[[#This Row],[Fault Start TimeStamp]])*24</f>
        <v>0.33333333333333481</v>
      </c>
      <c r="Q290" s="19">
        <f>(Table6[[#This Row],[Fault Clearance time]]-Table6[[#This Row],[Fault Start TimeStamp]])*24</f>
        <v>0.33333333333333481</v>
      </c>
      <c r="R290" s="79" t="s">
        <v>353</v>
      </c>
      <c r="S290" s="79" t="s">
        <v>339</v>
      </c>
      <c r="T290" s="298">
        <f>IFERROR(Table6[[#This Row],[Breakdown Time]]*Table6[[#This Row],[Plant Equivalent Weightage]],"")</f>
        <v>7.5757575757576098E-3</v>
      </c>
      <c r="U290" s="79" t="s">
        <v>416</v>
      </c>
      <c r="W290" s="79">
        <v>74</v>
      </c>
    </row>
    <row r="291" spans="1:23">
      <c r="A291" s="79">
        <f t="shared" si="4"/>
        <v>290</v>
      </c>
      <c r="B291" s="79">
        <f>YEAR(Table6[[#This Row],[Date]])+IF(MONTH(Table6[[#This Row],[Date]])&gt;=4,1,0)</f>
        <v>2026</v>
      </c>
      <c r="C291" s="79">
        <f>YEAR(Table6[[#This Row],[Date]])</f>
        <v>2025</v>
      </c>
      <c r="D291" s="79" t="s">
        <v>344</v>
      </c>
      <c r="E291" s="284">
        <f>Table6[[#This Row],[Date]]-DAY(Table6[[#This Row],[Date]])+1</f>
        <v>45748</v>
      </c>
      <c r="F291" s="285">
        <v>45758</v>
      </c>
      <c r="G291" s="79" t="s">
        <v>116</v>
      </c>
      <c r="H291" s="79" t="str">
        <f>IFERROR(_xlfn.XLOOKUP(Table6[[#This Row],[Affected Feeder ]],'Basic Data'!$A:$A,'Basic Data'!$B:$B),"")</f>
        <v>PWEPL</v>
      </c>
      <c r="I291" s="79" t="str">
        <f>IFERROR(_xlfn.XLOOKUP(Table6[[#This Row],[Affected Feeder ]],'Basic Data'!$A:$A,'Basic Data'!$C:$C),"")</f>
        <v>MSEDCL</v>
      </c>
      <c r="J291" s="295">
        <f>IFERROR(_xlfn.XLOOKUP(Table6[[#This Row],[Affected Feeder ]],'Basic Data'!$A:$A,'Basic Data'!$E:$E),"")</f>
        <v>2.2727272727272728E-2</v>
      </c>
      <c r="K291" s="296" t="s">
        <v>414</v>
      </c>
      <c r="L291" s="297">
        <v>0.46875</v>
      </c>
      <c r="M291" s="297">
        <v>0.46875</v>
      </c>
      <c r="N291" s="297">
        <v>0.51597222222222217</v>
      </c>
      <c r="O291" s="19">
        <f>(Table6[[#This Row],[Work Start TimeStamp]]-Table6[[#This Row],[Fault Start TimeStamp]])*24</f>
        <v>0</v>
      </c>
      <c r="P291" s="19">
        <f>(Table6[[#This Row],[Fault Clearance time]]-Table6[[#This Row],[Fault Start TimeStamp]])*24</f>
        <v>1.133333333333332</v>
      </c>
      <c r="Q291" s="19">
        <f>(Table6[[#This Row],[Fault Clearance time]]-Table6[[#This Row],[Fault Start TimeStamp]])*24</f>
        <v>1.133333333333332</v>
      </c>
      <c r="R291" s="79" t="s">
        <v>454</v>
      </c>
      <c r="S291" s="79" t="s">
        <v>339</v>
      </c>
      <c r="T291" s="298">
        <f>IFERROR(Table6[[#This Row],[Breakdown Time]]*Table6[[#This Row],[Plant Equivalent Weightage]],"")</f>
        <v>2.5757575757575726E-2</v>
      </c>
      <c r="U291" s="79" t="s">
        <v>416</v>
      </c>
      <c r="W291" s="79">
        <v>251</v>
      </c>
    </row>
    <row r="292" spans="1:23">
      <c r="A292" s="79">
        <f t="shared" si="4"/>
        <v>291</v>
      </c>
      <c r="B292" s="79">
        <f>YEAR(Table6[[#This Row],[Date]])+IF(MONTH(Table6[[#This Row],[Date]])&gt;=4,1,0)</f>
        <v>2026</v>
      </c>
      <c r="C292" s="79">
        <f>YEAR(Table6[[#This Row],[Date]])</f>
        <v>2025</v>
      </c>
      <c r="D292" s="79" t="s">
        <v>344</v>
      </c>
      <c r="E292" s="284">
        <f>Table6[[#This Row],[Date]]-DAY(Table6[[#This Row],[Date]])+1</f>
        <v>45748</v>
      </c>
      <c r="F292" s="285">
        <v>45758</v>
      </c>
      <c r="G292" s="79" t="s">
        <v>116</v>
      </c>
      <c r="H292" s="79" t="str">
        <f>IFERROR(_xlfn.XLOOKUP(Table6[[#This Row],[Affected Feeder ]],'Basic Data'!$A:$A,'Basic Data'!$B:$B),"")</f>
        <v>PWEPL</v>
      </c>
      <c r="I292" s="79" t="str">
        <f>IFERROR(_xlfn.XLOOKUP(Table6[[#This Row],[Affected Feeder ]],'Basic Data'!$A:$A,'Basic Data'!$C:$C),"")</f>
        <v>MSEDCL</v>
      </c>
      <c r="J292" s="295">
        <f>IFERROR(_xlfn.XLOOKUP(Table6[[#This Row],[Affected Feeder ]],'Basic Data'!$A:$A,'Basic Data'!$E:$E),"")</f>
        <v>2.2727272727272728E-2</v>
      </c>
      <c r="K292" s="296" t="s">
        <v>171</v>
      </c>
      <c r="L292" s="297">
        <v>0.51597222222222217</v>
      </c>
      <c r="M292" s="297">
        <v>0.51597222222222217</v>
      </c>
      <c r="N292" s="297">
        <v>0.52986111111111112</v>
      </c>
      <c r="O292" s="19">
        <f>(Table6[[#This Row],[Work Start TimeStamp]]-Table6[[#This Row],[Fault Start TimeStamp]])*24</f>
        <v>0</v>
      </c>
      <c r="P292" s="19">
        <f>(Table6[[#This Row],[Fault Clearance time]]-Table6[[#This Row],[Fault Start TimeStamp]])*24</f>
        <v>0.33333333333333481</v>
      </c>
      <c r="Q292" s="19">
        <f>(Table6[[#This Row],[Fault Clearance time]]-Table6[[#This Row],[Fault Start TimeStamp]])*24</f>
        <v>0.33333333333333481</v>
      </c>
      <c r="R292" s="79" t="s">
        <v>353</v>
      </c>
      <c r="S292" s="79" t="s">
        <v>339</v>
      </c>
      <c r="T292" s="298">
        <f>IFERROR(Table6[[#This Row],[Breakdown Time]]*Table6[[#This Row],[Plant Equivalent Weightage]],"")</f>
        <v>7.5757575757576098E-3</v>
      </c>
      <c r="U292" s="79" t="s">
        <v>416</v>
      </c>
      <c r="W292" s="79">
        <v>74</v>
      </c>
    </row>
    <row r="293" spans="1:23">
      <c r="A293" s="79">
        <f t="shared" si="4"/>
        <v>292</v>
      </c>
      <c r="B293" s="79">
        <f>YEAR(Table6[[#This Row],[Date]])+IF(MONTH(Table6[[#This Row],[Date]])&gt;=4,1,0)</f>
        <v>2026</v>
      </c>
      <c r="C293" s="79">
        <f>YEAR(Table6[[#This Row],[Date]])</f>
        <v>2025</v>
      </c>
      <c r="D293" s="79" t="s">
        <v>344</v>
      </c>
      <c r="E293" s="284">
        <f>Table6[[#This Row],[Date]]-DAY(Table6[[#This Row],[Date]])+1</f>
        <v>45748</v>
      </c>
      <c r="F293" s="285">
        <v>45758</v>
      </c>
      <c r="G293" s="79" t="s">
        <v>117</v>
      </c>
      <c r="H293" s="79" t="str">
        <f>IFERROR(_xlfn.XLOOKUP(Table6[[#This Row],[Affected Feeder ]],'Basic Data'!$A:$A,'Basic Data'!$B:$B),"")</f>
        <v>PWEPL</v>
      </c>
      <c r="I293" s="79" t="str">
        <f>IFERROR(_xlfn.XLOOKUP(Table6[[#This Row],[Affected Feeder ]],'Basic Data'!$A:$A,'Basic Data'!$C:$C),"")</f>
        <v>MSEDCL</v>
      </c>
      <c r="J293" s="295">
        <f>IFERROR(_xlfn.XLOOKUP(Table6[[#This Row],[Affected Feeder ]],'Basic Data'!$A:$A,'Basic Data'!$E:$E),"")</f>
        <v>2.2727272727272728E-2</v>
      </c>
      <c r="K293" s="296" t="s">
        <v>414</v>
      </c>
      <c r="L293" s="297">
        <v>0.46875</v>
      </c>
      <c r="M293" s="297">
        <v>0.46875</v>
      </c>
      <c r="N293" s="297">
        <v>0.51597222222222217</v>
      </c>
      <c r="O293" s="19">
        <f>(Table6[[#This Row],[Work Start TimeStamp]]-Table6[[#This Row],[Fault Start TimeStamp]])*24</f>
        <v>0</v>
      </c>
      <c r="P293" s="19">
        <f>(Table6[[#This Row],[Fault Clearance time]]-Table6[[#This Row],[Fault Start TimeStamp]])*24</f>
        <v>1.133333333333332</v>
      </c>
      <c r="Q293" s="19">
        <f>(Table6[[#This Row],[Fault Clearance time]]-Table6[[#This Row],[Fault Start TimeStamp]])*24</f>
        <v>1.133333333333332</v>
      </c>
      <c r="R293" s="79" t="s">
        <v>454</v>
      </c>
      <c r="S293" s="79" t="s">
        <v>339</v>
      </c>
      <c r="T293" s="298">
        <f>IFERROR(Table6[[#This Row],[Breakdown Time]]*Table6[[#This Row],[Plant Equivalent Weightage]],"")</f>
        <v>2.5757575757575726E-2</v>
      </c>
      <c r="U293" s="79" t="s">
        <v>416</v>
      </c>
      <c r="W293" s="79">
        <v>251</v>
      </c>
    </row>
    <row r="294" spans="1:23">
      <c r="A294" s="79">
        <f t="shared" si="4"/>
        <v>293</v>
      </c>
      <c r="B294" s="79">
        <f>YEAR(Table6[[#This Row],[Date]])+IF(MONTH(Table6[[#This Row],[Date]])&gt;=4,1,0)</f>
        <v>2026</v>
      </c>
      <c r="C294" s="79">
        <f>YEAR(Table6[[#This Row],[Date]])</f>
        <v>2025</v>
      </c>
      <c r="D294" s="79" t="s">
        <v>344</v>
      </c>
      <c r="E294" s="284">
        <f>Table6[[#This Row],[Date]]-DAY(Table6[[#This Row],[Date]])+1</f>
        <v>45748</v>
      </c>
      <c r="F294" s="285">
        <v>45758</v>
      </c>
      <c r="G294" s="79" t="s">
        <v>117</v>
      </c>
      <c r="H294" s="79" t="str">
        <f>IFERROR(_xlfn.XLOOKUP(Table6[[#This Row],[Affected Feeder ]],'Basic Data'!$A:$A,'Basic Data'!$B:$B),"")</f>
        <v>PWEPL</v>
      </c>
      <c r="I294" s="79" t="str">
        <f>IFERROR(_xlfn.XLOOKUP(Table6[[#This Row],[Affected Feeder ]],'Basic Data'!$A:$A,'Basic Data'!$C:$C),"")</f>
        <v>MSEDCL</v>
      </c>
      <c r="J294" s="295">
        <f>IFERROR(_xlfn.XLOOKUP(Table6[[#This Row],[Affected Feeder ]],'Basic Data'!$A:$A,'Basic Data'!$E:$E),"")</f>
        <v>2.2727272727272728E-2</v>
      </c>
      <c r="K294" s="296" t="s">
        <v>171</v>
      </c>
      <c r="L294" s="297">
        <v>0.51597222222222217</v>
      </c>
      <c r="M294" s="297">
        <v>0.51597222222222217</v>
      </c>
      <c r="N294" s="297">
        <v>0.52986111111111112</v>
      </c>
      <c r="O294" s="19">
        <f>(Table6[[#This Row],[Work Start TimeStamp]]-Table6[[#This Row],[Fault Start TimeStamp]])*24</f>
        <v>0</v>
      </c>
      <c r="P294" s="19">
        <f>(Table6[[#This Row],[Fault Clearance time]]-Table6[[#This Row],[Fault Start TimeStamp]])*24</f>
        <v>0.33333333333333481</v>
      </c>
      <c r="Q294" s="19">
        <f>(Table6[[#This Row],[Fault Clearance time]]-Table6[[#This Row],[Fault Start TimeStamp]])*24</f>
        <v>0.33333333333333481</v>
      </c>
      <c r="R294" s="79" t="s">
        <v>353</v>
      </c>
      <c r="S294" s="79" t="s">
        <v>339</v>
      </c>
      <c r="T294" s="298">
        <f>IFERROR(Table6[[#This Row],[Breakdown Time]]*Table6[[#This Row],[Plant Equivalent Weightage]],"")</f>
        <v>7.5757575757576098E-3</v>
      </c>
      <c r="U294" s="79" t="s">
        <v>416</v>
      </c>
      <c r="W294" s="79">
        <v>74</v>
      </c>
    </row>
    <row r="295" spans="1:23">
      <c r="A295" s="79">
        <f t="shared" si="4"/>
        <v>294</v>
      </c>
      <c r="B295" s="79">
        <f>YEAR(Table6[[#This Row],[Date]])+IF(MONTH(Table6[[#This Row],[Date]])&gt;=4,1,0)</f>
        <v>2026</v>
      </c>
      <c r="C295" s="79">
        <f>YEAR(Table6[[#This Row],[Date]])</f>
        <v>2025</v>
      </c>
      <c r="D295" s="79" t="s">
        <v>344</v>
      </c>
      <c r="E295" s="284">
        <f>Table6[[#This Row],[Date]]-DAY(Table6[[#This Row],[Date]])+1</f>
        <v>45748</v>
      </c>
      <c r="F295" s="285">
        <v>45758</v>
      </c>
      <c r="G295" s="79" t="s">
        <v>118</v>
      </c>
      <c r="H295" s="79" t="str">
        <f>IFERROR(_xlfn.XLOOKUP(Table6[[#This Row],[Affected Feeder ]],'Basic Data'!$A:$A,'Basic Data'!$B:$B),"")</f>
        <v>PWEPL</v>
      </c>
      <c r="I295" s="79" t="str">
        <f>IFERROR(_xlfn.XLOOKUP(Table6[[#This Row],[Affected Feeder ]],'Basic Data'!$A:$A,'Basic Data'!$C:$C),"")</f>
        <v>MSEDCL</v>
      </c>
      <c r="J295" s="295">
        <f>IFERROR(_xlfn.XLOOKUP(Table6[[#This Row],[Affected Feeder ]],'Basic Data'!$A:$A,'Basic Data'!$E:$E),"")</f>
        <v>2.2727272727272728E-2</v>
      </c>
      <c r="K295" s="296" t="s">
        <v>414</v>
      </c>
      <c r="L295" s="297">
        <v>0.46875</v>
      </c>
      <c r="M295" s="297">
        <v>0.46875</v>
      </c>
      <c r="N295" s="297">
        <v>0.51597222222222217</v>
      </c>
      <c r="O295" s="19">
        <f>(Table6[[#This Row],[Work Start TimeStamp]]-Table6[[#This Row],[Fault Start TimeStamp]])*24</f>
        <v>0</v>
      </c>
      <c r="P295" s="19">
        <f>(Table6[[#This Row],[Fault Clearance time]]-Table6[[#This Row],[Fault Start TimeStamp]])*24</f>
        <v>1.133333333333332</v>
      </c>
      <c r="Q295" s="19">
        <f>(Table6[[#This Row],[Fault Clearance time]]-Table6[[#This Row],[Fault Start TimeStamp]])*24</f>
        <v>1.133333333333332</v>
      </c>
      <c r="R295" s="79" t="s">
        <v>454</v>
      </c>
      <c r="S295" s="79" t="s">
        <v>339</v>
      </c>
      <c r="T295" s="298">
        <f>IFERROR(Table6[[#This Row],[Breakdown Time]]*Table6[[#This Row],[Plant Equivalent Weightage]],"")</f>
        <v>2.5757575757575726E-2</v>
      </c>
      <c r="U295" s="79" t="s">
        <v>416</v>
      </c>
      <c r="W295" s="79">
        <v>251</v>
      </c>
    </row>
    <row r="296" spans="1:23">
      <c r="A296" s="79">
        <f t="shared" si="4"/>
        <v>295</v>
      </c>
      <c r="B296" s="79">
        <f>YEAR(Table6[[#This Row],[Date]])+IF(MONTH(Table6[[#This Row],[Date]])&gt;=4,1,0)</f>
        <v>2026</v>
      </c>
      <c r="C296" s="79">
        <f>YEAR(Table6[[#This Row],[Date]])</f>
        <v>2025</v>
      </c>
      <c r="D296" s="79" t="s">
        <v>344</v>
      </c>
      <c r="E296" s="284">
        <f>Table6[[#This Row],[Date]]-DAY(Table6[[#This Row],[Date]])+1</f>
        <v>45748</v>
      </c>
      <c r="F296" s="285">
        <v>45758</v>
      </c>
      <c r="G296" s="79" t="s">
        <v>118</v>
      </c>
      <c r="H296" s="79" t="str">
        <f>IFERROR(_xlfn.XLOOKUP(Table6[[#This Row],[Affected Feeder ]],'Basic Data'!$A:$A,'Basic Data'!$B:$B),"")</f>
        <v>PWEPL</v>
      </c>
      <c r="I296" s="79" t="str">
        <f>IFERROR(_xlfn.XLOOKUP(Table6[[#This Row],[Affected Feeder ]],'Basic Data'!$A:$A,'Basic Data'!$C:$C),"")</f>
        <v>MSEDCL</v>
      </c>
      <c r="J296" s="295">
        <f>IFERROR(_xlfn.XLOOKUP(Table6[[#This Row],[Affected Feeder ]],'Basic Data'!$A:$A,'Basic Data'!$E:$E),"")</f>
        <v>2.2727272727272728E-2</v>
      </c>
      <c r="K296" s="296" t="s">
        <v>171</v>
      </c>
      <c r="L296" s="297">
        <v>0.51597222222222217</v>
      </c>
      <c r="M296" s="297">
        <v>0.51597222222222217</v>
      </c>
      <c r="N296" s="297">
        <v>0.52986111111111112</v>
      </c>
      <c r="O296" s="19">
        <f>(Table6[[#This Row],[Work Start TimeStamp]]-Table6[[#This Row],[Fault Start TimeStamp]])*24</f>
        <v>0</v>
      </c>
      <c r="P296" s="19">
        <f>(Table6[[#This Row],[Fault Clearance time]]-Table6[[#This Row],[Fault Start TimeStamp]])*24</f>
        <v>0.33333333333333481</v>
      </c>
      <c r="Q296" s="19">
        <f>(Table6[[#This Row],[Fault Clearance time]]-Table6[[#This Row],[Fault Start TimeStamp]])*24</f>
        <v>0.33333333333333481</v>
      </c>
      <c r="R296" s="79" t="s">
        <v>353</v>
      </c>
      <c r="S296" s="79" t="s">
        <v>339</v>
      </c>
      <c r="T296" s="298">
        <f>IFERROR(Table6[[#This Row],[Breakdown Time]]*Table6[[#This Row],[Plant Equivalent Weightage]],"")</f>
        <v>7.5757575757576098E-3</v>
      </c>
      <c r="U296" s="79" t="s">
        <v>416</v>
      </c>
      <c r="W296" s="79">
        <v>74</v>
      </c>
    </row>
    <row r="297" spans="1:23">
      <c r="A297" s="79">
        <f t="shared" si="4"/>
        <v>296</v>
      </c>
      <c r="B297" s="79">
        <f>YEAR(Table6[[#This Row],[Date]])+IF(MONTH(Table6[[#This Row],[Date]])&gt;=4,1,0)</f>
        <v>2026</v>
      </c>
      <c r="C297" s="79">
        <f>YEAR(Table6[[#This Row],[Date]])</f>
        <v>2025</v>
      </c>
      <c r="D297" s="79" t="s">
        <v>344</v>
      </c>
      <c r="E297" s="284">
        <f>Table6[[#This Row],[Date]]-DAY(Table6[[#This Row],[Date]])+1</f>
        <v>45748</v>
      </c>
      <c r="F297" s="285">
        <v>45758</v>
      </c>
      <c r="G297" s="79" t="s">
        <v>115</v>
      </c>
      <c r="H297" s="79" t="str">
        <f>IFERROR(_xlfn.XLOOKUP(Table6[[#This Row],[Affected Feeder ]],'Basic Data'!$A:$A,'Basic Data'!$B:$B),"")</f>
        <v>PWEPL</v>
      </c>
      <c r="I297" s="79" t="str">
        <f>IFERROR(_xlfn.XLOOKUP(Table6[[#This Row],[Affected Feeder ]],'Basic Data'!$A:$A,'Basic Data'!$C:$C),"")</f>
        <v>MSEDCL</v>
      </c>
      <c r="J297" s="295">
        <f>IFERROR(_xlfn.XLOOKUP(Table6[[#This Row],[Affected Feeder ]],'Basic Data'!$A:$A,'Basic Data'!$E:$E),"")</f>
        <v>2.2727272727272728E-2</v>
      </c>
      <c r="K297" s="296" t="s">
        <v>414</v>
      </c>
      <c r="L297" s="297">
        <v>0.8520833333333333</v>
      </c>
      <c r="M297" s="297">
        <v>0.8520833333333333</v>
      </c>
      <c r="N297" s="297">
        <v>0.87638888888888899</v>
      </c>
      <c r="O297" s="19">
        <f>(Table6[[#This Row],[Work Start TimeStamp]]-Table6[[#This Row],[Fault Start TimeStamp]])*24</f>
        <v>0</v>
      </c>
      <c r="P297" s="19">
        <f>(Table6[[#This Row],[Fault Clearance time]]-Table6[[#This Row],[Fault Start TimeStamp]])*24</f>
        <v>0.58333333333333659</v>
      </c>
      <c r="Q297" s="19">
        <f>(Table6[[#This Row],[Fault Clearance time]]-Table6[[#This Row],[Fault Start TimeStamp]])*24</f>
        <v>0.58333333333333659</v>
      </c>
      <c r="R297" s="79" t="s">
        <v>455</v>
      </c>
      <c r="S297" s="79" t="s">
        <v>339</v>
      </c>
      <c r="T297" s="298">
        <f>IFERROR(Table6[[#This Row],[Breakdown Time]]*Table6[[#This Row],[Plant Equivalent Weightage]],"")</f>
        <v>1.3257575757575833E-2</v>
      </c>
      <c r="U297" s="79" t="s">
        <v>416</v>
      </c>
      <c r="W297" s="79">
        <v>129</v>
      </c>
    </row>
    <row r="298" spans="1:23">
      <c r="A298" s="79">
        <f t="shared" si="4"/>
        <v>297</v>
      </c>
      <c r="B298" s="79">
        <f>YEAR(Table6[[#This Row],[Date]])+IF(MONTH(Table6[[#This Row],[Date]])&gt;=4,1,0)</f>
        <v>2026</v>
      </c>
      <c r="C298" s="79">
        <f>YEAR(Table6[[#This Row],[Date]])</f>
        <v>2025</v>
      </c>
      <c r="D298" s="79" t="s">
        <v>344</v>
      </c>
      <c r="E298" s="284">
        <f>Table6[[#This Row],[Date]]-DAY(Table6[[#This Row],[Date]])+1</f>
        <v>45748</v>
      </c>
      <c r="F298" s="285">
        <v>45758</v>
      </c>
      <c r="G298" s="79" t="s">
        <v>115</v>
      </c>
      <c r="H298" s="79" t="str">
        <f>IFERROR(_xlfn.XLOOKUP(Table6[[#This Row],[Affected Feeder ]],'Basic Data'!$A:$A,'Basic Data'!$B:$B),"")</f>
        <v>PWEPL</v>
      </c>
      <c r="I298" s="79" t="str">
        <f>IFERROR(_xlfn.XLOOKUP(Table6[[#This Row],[Affected Feeder ]],'Basic Data'!$A:$A,'Basic Data'!$C:$C),"")</f>
        <v>MSEDCL</v>
      </c>
      <c r="J298" s="295">
        <f>IFERROR(_xlfn.XLOOKUP(Table6[[#This Row],[Affected Feeder ]],'Basic Data'!$A:$A,'Basic Data'!$E:$E),"")</f>
        <v>2.2727272727272728E-2</v>
      </c>
      <c r="K298" s="296" t="s">
        <v>171</v>
      </c>
      <c r="L298" s="297">
        <v>0.87638888888888899</v>
      </c>
      <c r="M298" s="297">
        <v>0.87638888888888899</v>
      </c>
      <c r="N298" s="297">
        <v>0.89027777777777783</v>
      </c>
      <c r="O298" s="19">
        <f>(Table6[[#This Row],[Work Start TimeStamp]]-Table6[[#This Row],[Fault Start TimeStamp]])*24</f>
        <v>0</v>
      </c>
      <c r="P298" s="19">
        <f>(Table6[[#This Row],[Fault Clearance time]]-Table6[[#This Row],[Fault Start TimeStamp]])*24</f>
        <v>0.33333333333333215</v>
      </c>
      <c r="Q298" s="19">
        <f>(Table6[[#This Row],[Fault Clearance time]]-Table6[[#This Row],[Fault Start TimeStamp]])*24</f>
        <v>0.33333333333333215</v>
      </c>
      <c r="R298" s="79" t="s">
        <v>353</v>
      </c>
      <c r="S298" s="79" t="s">
        <v>339</v>
      </c>
      <c r="T298" s="298">
        <f>IFERROR(Table6[[#This Row],[Breakdown Time]]*Table6[[#This Row],[Plant Equivalent Weightage]],"")</f>
        <v>7.5757575757575491E-3</v>
      </c>
      <c r="U298" s="79" t="s">
        <v>416</v>
      </c>
      <c r="W298" s="79">
        <v>74</v>
      </c>
    </row>
    <row r="299" spans="1:23">
      <c r="A299" s="79">
        <f t="shared" si="4"/>
        <v>298</v>
      </c>
      <c r="B299" s="79">
        <f>YEAR(Table6[[#This Row],[Date]])+IF(MONTH(Table6[[#This Row],[Date]])&gt;=4,1,0)</f>
        <v>2026</v>
      </c>
      <c r="C299" s="79">
        <f>YEAR(Table6[[#This Row],[Date]])</f>
        <v>2025</v>
      </c>
      <c r="D299" s="79" t="s">
        <v>344</v>
      </c>
      <c r="E299" s="284">
        <f>Table6[[#This Row],[Date]]-DAY(Table6[[#This Row],[Date]])+1</f>
        <v>45748</v>
      </c>
      <c r="F299" s="285">
        <v>45758</v>
      </c>
      <c r="G299" s="79" t="s">
        <v>116</v>
      </c>
      <c r="H299" s="79" t="str">
        <f>IFERROR(_xlfn.XLOOKUP(Table6[[#This Row],[Affected Feeder ]],'Basic Data'!$A:$A,'Basic Data'!$B:$B),"")</f>
        <v>PWEPL</v>
      </c>
      <c r="I299" s="79" t="str">
        <f>IFERROR(_xlfn.XLOOKUP(Table6[[#This Row],[Affected Feeder ]],'Basic Data'!$A:$A,'Basic Data'!$C:$C),"")</f>
        <v>MSEDCL</v>
      </c>
      <c r="J299" s="295">
        <f>IFERROR(_xlfn.XLOOKUP(Table6[[#This Row],[Affected Feeder ]],'Basic Data'!$A:$A,'Basic Data'!$E:$E),"")</f>
        <v>2.2727272727272728E-2</v>
      </c>
      <c r="K299" s="296" t="s">
        <v>414</v>
      </c>
      <c r="L299" s="297">
        <v>0.8520833333333333</v>
      </c>
      <c r="M299" s="297">
        <v>0.8520833333333333</v>
      </c>
      <c r="N299" s="297">
        <v>0.87638888888888899</v>
      </c>
      <c r="O299" s="19">
        <f>(Table6[[#This Row],[Work Start TimeStamp]]-Table6[[#This Row],[Fault Start TimeStamp]])*24</f>
        <v>0</v>
      </c>
      <c r="P299" s="19">
        <f>(Table6[[#This Row],[Fault Clearance time]]-Table6[[#This Row],[Fault Start TimeStamp]])*24</f>
        <v>0.58333333333333659</v>
      </c>
      <c r="Q299" s="19">
        <f>(Table6[[#This Row],[Fault Clearance time]]-Table6[[#This Row],[Fault Start TimeStamp]])*24</f>
        <v>0.58333333333333659</v>
      </c>
      <c r="R299" s="79" t="s">
        <v>455</v>
      </c>
      <c r="S299" s="79" t="s">
        <v>339</v>
      </c>
      <c r="T299" s="298">
        <f>IFERROR(Table6[[#This Row],[Breakdown Time]]*Table6[[#This Row],[Plant Equivalent Weightage]],"")</f>
        <v>1.3257575757575833E-2</v>
      </c>
      <c r="U299" s="79" t="s">
        <v>416</v>
      </c>
      <c r="W299" s="79">
        <v>129</v>
      </c>
    </row>
    <row r="300" spans="1:23">
      <c r="A300" s="79">
        <f t="shared" si="4"/>
        <v>299</v>
      </c>
      <c r="B300" s="79">
        <f>YEAR(Table6[[#This Row],[Date]])+IF(MONTH(Table6[[#This Row],[Date]])&gt;=4,1,0)</f>
        <v>2026</v>
      </c>
      <c r="C300" s="79">
        <f>YEAR(Table6[[#This Row],[Date]])</f>
        <v>2025</v>
      </c>
      <c r="D300" s="79" t="s">
        <v>344</v>
      </c>
      <c r="E300" s="284">
        <f>Table6[[#This Row],[Date]]-DAY(Table6[[#This Row],[Date]])+1</f>
        <v>45748</v>
      </c>
      <c r="F300" s="285">
        <v>45758</v>
      </c>
      <c r="G300" s="79" t="s">
        <v>116</v>
      </c>
      <c r="H300" s="79" t="str">
        <f>IFERROR(_xlfn.XLOOKUP(Table6[[#This Row],[Affected Feeder ]],'Basic Data'!$A:$A,'Basic Data'!$B:$B),"")</f>
        <v>PWEPL</v>
      </c>
      <c r="I300" s="79" t="str">
        <f>IFERROR(_xlfn.XLOOKUP(Table6[[#This Row],[Affected Feeder ]],'Basic Data'!$A:$A,'Basic Data'!$C:$C),"")</f>
        <v>MSEDCL</v>
      </c>
      <c r="J300" s="295">
        <f>IFERROR(_xlfn.XLOOKUP(Table6[[#This Row],[Affected Feeder ]],'Basic Data'!$A:$A,'Basic Data'!$E:$E),"")</f>
        <v>2.2727272727272728E-2</v>
      </c>
      <c r="K300" s="296" t="s">
        <v>171</v>
      </c>
      <c r="L300" s="297">
        <v>0.87638888888888899</v>
      </c>
      <c r="M300" s="297">
        <v>0.87638888888888899</v>
      </c>
      <c r="N300" s="297">
        <v>0.89027777777777783</v>
      </c>
      <c r="O300" s="19">
        <f>(Table6[[#This Row],[Work Start TimeStamp]]-Table6[[#This Row],[Fault Start TimeStamp]])*24</f>
        <v>0</v>
      </c>
      <c r="P300" s="19">
        <f>(Table6[[#This Row],[Fault Clearance time]]-Table6[[#This Row],[Fault Start TimeStamp]])*24</f>
        <v>0.33333333333333215</v>
      </c>
      <c r="Q300" s="19">
        <f>(Table6[[#This Row],[Fault Clearance time]]-Table6[[#This Row],[Fault Start TimeStamp]])*24</f>
        <v>0.33333333333333215</v>
      </c>
      <c r="R300" s="79" t="s">
        <v>353</v>
      </c>
      <c r="S300" s="79" t="s">
        <v>339</v>
      </c>
      <c r="T300" s="298">
        <f>IFERROR(Table6[[#This Row],[Breakdown Time]]*Table6[[#This Row],[Plant Equivalent Weightage]],"")</f>
        <v>7.5757575757575491E-3</v>
      </c>
      <c r="U300" s="79" t="s">
        <v>416</v>
      </c>
      <c r="W300" s="79">
        <v>74</v>
      </c>
    </row>
    <row r="301" spans="1:23">
      <c r="A301" s="79">
        <f t="shared" si="4"/>
        <v>300</v>
      </c>
      <c r="B301" s="79">
        <f>YEAR(Table6[[#This Row],[Date]])+IF(MONTH(Table6[[#This Row],[Date]])&gt;=4,1,0)</f>
        <v>2026</v>
      </c>
      <c r="C301" s="79">
        <f>YEAR(Table6[[#This Row],[Date]])</f>
        <v>2025</v>
      </c>
      <c r="D301" s="79" t="s">
        <v>344</v>
      </c>
      <c r="E301" s="284">
        <f>Table6[[#This Row],[Date]]-DAY(Table6[[#This Row],[Date]])+1</f>
        <v>45748</v>
      </c>
      <c r="F301" s="285">
        <v>45758</v>
      </c>
      <c r="G301" s="79" t="s">
        <v>117</v>
      </c>
      <c r="H301" s="79" t="str">
        <f>IFERROR(_xlfn.XLOOKUP(Table6[[#This Row],[Affected Feeder ]],'Basic Data'!$A:$A,'Basic Data'!$B:$B),"")</f>
        <v>PWEPL</v>
      </c>
      <c r="I301" s="79" t="str">
        <f>IFERROR(_xlfn.XLOOKUP(Table6[[#This Row],[Affected Feeder ]],'Basic Data'!$A:$A,'Basic Data'!$C:$C),"")</f>
        <v>MSEDCL</v>
      </c>
      <c r="J301" s="295">
        <f>IFERROR(_xlfn.XLOOKUP(Table6[[#This Row],[Affected Feeder ]],'Basic Data'!$A:$A,'Basic Data'!$E:$E),"")</f>
        <v>2.2727272727272728E-2</v>
      </c>
      <c r="K301" s="296" t="s">
        <v>414</v>
      </c>
      <c r="L301" s="297">
        <v>0.8520833333333333</v>
      </c>
      <c r="M301" s="297">
        <v>0.8520833333333333</v>
      </c>
      <c r="N301" s="297">
        <v>0.87638888888888899</v>
      </c>
      <c r="O301" s="19">
        <f>(Table6[[#This Row],[Work Start TimeStamp]]-Table6[[#This Row],[Fault Start TimeStamp]])*24</f>
        <v>0</v>
      </c>
      <c r="P301" s="19">
        <f>(Table6[[#This Row],[Fault Clearance time]]-Table6[[#This Row],[Fault Start TimeStamp]])*24</f>
        <v>0.58333333333333659</v>
      </c>
      <c r="Q301" s="19">
        <f>(Table6[[#This Row],[Fault Clearance time]]-Table6[[#This Row],[Fault Start TimeStamp]])*24</f>
        <v>0.58333333333333659</v>
      </c>
      <c r="R301" s="79" t="s">
        <v>455</v>
      </c>
      <c r="S301" s="79" t="s">
        <v>339</v>
      </c>
      <c r="T301" s="298">
        <f>IFERROR(Table6[[#This Row],[Breakdown Time]]*Table6[[#This Row],[Plant Equivalent Weightage]],"")</f>
        <v>1.3257575757575833E-2</v>
      </c>
      <c r="U301" s="79" t="s">
        <v>416</v>
      </c>
      <c r="W301" s="79">
        <v>129</v>
      </c>
    </row>
    <row r="302" spans="1:23">
      <c r="A302" s="79">
        <f t="shared" si="4"/>
        <v>301</v>
      </c>
      <c r="B302" s="79">
        <f>YEAR(Table6[[#This Row],[Date]])+IF(MONTH(Table6[[#This Row],[Date]])&gt;=4,1,0)</f>
        <v>2026</v>
      </c>
      <c r="C302" s="79">
        <f>YEAR(Table6[[#This Row],[Date]])</f>
        <v>2025</v>
      </c>
      <c r="D302" s="79" t="s">
        <v>344</v>
      </c>
      <c r="E302" s="284">
        <f>Table6[[#This Row],[Date]]-DAY(Table6[[#This Row],[Date]])+1</f>
        <v>45748</v>
      </c>
      <c r="F302" s="285">
        <v>45758</v>
      </c>
      <c r="G302" s="79" t="s">
        <v>117</v>
      </c>
      <c r="H302" s="79" t="str">
        <f>IFERROR(_xlfn.XLOOKUP(Table6[[#This Row],[Affected Feeder ]],'Basic Data'!$A:$A,'Basic Data'!$B:$B),"")</f>
        <v>PWEPL</v>
      </c>
      <c r="I302" s="79" t="str">
        <f>IFERROR(_xlfn.XLOOKUP(Table6[[#This Row],[Affected Feeder ]],'Basic Data'!$A:$A,'Basic Data'!$C:$C),"")</f>
        <v>MSEDCL</v>
      </c>
      <c r="J302" s="295">
        <f>IFERROR(_xlfn.XLOOKUP(Table6[[#This Row],[Affected Feeder ]],'Basic Data'!$A:$A,'Basic Data'!$E:$E),"")</f>
        <v>2.2727272727272728E-2</v>
      </c>
      <c r="K302" s="296" t="s">
        <v>171</v>
      </c>
      <c r="L302" s="297">
        <v>0.87638888888888899</v>
      </c>
      <c r="M302" s="297">
        <v>0.87638888888888899</v>
      </c>
      <c r="N302" s="297">
        <v>0.89027777777777783</v>
      </c>
      <c r="O302" s="19">
        <f>(Table6[[#This Row],[Work Start TimeStamp]]-Table6[[#This Row],[Fault Start TimeStamp]])*24</f>
        <v>0</v>
      </c>
      <c r="P302" s="19">
        <f>(Table6[[#This Row],[Fault Clearance time]]-Table6[[#This Row],[Fault Start TimeStamp]])*24</f>
        <v>0.33333333333333215</v>
      </c>
      <c r="Q302" s="19">
        <f>(Table6[[#This Row],[Fault Clearance time]]-Table6[[#This Row],[Fault Start TimeStamp]])*24</f>
        <v>0.33333333333333215</v>
      </c>
      <c r="R302" s="79" t="s">
        <v>353</v>
      </c>
      <c r="S302" s="79" t="s">
        <v>339</v>
      </c>
      <c r="T302" s="298">
        <f>IFERROR(Table6[[#This Row],[Breakdown Time]]*Table6[[#This Row],[Plant Equivalent Weightage]],"")</f>
        <v>7.5757575757575491E-3</v>
      </c>
      <c r="U302" s="79" t="s">
        <v>416</v>
      </c>
      <c r="W302" s="79">
        <v>74</v>
      </c>
    </row>
    <row r="303" spans="1:23">
      <c r="A303" s="79">
        <f t="shared" si="4"/>
        <v>302</v>
      </c>
      <c r="B303" s="79">
        <f>YEAR(Table6[[#This Row],[Date]])+IF(MONTH(Table6[[#This Row],[Date]])&gt;=4,1,0)</f>
        <v>2026</v>
      </c>
      <c r="C303" s="79">
        <f>YEAR(Table6[[#This Row],[Date]])</f>
        <v>2025</v>
      </c>
      <c r="D303" s="79" t="s">
        <v>344</v>
      </c>
      <c r="E303" s="284">
        <f>Table6[[#This Row],[Date]]-DAY(Table6[[#This Row],[Date]])+1</f>
        <v>45748</v>
      </c>
      <c r="F303" s="285">
        <v>45758</v>
      </c>
      <c r="G303" s="79" t="s">
        <v>118</v>
      </c>
      <c r="H303" s="79" t="str">
        <f>IFERROR(_xlfn.XLOOKUP(Table6[[#This Row],[Affected Feeder ]],'Basic Data'!$A:$A,'Basic Data'!$B:$B),"")</f>
        <v>PWEPL</v>
      </c>
      <c r="I303" s="79" t="str">
        <f>IFERROR(_xlfn.XLOOKUP(Table6[[#This Row],[Affected Feeder ]],'Basic Data'!$A:$A,'Basic Data'!$C:$C),"")</f>
        <v>MSEDCL</v>
      </c>
      <c r="J303" s="295">
        <f>IFERROR(_xlfn.XLOOKUP(Table6[[#This Row],[Affected Feeder ]],'Basic Data'!$A:$A,'Basic Data'!$E:$E),"")</f>
        <v>2.2727272727272728E-2</v>
      </c>
      <c r="K303" s="296" t="s">
        <v>414</v>
      </c>
      <c r="L303" s="297">
        <v>0.8520833333333333</v>
      </c>
      <c r="M303" s="297">
        <v>0.8520833333333333</v>
      </c>
      <c r="N303" s="297">
        <v>0.87638888888888899</v>
      </c>
      <c r="O303" s="19">
        <f>(Table6[[#This Row],[Work Start TimeStamp]]-Table6[[#This Row],[Fault Start TimeStamp]])*24</f>
        <v>0</v>
      </c>
      <c r="P303" s="19">
        <f>(Table6[[#This Row],[Fault Clearance time]]-Table6[[#This Row],[Fault Start TimeStamp]])*24</f>
        <v>0.58333333333333659</v>
      </c>
      <c r="Q303" s="19">
        <f>(Table6[[#This Row],[Fault Clearance time]]-Table6[[#This Row],[Fault Start TimeStamp]])*24</f>
        <v>0.58333333333333659</v>
      </c>
      <c r="R303" s="79" t="s">
        <v>455</v>
      </c>
      <c r="S303" s="79" t="s">
        <v>339</v>
      </c>
      <c r="T303" s="298">
        <f>IFERROR(Table6[[#This Row],[Breakdown Time]]*Table6[[#This Row],[Plant Equivalent Weightage]],"")</f>
        <v>1.3257575757575833E-2</v>
      </c>
      <c r="U303" s="79" t="s">
        <v>416</v>
      </c>
      <c r="W303" s="79">
        <v>129</v>
      </c>
    </row>
    <row r="304" spans="1:23">
      <c r="A304" s="79">
        <f t="shared" si="4"/>
        <v>303</v>
      </c>
      <c r="B304" s="79">
        <f>YEAR(Table6[[#This Row],[Date]])+IF(MONTH(Table6[[#This Row],[Date]])&gt;=4,1,0)</f>
        <v>2026</v>
      </c>
      <c r="C304" s="79">
        <f>YEAR(Table6[[#This Row],[Date]])</f>
        <v>2025</v>
      </c>
      <c r="D304" s="79" t="s">
        <v>344</v>
      </c>
      <c r="E304" s="284">
        <f>Table6[[#This Row],[Date]]-DAY(Table6[[#This Row],[Date]])+1</f>
        <v>45748</v>
      </c>
      <c r="F304" s="285">
        <v>45758</v>
      </c>
      <c r="G304" s="79" t="s">
        <v>118</v>
      </c>
      <c r="H304" s="79" t="str">
        <f>IFERROR(_xlfn.XLOOKUP(Table6[[#This Row],[Affected Feeder ]],'Basic Data'!$A:$A,'Basic Data'!$B:$B),"")</f>
        <v>PWEPL</v>
      </c>
      <c r="I304" s="79" t="str">
        <f>IFERROR(_xlfn.XLOOKUP(Table6[[#This Row],[Affected Feeder ]],'Basic Data'!$A:$A,'Basic Data'!$C:$C),"")</f>
        <v>MSEDCL</v>
      </c>
      <c r="J304" s="295">
        <f>IFERROR(_xlfn.XLOOKUP(Table6[[#This Row],[Affected Feeder ]],'Basic Data'!$A:$A,'Basic Data'!$E:$E),"")</f>
        <v>2.2727272727272728E-2</v>
      </c>
      <c r="K304" s="296" t="s">
        <v>171</v>
      </c>
      <c r="L304" s="297">
        <v>0.87638888888888899</v>
      </c>
      <c r="M304" s="297">
        <v>0.87638888888888899</v>
      </c>
      <c r="N304" s="297">
        <v>0.89027777777777783</v>
      </c>
      <c r="O304" s="19">
        <f>(Table6[[#This Row],[Work Start TimeStamp]]-Table6[[#This Row],[Fault Start TimeStamp]])*24</f>
        <v>0</v>
      </c>
      <c r="P304" s="19">
        <f>(Table6[[#This Row],[Fault Clearance time]]-Table6[[#This Row],[Fault Start TimeStamp]])*24</f>
        <v>0.33333333333333215</v>
      </c>
      <c r="Q304" s="19">
        <f>(Table6[[#This Row],[Fault Clearance time]]-Table6[[#This Row],[Fault Start TimeStamp]])*24</f>
        <v>0.33333333333333215</v>
      </c>
      <c r="R304" s="79" t="s">
        <v>353</v>
      </c>
      <c r="S304" s="79" t="s">
        <v>339</v>
      </c>
      <c r="T304" s="298">
        <f>IFERROR(Table6[[#This Row],[Breakdown Time]]*Table6[[#This Row],[Plant Equivalent Weightage]],"")</f>
        <v>7.5757575757575491E-3</v>
      </c>
      <c r="U304" s="79" t="s">
        <v>416</v>
      </c>
      <c r="W304" s="79">
        <v>74</v>
      </c>
    </row>
    <row r="305" spans="1:23">
      <c r="A305" s="79">
        <f t="shared" si="4"/>
        <v>304</v>
      </c>
      <c r="B305" s="79">
        <f>YEAR(Table6[[#This Row],[Date]])+IF(MONTH(Table6[[#This Row],[Date]])&gt;=4,1,0)</f>
        <v>2026</v>
      </c>
      <c r="C305" s="79">
        <f>YEAR(Table6[[#This Row],[Date]])</f>
        <v>2025</v>
      </c>
      <c r="D305" s="79" t="s">
        <v>344</v>
      </c>
      <c r="E305" s="284">
        <f>Table6[[#This Row],[Date]]-DAY(Table6[[#This Row],[Date]])+1</f>
        <v>45748</v>
      </c>
      <c r="F305" s="285">
        <v>45759</v>
      </c>
      <c r="G305" s="79" t="s">
        <v>104</v>
      </c>
      <c r="H305" s="79" t="str">
        <f>IFERROR(_xlfn.XLOOKUP(Table6[[#This Row],[Affected Feeder ]],'Basic Data'!$A:$A,'Basic Data'!$B:$B),"")</f>
        <v>PWEPL</v>
      </c>
      <c r="I305" s="79" t="str">
        <f>IFERROR(_xlfn.XLOOKUP(Table6[[#This Row],[Affected Feeder ]],'Basic Data'!$A:$A,'Basic Data'!$C:$C),"")</f>
        <v>MSEDCL</v>
      </c>
      <c r="J305" s="295">
        <f>IFERROR(_xlfn.XLOOKUP(Table6[[#This Row],[Affected Feeder ]],'Basic Data'!$A:$A,'Basic Data'!$E:$E),"")</f>
        <v>2.2727272727272728E-2</v>
      </c>
      <c r="K305" s="296" t="s">
        <v>422</v>
      </c>
      <c r="L305" s="297">
        <v>0.16527777777777777</v>
      </c>
      <c r="M305" s="297">
        <v>0.16527777777777777</v>
      </c>
      <c r="N305" s="297">
        <v>0.18402777777777779</v>
      </c>
      <c r="O305" s="19">
        <f>(Table6[[#This Row],[Work Start TimeStamp]]-Table6[[#This Row],[Fault Start TimeStamp]])*24</f>
        <v>0</v>
      </c>
      <c r="P305" s="19">
        <f>(Table6[[#This Row],[Fault Clearance time]]-Table6[[#This Row],[Fault Start TimeStamp]])*24</f>
        <v>0.4500000000000004</v>
      </c>
      <c r="Q305" s="19">
        <f>(Table6[[#This Row],[Fault Clearance time]]-Table6[[#This Row],[Fault Start TimeStamp]])*24</f>
        <v>0.4500000000000004</v>
      </c>
      <c r="R305" s="79" t="s">
        <v>424</v>
      </c>
      <c r="S305" s="79" t="s">
        <v>339</v>
      </c>
      <c r="T305" s="298">
        <f>IFERROR(Table6[[#This Row],[Breakdown Time]]*Table6[[#This Row],[Plant Equivalent Weightage]],"")</f>
        <v>1.0227272727272736E-2</v>
      </c>
      <c r="U305" s="79" t="s">
        <v>421</v>
      </c>
      <c r="W305" s="79">
        <v>226</v>
      </c>
    </row>
    <row r="306" spans="1:23">
      <c r="A306" s="79">
        <f t="shared" si="4"/>
        <v>305</v>
      </c>
      <c r="B306" s="79">
        <f>YEAR(Table6[[#This Row],[Date]])+IF(MONTH(Table6[[#This Row],[Date]])&gt;=4,1,0)</f>
        <v>2026</v>
      </c>
      <c r="C306" s="79">
        <f>YEAR(Table6[[#This Row],[Date]])</f>
        <v>2025</v>
      </c>
      <c r="D306" s="79" t="s">
        <v>344</v>
      </c>
      <c r="E306" s="284">
        <f>Table6[[#This Row],[Date]]-DAY(Table6[[#This Row],[Date]])+1</f>
        <v>45748</v>
      </c>
      <c r="F306" s="285">
        <v>45759</v>
      </c>
      <c r="G306" s="79" t="s">
        <v>104</v>
      </c>
      <c r="H306" s="79" t="str">
        <f>IFERROR(_xlfn.XLOOKUP(Table6[[#This Row],[Affected Feeder ]],'Basic Data'!$A:$A,'Basic Data'!$B:$B),"")</f>
        <v>PWEPL</v>
      </c>
      <c r="I306" s="79" t="str">
        <f>IFERROR(_xlfn.XLOOKUP(Table6[[#This Row],[Affected Feeder ]],'Basic Data'!$A:$A,'Basic Data'!$C:$C),"")</f>
        <v>MSEDCL</v>
      </c>
      <c r="J306" s="295">
        <f>IFERROR(_xlfn.XLOOKUP(Table6[[#This Row],[Affected Feeder ]],'Basic Data'!$A:$A,'Basic Data'!$E:$E),"")</f>
        <v>2.2727272727272728E-2</v>
      </c>
      <c r="K306" s="296" t="s">
        <v>171</v>
      </c>
      <c r="L306" s="297">
        <v>0.18402777777777779</v>
      </c>
      <c r="M306" s="297">
        <v>0.18402777777777779</v>
      </c>
      <c r="N306" s="297">
        <v>0.18680555555555556</v>
      </c>
      <c r="O306" s="19">
        <f>(Table6[[#This Row],[Work Start TimeStamp]]-Table6[[#This Row],[Fault Start TimeStamp]])*24</f>
        <v>0</v>
      </c>
      <c r="P306" s="19">
        <f>(Table6[[#This Row],[Fault Clearance time]]-Table6[[#This Row],[Fault Start TimeStamp]])*24</f>
        <v>6.666666666666643E-2</v>
      </c>
      <c r="Q306" s="19">
        <f>(Table6[[#This Row],[Fault Clearance time]]-Table6[[#This Row],[Fault Start TimeStamp]])*24</f>
        <v>6.666666666666643E-2</v>
      </c>
      <c r="R306" s="79" t="s">
        <v>353</v>
      </c>
      <c r="S306" s="79" t="s">
        <v>339</v>
      </c>
      <c r="T306" s="298">
        <f>IFERROR(Table6[[#This Row],[Breakdown Time]]*Table6[[#This Row],[Plant Equivalent Weightage]],"")</f>
        <v>1.5151515151515097E-3</v>
      </c>
      <c r="U306" s="79" t="s">
        <v>421</v>
      </c>
      <c r="W306" s="79">
        <v>182</v>
      </c>
    </row>
    <row r="307" spans="1:23">
      <c r="A307" s="79">
        <f t="shared" si="4"/>
        <v>306</v>
      </c>
      <c r="B307" s="79">
        <f>YEAR(Table6[[#This Row],[Date]])+IF(MONTH(Table6[[#This Row],[Date]])&gt;=4,1,0)</f>
        <v>2026</v>
      </c>
      <c r="C307" s="79">
        <f>YEAR(Table6[[#This Row],[Date]])</f>
        <v>2025</v>
      </c>
      <c r="D307" s="79" t="s">
        <v>344</v>
      </c>
      <c r="E307" s="284">
        <f>Table6[[#This Row],[Date]]-DAY(Table6[[#This Row],[Date]])+1</f>
        <v>45748</v>
      </c>
      <c r="F307" s="285">
        <v>45764</v>
      </c>
      <c r="G307" s="79" t="s">
        <v>404</v>
      </c>
      <c r="H307" s="79" t="str">
        <f>IFERROR(_xlfn.XLOOKUP(Table6[[#This Row],[Affected Feeder ]],'Basic Data'!$A:$A,'Basic Data'!$B:$B),"")</f>
        <v>PWEPL</v>
      </c>
      <c r="I307" s="79" t="str">
        <f>IFERROR(_xlfn.XLOOKUP(Table6[[#This Row],[Affected Feeder ]],'Basic Data'!$A:$A,'Basic Data'!$C:$C),"")</f>
        <v>MSEDCL</v>
      </c>
      <c r="J307" s="295">
        <f>IFERROR(_xlfn.XLOOKUP(Table6[[#This Row],[Affected Feeder ]],'Basic Data'!$A:$A,'Basic Data'!$E:$E),"")</f>
        <v>0.27272727272727276</v>
      </c>
      <c r="K307" s="296" t="s">
        <v>447</v>
      </c>
      <c r="L307" s="297">
        <v>0.52083333333333337</v>
      </c>
      <c r="M307" s="297">
        <v>0.52083333333333337</v>
      </c>
      <c r="N307" s="297">
        <v>0.53055555555555556</v>
      </c>
      <c r="O307" s="19">
        <f>(Table6[[#This Row],[Work Start TimeStamp]]-Table6[[#This Row],[Fault Start TimeStamp]])*24</f>
        <v>0</v>
      </c>
      <c r="P307" s="19">
        <f>(Table6[[#This Row],[Fault Clearance time]]-Table6[[#This Row],[Fault Start TimeStamp]])*24</f>
        <v>0.2333333333333325</v>
      </c>
      <c r="Q307" s="19">
        <f>(Table6[[#This Row],[Fault Clearance time]]-Table6[[#This Row],[Fault Start TimeStamp]])*24</f>
        <v>0.2333333333333325</v>
      </c>
      <c r="R307" s="79" t="s">
        <v>420</v>
      </c>
      <c r="S307" s="79" t="s">
        <v>339</v>
      </c>
      <c r="T307" s="298">
        <f>IFERROR(Table6[[#This Row],[Breakdown Time]]*Table6[[#This Row],[Plant Equivalent Weightage]],"")</f>
        <v>6.3636363636363422E-2</v>
      </c>
      <c r="U307" s="79" t="s">
        <v>421</v>
      </c>
      <c r="W307" s="79">
        <v>991</v>
      </c>
    </row>
    <row r="308" spans="1:23">
      <c r="A308" s="79">
        <f t="shared" si="4"/>
        <v>307</v>
      </c>
      <c r="B308" s="79">
        <f>YEAR(Table6[[#This Row],[Date]])+IF(MONTH(Table6[[#This Row],[Date]])&gt;=4,1,0)</f>
        <v>2026</v>
      </c>
      <c r="C308" s="79">
        <f>YEAR(Table6[[#This Row],[Date]])</f>
        <v>2025</v>
      </c>
      <c r="D308" s="79" t="s">
        <v>344</v>
      </c>
      <c r="E308" s="284">
        <f>Table6[[#This Row],[Date]]-DAY(Table6[[#This Row],[Date]])+1</f>
        <v>45748</v>
      </c>
      <c r="F308" s="285">
        <v>45764</v>
      </c>
      <c r="G308" s="79" t="s">
        <v>89</v>
      </c>
      <c r="H308" s="79" t="str">
        <f>IFERROR(_xlfn.XLOOKUP(Table6[[#This Row],[Affected Feeder ]],'Basic Data'!$A:$A,'Basic Data'!$B:$B),"")</f>
        <v>PWEPL</v>
      </c>
      <c r="I308" s="79" t="str">
        <f>IFERROR(_xlfn.XLOOKUP(Table6[[#This Row],[Affected Feeder ]],'Basic Data'!$A:$A,'Basic Data'!$C:$C),"")</f>
        <v>MSEDCL</v>
      </c>
      <c r="J308" s="295">
        <f>IFERROR(_xlfn.XLOOKUP(Table6[[#This Row],[Affected Feeder ]],'Basic Data'!$A:$A,'Basic Data'!$E:$E),"")</f>
        <v>2.2727272727272728E-2</v>
      </c>
      <c r="K308" s="296" t="s">
        <v>171</v>
      </c>
      <c r="L308" s="297">
        <v>0.53055555555555556</v>
      </c>
      <c r="M308" s="297">
        <v>0.53055555555555556</v>
      </c>
      <c r="N308" s="297">
        <v>0.53472222222222221</v>
      </c>
      <c r="O308" s="19">
        <f>(Table6[[#This Row],[Work Start TimeStamp]]-Table6[[#This Row],[Fault Start TimeStamp]])*24</f>
        <v>0</v>
      </c>
      <c r="P308" s="19">
        <f>(Table6[[#This Row],[Fault Clearance time]]-Table6[[#This Row],[Fault Start TimeStamp]])*24</f>
        <v>9.9999999999999645E-2</v>
      </c>
      <c r="Q308" s="19">
        <f>(Table6[[#This Row],[Fault Clearance time]]-Table6[[#This Row],[Fault Start TimeStamp]])*24</f>
        <v>9.9999999999999645E-2</v>
      </c>
      <c r="R308" s="79" t="s">
        <v>353</v>
      </c>
      <c r="S308" s="79" t="s">
        <v>339</v>
      </c>
      <c r="T308" s="298">
        <f>IFERROR(Table6[[#This Row],[Breakdown Time]]*Table6[[#This Row],[Plant Equivalent Weightage]],"")</f>
        <v>2.2727272727272648E-3</v>
      </c>
      <c r="U308" s="79" t="s">
        <v>421</v>
      </c>
      <c r="W308" s="79">
        <v>34</v>
      </c>
    </row>
    <row r="309" spans="1:23">
      <c r="A309" s="79">
        <f t="shared" si="4"/>
        <v>308</v>
      </c>
      <c r="B309" s="79">
        <f>YEAR(Table6[[#This Row],[Date]])+IF(MONTH(Table6[[#This Row],[Date]])&gt;=4,1,0)</f>
        <v>2026</v>
      </c>
      <c r="C309" s="79">
        <f>YEAR(Table6[[#This Row],[Date]])</f>
        <v>2025</v>
      </c>
      <c r="D309" s="79" t="s">
        <v>344</v>
      </c>
      <c r="E309" s="284">
        <f>Table6[[#This Row],[Date]]-DAY(Table6[[#This Row],[Date]])+1</f>
        <v>45748</v>
      </c>
      <c r="F309" s="285">
        <v>45764</v>
      </c>
      <c r="G309" s="79" t="s">
        <v>90</v>
      </c>
      <c r="H309" s="79" t="str">
        <f>IFERROR(_xlfn.XLOOKUP(Table6[[#This Row],[Affected Feeder ]],'Basic Data'!$A:$A,'Basic Data'!$B:$B),"")</f>
        <v>PWEPL</v>
      </c>
      <c r="I309" s="79" t="str">
        <f>IFERROR(_xlfn.XLOOKUP(Table6[[#This Row],[Affected Feeder ]],'Basic Data'!$A:$A,'Basic Data'!$C:$C),"")</f>
        <v>MSEDCL</v>
      </c>
      <c r="J309" s="295">
        <f>IFERROR(_xlfn.XLOOKUP(Table6[[#This Row],[Affected Feeder ]],'Basic Data'!$A:$A,'Basic Data'!$E:$E),"")</f>
        <v>2.2727272727272728E-2</v>
      </c>
      <c r="K309" s="296" t="s">
        <v>171</v>
      </c>
      <c r="L309" s="297">
        <v>0.53055555555555556</v>
      </c>
      <c r="M309" s="297">
        <v>0.53055555555555556</v>
      </c>
      <c r="N309" s="297">
        <v>0.53263888888888888</v>
      </c>
      <c r="O309" s="19">
        <f>(Table6[[#This Row],[Work Start TimeStamp]]-Table6[[#This Row],[Fault Start TimeStamp]])*24</f>
        <v>0</v>
      </c>
      <c r="P309" s="19">
        <f>(Table6[[#This Row],[Fault Clearance time]]-Table6[[#This Row],[Fault Start TimeStamp]])*24</f>
        <v>4.9999999999999822E-2</v>
      </c>
      <c r="Q309" s="19">
        <f>(Table6[[#This Row],[Fault Clearance time]]-Table6[[#This Row],[Fault Start TimeStamp]])*24</f>
        <v>4.9999999999999822E-2</v>
      </c>
      <c r="R309" s="79" t="s">
        <v>353</v>
      </c>
      <c r="S309" s="79" t="s">
        <v>339</v>
      </c>
      <c r="T309" s="298">
        <f>IFERROR(Table6[[#This Row],[Breakdown Time]]*Table6[[#This Row],[Plant Equivalent Weightage]],"")</f>
        <v>1.1363636363636324E-3</v>
      </c>
      <c r="U309" s="79" t="s">
        <v>421</v>
      </c>
      <c r="W309" s="79">
        <v>17</v>
      </c>
    </row>
    <row r="310" spans="1:23">
      <c r="A310" s="79">
        <f t="shared" si="4"/>
        <v>309</v>
      </c>
      <c r="B310" s="79">
        <f>YEAR(Table6[[#This Row],[Date]])+IF(MONTH(Table6[[#This Row],[Date]])&gt;=4,1,0)</f>
        <v>2026</v>
      </c>
      <c r="C310" s="79">
        <f>YEAR(Table6[[#This Row],[Date]])</f>
        <v>2025</v>
      </c>
      <c r="D310" s="79" t="s">
        <v>344</v>
      </c>
      <c r="E310" s="284">
        <f>Table6[[#This Row],[Date]]-DAY(Table6[[#This Row],[Date]])+1</f>
        <v>45748</v>
      </c>
      <c r="F310" s="285">
        <v>45764</v>
      </c>
      <c r="G310" s="79" t="s">
        <v>91</v>
      </c>
      <c r="H310" s="79" t="str">
        <f>IFERROR(_xlfn.XLOOKUP(Table6[[#This Row],[Affected Feeder ]],'Basic Data'!$A:$A,'Basic Data'!$B:$B),"")</f>
        <v>PWEPL</v>
      </c>
      <c r="I310" s="79" t="str">
        <f>IFERROR(_xlfn.XLOOKUP(Table6[[#This Row],[Affected Feeder ]],'Basic Data'!$A:$A,'Basic Data'!$C:$C),"")</f>
        <v>MSEDCL</v>
      </c>
      <c r="J310" s="295">
        <f>IFERROR(_xlfn.XLOOKUP(Table6[[#This Row],[Affected Feeder ]],'Basic Data'!$A:$A,'Basic Data'!$E:$E),"")</f>
        <v>2.2727272727272728E-2</v>
      </c>
      <c r="K310" s="296" t="s">
        <v>171</v>
      </c>
      <c r="L310" s="297">
        <v>0.53055555555555556</v>
      </c>
      <c r="M310" s="297">
        <v>0.53055555555555556</v>
      </c>
      <c r="N310" s="297">
        <v>0.53333333333333333</v>
      </c>
      <c r="O310" s="19">
        <f>(Table6[[#This Row],[Work Start TimeStamp]]-Table6[[#This Row],[Fault Start TimeStamp]])*24</f>
        <v>0</v>
      </c>
      <c r="P310" s="19">
        <f>(Table6[[#This Row],[Fault Clearance time]]-Table6[[#This Row],[Fault Start TimeStamp]])*24</f>
        <v>6.666666666666643E-2</v>
      </c>
      <c r="Q310" s="19">
        <f>(Table6[[#This Row],[Fault Clearance time]]-Table6[[#This Row],[Fault Start TimeStamp]])*24</f>
        <v>6.666666666666643E-2</v>
      </c>
      <c r="R310" s="79" t="s">
        <v>353</v>
      </c>
      <c r="S310" s="79" t="s">
        <v>339</v>
      </c>
      <c r="T310" s="298">
        <f>IFERROR(Table6[[#This Row],[Breakdown Time]]*Table6[[#This Row],[Plant Equivalent Weightage]],"")</f>
        <v>1.5151515151515097E-3</v>
      </c>
      <c r="U310" s="79" t="s">
        <v>421</v>
      </c>
      <c r="W310" s="79">
        <v>22</v>
      </c>
    </row>
    <row r="311" spans="1:23">
      <c r="A311" s="79">
        <f t="shared" si="4"/>
        <v>310</v>
      </c>
      <c r="B311" s="79">
        <f>YEAR(Table6[[#This Row],[Date]])+IF(MONTH(Table6[[#This Row],[Date]])&gt;=4,1,0)</f>
        <v>2026</v>
      </c>
      <c r="C311" s="79">
        <f>YEAR(Table6[[#This Row],[Date]])</f>
        <v>2025</v>
      </c>
      <c r="D311" s="79" t="s">
        <v>344</v>
      </c>
      <c r="E311" s="284">
        <f>Table6[[#This Row],[Date]]-DAY(Table6[[#This Row],[Date]])+1</f>
        <v>45748</v>
      </c>
      <c r="F311" s="285">
        <v>45764</v>
      </c>
      <c r="G311" s="79" t="s">
        <v>92</v>
      </c>
      <c r="H311" s="79" t="str">
        <f>IFERROR(_xlfn.XLOOKUP(Table6[[#This Row],[Affected Feeder ]],'Basic Data'!$A:$A,'Basic Data'!$B:$B),"")</f>
        <v>PWEPL</v>
      </c>
      <c r="I311" s="79" t="str">
        <f>IFERROR(_xlfn.XLOOKUP(Table6[[#This Row],[Affected Feeder ]],'Basic Data'!$A:$A,'Basic Data'!$C:$C),"")</f>
        <v>MSEDCL</v>
      </c>
      <c r="J311" s="295">
        <f>IFERROR(_xlfn.XLOOKUP(Table6[[#This Row],[Affected Feeder ]],'Basic Data'!$A:$A,'Basic Data'!$E:$E),"")</f>
        <v>2.2727272727272728E-2</v>
      </c>
      <c r="K311" s="296" t="s">
        <v>171</v>
      </c>
      <c r="L311" s="297">
        <v>0.53055555555555556</v>
      </c>
      <c r="M311" s="297">
        <v>0.53055555555555556</v>
      </c>
      <c r="N311" s="297">
        <v>0.53263888888888888</v>
      </c>
      <c r="O311" s="19">
        <f>(Table6[[#This Row],[Work Start TimeStamp]]-Table6[[#This Row],[Fault Start TimeStamp]])*24</f>
        <v>0</v>
      </c>
      <c r="P311" s="19">
        <f>(Table6[[#This Row],[Fault Clearance time]]-Table6[[#This Row],[Fault Start TimeStamp]])*24</f>
        <v>4.9999999999999822E-2</v>
      </c>
      <c r="Q311" s="19">
        <f>(Table6[[#This Row],[Fault Clearance time]]-Table6[[#This Row],[Fault Start TimeStamp]])*24</f>
        <v>4.9999999999999822E-2</v>
      </c>
      <c r="R311" s="79" t="s">
        <v>353</v>
      </c>
      <c r="S311" s="79" t="s">
        <v>339</v>
      </c>
      <c r="T311" s="298">
        <f>IFERROR(Table6[[#This Row],[Breakdown Time]]*Table6[[#This Row],[Plant Equivalent Weightage]],"")</f>
        <v>1.1363636363636324E-3</v>
      </c>
      <c r="U311" s="79" t="s">
        <v>421</v>
      </c>
      <c r="W311" s="79">
        <v>17</v>
      </c>
    </row>
    <row r="312" spans="1:23">
      <c r="A312" s="79">
        <f t="shared" si="4"/>
        <v>311</v>
      </c>
      <c r="B312" s="79">
        <f>YEAR(Table6[[#This Row],[Date]])+IF(MONTH(Table6[[#This Row],[Date]])&gt;=4,1,0)</f>
        <v>2026</v>
      </c>
      <c r="C312" s="79">
        <f>YEAR(Table6[[#This Row],[Date]])</f>
        <v>2025</v>
      </c>
      <c r="D312" s="79" t="s">
        <v>344</v>
      </c>
      <c r="E312" s="284">
        <f>Table6[[#This Row],[Date]]-DAY(Table6[[#This Row],[Date]])+1</f>
        <v>45748</v>
      </c>
      <c r="F312" s="285">
        <v>45764</v>
      </c>
      <c r="G312" s="79" t="s">
        <v>94</v>
      </c>
      <c r="H312" s="79" t="str">
        <f>IFERROR(_xlfn.XLOOKUP(Table6[[#This Row],[Affected Feeder ]],'Basic Data'!$A:$A,'Basic Data'!$B:$B),"")</f>
        <v>PWEPL</v>
      </c>
      <c r="I312" s="79" t="str">
        <f>IFERROR(_xlfn.XLOOKUP(Table6[[#This Row],[Affected Feeder ]],'Basic Data'!$A:$A,'Basic Data'!$C:$C),"")</f>
        <v>MSEDCL</v>
      </c>
      <c r="J312" s="295">
        <f>IFERROR(_xlfn.XLOOKUP(Table6[[#This Row],[Affected Feeder ]],'Basic Data'!$A:$A,'Basic Data'!$E:$E),"")</f>
        <v>2.2727272727272728E-2</v>
      </c>
      <c r="K312" s="296" t="s">
        <v>171</v>
      </c>
      <c r="L312" s="297">
        <v>0.53055555555555556</v>
      </c>
      <c r="M312" s="297">
        <v>0.53055555555555556</v>
      </c>
      <c r="N312" s="297">
        <v>0.53819444444444442</v>
      </c>
      <c r="O312" s="19">
        <f>(Table6[[#This Row],[Work Start TimeStamp]]-Table6[[#This Row],[Fault Start TimeStamp]])*24</f>
        <v>0</v>
      </c>
      <c r="P312" s="19">
        <f>(Table6[[#This Row],[Fault Clearance time]]-Table6[[#This Row],[Fault Start TimeStamp]])*24</f>
        <v>0.18333333333333268</v>
      </c>
      <c r="Q312" s="19">
        <f>(Table6[[#This Row],[Fault Clearance time]]-Table6[[#This Row],[Fault Start TimeStamp]])*24</f>
        <v>0.18333333333333268</v>
      </c>
      <c r="R312" s="79" t="s">
        <v>353</v>
      </c>
      <c r="S312" s="79" t="s">
        <v>339</v>
      </c>
      <c r="T312" s="298">
        <f>IFERROR(Table6[[#This Row],[Breakdown Time]]*Table6[[#This Row],[Plant Equivalent Weightage]],"")</f>
        <v>4.1666666666666519E-3</v>
      </c>
      <c r="U312" s="79" t="s">
        <v>421</v>
      </c>
      <c r="W312" s="79">
        <v>62</v>
      </c>
    </row>
    <row r="313" spans="1:23">
      <c r="A313" s="79">
        <f t="shared" si="4"/>
        <v>312</v>
      </c>
      <c r="B313" s="79">
        <f>YEAR(Table6[[#This Row],[Date]])+IF(MONTH(Table6[[#This Row],[Date]])&gt;=4,1,0)</f>
        <v>2026</v>
      </c>
      <c r="C313" s="79">
        <f>YEAR(Table6[[#This Row],[Date]])</f>
        <v>2025</v>
      </c>
      <c r="D313" s="79" t="s">
        <v>344</v>
      </c>
      <c r="E313" s="284">
        <f>Table6[[#This Row],[Date]]-DAY(Table6[[#This Row],[Date]])+1</f>
        <v>45748</v>
      </c>
      <c r="F313" s="285">
        <v>45764</v>
      </c>
      <c r="G313" s="79" t="s">
        <v>95</v>
      </c>
      <c r="H313" s="79" t="str">
        <f>IFERROR(_xlfn.XLOOKUP(Table6[[#This Row],[Affected Feeder ]],'Basic Data'!$A:$A,'Basic Data'!$B:$B),"")</f>
        <v>PWEPL</v>
      </c>
      <c r="I313" s="79" t="str">
        <f>IFERROR(_xlfn.XLOOKUP(Table6[[#This Row],[Affected Feeder ]],'Basic Data'!$A:$A,'Basic Data'!$C:$C),"")</f>
        <v>MSEDCL</v>
      </c>
      <c r="J313" s="295">
        <f>IFERROR(_xlfn.XLOOKUP(Table6[[#This Row],[Affected Feeder ]],'Basic Data'!$A:$A,'Basic Data'!$E:$E),"")</f>
        <v>2.2727272727272728E-2</v>
      </c>
      <c r="K313" s="296" t="s">
        <v>171</v>
      </c>
      <c r="L313" s="297">
        <v>0.53055555555555556</v>
      </c>
      <c r="M313" s="297">
        <v>0.53055555555555556</v>
      </c>
      <c r="N313" s="297">
        <v>0.5395833333333333</v>
      </c>
      <c r="O313" s="19">
        <f>(Table6[[#This Row],[Work Start TimeStamp]]-Table6[[#This Row],[Fault Start TimeStamp]])*24</f>
        <v>0</v>
      </c>
      <c r="P313" s="19">
        <f>(Table6[[#This Row],[Fault Clearance time]]-Table6[[#This Row],[Fault Start TimeStamp]])*24</f>
        <v>0.2166666666666659</v>
      </c>
      <c r="Q313" s="19">
        <f>(Table6[[#This Row],[Fault Clearance time]]-Table6[[#This Row],[Fault Start TimeStamp]])*24</f>
        <v>0.2166666666666659</v>
      </c>
      <c r="R313" s="79" t="s">
        <v>353</v>
      </c>
      <c r="S313" s="79" t="s">
        <v>339</v>
      </c>
      <c r="T313" s="298">
        <f>IFERROR(Table6[[#This Row],[Breakdown Time]]*Table6[[#This Row],[Plant Equivalent Weightage]],"")</f>
        <v>4.9242424242424065E-3</v>
      </c>
      <c r="U313" s="79" t="s">
        <v>421</v>
      </c>
      <c r="W313" s="79">
        <v>73</v>
      </c>
    </row>
    <row r="314" spans="1:23">
      <c r="A314" s="79">
        <f t="shared" si="4"/>
        <v>313</v>
      </c>
      <c r="B314" s="79">
        <f>YEAR(Table6[[#This Row],[Date]])+IF(MONTH(Table6[[#This Row],[Date]])&gt;=4,1,0)</f>
        <v>2026</v>
      </c>
      <c r="C314" s="79">
        <f>YEAR(Table6[[#This Row],[Date]])</f>
        <v>2025</v>
      </c>
      <c r="D314" s="79" t="s">
        <v>344</v>
      </c>
      <c r="E314" s="284">
        <f>Table6[[#This Row],[Date]]-DAY(Table6[[#This Row],[Date]])+1</f>
        <v>45748</v>
      </c>
      <c r="F314" s="285">
        <v>45764</v>
      </c>
      <c r="G314" s="79" t="s">
        <v>106</v>
      </c>
      <c r="H314" s="79" t="str">
        <f>IFERROR(_xlfn.XLOOKUP(Table6[[#This Row],[Affected Feeder ]],'Basic Data'!$A:$A,'Basic Data'!$B:$B),"")</f>
        <v>PWEPL</v>
      </c>
      <c r="I314" s="79" t="str">
        <f>IFERROR(_xlfn.XLOOKUP(Table6[[#This Row],[Affected Feeder ]],'Basic Data'!$A:$A,'Basic Data'!$C:$C),"")</f>
        <v>MSEDCL</v>
      </c>
      <c r="J314" s="295">
        <f>IFERROR(_xlfn.XLOOKUP(Table6[[#This Row],[Affected Feeder ]],'Basic Data'!$A:$A,'Basic Data'!$E:$E),"")</f>
        <v>2.2727272727272728E-2</v>
      </c>
      <c r="K314" s="296" t="s">
        <v>171</v>
      </c>
      <c r="L314" s="297">
        <v>0.53055555555555556</v>
      </c>
      <c r="M314" s="297">
        <v>0.53055555555555556</v>
      </c>
      <c r="N314" s="297">
        <v>0.53888888888888886</v>
      </c>
      <c r="O314" s="19">
        <f>(Table6[[#This Row],[Work Start TimeStamp]]-Table6[[#This Row],[Fault Start TimeStamp]])*24</f>
        <v>0</v>
      </c>
      <c r="P314" s="19">
        <f>(Table6[[#This Row],[Fault Clearance time]]-Table6[[#This Row],[Fault Start TimeStamp]])*24</f>
        <v>0.19999999999999929</v>
      </c>
      <c r="Q314" s="19">
        <f>(Table6[[#This Row],[Fault Clearance time]]-Table6[[#This Row],[Fault Start TimeStamp]])*24</f>
        <v>0.19999999999999929</v>
      </c>
      <c r="R314" s="79" t="s">
        <v>353</v>
      </c>
      <c r="S314" s="79" t="s">
        <v>339</v>
      </c>
      <c r="T314" s="298">
        <f>IFERROR(Table6[[#This Row],[Breakdown Time]]*Table6[[#This Row],[Plant Equivalent Weightage]],"")</f>
        <v>4.5454545454545296E-3</v>
      </c>
      <c r="U314" s="79" t="s">
        <v>421</v>
      </c>
      <c r="W314" s="79">
        <v>67</v>
      </c>
    </row>
    <row r="315" spans="1:23">
      <c r="A315" s="79">
        <f t="shared" si="4"/>
        <v>314</v>
      </c>
      <c r="B315" s="79">
        <f>YEAR(Table6[[#This Row],[Date]])+IF(MONTH(Table6[[#This Row],[Date]])&gt;=4,1,0)</f>
        <v>2026</v>
      </c>
      <c r="C315" s="79">
        <f>YEAR(Table6[[#This Row],[Date]])</f>
        <v>2025</v>
      </c>
      <c r="D315" s="79" t="s">
        <v>344</v>
      </c>
      <c r="E315" s="284">
        <f>Table6[[#This Row],[Date]]-DAY(Table6[[#This Row],[Date]])+1</f>
        <v>45748</v>
      </c>
      <c r="F315" s="285">
        <v>45764</v>
      </c>
      <c r="G315" s="79" t="s">
        <v>79</v>
      </c>
      <c r="H315" s="79" t="str">
        <f>IFERROR(_xlfn.XLOOKUP(Table6[[#This Row],[Affected Feeder ]],'Basic Data'!$A:$A,'Basic Data'!$B:$B),"")</f>
        <v>PWEPL</v>
      </c>
      <c r="I315" s="79" t="str">
        <f>IFERROR(_xlfn.XLOOKUP(Table6[[#This Row],[Affected Feeder ]],'Basic Data'!$A:$A,'Basic Data'!$C:$C),"")</f>
        <v>MSEDCL</v>
      </c>
      <c r="J315" s="295">
        <f>IFERROR(_xlfn.XLOOKUP(Table6[[#This Row],[Affected Feeder ]],'Basic Data'!$A:$A,'Basic Data'!$E:$E),"")</f>
        <v>2.2727272727272728E-2</v>
      </c>
      <c r="K315" s="296" t="s">
        <v>171</v>
      </c>
      <c r="L315" s="297">
        <v>0.53055555555555556</v>
      </c>
      <c r="M315" s="297">
        <v>0.53055555555555556</v>
      </c>
      <c r="N315" s="297">
        <v>0.53888888888888886</v>
      </c>
      <c r="O315" s="19">
        <f>(Table6[[#This Row],[Work Start TimeStamp]]-Table6[[#This Row],[Fault Start TimeStamp]])*24</f>
        <v>0</v>
      </c>
      <c r="P315" s="19">
        <f>(Table6[[#This Row],[Fault Clearance time]]-Table6[[#This Row],[Fault Start TimeStamp]])*24</f>
        <v>0.19999999999999929</v>
      </c>
      <c r="Q315" s="19">
        <f>(Table6[[#This Row],[Fault Clearance time]]-Table6[[#This Row],[Fault Start TimeStamp]])*24</f>
        <v>0.19999999999999929</v>
      </c>
      <c r="R315" s="79" t="s">
        <v>353</v>
      </c>
      <c r="S315" s="79" t="s">
        <v>339</v>
      </c>
      <c r="T315" s="298">
        <f>IFERROR(Table6[[#This Row],[Breakdown Time]]*Table6[[#This Row],[Plant Equivalent Weightage]],"")</f>
        <v>4.5454545454545296E-3</v>
      </c>
      <c r="U315" s="79" t="s">
        <v>421</v>
      </c>
      <c r="W315" s="79">
        <v>67</v>
      </c>
    </row>
    <row r="316" spans="1:23">
      <c r="A316" s="79">
        <f t="shared" si="4"/>
        <v>315</v>
      </c>
      <c r="B316" s="79">
        <f>YEAR(Table6[[#This Row],[Date]])+IF(MONTH(Table6[[#This Row],[Date]])&gt;=4,1,0)</f>
        <v>2026</v>
      </c>
      <c r="C316" s="79">
        <f>YEAR(Table6[[#This Row],[Date]])</f>
        <v>2025</v>
      </c>
      <c r="D316" s="79" t="s">
        <v>344</v>
      </c>
      <c r="E316" s="284">
        <f>Table6[[#This Row],[Date]]-DAY(Table6[[#This Row],[Date]])+1</f>
        <v>45748</v>
      </c>
      <c r="F316" s="285">
        <v>45764</v>
      </c>
      <c r="G316" s="79" t="s">
        <v>96</v>
      </c>
      <c r="H316" s="79" t="str">
        <f>IFERROR(_xlfn.XLOOKUP(Table6[[#This Row],[Affected Feeder ]],'Basic Data'!$A:$A,'Basic Data'!$B:$B),"")</f>
        <v>PWEPL</v>
      </c>
      <c r="I316" s="79" t="str">
        <f>IFERROR(_xlfn.XLOOKUP(Table6[[#This Row],[Affected Feeder ]],'Basic Data'!$A:$A,'Basic Data'!$C:$C),"")</f>
        <v>MSEDCL</v>
      </c>
      <c r="J316" s="295">
        <f>IFERROR(_xlfn.XLOOKUP(Table6[[#This Row],[Affected Feeder ]],'Basic Data'!$A:$A,'Basic Data'!$E:$E),"")</f>
        <v>2.2727272727272728E-2</v>
      </c>
      <c r="K316" s="296" t="s">
        <v>171</v>
      </c>
      <c r="L316" s="297">
        <v>0.53055555555555556</v>
      </c>
      <c r="M316" s="297">
        <v>0.53055555555555556</v>
      </c>
      <c r="N316" s="297">
        <v>0.5395833333333333</v>
      </c>
      <c r="O316" s="19">
        <f>(Table6[[#This Row],[Work Start TimeStamp]]-Table6[[#This Row],[Fault Start TimeStamp]])*24</f>
        <v>0</v>
      </c>
      <c r="P316" s="19">
        <f>(Table6[[#This Row],[Fault Clearance time]]-Table6[[#This Row],[Fault Start TimeStamp]])*24</f>
        <v>0.2166666666666659</v>
      </c>
      <c r="Q316" s="19">
        <f>(Table6[[#This Row],[Fault Clearance time]]-Table6[[#This Row],[Fault Start TimeStamp]])*24</f>
        <v>0.2166666666666659</v>
      </c>
      <c r="R316" s="79" t="s">
        <v>353</v>
      </c>
      <c r="S316" s="79" t="s">
        <v>339</v>
      </c>
      <c r="T316" s="298">
        <f>IFERROR(Table6[[#This Row],[Breakdown Time]]*Table6[[#This Row],[Plant Equivalent Weightage]],"")</f>
        <v>4.9242424242424065E-3</v>
      </c>
      <c r="U316" s="79" t="s">
        <v>421</v>
      </c>
      <c r="W316" s="79">
        <v>73</v>
      </c>
    </row>
    <row r="317" spans="1:23">
      <c r="A317" s="79">
        <f t="shared" si="4"/>
        <v>316</v>
      </c>
      <c r="B317" s="79">
        <f>YEAR(Table6[[#This Row],[Date]])+IF(MONTH(Table6[[#This Row],[Date]])&gt;=4,1,0)</f>
        <v>2026</v>
      </c>
      <c r="C317" s="79">
        <f>YEAR(Table6[[#This Row],[Date]])</f>
        <v>2025</v>
      </c>
      <c r="D317" s="79" t="s">
        <v>344</v>
      </c>
      <c r="E317" s="284">
        <f>Table6[[#This Row],[Date]]-DAY(Table6[[#This Row],[Date]])+1</f>
        <v>45748</v>
      </c>
      <c r="F317" s="285">
        <v>45764</v>
      </c>
      <c r="G317" s="79" t="s">
        <v>97</v>
      </c>
      <c r="H317" s="79" t="str">
        <f>IFERROR(_xlfn.XLOOKUP(Table6[[#This Row],[Affected Feeder ]],'Basic Data'!$A:$A,'Basic Data'!$B:$B),"")</f>
        <v>PWEPL</v>
      </c>
      <c r="I317" s="79" t="str">
        <f>IFERROR(_xlfn.XLOOKUP(Table6[[#This Row],[Affected Feeder ]],'Basic Data'!$A:$A,'Basic Data'!$C:$C),"")</f>
        <v>MSEDCL</v>
      </c>
      <c r="J317" s="295">
        <f>IFERROR(_xlfn.XLOOKUP(Table6[[#This Row],[Affected Feeder ]],'Basic Data'!$A:$A,'Basic Data'!$E:$E),"")</f>
        <v>2.2727272727272728E-2</v>
      </c>
      <c r="K317" s="296" t="s">
        <v>171</v>
      </c>
      <c r="L317" s="297">
        <v>0.53055555555555556</v>
      </c>
      <c r="M317" s="297">
        <v>0.53055555555555556</v>
      </c>
      <c r="N317" s="297">
        <v>0.5395833333333333</v>
      </c>
      <c r="O317" s="19">
        <f>(Table6[[#This Row],[Work Start TimeStamp]]-Table6[[#This Row],[Fault Start TimeStamp]])*24</f>
        <v>0</v>
      </c>
      <c r="P317" s="19">
        <f>(Table6[[#This Row],[Fault Clearance time]]-Table6[[#This Row],[Fault Start TimeStamp]])*24</f>
        <v>0.2166666666666659</v>
      </c>
      <c r="Q317" s="19">
        <f>(Table6[[#This Row],[Fault Clearance time]]-Table6[[#This Row],[Fault Start TimeStamp]])*24</f>
        <v>0.2166666666666659</v>
      </c>
      <c r="R317" s="79" t="s">
        <v>353</v>
      </c>
      <c r="S317" s="79" t="s">
        <v>339</v>
      </c>
      <c r="T317" s="298">
        <f>IFERROR(Table6[[#This Row],[Breakdown Time]]*Table6[[#This Row],[Plant Equivalent Weightage]],"")</f>
        <v>4.9242424242424065E-3</v>
      </c>
      <c r="U317" s="79" t="s">
        <v>421</v>
      </c>
      <c r="W317" s="79">
        <v>73</v>
      </c>
    </row>
    <row r="318" spans="1:23">
      <c r="A318" s="79">
        <f t="shared" si="4"/>
        <v>317</v>
      </c>
      <c r="B318" s="79">
        <f>YEAR(Table6[[#This Row],[Date]])+IF(MONTH(Table6[[#This Row],[Date]])&gt;=4,1,0)</f>
        <v>2026</v>
      </c>
      <c r="C318" s="79">
        <f>YEAR(Table6[[#This Row],[Date]])</f>
        <v>2025</v>
      </c>
      <c r="D318" s="79" t="s">
        <v>344</v>
      </c>
      <c r="E318" s="284">
        <f>Table6[[#This Row],[Date]]-DAY(Table6[[#This Row],[Date]])+1</f>
        <v>45748</v>
      </c>
      <c r="F318" s="285">
        <v>45764</v>
      </c>
      <c r="G318" s="79" t="s">
        <v>104</v>
      </c>
      <c r="H318" s="79" t="str">
        <f>IFERROR(_xlfn.XLOOKUP(Table6[[#This Row],[Affected Feeder ]],'Basic Data'!$A:$A,'Basic Data'!$B:$B),"")</f>
        <v>PWEPL</v>
      </c>
      <c r="I318" s="79" t="str">
        <f>IFERROR(_xlfn.XLOOKUP(Table6[[#This Row],[Affected Feeder ]],'Basic Data'!$A:$A,'Basic Data'!$C:$C),"")</f>
        <v>MSEDCL</v>
      </c>
      <c r="J318" s="295">
        <f>IFERROR(_xlfn.XLOOKUP(Table6[[#This Row],[Affected Feeder ]],'Basic Data'!$A:$A,'Basic Data'!$E:$E),"")</f>
        <v>2.2727272727272728E-2</v>
      </c>
      <c r="K318" s="296" t="s">
        <v>171</v>
      </c>
      <c r="L318" s="297">
        <v>0.53055555555555556</v>
      </c>
      <c r="M318" s="297">
        <v>0.53055555555555556</v>
      </c>
      <c r="N318" s="297">
        <v>0.54027777777777775</v>
      </c>
      <c r="O318" s="19">
        <f>(Table6[[#This Row],[Work Start TimeStamp]]-Table6[[#This Row],[Fault Start TimeStamp]])*24</f>
        <v>0</v>
      </c>
      <c r="P318" s="19">
        <f>(Table6[[#This Row],[Fault Clearance time]]-Table6[[#This Row],[Fault Start TimeStamp]])*24</f>
        <v>0.2333333333333325</v>
      </c>
      <c r="Q318" s="19">
        <f>(Table6[[#This Row],[Fault Clearance time]]-Table6[[#This Row],[Fault Start TimeStamp]])*24</f>
        <v>0.2333333333333325</v>
      </c>
      <c r="R318" s="79" t="s">
        <v>353</v>
      </c>
      <c r="S318" s="79" t="s">
        <v>339</v>
      </c>
      <c r="T318" s="298">
        <f>IFERROR(Table6[[#This Row],[Breakdown Time]]*Table6[[#This Row],[Plant Equivalent Weightage]],"")</f>
        <v>5.3030303030302843E-3</v>
      </c>
      <c r="U318" s="79" t="s">
        <v>421</v>
      </c>
      <c r="W318" s="79">
        <v>78</v>
      </c>
    </row>
    <row r="319" spans="1:23">
      <c r="A319" s="79">
        <f t="shared" si="4"/>
        <v>318</v>
      </c>
      <c r="B319" s="79">
        <f>YEAR(Table6[[#This Row],[Date]])+IF(MONTH(Table6[[#This Row],[Date]])&gt;=4,1,0)</f>
        <v>2026</v>
      </c>
      <c r="C319" s="79">
        <f>YEAR(Table6[[#This Row],[Date]])</f>
        <v>2025</v>
      </c>
      <c r="D319" s="79" t="s">
        <v>344</v>
      </c>
      <c r="E319" s="284">
        <f>Table6[[#This Row],[Date]]-DAY(Table6[[#This Row],[Date]])+1</f>
        <v>45748</v>
      </c>
      <c r="F319" s="285">
        <v>45764</v>
      </c>
      <c r="G319" s="79" t="s">
        <v>110</v>
      </c>
      <c r="H319" s="79" t="str">
        <f>IFERROR(_xlfn.XLOOKUP(Table6[[#This Row],[Affected Feeder ]],'Basic Data'!$A:$A,'Basic Data'!$B:$B),"")</f>
        <v>PWEPL</v>
      </c>
      <c r="I319" s="79" t="str">
        <f>IFERROR(_xlfn.XLOOKUP(Table6[[#This Row],[Affected Feeder ]],'Basic Data'!$A:$A,'Basic Data'!$C:$C),"")</f>
        <v>MSEDCL</v>
      </c>
      <c r="J319" s="295">
        <f>IFERROR(_xlfn.XLOOKUP(Table6[[#This Row],[Affected Feeder ]],'Basic Data'!$A:$A,'Basic Data'!$E:$E),"")</f>
        <v>2.2727272727272728E-2</v>
      </c>
      <c r="K319" s="296" t="s">
        <v>171</v>
      </c>
      <c r="L319" s="297">
        <v>0.53055555555555556</v>
      </c>
      <c r="M319" s="297">
        <v>0.53055555555555556</v>
      </c>
      <c r="N319" s="297">
        <v>0.53888888888888886</v>
      </c>
      <c r="O319" s="19">
        <f>(Table6[[#This Row],[Work Start TimeStamp]]-Table6[[#This Row],[Fault Start TimeStamp]])*24</f>
        <v>0</v>
      </c>
      <c r="P319" s="19">
        <f>(Table6[[#This Row],[Fault Clearance time]]-Table6[[#This Row],[Fault Start TimeStamp]])*24</f>
        <v>0.19999999999999929</v>
      </c>
      <c r="Q319" s="19">
        <f>(Table6[[#This Row],[Fault Clearance time]]-Table6[[#This Row],[Fault Start TimeStamp]])*24</f>
        <v>0.19999999999999929</v>
      </c>
      <c r="R319" s="79" t="s">
        <v>353</v>
      </c>
      <c r="S319" s="79" t="s">
        <v>339</v>
      </c>
      <c r="T319" s="298">
        <f>IFERROR(Table6[[#This Row],[Breakdown Time]]*Table6[[#This Row],[Plant Equivalent Weightage]],"")</f>
        <v>4.5454545454545296E-3</v>
      </c>
      <c r="U319" s="79" t="s">
        <v>421</v>
      </c>
      <c r="W319" s="79">
        <v>67</v>
      </c>
    </row>
    <row r="320" spans="1:23">
      <c r="A320" s="79">
        <f t="shared" si="4"/>
        <v>319</v>
      </c>
      <c r="B320" s="79">
        <f>YEAR(Table6[[#This Row],[Date]])+IF(MONTH(Table6[[#This Row],[Date]])&gt;=4,1,0)</f>
        <v>2026</v>
      </c>
      <c r="C320" s="79">
        <f>YEAR(Table6[[#This Row],[Date]])</f>
        <v>2025</v>
      </c>
      <c r="D320" s="79" t="s">
        <v>344</v>
      </c>
      <c r="E320" s="284">
        <f>Table6[[#This Row],[Date]]-DAY(Table6[[#This Row],[Date]])+1</f>
        <v>45748</v>
      </c>
      <c r="F320" s="285">
        <v>45768</v>
      </c>
      <c r="G320" s="79" t="s">
        <v>399</v>
      </c>
      <c r="H320" s="79" t="str">
        <f>IFERROR(_xlfn.XLOOKUP(Table6[[#This Row],[Affected Feeder ]],'Basic Data'!$A:$A,'Basic Data'!$B:$B),"")</f>
        <v>PWEPL</v>
      </c>
      <c r="I320" s="79" t="str">
        <f>IFERROR(_xlfn.XLOOKUP(Table6[[#This Row],[Affected Feeder ]],'Basic Data'!$A:$A,'Basic Data'!$C:$C),"")</f>
        <v>MSEDCL</v>
      </c>
      <c r="J320" s="295">
        <f>IFERROR(_xlfn.XLOOKUP(Table6[[#This Row],[Affected Feeder ]],'Basic Data'!$A:$A,'Basic Data'!$E:$E),"")</f>
        <v>0.22727272727272727</v>
      </c>
      <c r="K320" s="296" t="s">
        <v>447</v>
      </c>
      <c r="L320" s="297">
        <v>0.9555555555555556</v>
      </c>
      <c r="M320" s="297">
        <v>0.9555555555555556</v>
      </c>
      <c r="N320" s="297">
        <v>0.99930555555555556</v>
      </c>
      <c r="O320" s="19">
        <f>(Table6[[#This Row],[Work Start TimeStamp]]-Table6[[#This Row],[Fault Start TimeStamp]])*24</f>
        <v>0</v>
      </c>
      <c r="P320" s="19">
        <f>(Table6[[#This Row],[Fault Clearance time]]-Table6[[#This Row],[Fault Start TimeStamp]])*24</f>
        <v>1.0499999999999989</v>
      </c>
      <c r="Q320" s="19">
        <f>(Table6[[#This Row],[Fault Clearance time]]-Table6[[#This Row],[Fault Start TimeStamp]])*24</f>
        <v>1.0499999999999989</v>
      </c>
      <c r="R320" s="79" t="s">
        <v>456</v>
      </c>
      <c r="S320" s="79" t="s">
        <v>339</v>
      </c>
      <c r="T320" s="298">
        <f>IFERROR(Table6[[#This Row],[Breakdown Time]]*Table6[[#This Row],[Plant Equivalent Weightage]],"")</f>
        <v>0.2386363636363634</v>
      </c>
      <c r="U320" s="79" t="s">
        <v>421</v>
      </c>
      <c r="W320" s="79">
        <v>3475</v>
      </c>
    </row>
    <row r="321" spans="1:23">
      <c r="A321" s="79">
        <f t="shared" si="4"/>
        <v>320</v>
      </c>
      <c r="B321" s="79">
        <f>YEAR(Table6[[#This Row],[Date]])+IF(MONTH(Table6[[#This Row],[Date]])&gt;=4,1,0)</f>
        <v>2026</v>
      </c>
      <c r="C321" s="79">
        <f>YEAR(Table6[[#This Row],[Date]])</f>
        <v>2025</v>
      </c>
      <c r="D321" s="79" t="s">
        <v>344</v>
      </c>
      <c r="E321" s="284">
        <f>Table6[[#This Row],[Date]]-DAY(Table6[[#This Row],[Date]])+1</f>
        <v>45748</v>
      </c>
      <c r="F321" s="285">
        <v>45769</v>
      </c>
      <c r="G321" s="79" t="s">
        <v>399</v>
      </c>
      <c r="H321" s="79" t="str">
        <f>IFERROR(_xlfn.XLOOKUP(Table6[[#This Row],[Affected Feeder ]],'Basic Data'!$A:$A,'Basic Data'!$B:$B),"")</f>
        <v>PWEPL</v>
      </c>
      <c r="I321" s="79" t="str">
        <f>IFERROR(_xlfn.XLOOKUP(Table6[[#This Row],[Affected Feeder ]],'Basic Data'!$A:$A,'Basic Data'!$C:$C),"")</f>
        <v>MSEDCL</v>
      </c>
      <c r="J321" s="295">
        <f>IFERROR(_xlfn.XLOOKUP(Table6[[#This Row],[Affected Feeder ]],'Basic Data'!$A:$A,'Basic Data'!$E:$E),"")</f>
        <v>0.22727272727272727</v>
      </c>
      <c r="K321" s="296" t="s">
        <v>447</v>
      </c>
      <c r="L321" s="297">
        <v>0</v>
      </c>
      <c r="M321" s="297">
        <v>0</v>
      </c>
      <c r="N321" s="297">
        <v>1.3888888888888888E-2</v>
      </c>
      <c r="O321" s="19">
        <f>(Table6[[#This Row],[Work Start TimeStamp]]-Table6[[#This Row],[Fault Start TimeStamp]])*24</f>
        <v>0</v>
      </c>
      <c r="P321" s="19">
        <f>(Table6[[#This Row],[Fault Clearance time]]-Table6[[#This Row],[Fault Start TimeStamp]])*24</f>
        <v>0.33333333333333331</v>
      </c>
      <c r="Q321" s="19">
        <f>(Table6[[#This Row],[Fault Clearance time]]-Table6[[#This Row],[Fault Start TimeStamp]])*24</f>
        <v>0.33333333333333331</v>
      </c>
      <c r="R321" s="79" t="s">
        <v>420</v>
      </c>
      <c r="S321" s="79" t="s">
        <v>339</v>
      </c>
      <c r="T321" s="298">
        <f>IFERROR(Table6[[#This Row],[Breakdown Time]]*Table6[[#This Row],[Plant Equivalent Weightage]],"")</f>
        <v>7.5757575757575746E-2</v>
      </c>
      <c r="U321" s="79" t="s">
        <v>421</v>
      </c>
      <c r="W321" s="79">
        <v>995</v>
      </c>
    </row>
    <row r="322" spans="1:23">
      <c r="A322" s="79">
        <f t="shared" si="4"/>
        <v>321</v>
      </c>
      <c r="B322" s="79">
        <f>YEAR(Table6[[#This Row],[Date]])+IF(MONTH(Table6[[#This Row],[Date]])&gt;=4,1,0)</f>
        <v>2026</v>
      </c>
      <c r="C322" s="79">
        <f>YEAR(Table6[[#This Row],[Date]])</f>
        <v>2025</v>
      </c>
      <c r="D322" s="79" t="s">
        <v>344</v>
      </c>
      <c r="E322" s="284">
        <f>Table6[[#This Row],[Date]]-DAY(Table6[[#This Row],[Date]])+1</f>
        <v>45748</v>
      </c>
      <c r="F322" s="285">
        <v>45769</v>
      </c>
      <c r="G322" s="79" t="s">
        <v>83</v>
      </c>
      <c r="H322" s="79" t="str">
        <f>IFERROR(_xlfn.XLOOKUP(Table6[[#This Row],[Affected Feeder ]],'Basic Data'!$A:$A,'Basic Data'!$B:$B),"")</f>
        <v>PWEPL</v>
      </c>
      <c r="I322" s="79" t="str">
        <f>IFERROR(_xlfn.XLOOKUP(Table6[[#This Row],[Affected Feeder ]],'Basic Data'!$A:$A,'Basic Data'!$C:$C),"")</f>
        <v>MSEDCL</v>
      </c>
      <c r="J322" s="295">
        <f>IFERROR(_xlfn.XLOOKUP(Table6[[#This Row],[Affected Feeder ]],'Basic Data'!$A:$A,'Basic Data'!$E:$E),"")</f>
        <v>2.2727272727272728E-2</v>
      </c>
      <c r="K322" s="296" t="s">
        <v>171</v>
      </c>
      <c r="L322" s="297">
        <v>1.3888888888888888E-2</v>
      </c>
      <c r="M322" s="297">
        <v>1.3888888888888888E-2</v>
      </c>
      <c r="N322" s="297">
        <v>2.7777777777777776E-2</v>
      </c>
      <c r="O322" s="19">
        <f>(Table6[[#This Row],[Work Start TimeStamp]]-Table6[[#This Row],[Fault Start TimeStamp]])*24</f>
        <v>0</v>
      </c>
      <c r="P322" s="19">
        <f>(Table6[[#This Row],[Fault Clearance time]]-Table6[[#This Row],[Fault Start TimeStamp]])*24</f>
        <v>0.33333333333333331</v>
      </c>
      <c r="Q322" s="19">
        <f>(Table6[[#This Row],[Fault Clearance time]]-Table6[[#This Row],[Fault Start TimeStamp]])*24</f>
        <v>0.33333333333333331</v>
      </c>
      <c r="R322" s="79" t="s">
        <v>353</v>
      </c>
      <c r="S322" s="79" t="s">
        <v>339</v>
      </c>
      <c r="T322" s="298">
        <f>IFERROR(Table6[[#This Row],[Breakdown Time]]*Table6[[#This Row],[Plant Equivalent Weightage]],"")</f>
        <v>7.575757575757576E-3</v>
      </c>
      <c r="U322" s="79" t="s">
        <v>421</v>
      </c>
      <c r="W322" s="79">
        <v>99.5</v>
      </c>
    </row>
    <row r="323" spans="1:23">
      <c r="A323" s="79">
        <f t="shared" si="4"/>
        <v>322</v>
      </c>
      <c r="B323" s="79">
        <f>YEAR(Table6[[#This Row],[Date]])+IF(MONTH(Table6[[#This Row],[Date]])&gt;=4,1,0)</f>
        <v>2026</v>
      </c>
      <c r="C323" s="79">
        <f>YEAR(Table6[[#This Row],[Date]])</f>
        <v>2025</v>
      </c>
      <c r="D323" s="79" t="s">
        <v>344</v>
      </c>
      <c r="E323" s="284">
        <f>Table6[[#This Row],[Date]]-DAY(Table6[[#This Row],[Date]])+1</f>
        <v>45748</v>
      </c>
      <c r="F323" s="285">
        <v>45769</v>
      </c>
      <c r="G323" s="79" t="s">
        <v>84</v>
      </c>
      <c r="H323" s="79" t="str">
        <f>IFERROR(_xlfn.XLOOKUP(Table6[[#This Row],[Affected Feeder ]],'Basic Data'!$A:$A,'Basic Data'!$B:$B),"")</f>
        <v>PWEPL</v>
      </c>
      <c r="I323" s="79" t="str">
        <f>IFERROR(_xlfn.XLOOKUP(Table6[[#This Row],[Affected Feeder ]],'Basic Data'!$A:$A,'Basic Data'!$C:$C),"")</f>
        <v>MSEDCL</v>
      </c>
      <c r="J323" s="295">
        <f>IFERROR(_xlfn.XLOOKUP(Table6[[#This Row],[Affected Feeder ]],'Basic Data'!$A:$A,'Basic Data'!$E:$E),"")</f>
        <v>2.2727272727272728E-2</v>
      </c>
      <c r="K323" s="296" t="s">
        <v>171</v>
      </c>
      <c r="L323" s="297">
        <v>1.3888888888888888E-2</v>
      </c>
      <c r="M323" s="297">
        <v>1.3888888888888888E-2</v>
      </c>
      <c r="N323" s="297">
        <v>2.7777777777777776E-2</v>
      </c>
      <c r="O323" s="19">
        <f>(Table6[[#This Row],[Work Start TimeStamp]]-Table6[[#This Row],[Fault Start TimeStamp]])*24</f>
        <v>0</v>
      </c>
      <c r="P323" s="19">
        <f>(Table6[[#This Row],[Fault Clearance time]]-Table6[[#This Row],[Fault Start TimeStamp]])*24</f>
        <v>0.33333333333333331</v>
      </c>
      <c r="Q323" s="19">
        <f>(Table6[[#This Row],[Fault Clearance time]]-Table6[[#This Row],[Fault Start TimeStamp]])*24</f>
        <v>0.33333333333333331</v>
      </c>
      <c r="R323" s="79" t="s">
        <v>353</v>
      </c>
      <c r="S323" s="79" t="s">
        <v>339</v>
      </c>
      <c r="T323" s="298">
        <f>IFERROR(Table6[[#This Row],[Breakdown Time]]*Table6[[#This Row],[Plant Equivalent Weightage]],"")</f>
        <v>7.575757575757576E-3</v>
      </c>
      <c r="U323" s="79" t="s">
        <v>421</v>
      </c>
      <c r="W323" s="79">
        <v>99.5</v>
      </c>
    </row>
    <row r="324" spans="1:23">
      <c r="A324" s="79">
        <f t="shared" ref="A324:A387" si="5">A323+1</f>
        <v>323</v>
      </c>
      <c r="B324" s="79">
        <f>YEAR(Table6[[#This Row],[Date]])+IF(MONTH(Table6[[#This Row],[Date]])&gt;=4,1,0)</f>
        <v>2026</v>
      </c>
      <c r="C324" s="79">
        <f>YEAR(Table6[[#This Row],[Date]])</f>
        <v>2025</v>
      </c>
      <c r="D324" s="79" t="s">
        <v>344</v>
      </c>
      <c r="E324" s="284">
        <f>Table6[[#This Row],[Date]]-DAY(Table6[[#This Row],[Date]])+1</f>
        <v>45748</v>
      </c>
      <c r="F324" s="285">
        <v>45769</v>
      </c>
      <c r="G324" s="79" t="s">
        <v>85</v>
      </c>
      <c r="H324" s="79" t="str">
        <f>IFERROR(_xlfn.XLOOKUP(Table6[[#This Row],[Affected Feeder ]],'Basic Data'!$A:$A,'Basic Data'!$B:$B),"")</f>
        <v>PWEPL</v>
      </c>
      <c r="I324" s="79" t="str">
        <f>IFERROR(_xlfn.XLOOKUP(Table6[[#This Row],[Affected Feeder ]],'Basic Data'!$A:$A,'Basic Data'!$C:$C),"")</f>
        <v>MSEDCL</v>
      </c>
      <c r="J324" s="295">
        <f>IFERROR(_xlfn.XLOOKUP(Table6[[#This Row],[Affected Feeder ]],'Basic Data'!$A:$A,'Basic Data'!$E:$E),"")</f>
        <v>2.2727272727272728E-2</v>
      </c>
      <c r="K324" s="296" t="s">
        <v>171</v>
      </c>
      <c r="L324" s="297">
        <v>1.3888888888888888E-2</v>
      </c>
      <c r="M324" s="297">
        <v>1.3888888888888888E-2</v>
      </c>
      <c r="N324" s="297">
        <v>2.7777777777777776E-2</v>
      </c>
      <c r="O324" s="19">
        <f>(Table6[[#This Row],[Work Start TimeStamp]]-Table6[[#This Row],[Fault Start TimeStamp]])*24</f>
        <v>0</v>
      </c>
      <c r="P324" s="19">
        <f>(Table6[[#This Row],[Fault Clearance time]]-Table6[[#This Row],[Fault Start TimeStamp]])*24</f>
        <v>0.33333333333333331</v>
      </c>
      <c r="Q324" s="19">
        <f>(Table6[[#This Row],[Fault Clearance time]]-Table6[[#This Row],[Fault Start TimeStamp]])*24</f>
        <v>0.33333333333333331</v>
      </c>
      <c r="R324" s="79" t="s">
        <v>353</v>
      </c>
      <c r="S324" s="79" t="s">
        <v>339</v>
      </c>
      <c r="T324" s="298">
        <f>IFERROR(Table6[[#This Row],[Breakdown Time]]*Table6[[#This Row],[Plant Equivalent Weightage]],"")</f>
        <v>7.575757575757576E-3</v>
      </c>
      <c r="U324" s="79" t="s">
        <v>421</v>
      </c>
      <c r="W324" s="79">
        <v>99.5</v>
      </c>
    </row>
    <row r="325" spans="1:23">
      <c r="A325" s="79">
        <f t="shared" si="5"/>
        <v>324</v>
      </c>
      <c r="B325" s="79">
        <f>YEAR(Table6[[#This Row],[Date]])+IF(MONTH(Table6[[#This Row],[Date]])&gt;=4,1,0)</f>
        <v>2026</v>
      </c>
      <c r="C325" s="79">
        <f>YEAR(Table6[[#This Row],[Date]])</f>
        <v>2025</v>
      </c>
      <c r="D325" s="79" t="s">
        <v>344</v>
      </c>
      <c r="E325" s="284">
        <f>Table6[[#This Row],[Date]]-DAY(Table6[[#This Row],[Date]])+1</f>
        <v>45748</v>
      </c>
      <c r="F325" s="285">
        <v>45769</v>
      </c>
      <c r="G325" s="79" t="s">
        <v>86</v>
      </c>
      <c r="H325" s="79" t="str">
        <f>IFERROR(_xlfn.XLOOKUP(Table6[[#This Row],[Affected Feeder ]],'Basic Data'!$A:$A,'Basic Data'!$B:$B),"")</f>
        <v>PWEPL</v>
      </c>
      <c r="I325" s="79" t="str">
        <f>IFERROR(_xlfn.XLOOKUP(Table6[[#This Row],[Affected Feeder ]],'Basic Data'!$A:$A,'Basic Data'!$C:$C),"")</f>
        <v>MSEDCL</v>
      </c>
      <c r="J325" s="295">
        <f>IFERROR(_xlfn.XLOOKUP(Table6[[#This Row],[Affected Feeder ]],'Basic Data'!$A:$A,'Basic Data'!$E:$E),"")</f>
        <v>2.2727272727272728E-2</v>
      </c>
      <c r="K325" s="296" t="s">
        <v>171</v>
      </c>
      <c r="L325" s="297">
        <v>1.3888888888888888E-2</v>
      </c>
      <c r="M325" s="297">
        <v>1.3888888888888888E-2</v>
      </c>
      <c r="N325" s="297">
        <v>2.7777777777777776E-2</v>
      </c>
      <c r="O325" s="19">
        <f>(Table6[[#This Row],[Work Start TimeStamp]]-Table6[[#This Row],[Fault Start TimeStamp]])*24</f>
        <v>0</v>
      </c>
      <c r="P325" s="19">
        <f>(Table6[[#This Row],[Fault Clearance time]]-Table6[[#This Row],[Fault Start TimeStamp]])*24</f>
        <v>0.33333333333333331</v>
      </c>
      <c r="Q325" s="19">
        <f>(Table6[[#This Row],[Fault Clearance time]]-Table6[[#This Row],[Fault Start TimeStamp]])*24</f>
        <v>0.33333333333333331</v>
      </c>
      <c r="R325" s="79" t="s">
        <v>353</v>
      </c>
      <c r="S325" s="79" t="s">
        <v>339</v>
      </c>
      <c r="T325" s="298">
        <f>IFERROR(Table6[[#This Row],[Breakdown Time]]*Table6[[#This Row],[Plant Equivalent Weightage]],"")</f>
        <v>7.575757575757576E-3</v>
      </c>
      <c r="U325" s="79" t="s">
        <v>421</v>
      </c>
      <c r="W325" s="79">
        <v>99.5</v>
      </c>
    </row>
    <row r="326" spans="1:23">
      <c r="A326" s="79">
        <f t="shared" si="5"/>
        <v>325</v>
      </c>
      <c r="B326" s="79">
        <f>YEAR(Table6[[#This Row],[Date]])+IF(MONTH(Table6[[#This Row],[Date]])&gt;=4,1,0)</f>
        <v>2026</v>
      </c>
      <c r="C326" s="79">
        <f>YEAR(Table6[[#This Row],[Date]])</f>
        <v>2025</v>
      </c>
      <c r="D326" s="79" t="s">
        <v>344</v>
      </c>
      <c r="E326" s="284">
        <f>Table6[[#This Row],[Date]]-DAY(Table6[[#This Row],[Date]])+1</f>
        <v>45748</v>
      </c>
      <c r="F326" s="285">
        <v>45769</v>
      </c>
      <c r="G326" s="79" t="s">
        <v>87</v>
      </c>
      <c r="H326" s="79" t="str">
        <f>IFERROR(_xlfn.XLOOKUP(Table6[[#This Row],[Affected Feeder ]],'Basic Data'!$A:$A,'Basic Data'!$B:$B),"")</f>
        <v>PWEPL</v>
      </c>
      <c r="I326" s="79" t="str">
        <f>IFERROR(_xlfn.XLOOKUP(Table6[[#This Row],[Affected Feeder ]],'Basic Data'!$A:$A,'Basic Data'!$C:$C),"")</f>
        <v>MSEDCL</v>
      </c>
      <c r="J326" s="295">
        <f>IFERROR(_xlfn.XLOOKUP(Table6[[#This Row],[Affected Feeder ]],'Basic Data'!$A:$A,'Basic Data'!$E:$E),"")</f>
        <v>2.2727272727272728E-2</v>
      </c>
      <c r="K326" s="296" t="s">
        <v>171</v>
      </c>
      <c r="L326" s="297">
        <v>1.3888888888888888E-2</v>
      </c>
      <c r="M326" s="297">
        <v>1.3888888888888888E-2</v>
      </c>
      <c r="N326" s="297">
        <v>2.7777777777777776E-2</v>
      </c>
      <c r="O326" s="19">
        <f>(Table6[[#This Row],[Work Start TimeStamp]]-Table6[[#This Row],[Fault Start TimeStamp]])*24</f>
        <v>0</v>
      </c>
      <c r="P326" s="19">
        <f>(Table6[[#This Row],[Fault Clearance time]]-Table6[[#This Row],[Fault Start TimeStamp]])*24</f>
        <v>0.33333333333333331</v>
      </c>
      <c r="Q326" s="19">
        <f>(Table6[[#This Row],[Fault Clearance time]]-Table6[[#This Row],[Fault Start TimeStamp]])*24</f>
        <v>0.33333333333333331</v>
      </c>
      <c r="R326" s="79" t="s">
        <v>353</v>
      </c>
      <c r="S326" s="79" t="s">
        <v>339</v>
      </c>
      <c r="T326" s="298">
        <f>IFERROR(Table6[[#This Row],[Breakdown Time]]*Table6[[#This Row],[Plant Equivalent Weightage]],"")</f>
        <v>7.575757575757576E-3</v>
      </c>
      <c r="U326" s="79" t="s">
        <v>421</v>
      </c>
      <c r="W326" s="79">
        <v>99.5</v>
      </c>
    </row>
    <row r="327" spans="1:23">
      <c r="A327" s="79">
        <f t="shared" si="5"/>
        <v>326</v>
      </c>
      <c r="B327" s="79">
        <f>YEAR(Table6[[#This Row],[Date]])+IF(MONTH(Table6[[#This Row],[Date]])&gt;=4,1,0)</f>
        <v>2026</v>
      </c>
      <c r="C327" s="79">
        <f>YEAR(Table6[[#This Row],[Date]])</f>
        <v>2025</v>
      </c>
      <c r="D327" s="79" t="s">
        <v>344</v>
      </c>
      <c r="E327" s="284">
        <f>Table6[[#This Row],[Date]]-DAY(Table6[[#This Row],[Date]])+1</f>
        <v>45748</v>
      </c>
      <c r="F327" s="285">
        <v>45769</v>
      </c>
      <c r="G327" s="79" t="s">
        <v>88</v>
      </c>
      <c r="H327" s="79" t="str">
        <f>IFERROR(_xlfn.XLOOKUP(Table6[[#This Row],[Affected Feeder ]],'Basic Data'!$A:$A,'Basic Data'!$B:$B),"")</f>
        <v>PWEPL</v>
      </c>
      <c r="I327" s="79" t="str">
        <f>IFERROR(_xlfn.XLOOKUP(Table6[[#This Row],[Affected Feeder ]],'Basic Data'!$A:$A,'Basic Data'!$C:$C),"")</f>
        <v>MSEDCL</v>
      </c>
      <c r="J327" s="295">
        <f>IFERROR(_xlfn.XLOOKUP(Table6[[#This Row],[Affected Feeder ]],'Basic Data'!$A:$A,'Basic Data'!$E:$E),"")</f>
        <v>2.2727272727272728E-2</v>
      </c>
      <c r="K327" s="296" t="s">
        <v>171</v>
      </c>
      <c r="L327" s="297">
        <v>1.3888888888888888E-2</v>
      </c>
      <c r="M327" s="297">
        <v>1.3888888888888888E-2</v>
      </c>
      <c r="N327" s="297">
        <v>2.7777777777777776E-2</v>
      </c>
      <c r="O327" s="19">
        <f>(Table6[[#This Row],[Work Start TimeStamp]]-Table6[[#This Row],[Fault Start TimeStamp]])*24</f>
        <v>0</v>
      </c>
      <c r="P327" s="19">
        <f>(Table6[[#This Row],[Fault Clearance time]]-Table6[[#This Row],[Fault Start TimeStamp]])*24</f>
        <v>0.33333333333333331</v>
      </c>
      <c r="Q327" s="19">
        <f>(Table6[[#This Row],[Fault Clearance time]]-Table6[[#This Row],[Fault Start TimeStamp]])*24</f>
        <v>0.33333333333333331</v>
      </c>
      <c r="R327" s="79" t="s">
        <v>353</v>
      </c>
      <c r="S327" s="79" t="s">
        <v>339</v>
      </c>
      <c r="T327" s="298">
        <f>IFERROR(Table6[[#This Row],[Breakdown Time]]*Table6[[#This Row],[Plant Equivalent Weightage]],"")</f>
        <v>7.575757575757576E-3</v>
      </c>
      <c r="U327" s="79" t="s">
        <v>421</v>
      </c>
      <c r="W327" s="79">
        <v>99.5</v>
      </c>
    </row>
    <row r="328" spans="1:23">
      <c r="A328" s="79">
        <f t="shared" si="5"/>
        <v>327</v>
      </c>
      <c r="B328" s="79">
        <f>YEAR(Table6[[#This Row],[Date]])+IF(MONTH(Table6[[#This Row],[Date]])&gt;=4,1,0)</f>
        <v>2026</v>
      </c>
      <c r="C328" s="79">
        <f>YEAR(Table6[[#This Row],[Date]])</f>
        <v>2025</v>
      </c>
      <c r="D328" s="79" t="s">
        <v>344</v>
      </c>
      <c r="E328" s="284">
        <f>Table6[[#This Row],[Date]]-DAY(Table6[[#This Row],[Date]])+1</f>
        <v>45748</v>
      </c>
      <c r="F328" s="285">
        <v>45769</v>
      </c>
      <c r="G328" s="79" t="s">
        <v>98</v>
      </c>
      <c r="H328" s="79" t="str">
        <f>IFERROR(_xlfn.XLOOKUP(Table6[[#This Row],[Affected Feeder ]],'Basic Data'!$A:$A,'Basic Data'!$B:$B),"")</f>
        <v>PWEPL</v>
      </c>
      <c r="I328" s="79" t="str">
        <f>IFERROR(_xlfn.XLOOKUP(Table6[[#This Row],[Affected Feeder ]],'Basic Data'!$A:$A,'Basic Data'!$C:$C),"")</f>
        <v>MSEDCL</v>
      </c>
      <c r="J328" s="295">
        <f>IFERROR(_xlfn.XLOOKUP(Table6[[#This Row],[Affected Feeder ]],'Basic Data'!$A:$A,'Basic Data'!$E:$E),"")</f>
        <v>2.2727272727272728E-2</v>
      </c>
      <c r="K328" s="296" t="s">
        <v>171</v>
      </c>
      <c r="L328" s="297">
        <v>1.3888888888888888E-2</v>
      </c>
      <c r="M328" s="297">
        <v>1.3888888888888888E-2</v>
      </c>
      <c r="N328" s="297">
        <v>2.7777777777777776E-2</v>
      </c>
      <c r="O328" s="19">
        <f>(Table6[[#This Row],[Work Start TimeStamp]]-Table6[[#This Row],[Fault Start TimeStamp]])*24</f>
        <v>0</v>
      </c>
      <c r="P328" s="19">
        <f>(Table6[[#This Row],[Fault Clearance time]]-Table6[[#This Row],[Fault Start TimeStamp]])*24</f>
        <v>0.33333333333333331</v>
      </c>
      <c r="Q328" s="19">
        <f>(Table6[[#This Row],[Fault Clearance time]]-Table6[[#This Row],[Fault Start TimeStamp]])*24</f>
        <v>0.33333333333333331</v>
      </c>
      <c r="R328" s="79" t="s">
        <v>353</v>
      </c>
      <c r="S328" s="79" t="s">
        <v>339</v>
      </c>
      <c r="T328" s="298">
        <f>IFERROR(Table6[[#This Row],[Breakdown Time]]*Table6[[#This Row],[Plant Equivalent Weightage]],"")</f>
        <v>7.575757575757576E-3</v>
      </c>
      <c r="U328" s="79" t="s">
        <v>421</v>
      </c>
      <c r="W328" s="79">
        <v>99.5</v>
      </c>
    </row>
    <row r="329" spans="1:23">
      <c r="A329" s="79">
        <f t="shared" si="5"/>
        <v>328</v>
      </c>
      <c r="B329" s="79">
        <f>YEAR(Table6[[#This Row],[Date]])+IF(MONTH(Table6[[#This Row],[Date]])&gt;=4,1,0)</f>
        <v>2026</v>
      </c>
      <c r="C329" s="79">
        <f>YEAR(Table6[[#This Row],[Date]])</f>
        <v>2025</v>
      </c>
      <c r="D329" s="79" t="s">
        <v>344</v>
      </c>
      <c r="E329" s="284">
        <f>Table6[[#This Row],[Date]]-DAY(Table6[[#This Row],[Date]])+1</f>
        <v>45748</v>
      </c>
      <c r="F329" s="285">
        <v>45769</v>
      </c>
      <c r="G329" s="79" t="s">
        <v>99</v>
      </c>
      <c r="H329" s="79" t="str">
        <f>IFERROR(_xlfn.XLOOKUP(Table6[[#This Row],[Affected Feeder ]],'Basic Data'!$A:$A,'Basic Data'!$B:$B),"")</f>
        <v>PWEPL</v>
      </c>
      <c r="I329" s="79" t="str">
        <f>IFERROR(_xlfn.XLOOKUP(Table6[[#This Row],[Affected Feeder ]],'Basic Data'!$A:$A,'Basic Data'!$C:$C),"")</f>
        <v>MSEDCL</v>
      </c>
      <c r="J329" s="295">
        <f>IFERROR(_xlfn.XLOOKUP(Table6[[#This Row],[Affected Feeder ]],'Basic Data'!$A:$A,'Basic Data'!$E:$E),"")</f>
        <v>2.2727272727272728E-2</v>
      </c>
      <c r="K329" s="296" t="s">
        <v>171</v>
      </c>
      <c r="L329" s="297">
        <v>1.3888888888888888E-2</v>
      </c>
      <c r="M329" s="297">
        <v>1.3888888888888888E-2</v>
      </c>
      <c r="N329" s="297">
        <v>2.7777777777777776E-2</v>
      </c>
      <c r="O329" s="19">
        <f>(Table6[[#This Row],[Work Start TimeStamp]]-Table6[[#This Row],[Fault Start TimeStamp]])*24</f>
        <v>0</v>
      </c>
      <c r="P329" s="19">
        <f>(Table6[[#This Row],[Fault Clearance time]]-Table6[[#This Row],[Fault Start TimeStamp]])*24</f>
        <v>0.33333333333333331</v>
      </c>
      <c r="Q329" s="19">
        <f>(Table6[[#This Row],[Fault Clearance time]]-Table6[[#This Row],[Fault Start TimeStamp]])*24</f>
        <v>0.33333333333333331</v>
      </c>
      <c r="R329" s="79" t="s">
        <v>353</v>
      </c>
      <c r="S329" s="79" t="s">
        <v>339</v>
      </c>
      <c r="T329" s="298">
        <f>IFERROR(Table6[[#This Row],[Breakdown Time]]*Table6[[#This Row],[Plant Equivalent Weightage]],"")</f>
        <v>7.575757575757576E-3</v>
      </c>
      <c r="U329" s="79" t="s">
        <v>421</v>
      </c>
      <c r="W329" s="79">
        <v>99.5</v>
      </c>
    </row>
    <row r="330" spans="1:23">
      <c r="A330" s="79">
        <f t="shared" si="5"/>
        <v>329</v>
      </c>
      <c r="B330" s="79">
        <f>YEAR(Table6[[#This Row],[Date]])+IF(MONTH(Table6[[#This Row],[Date]])&gt;=4,1,0)</f>
        <v>2026</v>
      </c>
      <c r="C330" s="79">
        <f>YEAR(Table6[[#This Row],[Date]])</f>
        <v>2025</v>
      </c>
      <c r="D330" s="79" t="s">
        <v>344</v>
      </c>
      <c r="E330" s="284">
        <f>Table6[[#This Row],[Date]]-DAY(Table6[[#This Row],[Date]])+1</f>
        <v>45748</v>
      </c>
      <c r="F330" s="285">
        <v>45769</v>
      </c>
      <c r="G330" s="79" t="s">
        <v>100</v>
      </c>
      <c r="H330" s="79" t="str">
        <f>IFERROR(_xlfn.XLOOKUP(Table6[[#This Row],[Affected Feeder ]],'Basic Data'!$A:$A,'Basic Data'!$B:$B),"")</f>
        <v>PWEPL</v>
      </c>
      <c r="I330" s="79" t="str">
        <f>IFERROR(_xlfn.XLOOKUP(Table6[[#This Row],[Affected Feeder ]],'Basic Data'!$A:$A,'Basic Data'!$C:$C),"")</f>
        <v>MSEDCL</v>
      </c>
      <c r="J330" s="295">
        <f>IFERROR(_xlfn.XLOOKUP(Table6[[#This Row],[Affected Feeder ]],'Basic Data'!$A:$A,'Basic Data'!$E:$E),"")</f>
        <v>2.2727272727272728E-2</v>
      </c>
      <c r="K330" s="296" t="s">
        <v>171</v>
      </c>
      <c r="L330" s="297">
        <v>1.3888888888888888E-2</v>
      </c>
      <c r="M330" s="297">
        <v>1.3888888888888888E-2</v>
      </c>
      <c r="N330" s="297">
        <v>2.7777777777777776E-2</v>
      </c>
      <c r="O330" s="19">
        <f>(Table6[[#This Row],[Work Start TimeStamp]]-Table6[[#This Row],[Fault Start TimeStamp]])*24</f>
        <v>0</v>
      </c>
      <c r="P330" s="19">
        <f>(Table6[[#This Row],[Fault Clearance time]]-Table6[[#This Row],[Fault Start TimeStamp]])*24</f>
        <v>0.33333333333333331</v>
      </c>
      <c r="Q330" s="19">
        <f>(Table6[[#This Row],[Fault Clearance time]]-Table6[[#This Row],[Fault Start TimeStamp]])*24</f>
        <v>0.33333333333333331</v>
      </c>
      <c r="R330" s="79" t="s">
        <v>353</v>
      </c>
      <c r="S330" s="79" t="s">
        <v>339</v>
      </c>
      <c r="T330" s="298">
        <f>IFERROR(Table6[[#This Row],[Breakdown Time]]*Table6[[#This Row],[Plant Equivalent Weightage]],"")</f>
        <v>7.575757575757576E-3</v>
      </c>
      <c r="U330" s="79" t="s">
        <v>421</v>
      </c>
      <c r="W330" s="79">
        <v>99.5</v>
      </c>
    </row>
    <row r="331" spans="1:23">
      <c r="A331" s="79">
        <f t="shared" si="5"/>
        <v>330</v>
      </c>
      <c r="B331" s="79">
        <f>YEAR(Table6[[#This Row],[Date]])+IF(MONTH(Table6[[#This Row],[Date]])&gt;=4,1,0)</f>
        <v>2026</v>
      </c>
      <c r="C331" s="79">
        <f>YEAR(Table6[[#This Row],[Date]])</f>
        <v>2025</v>
      </c>
      <c r="D331" s="79" t="s">
        <v>344</v>
      </c>
      <c r="E331" s="284">
        <f>Table6[[#This Row],[Date]]-DAY(Table6[[#This Row],[Date]])+1</f>
        <v>45748</v>
      </c>
      <c r="F331" s="285">
        <v>45769</v>
      </c>
      <c r="G331" s="79" t="s">
        <v>101</v>
      </c>
      <c r="H331" s="79" t="str">
        <f>IFERROR(_xlfn.XLOOKUP(Table6[[#This Row],[Affected Feeder ]],'Basic Data'!$A:$A,'Basic Data'!$B:$B),"")</f>
        <v>PWEPL</v>
      </c>
      <c r="I331" s="79" t="str">
        <f>IFERROR(_xlfn.XLOOKUP(Table6[[#This Row],[Affected Feeder ]],'Basic Data'!$A:$A,'Basic Data'!$C:$C),"")</f>
        <v>MSEDCL</v>
      </c>
      <c r="J331" s="295">
        <f>IFERROR(_xlfn.XLOOKUP(Table6[[#This Row],[Affected Feeder ]],'Basic Data'!$A:$A,'Basic Data'!$E:$E),"")</f>
        <v>2.2727272727272728E-2</v>
      </c>
      <c r="K331" s="296" t="s">
        <v>171</v>
      </c>
      <c r="L331" s="297">
        <v>1.3888888888888888E-2</v>
      </c>
      <c r="M331" s="297">
        <v>1.3888888888888888E-2</v>
      </c>
      <c r="N331" s="297">
        <v>2.7777777777777776E-2</v>
      </c>
      <c r="O331" s="19">
        <f>(Table6[[#This Row],[Work Start TimeStamp]]-Table6[[#This Row],[Fault Start TimeStamp]])*24</f>
        <v>0</v>
      </c>
      <c r="P331" s="19">
        <f>(Table6[[#This Row],[Fault Clearance time]]-Table6[[#This Row],[Fault Start TimeStamp]])*24</f>
        <v>0.33333333333333331</v>
      </c>
      <c r="Q331" s="19">
        <f>(Table6[[#This Row],[Fault Clearance time]]-Table6[[#This Row],[Fault Start TimeStamp]])*24</f>
        <v>0.33333333333333331</v>
      </c>
      <c r="R331" s="79" t="s">
        <v>353</v>
      </c>
      <c r="S331" s="79" t="s">
        <v>339</v>
      </c>
      <c r="T331" s="298">
        <f>IFERROR(Table6[[#This Row],[Breakdown Time]]*Table6[[#This Row],[Plant Equivalent Weightage]],"")</f>
        <v>7.575757575757576E-3</v>
      </c>
      <c r="U331" s="79" t="s">
        <v>421</v>
      </c>
      <c r="W331" s="79">
        <v>99.5</v>
      </c>
    </row>
    <row r="332" spans="1:23">
      <c r="A332" s="79">
        <f t="shared" si="5"/>
        <v>331</v>
      </c>
      <c r="B332" s="79">
        <f>YEAR(Table6[[#This Row],[Date]])+IF(MONTH(Table6[[#This Row],[Date]])&gt;=4,1,0)</f>
        <v>2026</v>
      </c>
      <c r="C332" s="79">
        <f>YEAR(Table6[[#This Row],[Date]])</f>
        <v>2025</v>
      </c>
      <c r="D332" s="79" t="s">
        <v>344</v>
      </c>
      <c r="E332" s="284">
        <f>Table6[[#This Row],[Date]]-DAY(Table6[[#This Row],[Date]])+1</f>
        <v>45748</v>
      </c>
      <c r="F332" s="285">
        <v>45770</v>
      </c>
      <c r="G332" s="79" t="s">
        <v>83</v>
      </c>
      <c r="H332" s="79" t="str">
        <f>IFERROR(_xlfn.XLOOKUP(Table6[[#This Row],[Affected Feeder ]],'Basic Data'!$A:$A,'Basic Data'!$B:$B),"")</f>
        <v>PWEPL</v>
      </c>
      <c r="I332" s="79" t="str">
        <f>IFERROR(_xlfn.XLOOKUP(Table6[[#This Row],[Affected Feeder ]],'Basic Data'!$A:$A,'Basic Data'!$C:$C),"")</f>
        <v>MSEDCL</v>
      </c>
      <c r="J332" s="295">
        <f>IFERROR(_xlfn.XLOOKUP(Table6[[#This Row],[Affected Feeder ]],'Basic Data'!$A:$A,'Basic Data'!$E:$E),"")</f>
        <v>2.2727272727272728E-2</v>
      </c>
      <c r="K332" s="296" t="s">
        <v>414</v>
      </c>
      <c r="L332" s="297">
        <v>0.42777777777777781</v>
      </c>
      <c r="M332" s="297">
        <v>0.42777777777777781</v>
      </c>
      <c r="N332" s="297">
        <v>0.82986111111111116</v>
      </c>
      <c r="O332" s="19">
        <f>(Table6[[#This Row],[Work Start TimeStamp]]-Table6[[#This Row],[Fault Start TimeStamp]])*24</f>
        <v>0</v>
      </c>
      <c r="P332" s="19">
        <f>(Table6[[#This Row],[Fault Clearance time]]-Table6[[#This Row],[Fault Start TimeStamp]])*24</f>
        <v>9.65</v>
      </c>
      <c r="Q332" s="19">
        <f>(Table6[[#This Row],[Fault Clearance time]]-Table6[[#This Row],[Fault Start TimeStamp]])*24</f>
        <v>9.65</v>
      </c>
      <c r="R332" s="79" t="s">
        <v>457</v>
      </c>
      <c r="S332" s="79" t="s">
        <v>339</v>
      </c>
      <c r="T332" s="298">
        <f>IFERROR(Table6[[#This Row],[Breakdown Time]]*Table6[[#This Row],[Plant Equivalent Weightage]],"")</f>
        <v>0.21931818181818183</v>
      </c>
      <c r="U332" s="79" t="s">
        <v>416</v>
      </c>
      <c r="W332" s="79">
        <v>1694</v>
      </c>
    </row>
    <row r="333" spans="1:23">
      <c r="A333" s="79">
        <f t="shared" si="5"/>
        <v>332</v>
      </c>
      <c r="B333" s="79">
        <f>YEAR(Table6[[#This Row],[Date]])+IF(MONTH(Table6[[#This Row],[Date]])&gt;=4,1,0)</f>
        <v>2026</v>
      </c>
      <c r="C333" s="79">
        <f>YEAR(Table6[[#This Row],[Date]])</f>
        <v>2025</v>
      </c>
      <c r="D333" s="79" t="s">
        <v>344</v>
      </c>
      <c r="E333" s="284">
        <f>Table6[[#This Row],[Date]]-DAY(Table6[[#This Row],[Date]])+1</f>
        <v>45748</v>
      </c>
      <c r="F333" s="285">
        <v>45770</v>
      </c>
      <c r="G333" s="79" t="s">
        <v>83</v>
      </c>
      <c r="H333" s="79" t="str">
        <f>IFERROR(_xlfn.XLOOKUP(Table6[[#This Row],[Affected Feeder ]],'Basic Data'!$A:$A,'Basic Data'!$B:$B),"")</f>
        <v>PWEPL</v>
      </c>
      <c r="I333" s="79" t="str">
        <f>IFERROR(_xlfn.XLOOKUP(Table6[[#This Row],[Affected Feeder ]],'Basic Data'!$A:$A,'Basic Data'!$C:$C),"")</f>
        <v>MSEDCL</v>
      </c>
      <c r="J333" s="295">
        <f>IFERROR(_xlfn.XLOOKUP(Table6[[#This Row],[Affected Feeder ]],'Basic Data'!$A:$A,'Basic Data'!$E:$E),"")</f>
        <v>2.2727272727272728E-2</v>
      </c>
      <c r="K333" s="296" t="s">
        <v>171</v>
      </c>
      <c r="L333" s="297">
        <v>0.82986111111111116</v>
      </c>
      <c r="M333" s="297">
        <v>0.82986111111111116</v>
      </c>
      <c r="N333" s="297">
        <v>0.84375</v>
      </c>
      <c r="O333" s="19">
        <f>(Table6[[#This Row],[Work Start TimeStamp]]-Table6[[#This Row],[Fault Start TimeStamp]])*24</f>
        <v>0</v>
      </c>
      <c r="P333" s="19">
        <f>(Table6[[#This Row],[Fault Clearance time]]-Table6[[#This Row],[Fault Start TimeStamp]])*24</f>
        <v>0.33333333333333215</v>
      </c>
      <c r="Q333" s="19">
        <f>(Table6[[#This Row],[Fault Clearance time]]-Table6[[#This Row],[Fault Start TimeStamp]])*24</f>
        <v>0.33333333333333215</v>
      </c>
      <c r="R333" s="79" t="s">
        <v>353</v>
      </c>
      <c r="S333" s="79" t="s">
        <v>339</v>
      </c>
      <c r="T333" s="298">
        <f>IFERROR(Table6[[#This Row],[Breakdown Time]]*Table6[[#This Row],[Plant Equivalent Weightage]],"")</f>
        <v>7.5757575757575491E-3</v>
      </c>
      <c r="U333" s="79" t="s">
        <v>416</v>
      </c>
      <c r="W333" s="79">
        <v>60</v>
      </c>
    </row>
    <row r="334" spans="1:23">
      <c r="A334" s="79">
        <f t="shared" si="5"/>
        <v>333</v>
      </c>
      <c r="B334" s="79">
        <f>YEAR(Table6[[#This Row],[Date]])+IF(MONTH(Table6[[#This Row],[Date]])&gt;=4,1,0)</f>
        <v>2026</v>
      </c>
      <c r="C334" s="79">
        <f>YEAR(Table6[[#This Row],[Date]])</f>
        <v>2025</v>
      </c>
      <c r="D334" s="79" t="s">
        <v>344</v>
      </c>
      <c r="E334" s="284">
        <f>Table6[[#This Row],[Date]]-DAY(Table6[[#This Row],[Date]])+1</f>
        <v>45748</v>
      </c>
      <c r="F334" s="285">
        <v>45770</v>
      </c>
      <c r="G334" s="79" t="s">
        <v>98</v>
      </c>
      <c r="H334" s="79" t="str">
        <f>IFERROR(_xlfn.XLOOKUP(Table6[[#This Row],[Affected Feeder ]],'Basic Data'!$A:$A,'Basic Data'!$B:$B),"")</f>
        <v>PWEPL</v>
      </c>
      <c r="I334" s="79" t="str">
        <f>IFERROR(_xlfn.XLOOKUP(Table6[[#This Row],[Affected Feeder ]],'Basic Data'!$A:$A,'Basic Data'!$C:$C),"")</f>
        <v>MSEDCL</v>
      </c>
      <c r="J334" s="295">
        <f>IFERROR(_xlfn.XLOOKUP(Table6[[#This Row],[Affected Feeder ]],'Basic Data'!$A:$A,'Basic Data'!$E:$E),"")</f>
        <v>2.2727272727272728E-2</v>
      </c>
      <c r="K334" s="296" t="s">
        <v>414</v>
      </c>
      <c r="L334" s="297">
        <v>0.42777777777777781</v>
      </c>
      <c r="M334" s="297">
        <v>0.42777777777777781</v>
      </c>
      <c r="N334" s="297">
        <v>0.82986111111111116</v>
      </c>
      <c r="O334" s="19">
        <f>(Table6[[#This Row],[Work Start TimeStamp]]-Table6[[#This Row],[Fault Start TimeStamp]])*24</f>
        <v>0</v>
      </c>
      <c r="P334" s="19">
        <f>(Table6[[#This Row],[Fault Clearance time]]-Table6[[#This Row],[Fault Start TimeStamp]])*24</f>
        <v>9.65</v>
      </c>
      <c r="Q334" s="19">
        <f>(Table6[[#This Row],[Fault Clearance time]]-Table6[[#This Row],[Fault Start TimeStamp]])*24</f>
        <v>9.65</v>
      </c>
      <c r="R334" s="79" t="s">
        <v>457</v>
      </c>
      <c r="S334" s="79" t="s">
        <v>339</v>
      </c>
      <c r="T334" s="298">
        <f>IFERROR(Table6[[#This Row],[Breakdown Time]]*Table6[[#This Row],[Plant Equivalent Weightage]],"")</f>
        <v>0.21931818181818183</v>
      </c>
      <c r="U334" s="79" t="s">
        <v>416</v>
      </c>
      <c r="W334" s="79">
        <v>1694</v>
      </c>
    </row>
    <row r="335" spans="1:23">
      <c r="A335" s="79">
        <f t="shared" si="5"/>
        <v>334</v>
      </c>
      <c r="B335" s="79">
        <f>YEAR(Table6[[#This Row],[Date]])+IF(MONTH(Table6[[#This Row],[Date]])&gt;=4,1,0)</f>
        <v>2026</v>
      </c>
      <c r="C335" s="79">
        <f>YEAR(Table6[[#This Row],[Date]])</f>
        <v>2025</v>
      </c>
      <c r="D335" s="79" t="s">
        <v>344</v>
      </c>
      <c r="E335" s="284">
        <f>Table6[[#This Row],[Date]]-DAY(Table6[[#This Row],[Date]])+1</f>
        <v>45748</v>
      </c>
      <c r="F335" s="285">
        <v>45770</v>
      </c>
      <c r="G335" s="79" t="s">
        <v>98</v>
      </c>
      <c r="H335" s="79" t="str">
        <f>IFERROR(_xlfn.XLOOKUP(Table6[[#This Row],[Affected Feeder ]],'Basic Data'!$A:$A,'Basic Data'!$B:$B),"")</f>
        <v>PWEPL</v>
      </c>
      <c r="I335" s="79" t="str">
        <f>IFERROR(_xlfn.XLOOKUP(Table6[[#This Row],[Affected Feeder ]],'Basic Data'!$A:$A,'Basic Data'!$C:$C),"")</f>
        <v>MSEDCL</v>
      </c>
      <c r="J335" s="295">
        <f>IFERROR(_xlfn.XLOOKUP(Table6[[#This Row],[Affected Feeder ]],'Basic Data'!$A:$A,'Basic Data'!$E:$E),"")</f>
        <v>2.2727272727272728E-2</v>
      </c>
      <c r="K335" s="296" t="s">
        <v>171</v>
      </c>
      <c r="L335" s="297">
        <v>0.82986111111111116</v>
      </c>
      <c r="M335" s="297">
        <v>0.82986111111111116</v>
      </c>
      <c r="N335" s="297">
        <v>0.84097222222222223</v>
      </c>
      <c r="O335" s="19">
        <f>(Table6[[#This Row],[Work Start TimeStamp]]-Table6[[#This Row],[Fault Start TimeStamp]])*24</f>
        <v>0</v>
      </c>
      <c r="P335" s="19">
        <f>(Table6[[#This Row],[Fault Clearance time]]-Table6[[#This Row],[Fault Start TimeStamp]])*24</f>
        <v>0.26666666666666572</v>
      </c>
      <c r="Q335" s="19">
        <f>(Table6[[#This Row],[Fault Clearance time]]-Table6[[#This Row],[Fault Start TimeStamp]])*24</f>
        <v>0.26666666666666572</v>
      </c>
      <c r="R335" s="79" t="s">
        <v>353</v>
      </c>
      <c r="S335" s="79" t="s">
        <v>339</v>
      </c>
      <c r="T335" s="298">
        <f>IFERROR(Table6[[#This Row],[Breakdown Time]]*Table6[[#This Row],[Plant Equivalent Weightage]],"")</f>
        <v>6.0606060606060389E-3</v>
      </c>
      <c r="U335" s="79" t="s">
        <v>416</v>
      </c>
      <c r="W335" s="79">
        <v>48</v>
      </c>
    </row>
    <row r="336" spans="1:23">
      <c r="A336" s="79">
        <f t="shared" si="5"/>
        <v>335</v>
      </c>
      <c r="B336" s="79">
        <f>YEAR(Table6[[#This Row],[Date]])+IF(MONTH(Table6[[#This Row],[Date]])&gt;=4,1,0)</f>
        <v>2026</v>
      </c>
      <c r="C336" s="79">
        <f>YEAR(Table6[[#This Row],[Date]])</f>
        <v>2025</v>
      </c>
      <c r="D336" s="79" t="s">
        <v>344</v>
      </c>
      <c r="E336" s="284">
        <f>Table6[[#This Row],[Date]]-DAY(Table6[[#This Row],[Date]])+1</f>
        <v>45748</v>
      </c>
      <c r="F336" s="285">
        <v>45770</v>
      </c>
      <c r="G336" s="79" t="s">
        <v>99</v>
      </c>
      <c r="H336" s="79" t="str">
        <f>IFERROR(_xlfn.XLOOKUP(Table6[[#This Row],[Affected Feeder ]],'Basic Data'!$A:$A,'Basic Data'!$B:$B),"")</f>
        <v>PWEPL</v>
      </c>
      <c r="I336" s="79" t="str">
        <f>IFERROR(_xlfn.XLOOKUP(Table6[[#This Row],[Affected Feeder ]],'Basic Data'!$A:$A,'Basic Data'!$C:$C),"")</f>
        <v>MSEDCL</v>
      </c>
      <c r="J336" s="295">
        <f>IFERROR(_xlfn.XLOOKUP(Table6[[#This Row],[Affected Feeder ]],'Basic Data'!$A:$A,'Basic Data'!$E:$E),"")</f>
        <v>2.2727272727272728E-2</v>
      </c>
      <c r="K336" s="296" t="s">
        <v>414</v>
      </c>
      <c r="L336" s="297">
        <v>0.42777777777777781</v>
      </c>
      <c r="M336" s="297">
        <v>0.42777777777777781</v>
      </c>
      <c r="N336" s="297">
        <v>0.82986111111111116</v>
      </c>
      <c r="O336" s="19">
        <f>(Table6[[#This Row],[Work Start TimeStamp]]-Table6[[#This Row],[Fault Start TimeStamp]])*24</f>
        <v>0</v>
      </c>
      <c r="P336" s="19">
        <f>(Table6[[#This Row],[Fault Clearance time]]-Table6[[#This Row],[Fault Start TimeStamp]])*24</f>
        <v>9.65</v>
      </c>
      <c r="Q336" s="19">
        <f>(Table6[[#This Row],[Fault Clearance time]]-Table6[[#This Row],[Fault Start TimeStamp]])*24</f>
        <v>9.65</v>
      </c>
      <c r="R336" s="79" t="s">
        <v>457</v>
      </c>
      <c r="S336" s="79" t="s">
        <v>339</v>
      </c>
      <c r="T336" s="298">
        <f>IFERROR(Table6[[#This Row],[Breakdown Time]]*Table6[[#This Row],[Plant Equivalent Weightage]],"")</f>
        <v>0.21931818181818183</v>
      </c>
      <c r="U336" s="79" t="s">
        <v>416</v>
      </c>
      <c r="W336" s="79">
        <v>1694</v>
      </c>
    </row>
    <row r="337" spans="1:23">
      <c r="A337" s="79">
        <f t="shared" si="5"/>
        <v>336</v>
      </c>
      <c r="B337" s="79">
        <f>YEAR(Table6[[#This Row],[Date]])+IF(MONTH(Table6[[#This Row],[Date]])&gt;=4,1,0)</f>
        <v>2026</v>
      </c>
      <c r="C337" s="79">
        <f>YEAR(Table6[[#This Row],[Date]])</f>
        <v>2025</v>
      </c>
      <c r="D337" s="79" t="s">
        <v>344</v>
      </c>
      <c r="E337" s="284">
        <f>Table6[[#This Row],[Date]]-DAY(Table6[[#This Row],[Date]])+1</f>
        <v>45748</v>
      </c>
      <c r="F337" s="285">
        <v>45770</v>
      </c>
      <c r="G337" s="79" t="s">
        <v>99</v>
      </c>
      <c r="H337" s="79" t="str">
        <f>IFERROR(_xlfn.XLOOKUP(Table6[[#This Row],[Affected Feeder ]],'Basic Data'!$A:$A,'Basic Data'!$B:$B),"")</f>
        <v>PWEPL</v>
      </c>
      <c r="I337" s="79" t="str">
        <f>IFERROR(_xlfn.XLOOKUP(Table6[[#This Row],[Affected Feeder ]],'Basic Data'!$A:$A,'Basic Data'!$C:$C),"")</f>
        <v>MSEDCL</v>
      </c>
      <c r="J337" s="295">
        <f>IFERROR(_xlfn.XLOOKUP(Table6[[#This Row],[Affected Feeder ]],'Basic Data'!$A:$A,'Basic Data'!$E:$E),"")</f>
        <v>2.2727272727272728E-2</v>
      </c>
      <c r="K337" s="296" t="s">
        <v>171</v>
      </c>
      <c r="L337" s="297">
        <v>0.82986111111111116</v>
      </c>
      <c r="M337" s="297">
        <v>0.82986111111111116</v>
      </c>
      <c r="N337" s="297">
        <v>0.84375</v>
      </c>
      <c r="O337" s="19">
        <f>(Table6[[#This Row],[Work Start TimeStamp]]-Table6[[#This Row],[Fault Start TimeStamp]])*24</f>
        <v>0</v>
      </c>
      <c r="P337" s="19">
        <f>(Table6[[#This Row],[Fault Clearance time]]-Table6[[#This Row],[Fault Start TimeStamp]])*24</f>
        <v>0.33333333333333215</v>
      </c>
      <c r="Q337" s="19">
        <f>(Table6[[#This Row],[Fault Clearance time]]-Table6[[#This Row],[Fault Start TimeStamp]])*24</f>
        <v>0.33333333333333215</v>
      </c>
      <c r="R337" s="79" t="s">
        <v>353</v>
      </c>
      <c r="S337" s="79" t="s">
        <v>339</v>
      </c>
      <c r="T337" s="298">
        <f>IFERROR(Table6[[#This Row],[Breakdown Time]]*Table6[[#This Row],[Plant Equivalent Weightage]],"")</f>
        <v>7.5757575757575491E-3</v>
      </c>
      <c r="U337" s="79" t="s">
        <v>416</v>
      </c>
      <c r="W337" s="79">
        <v>60</v>
      </c>
    </row>
    <row r="338" spans="1:23">
      <c r="A338" s="79">
        <f t="shared" si="5"/>
        <v>337</v>
      </c>
      <c r="B338" s="79">
        <f>YEAR(Table6[[#This Row],[Date]])+IF(MONTH(Table6[[#This Row],[Date]])&gt;=4,1,0)</f>
        <v>2026</v>
      </c>
      <c r="C338" s="79">
        <f>YEAR(Table6[[#This Row],[Date]])</f>
        <v>2025</v>
      </c>
      <c r="D338" s="79" t="s">
        <v>344</v>
      </c>
      <c r="E338" s="284">
        <f>Table6[[#This Row],[Date]]-DAY(Table6[[#This Row],[Date]])+1</f>
        <v>45748</v>
      </c>
      <c r="F338" s="285">
        <v>45770</v>
      </c>
      <c r="G338" s="79" t="s">
        <v>100</v>
      </c>
      <c r="H338" s="79" t="str">
        <f>IFERROR(_xlfn.XLOOKUP(Table6[[#This Row],[Affected Feeder ]],'Basic Data'!$A:$A,'Basic Data'!$B:$B),"")</f>
        <v>PWEPL</v>
      </c>
      <c r="I338" s="79" t="str">
        <f>IFERROR(_xlfn.XLOOKUP(Table6[[#This Row],[Affected Feeder ]],'Basic Data'!$A:$A,'Basic Data'!$C:$C),"")</f>
        <v>MSEDCL</v>
      </c>
      <c r="J338" s="295">
        <f>IFERROR(_xlfn.XLOOKUP(Table6[[#This Row],[Affected Feeder ]],'Basic Data'!$A:$A,'Basic Data'!$E:$E),"")</f>
        <v>2.2727272727272728E-2</v>
      </c>
      <c r="K338" s="296" t="s">
        <v>414</v>
      </c>
      <c r="L338" s="297">
        <v>0.42777777777777781</v>
      </c>
      <c r="M338" s="297">
        <v>0.42777777777777781</v>
      </c>
      <c r="N338" s="297">
        <v>0.82986111111111116</v>
      </c>
      <c r="O338" s="19">
        <f>(Table6[[#This Row],[Work Start TimeStamp]]-Table6[[#This Row],[Fault Start TimeStamp]])*24</f>
        <v>0</v>
      </c>
      <c r="P338" s="19">
        <f>(Table6[[#This Row],[Fault Clearance time]]-Table6[[#This Row],[Fault Start TimeStamp]])*24</f>
        <v>9.65</v>
      </c>
      <c r="Q338" s="19">
        <f>(Table6[[#This Row],[Fault Clearance time]]-Table6[[#This Row],[Fault Start TimeStamp]])*24</f>
        <v>9.65</v>
      </c>
      <c r="R338" s="79" t="s">
        <v>457</v>
      </c>
      <c r="S338" s="79" t="s">
        <v>339</v>
      </c>
      <c r="T338" s="298">
        <f>IFERROR(Table6[[#This Row],[Breakdown Time]]*Table6[[#This Row],[Plant Equivalent Weightage]],"")</f>
        <v>0.21931818181818183</v>
      </c>
      <c r="U338" s="79" t="s">
        <v>416</v>
      </c>
      <c r="W338" s="79">
        <v>1694</v>
      </c>
    </row>
    <row r="339" spans="1:23">
      <c r="A339" s="79">
        <f t="shared" si="5"/>
        <v>338</v>
      </c>
      <c r="B339" s="79">
        <f>YEAR(Table6[[#This Row],[Date]])+IF(MONTH(Table6[[#This Row],[Date]])&gt;=4,1,0)</f>
        <v>2026</v>
      </c>
      <c r="C339" s="79">
        <f>YEAR(Table6[[#This Row],[Date]])</f>
        <v>2025</v>
      </c>
      <c r="D339" s="79" t="s">
        <v>344</v>
      </c>
      <c r="E339" s="284">
        <f>Table6[[#This Row],[Date]]-DAY(Table6[[#This Row],[Date]])+1</f>
        <v>45748</v>
      </c>
      <c r="F339" s="285">
        <v>45770</v>
      </c>
      <c r="G339" s="79" t="s">
        <v>100</v>
      </c>
      <c r="H339" s="79" t="str">
        <f>IFERROR(_xlfn.XLOOKUP(Table6[[#This Row],[Affected Feeder ]],'Basic Data'!$A:$A,'Basic Data'!$B:$B),"")</f>
        <v>PWEPL</v>
      </c>
      <c r="I339" s="79" t="str">
        <f>IFERROR(_xlfn.XLOOKUP(Table6[[#This Row],[Affected Feeder ]],'Basic Data'!$A:$A,'Basic Data'!$C:$C),"")</f>
        <v>MSEDCL</v>
      </c>
      <c r="J339" s="295">
        <f>IFERROR(_xlfn.XLOOKUP(Table6[[#This Row],[Affected Feeder ]],'Basic Data'!$A:$A,'Basic Data'!$E:$E),"")</f>
        <v>2.2727272727272728E-2</v>
      </c>
      <c r="K339" s="296" t="s">
        <v>171</v>
      </c>
      <c r="L339" s="297">
        <v>0.82986111111111116</v>
      </c>
      <c r="M339" s="297">
        <v>0.82986111111111116</v>
      </c>
      <c r="N339" s="297">
        <v>0.84166666666666667</v>
      </c>
      <c r="O339" s="19">
        <f>(Table6[[#This Row],[Work Start TimeStamp]]-Table6[[#This Row],[Fault Start TimeStamp]])*24</f>
        <v>0</v>
      </c>
      <c r="P339" s="19">
        <f>(Table6[[#This Row],[Fault Clearance time]]-Table6[[#This Row],[Fault Start TimeStamp]])*24</f>
        <v>0.28333333333333233</v>
      </c>
      <c r="Q339" s="19">
        <f>(Table6[[#This Row],[Fault Clearance time]]-Table6[[#This Row],[Fault Start TimeStamp]])*24</f>
        <v>0.28333333333333233</v>
      </c>
      <c r="R339" s="79" t="s">
        <v>353</v>
      </c>
      <c r="S339" s="79" t="s">
        <v>339</v>
      </c>
      <c r="T339" s="298">
        <f>IFERROR(Table6[[#This Row],[Breakdown Time]]*Table6[[#This Row],[Plant Equivalent Weightage]],"")</f>
        <v>6.4393939393939167E-3</v>
      </c>
      <c r="U339" s="79" t="s">
        <v>416</v>
      </c>
      <c r="W339" s="79">
        <v>51</v>
      </c>
    </row>
    <row r="340" spans="1:23">
      <c r="A340" s="79">
        <f t="shared" si="5"/>
        <v>339</v>
      </c>
      <c r="B340" s="79">
        <f>YEAR(Table6[[#This Row],[Date]])+IF(MONTH(Table6[[#This Row],[Date]])&gt;=4,1,0)</f>
        <v>2026</v>
      </c>
      <c r="C340" s="79">
        <f>YEAR(Table6[[#This Row],[Date]])</f>
        <v>2025</v>
      </c>
      <c r="D340" s="79" t="s">
        <v>344</v>
      </c>
      <c r="E340" s="284">
        <f>Table6[[#This Row],[Date]]-DAY(Table6[[#This Row],[Date]])+1</f>
        <v>45748</v>
      </c>
      <c r="F340" s="285">
        <v>45770</v>
      </c>
      <c r="G340" s="79" t="s">
        <v>101</v>
      </c>
      <c r="H340" s="79" t="str">
        <f>IFERROR(_xlfn.XLOOKUP(Table6[[#This Row],[Affected Feeder ]],'Basic Data'!$A:$A,'Basic Data'!$B:$B),"")</f>
        <v>PWEPL</v>
      </c>
      <c r="I340" s="79" t="str">
        <f>IFERROR(_xlfn.XLOOKUP(Table6[[#This Row],[Affected Feeder ]],'Basic Data'!$A:$A,'Basic Data'!$C:$C),"")</f>
        <v>MSEDCL</v>
      </c>
      <c r="J340" s="295">
        <f>IFERROR(_xlfn.XLOOKUP(Table6[[#This Row],[Affected Feeder ]],'Basic Data'!$A:$A,'Basic Data'!$E:$E),"")</f>
        <v>2.2727272727272728E-2</v>
      </c>
      <c r="K340" s="296" t="s">
        <v>414</v>
      </c>
      <c r="L340" s="297">
        <v>0.42777777777777781</v>
      </c>
      <c r="M340" s="297">
        <v>0.42777777777777781</v>
      </c>
      <c r="N340" s="297">
        <v>0.82986111111111116</v>
      </c>
      <c r="O340" s="19">
        <f>(Table6[[#This Row],[Work Start TimeStamp]]-Table6[[#This Row],[Fault Start TimeStamp]])*24</f>
        <v>0</v>
      </c>
      <c r="P340" s="19">
        <f>(Table6[[#This Row],[Fault Clearance time]]-Table6[[#This Row],[Fault Start TimeStamp]])*24</f>
        <v>9.65</v>
      </c>
      <c r="Q340" s="19">
        <f>(Table6[[#This Row],[Fault Clearance time]]-Table6[[#This Row],[Fault Start TimeStamp]])*24</f>
        <v>9.65</v>
      </c>
      <c r="R340" s="79" t="s">
        <v>457</v>
      </c>
      <c r="S340" s="79" t="s">
        <v>339</v>
      </c>
      <c r="T340" s="298">
        <f>IFERROR(Table6[[#This Row],[Breakdown Time]]*Table6[[#This Row],[Plant Equivalent Weightage]],"")</f>
        <v>0.21931818181818183</v>
      </c>
      <c r="U340" s="79" t="s">
        <v>416</v>
      </c>
      <c r="W340" s="79">
        <v>1694</v>
      </c>
    </row>
    <row r="341" spans="1:23">
      <c r="A341" s="79">
        <f t="shared" si="5"/>
        <v>340</v>
      </c>
      <c r="B341" s="79">
        <f>YEAR(Table6[[#This Row],[Date]])+IF(MONTH(Table6[[#This Row],[Date]])&gt;=4,1,0)</f>
        <v>2026</v>
      </c>
      <c r="C341" s="79">
        <f>YEAR(Table6[[#This Row],[Date]])</f>
        <v>2025</v>
      </c>
      <c r="D341" s="79" t="s">
        <v>344</v>
      </c>
      <c r="E341" s="284">
        <f>Table6[[#This Row],[Date]]-DAY(Table6[[#This Row],[Date]])+1</f>
        <v>45748</v>
      </c>
      <c r="F341" s="285">
        <v>45770</v>
      </c>
      <c r="G341" s="79" t="s">
        <v>101</v>
      </c>
      <c r="H341" s="79" t="str">
        <f>IFERROR(_xlfn.XLOOKUP(Table6[[#This Row],[Affected Feeder ]],'Basic Data'!$A:$A,'Basic Data'!$B:$B),"")</f>
        <v>PWEPL</v>
      </c>
      <c r="I341" s="79" t="str">
        <f>IFERROR(_xlfn.XLOOKUP(Table6[[#This Row],[Affected Feeder ]],'Basic Data'!$A:$A,'Basic Data'!$C:$C),"")</f>
        <v>MSEDCL</v>
      </c>
      <c r="J341" s="295">
        <f>IFERROR(_xlfn.XLOOKUP(Table6[[#This Row],[Affected Feeder ]],'Basic Data'!$A:$A,'Basic Data'!$E:$E),"")</f>
        <v>2.2727272727272728E-2</v>
      </c>
      <c r="K341" s="296" t="s">
        <v>171</v>
      </c>
      <c r="L341" s="297">
        <v>0.82986111111111116</v>
      </c>
      <c r="M341" s="297">
        <v>0.82986111111111116</v>
      </c>
      <c r="N341" s="297">
        <v>0.84375</v>
      </c>
      <c r="O341" s="19">
        <f>(Table6[[#This Row],[Work Start TimeStamp]]-Table6[[#This Row],[Fault Start TimeStamp]])*24</f>
        <v>0</v>
      </c>
      <c r="P341" s="19">
        <f>(Table6[[#This Row],[Fault Clearance time]]-Table6[[#This Row],[Fault Start TimeStamp]])*24</f>
        <v>0.33333333333333215</v>
      </c>
      <c r="Q341" s="19">
        <f>(Table6[[#This Row],[Fault Clearance time]]-Table6[[#This Row],[Fault Start TimeStamp]])*24</f>
        <v>0.33333333333333215</v>
      </c>
      <c r="R341" s="79" t="s">
        <v>353</v>
      </c>
      <c r="S341" s="79" t="s">
        <v>339</v>
      </c>
      <c r="T341" s="298">
        <f>IFERROR(Table6[[#This Row],[Breakdown Time]]*Table6[[#This Row],[Plant Equivalent Weightage]],"")</f>
        <v>7.5757575757575491E-3</v>
      </c>
      <c r="U341" s="79" t="s">
        <v>416</v>
      </c>
      <c r="W341" s="79">
        <v>60</v>
      </c>
    </row>
    <row r="342" spans="1:23">
      <c r="A342" s="79">
        <f t="shared" si="5"/>
        <v>341</v>
      </c>
      <c r="B342" s="79">
        <f>YEAR(Table6[[#This Row],[Date]])+IF(MONTH(Table6[[#This Row],[Date]])&gt;=4,1,0)</f>
        <v>2026</v>
      </c>
      <c r="C342" s="79">
        <f>YEAR(Table6[[#This Row],[Date]])</f>
        <v>2025</v>
      </c>
      <c r="D342" s="79" t="s">
        <v>344</v>
      </c>
      <c r="E342" s="284">
        <f>Table6[[#This Row],[Date]]-DAY(Table6[[#This Row],[Date]])+1</f>
        <v>45748</v>
      </c>
      <c r="F342" s="285">
        <v>45771</v>
      </c>
      <c r="G342" s="79" t="s">
        <v>84</v>
      </c>
      <c r="H342" s="79" t="str">
        <f>IFERROR(_xlfn.XLOOKUP(Table6[[#This Row],[Affected Feeder ]],'Basic Data'!$A:$A,'Basic Data'!$B:$B),"")</f>
        <v>PWEPL</v>
      </c>
      <c r="I342" s="79" t="str">
        <f>IFERROR(_xlfn.XLOOKUP(Table6[[#This Row],[Affected Feeder ]],'Basic Data'!$A:$A,'Basic Data'!$C:$C),"")</f>
        <v>MSEDCL</v>
      </c>
      <c r="J342" s="295">
        <f>IFERROR(_xlfn.XLOOKUP(Table6[[#This Row],[Affected Feeder ]],'Basic Data'!$A:$A,'Basic Data'!$E:$E),"")</f>
        <v>2.2727272727272728E-2</v>
      </c>
      <c r="K342" s="296" t="s">
        <v>414</v>
      </c>
      <c r="L342" s="297">
        <v>0.37152777777777773</v>
      </c>
      <c r="M342" s="297">
        <v>0.37152777777777773</v>
      </c>
      <c r="N342" s="297">
        <v>0.80208333333333337</v>
      </c>
      <c r="O342" s="19">
        <f>(Table6[[#This Row],[Work Start TimeStamp]]-Table6[[#This Row],[Fault Start TimeStamp]])*24</f>
        <v>0</v>
      </c>
      <c r="P342" s="19">
        <f>(Table6[[#This Row],[Fault Clearance time]]-Table6[[#This Row],[Fault Start TimeStamp]])*24</f>
        <v>10.333333333333336</v>
      </c>
      <c r="Q342" s="19">
        <f>(Table6[[#This Row],[Fault Clearance time]]-Table6[[#This Row],[Fault Start TimeStamp]])*24</f>
        <v>10.333333333333336</v>
      </c>
      <c r="R342" s="79" t="s">
        <v>457</v>
      </c>
      <c r="S342" s="79" t="s">
        <v>339</v>
      </c>
      <c r="T342" s="298">
        <f>IFERROR(Table6[[#This Row],[Breakdown Time]]*Table6[[#This Row],[Plant Equivalent Weightage]],"")</f>
        <v>0.23484848484848492</v>
      </c>
      <c r="U342" s="79" t="s">
        <v>416</v>
      </c>
      <c r="W342" s="79">
        <v>1475</v>
      </c>
    </row>
    <row r="343" spans="1:23">
      <c r="A343" s="79">
        <f t="shared" si="5"/>
        <v>342</v>
      </c>
      <c r="B343" s="79">
        <f>YEAR(Table6[[#This Row],[Date]])+IF(MONTH(Table6[[#This Row],[Date]])&gt;=4,1,0)</f>
        <v>2026</v>
      </c>
      <c r="C343" s="79">
        <f>YEAR(Table6[[#This Row],[Date]])</f>
        <v>2025</v>
      </c>
      <c r="D343" s="79" t="s">
        <v>344</v>
      </c>
      <c r="E343" s="284">
        <f>Table6[[#This Row],[Date]]-DAY(Table6[[#This Row],[Date]])+1</f>
        <v>45748</v>
      </c>
      <c r="F343" s="285">
        <v>45771</v>
      </c>
      <c r="G343" s="79" t="s">
        <v>84</v>
      </c>
      <c r="H343" s="79" t="str">
        <f>IFERROR(_xlfn.XLOOKUP(Table6[[#This Row],[Affected Feeder ]],'Basic Data'!$A:$A,'Basic Data'!$B:$B),"")</f>
        <v>PWEPL</v>
      </c>
      <c r="I343" s="79" t="str">
        <f>IFERROR(_xlfn.XLOOKUP(Table6[[#This Row],[Affected Feeder ]],'Basic Data'!$A:$A,'Basic Data'!$C:$C),"")</f>
        <v>MSEDCL</v>
      </c>
      <c r="J343" s="295">
        <f>IFERROR(_xlfn.XLOOKUP(Table6[[#This Row],[Affected Feeder ]],'Basic Data'!$A:$A,'Basic Data'!$E:$E),"")</f>
        <v>2.2727272727272728E-2</v>
      </c>
      <c r="K343" s="296" t="s">
        <v>171</v>
      </c>
      <c r="L343" s="297">
        <v>0.80208333333333337</v>
      </c>
      <c r="M343" s="297">
        <v>0.80208333333333337</v>
      </c>
      <c r="N343" s="297">
        <v>0.81388888888888899</v>
      </c>
      <c r="O343" s="19">
        <f>(Table6[[#This Row],[Work Start TimeStamp]]-Table6[[#This Row],[Fault Start TimeStamp]])*24</f>
        <v>0</v>
      </c>
      <c r="P343" s="19">
        <f>(Table6[[#This Row],[Fault Clearance time]]-Table6[[#This Row],[Fault Start TimeStamp]])*24</f>
        <v>0.28333333333333499</v>
      </c>
      <c r="Q343" s="19">
        <f>(Table6[[#This Row],[Fault Clearance time]]-Table6[[#This Row],[Fault Start TimeStamp]])*24</f>
        <v>0.28333333333333499</v>
      </c>
      <c r="R343" s="79" t="s">
        <v>353</v>
      </c>
      <c r="S343" s="79" t="s">
        <v>339</v>
      </c>
      <c r="T343" s="298">
        <f>IFERROR(Table6[[#This Row],[Breakdown Time]]*Table6[[#This Row],[Plant Equivalent Weightage]],"")</f>
        <v>6.4393939393939774E-3</v>
      </c>
      <c r="U343" s="79" t="s">
        <v>416</v>
      </c>
      <c r="W343" s="79">
        <v>41</v>
      </c>
    </row>
    <row r="344" spans="1:23">
      <c r="A344" s="79">
        <f t="shared" si="5"/>
        <v>343</v>
      </c>
      <c r="B344" s="79">
        <f>YEAR(Table6[[#This Row],[Date]])+IF(MONTH(Table6[[#This Row],[Date]])&gt;=4,1,0)</f>
        <v>2026</v>
      </c>
      <c r="C344" s="79">
        <f>YEAR(Table6[[#This Row],[Date]])</f>
        <v>2025</v>
      </c>
      <c r="D344" s="79" t="s">
        <v>344</v>
      </c>
      <c r="E344" s="284">
        <f>Table6[[#This Row],[Date]]-DAY(Table6[[#This Row],[Date]])+1</f>
        <v>45748</v>
      </c>
      <c r="F344" s="285">
        <v>45771</v>
      </c>
      <c r="G344" s="79" t="s">
        <v>85</v>
      </c>
      <c r="H344" s="79" t="str">
        <f>IFERROR(_xlfn.XLOOKUP(Table6[[#This Row],[Affected Feeder ]],'Basic Data'!$A:$A,'Basic Data'!$B:$B),"")</f>
        <v>PWEPL</v>
      </c>
      <c r="I344" s="79" t="str">
        <f>IFERROR(_xlfn.XLOOKUP(Table6[[#This Row],[Affected Feeder ]],'Basic Data'!$A:$A,'Basic Data'!$C:$C),"")</f>
        <v>MSEDCL</v>
      </c>
      <c r="J344" s="295">
        <f>IFERROR(_xlfn.XLOOKUP(Table6[[#This Row],[Affected Feeder ]],'Basic Data'!$A:$A,'Basic Data'!$E:$E),"")</f>
        <v>2.2727272727272728E-2</v>
      </c>
      <c r="K344" s="296" t="s">
        <v>414</v>
      </c>
      <c r="L344" s="297">
        <v>0.37152777777777773</v>
      </c>
      <c r="M344" s="297">
        <v>0.37152777777777773</v>
      </c>
      <c r="N344" s="297">
        <v>0.80208333333333337</v>
      </c>
      <c r="O344" s="19">
        <f>(Table6[[#This Row],[Work Start TimeStamp]]-Table6[[#This Row],[Fault Start TimeStamp]])*24</f>
        <v>0</v>
      </c>
      <c r="P344" s="19">
        <f>(Table6[[#This Row],[Fault Clearance time]]-Table6[[#This Row],[Fault Start TimeStamp]])*24</f>
        <v>10.333333333333336</v>
      </c>
      <c r="Q344" s="19">
        <f>(Table6[[#This Row],[Fault Clearance time]]-Table6[[#This Row],[Fault Start TimeStamp]])*24</f>
        <v>10.333333333333336</v>
      </c>
      <c r="R344" s="79" t="s">
        <v>457</v>
      </c>
      <c r="S344" s="79" t="s">
        <v>339</v>
      </c>
      <c r="T344" s="298">
        <f>IFERROR(Table6[[#This Row],[Breakdown Time]]*Table6[[#This Row],[Plant Equivalent Weightage]],"")</f>
        <v>0.23484848484848492</v>
      </c>
      <c r="U344" s="79" t="s">
        <v>416</v>
      </c>
      <c r="W344" s="79">
        <v>1475</v>
      </c>
    </row>
    <row r="345" spans="1:23">
      <c r="A345" s="79">
        <f t="shared" si="5"/>
        <v>344</v>
      </c>
      <c r="B345" s="79">
        <f>YEAR(Table6[[#This Row],[Date]])+IF(MONTH(Table6[[#This Row],[Date]])&gt;=4,1,0)</f>
        <v>2026</v>
      </c>
      <c r="C345" s="79">
        <f>YEAR(Table6[[#This Row],[Date]])</f>
        <v>2025</v>
      </c>
      <c r="D345" s="79" t="s">
        <v>344</v>
      </c>
      <c r="E345" s="284">
        <f>Table6[[#This Row],[Date]]-DAY(Table6[[#This Row],[Date]])+1</f>
        <v>45748</v>
      </c>
      <c r="F345" s="285">
        <v>45771</v>
      </c>
      <c r="G345" s="79" t="s">
        <v>85</v>
      </c>
      <c r="H345" s="79" t="str">
        <f>IFERROR(_xlfn.XLOOKUP(Table6[[#This Row],[Affected Feeder ]],'Basic Data'!$A:$A,'Basic Data'!$B:$B),"")</f>
        <v>PWEPL</v>
      </c>
      <c r="I345" s="79" t="str">
        <f>IFERROR(_xlfn.XLOOKUP(Table6[[#This Row],[Affected Feeder ]],'Basic Data'!$A:$A,'Basic Data'!$C:$C),"")</f>
        <v>MSEDCL</v>
      </c>
      <c r="J345" s="295">
        <f>IFERROR(_xlfn.XLOOKUP(Table6[[#This Row],[Affected Feeder ]],'Basic Data'!$A:$A,'Basic Data'!$E:$E),"")</f>
        <v>2.2727272727272728E-2</v>
      </c>
      <c r="K345" s="296" t="s">
        <v>171</v>
      </c>
      <c r="L345" s="297">
        <v>0.80208333333333337</v>
      </c>
      <c r="M345" s="297">
        <v>0.80208333333333337</v>
      </c>
      <c r="N345" s="297">
        <v>0.81319444444444444</v>
      </c>
      <c r="O345" s="19">
        <f>(Table6[[#This Row],[Work Start TimeStamp]]-Table6[[#This Row],[Fault Start TimeStamp]])*24</f>
        <v>0</v>
      </c>
      <c r="P345" s="19">
        <f>(Table6[[#This Row],[Fault Clearance time]]-Table6[[#This Row],[Fault Start TimeStamp]])*24</f>
        <v>0.26666666666666572</v>
      </c>
      <c r="Q345" s="19">
        <f>(Table6[[#This Row],[Fault Clearance time]]-Table6[[#This Row],[Fault Start TimeStamp]])*24</f>
        <v>0.26666666666666572</v>
      </c>
      <c r="R345" s="79" t="s">
        <v>353</v>
      </c>
      <c r="S345" s="79" t="s">
        <v>339</v>
      </c>
      <c r="T345" s="298">
        <f>IFERROR(Table6[[#This Row],[Breakdown Time]]*Table6[[#This Row],[Plant Equivalent Weightage]],"")</f>
        <v>6.0606060606060389E-3</v>
      </c>
      <c r="U345" s="79" t="s">
        <v>416</v>
      </c>
      <c r="W345" s="79">
        <v>39</v>
      </c>
    </row>
    <row r="346" spans="1:23">
      <c r="A346" s="79">
        <f t="shared" si="5"/>
        <v>345</v>
      </c>
      <c r="B346" s="79">
        <f>YEAR(Table6[[#This Row],[Date]])+IF(MONTH(Table6[[#This Row],[Date]])&gt;=4,1,0)</f>
        <v>2026</v>
      </c>
      <c r="C346" s="79">
        <f>YEAR(Table6[[#This Row],[Date]])</f>
        <v>2025</v>
      </c>
      <c r="D346" s="79" t="s">
        <v>344</v>
      </c>
      <c r="E346" s="284">
        <f>Table6[[#This Row],[Date]]-DAY(Table6[[#This Row],[Date]])+1</f>
        <v>45748</v>
      </c>
      <c r="F346" s="285">
        <v>45771</v>
      </c>
      <c r="G346" s="79" t="s">
        <v>86</v>
      </c>
      <c r="H346" s="79" t="str">
        <f>IFERROR(_xlfn.XLOOKUP(Table6[[#This Row],[Affected Feeder ]],'Basic Data'!$A:$A,'Basic Data'!$B:$B),"")</f>
        <v>PWEPL</v>
      </c>
      <c r="I346" s="79" t="str">
        <f>IFERROR(_xlfn.XLOOKUP(Table6[[#This Row],[Affected Feeder ]],'Basic Data'!$A:$A,'Basic Data'!$C:$C),"")</f>
        <v>MSEDCL</v>
      </c>
      <c r="J346" s="295">
        <f>IFERROR(_xlfn.XLOOKUP(Table6[[#This Row],[Affected Feeder ]],'Basic Data'!$A:$A,'Basic Data'!$E:$E),"")</f>
        <v>2.2727272727272728E-2</v>
      </c>
      <c r="K346" s="296" t="s">
        <v>414</v>
      </c>
      <c r="L346" s="297">
        <v>0.37152777777777773</v>
      </c>
      <c r="M346" s="297">
        <v>0.37152777777777773</v>
      </c>
      <c r="N346" s="297">
        <v>0.80208333333333337</v>
      </c>
      <c r="O346" s="19">
        <f>(Table6[[#This Row],[Work Start TimeStamp]]-Table6[[#This Row],[Fault Start TimeStamp]])*24</f>
        <v>0</v>
      </c>
      <c r="P346" s="19">
        <f>(Table6[[#This Row],[Fault Clearance time]]-Table6[[#This Row],[Fault Start TimeStamp]])*24</f>
        <v>10.333333333333336</v>
      </c>
      <c r="Q346" s="19">
        <f>(Table6[[#This Row],[Fault Clearance time]]-Table6[[#This Row],[Fault Start TimeStamp]])*24</f>
        <v>10.333333333333336</v>
      </c>
      <c r="R346" s="79" t="s">
        <v>457</v>
      </c>
      <c r="S346" s="79" t="s">
        <v>339</v>
      </c>
      <c r="T346" s="298">
        <f>IFERROR(Table6[[#This Row],[Breakdown Time]]*Table6[[#This Row],[Plant Equivalent Weightage]],"")</f>
        <v>0.23484848484848492</v>
      </c>
      <c r="U346" s="79" t="s">
        <v>416</v>
      </c>
      <c r="W346" s="79">
        <v>1475</v>
      </c>
    </row>
    <row r="347" spans="1:23">
      <c r="A347" s="79">
        <f t="shared" si="5"/>
        <v>346</v>
      </c>
      <c r="B347" s="79">
        <f>YEAR(Table6[[#This Row],[Date]])+IF(MONTH(Table6[[#This Row],[Date]])&gt;=4,1,0)</f>
        <v>2026</v>
      </c>
      <c r="C347" s="79">
        <f>YEAR(Table6[[#This Row],[Date]])</f>
        <v>2025</v>
      </c>
      <c r="D347" s="79" t="s">
        <v>344</v>
      </c>
      <c r="E347" s="284">
        <f>Table6[[#This Row],[Date]]-DAY(Table6[[#This Row],[Date]])+1</f>
        <v>45748</v>
      </c>
      <c r="F347" s="285">
        <v>45771</v>
      </c>
      <c r="G347" s="79" t="s">
        <v>86</v>
      </c>
      <c r="H347" s="79" t="str">
        <f>IFERROR(_xlfn.XLOOKUP(Table6[[#This Row],[Affected Feeder ]],'Basic Data'!$A:$A,'Basic Data'!$B:$B),"")</f>
        <v>PWEPL</v>
      </c>
      <c r="I347" s="79" t="str">
        <f>IFERROR(_xlfn.XLOOKUP(Table6[[#This Row],[Affected Feeder ]],'Basic Data'!$A:$A,'Basic Data'!$C:$C),"")</f>
        <v>MSEDCL</v>
      </c>
      <c r="J347" s="295">
        <f>IFERROR(_xlfn.XLOOKUP(Table6[[#This Row],[Affected Feeder ]],'Basic Data'!$A:$A,'Basic Data'!$E:$E),"")</f>
        <v>2.2727272727272728E-2</v>
      </c>
      <c r="K347" s="296" t="s">
        <v>171</v>
      </c>
      <c r="L347" s="297">
        <v>0.80208333333333337</v>
      </c>
      <c r="M347" s="297">
        <v>0.80208333333333337</v>
      </c>
      <c r="N347" s="297">
        <v>0.81388888888888899</v>
      </c>
      <c r="O347" s="19">
        <f>(Table6[[#This Row],[Work Start TimeStamp]]-Table6[[#This Row],[Fault Start TimeStamp]])*24</f>
        <v>0</v>
      </c>
      <c r="P347" s="19">
        <f>(Table6[[#This Row],[Fault Clearance time]]-Table6[[#This Row],[Fault Start TimeStamp]])*24</f>
        <v>0.28333333333333499</v>
      </c>
      <c r="Q347" s="19">
        <f>(Table6[[#This Row],[Fault Clearance time]]-Table6[[#This Row],[Fault Start TimeStamp]])*24</f>
        <v>0.28333333333333499</v>
      </c>
      <c r="R347" s="79" t="s">
        <v>353</v>
      </c>
      <c r="S347" s="79" t="s">
        <v>339</v>
      </c>
      <c r="T347" s="298">
        <f>IFERROR(Table6[[#This Row],[Breakdown Time]]*Table6[[#This Row],[Plant Equivalent Weightage]],"")</f>
        <v>6.4393939393939774E-3</v>
      </c>
      <c r="U347" s="79" t="s">
        <v>416</v>
      </c>
      <c r="W347" s="79">
        <v>41</v>
      </c>
    </row>
    <row r="348" spans="1:23">
      <c r="A348" s="79">
        <f t="shared" si="5"/>
        <v>347</v>
      </c>
      <c r="B348" s="79">
        <f>YEAR(Table6[[#This Row],[Date]])+IF(MONTH(Table6[[#This Row],[Date]])&gt;=4,1,0)</f>
        <v>2026</v>
      </c>
      <c r="C348" s="79">
        <f>YEAR(Table6[[#This Row],[Date]])</f>
        <v>2025</v>
      </c>
      <c r="D348" s="79" t="s">
        <v>344</v>
      </c>
      <c r="E348" s="284">
        <f>Table6[[#This Row],[Date]]-DAY(Table6[[#This Row],[Date]])+1</f>
        <v>45748</v>
      </c>
      <c r="F348" s="285">
        <v>45771</v>
      </c>
      <c r="G348" s="79" t="s">
        <v>87</v>
      </c>
      <c r="H348" s="79" t="str">
        <f>IFERROR(_xlfn.XLOOKUP(Table6[[#This Row],[Affected Feeder ]],'Basic Data'!$A:$A,'Basic Data'!$B:$B),"")</f>
        <v>PWEPL</v>
      </c>
      <c r="I348" s="79" t="str">
        <f>IFERROR(_xlfn.XLOOKUP(Table6[[#This Row],[Affected Feeder ]],'Basic Data'!$A:$A,'Basic Data'!$C:$C),"")</f>
        <v>MSEDCL</v>
      </c>
      <c r="J348" s="295">
        <f>IFERROR(_xlfn.XLOOKUP(Table6[[#This Row],[Affected Feeder ]],'Basic Data'!$A:$A,'Basic Data'!$E:$E),"")</f>
        <v>2.2727272727272728E-2</v>
      </c>
      <c r="K348" s="296" t="s">
        <v>414</v>
      </c>
      <c r="L348" s="297">
        <v>0.37152777777777773</v>
      </c>
      <c r="M348" s="297">
        <v>0.37152777777777773</v>
      </c>
      <c r="N348" s="297">
        <v>0.80208333333333337</v>
      </c>
      <c r="O348" s="19">
        <f>(Table6[[#This Row],[Work Start TimeStamp]]-Table6[[#This Row],[Fault Start TimeStamp]])*24</f>
        <v>0</v>
      </c>
      <c r="P348" s="19">
        <f>(Table6[[#This Row],[Fault Clearance time]]-Table6[[#This Row],[Fault Start TimeStamp]])*24</f>
        <v>10.333333333333336</v>
      </c>
      <c r="Q348" s="19">
        <f>(Table6[[#This Row],[Fault Clearance time]]-Table6[[#This Row],[Fault Start TimeStamp]])*24</f>
        <v>10.333333333333336</v>
      </c>
      <c r="R348" s="79" t="s">
        <v>457</v>
      </c>
      <c r="S348" s="79" t="s">
        <v>339</v>
      </c>
      <c r="T348" s="298">
        <f>IFERROR(Table6[[#This Row],[Breakdown Time]]*Table6[[#This Row],[Plant Equivalent Weightage]],"")</f>
        <v>0.23484848484848492</v>
      </c>
      <c r="U348" s="79" t="s">
        <v>416</v>
      </c>
      <c r="W348" s="79">
        <v>1475</v>
      </c>
    </row>
    <row r="349" spans="1:23">
      <c r="A349" s="79">
        <f t="shared" si="5"/>
        <v>348</v>
      </c>
      <c r="B349" s="79">
        <f>YEAR(Table6[[#This Row],[Date]])+IF(MONTH(Table6[[#This Row],[Date]])&gt;=4,1,0)</f>
        <v>2026</v>
      </c>
      <c r="C349" s="79">
        <f>YEAR(Table6[[#This Row],[Date]])</f>
        <v>2025</v>
      </c>
      <c r="D349" s="79" t="s">
        <v>344</v>
      </c>
      <c r="E349" s="284">
        <f>Table6[[#This Row],[Date]]-DAY(Table6[[#This Row],[Date]])+1</f>
        <v>45748</v>
      </c>
      <c r="F349" s="285">
        <v>45771</v>
      </c>
      <c r="G349" s="79" t="s">
        <v>87</v>
      </c>
      <c r="H349" s="79" t="str">
        <f>IFERROR(_xlfn.XLOOKUP(Table6[[#This Row],[Affected Feeder ]],'Basic Data'!$A:$A,'Basic Data'!$B:$B),"")</f>
        <v>PWEPL</v>
      </c>
      <c r="I349" s="79" t="str">
        <f>IFERROR(_xlfn.XLOOKUP(Table6[[#This Row],[Affected Feeder ]],'Basic Data'!$A:$A,'Basic Data'!$C:$C),"")</f>
        <v>MSEDCL</v>
      </c>
      <c r="J349" s="295">
        <f>IFERROR(_xlfn.XLOOKUP(Table6[[#This Row],[Affected Feeder ]],'Basic Data'!$A:$A,'Basic Data'!$E:$E),"")</f>
        <v>2.2727272727272728E-2</v>
      </c>
      <c r="K349" s="296" t="s">
        <v>171</v>
      </c>
      <c r="L349" s="297">
        <v>0.80208333333333337</v>
      </c>
      <c r="M349" s="297">
        <v>0.80208333333333337</v>
      </c>
      <c r="N349" s="297">
        <v>0.81319444444444444</v>
      </c>
      <c r="O349" s="19">
        <f>(Table6[[#This Row],[Work Start TimeStamp]]-Table6[[#This Row],[Fault Start TimeStamp]])*24</f>
        <v>0</v>
      </c>
      <c r="P349" s="19">
        <f>(Table6[[#This Row],[Fault Clearance time]]-Table6[[#This Row],[Fault Start TimeStamp]])*24</f>
        <v>0.26666666666666572</v>
      </c>
      <c r="Q349" s="19">
        <f>(Table6[[#This Row],[Fault Clearance time]]-Table6[[#This Row],[Fault Start TimeStamp]])*24</f>
        <v>0.26666666666666572</v>
      </c>
      <c r="R349" s="79" t="s">
        <v>353</v>
      </c>
      <c r="S349" s="79" t="s">
        <v>339</v>
      </c>
      <c r="T349" s="298">
        <f>IFERROR(Table6[[#This Row],[Breakdown Time]]*Table6[[#This Row],[Plant Equivalent Weightage]],"")</f>
        <v>6.0606060606060389E-3</v>
      </c>
      <c r="U349" s="79" t="s">
        <v>416</v>
      </c>
      <c r="W349" s="79">
        <v>39</v>
      </c>
    </row>
    <row r="350" spans="1:23">
      <c r="A350" s="79">
        <f t="shared" si="5"/>
        <v>349</v>
      </c>
      <c r="B350" s="79">
        <f>YEAR(Table6[[#This Row],[Date]])+IF(MONTH(Table6[[#This Row],[Date]])&gt;=4,1,0)</f>
        <v>2026</v>
      </c>
      <c r="C350" s="79">
        <f>YEAR(Table6[[#This Row],[Date]])</f>
        <v>2025</v>
      </c>
      <c r="D350" s="79" t="s">
        <v>344</v>
      </c>
      <c r="E350" s="284">
        <f>Table6[[#This Row],[Date]]-DAY(Table6[[#This Row],[Date]])+1</f>
        <v>45748</v>
      </c>
      <c r="F350" s="285">
        <v>45771</v>
      </c>
      <c r="G350" s="79" t="s">
        <v>88</v>
      </c>
      <c r="H350" s="79" t="str">
        <f>IFERROR(_xlfn.XLOOKUP(Table6[[#This Row],[Affected Feeder ]],'Basic Data'!$A:$A,'Basic Data'!$B:$B),"")</f>
        <v>PWEPL</v>
      </c>
      <c r="I350" s="79" t="str">
        <f>IFERROR(_xlfn.XLOOKUP(Table6[[#This Row],[Affected Feeder ]],'Basic Data'!$A:$A,'Basic Data'!$C:$C),"")</f>
        <v>MSEDCL</v>
      </c>
      <c r="J350" s="295">
        <f>IFERROR(_xlfn.XLOOKUP(Table6[[#This Row],[Affected Feeder ]],'Basic Data'!$A:$A,'Basic Data'!$E:$E),"")</f>
        <v>2.2727272727272728E-2</v>
      </c>
      <c r="K350" s="296" t="s">
        <v>414</v>
      </c>
      <c r="L350" s="297">
        <v>0.37152777777777773</v>
      </c>
      <c r="M350" s="297">
        <v>0.37152777777777773</v>
      </c>
      <c r="N350" s="297">
        <v>0.80208333333333337</v>
      </c>
      <c r="O350" s="19">
        <f>(Table6[[#This Row],[Work Start TimeStamp]]-Table6[[#This Row],[Fault Start TimeStamp]])*24</f>
        <v>0</v>
      </c>
      <c r="P350" s="19">
        <f>(Table6[[#This Row],[Fault Clearance time]]-Table6[[#This Row],[Fault Start TimeStamp]])*24</f>
        <v>10.333333333333336</v>
      </c>
      <c r="Q350" s="19">
        <f>(Table6[[#This Row],[Fault Clearance time]]-Table6[[#This Row],[Fault Start TimeStamp]])*24</f>
        <v>10.333333333333336</v>
      </c>
      <c r="R350" s="79" t="s">
        <v>457</v>
      </c>
      <c r="S350" s="79" t="s">
        <v>339</v>
      </c>
      <c r="T350" s="298">
        <f>IFERROR(Table6[[#This Row],[Breakdown Time]]*Table6[[#This Row],[Plant Equivalent Weightage]],"")</f>
        <v>0.23484848484848492</v>
      </c>
      <c r="U350" s="79" t="s">
        <v>416</v>
      </c>
      <c r="W350" s="79">
        <v>1474</v>
      </c>
    </row>
    <row r="351" spans="1:23">
      <c r="A351" s="79">
        <f t="shared" si="5"/>
        <v>350</v>
      </c>
      <c r="B351" s="79">
        <f>YEAR(Table6[[#This Row],[Date]])+IF(MONTH(Table6[[#This Row],[Date]])&gt;=4,1,0)</f>
        <v>2026</v>
      </c>
      <c r="C351" s="79">
        <f>YEAR(Table6[[#This Row],[Date]])</f>
        <v>2025</v>
      </c>
      <c r="D351" s="79" t="s">
        <v>344</v>
      </c>
      <c r="E351" s="284">
        <f>Table6[[#This Row],[Date]]-DAY(Table6[[#This Row],[Date]])+1</f>
        <v>45748</v>
      </c>
      <c r="F351" s="285">
        <v>45771</v>
      </c>
      <c r="G351" s="79" t="s">
        <v>88</v>
      </c>
      <c r="H351" s="79" t="str">
        <f>IFERROR(_xlfn.XLOOKUP(Table6[[#This Row],[Affected Feeder ]],'Basic Data'!$A:$A,'Basic Data'!$B:$B),"")</f>
        <v>PWEPL</v>
      </c>
      <c r="I351" s="79" t="str">
        <f>IFERROR(_xlfn.XLOOKUP(Table6[[#This Row],[Affected Feeder ]],'Basic Data'!$A:$A,'Basic Data'!$C:$C),"")</f>
        <v>MSEDCL</v>
      </c>
      <c r="J351" s="295">
        <f>IFERROR(_xlfn.XLOOKUP(Table6[[#This Row],[Affected Feeder ]],'Basic Data'!$A:$A,'Basic Data'!$E:$E),"")</f>
        <v>2.2727272727272728E-2</v>
      </c>
      <c r="K351" s="296" t="s">
        <v>171</v>
      </c>
      <c r="L351" s="297">
        <v>0.80208333333333337</v>
      </c>
      <c r="M351" s="297">
        <v>0.80208333333333337</v>
      </c>
      <c r="N351" s="297">
        <v>0.81597222222222221</v>
      </c>
      <c r="O351" s="19">
        <f>(Table6[[#This Row],[Work Start TimeStamp]]-Table6[[#This Row],[Fault Start TimeStamp]])*24</f>
        <v>0</v>
      </c>
      <c r="P351" s="19">
        <f>(Table6[[#This Row],[Fault Clearance time]]-Table6[[#This Row],[Fault Start TimeStamp]])*24</f>
        <v>0.33333333333333215</v>
      </c>
      <c r="Q351" s="19">
        <f>(Table6[[#This Row],[Fault Clearance time]]-Table6[[#This Row],[Fault Start TimeStamp]])*24</f>
        <v>0.33333333333333215</v>
      </c>
      <c r="R351" s="79" t="s">
        <v>353</v>
      </c>
      <c r="S351" s="79" t="s">
        <v>339</v>
      </c>
      <c r="T351" s="298">
        <f>IFERROR(Table6[[#This Row],[Breakdown Time]]*Table6[[#This Row],[Plant Equivalent Weightage]],"")</f>
        <v>7.5757575757575491E-3</v>
      </c>
      <c r="U351" s="79" t="s">
        <v>416</v>
      </c>
      <c r="W351" s="79">
        <v>49</v>
      </c>
    </row>
    <row r="352" spans="1:23">
      <c r="A352" s="79">
        <f t="shared" si="5"/>
        <v>351</v>
      </c>
      <c r="B352" s="79">
        <f>YEAR(Table6[[#This Row],[Date]])+IF(MONTH(Table6[[#This Row],[Date]])&gt;=4,1,0)</f>
        <v>2026</v>
      </c>
      <c r="C352" s="79">
        <f>YEAR(Table6[[#This Row],[Date]])</f>
        <v>2025</v>
      </c>
      <c r="D352" s="79" t="s">
        <v>344</v>
      </c>
      <c r="E352" s="284">
        <f>Table6[[#This Row],[Date]]-DAY(Table6[[#This Row],[Date]])+1</f>
        <v>45748</v>
      </c>
      <c r="F352" s="285">
        <v>45772</v>
      </c>
      <c r="G352" s="79" t="s">
        <v>399</v>
      </c>
      <c r="H352" s="79" t="str">
        <f>IFERROR(_xlfn.XLOOKUP(Table6[[#This Row],[Affected Feeder ]],'Basic Data'!$A:$A,'Basic Data'!$B:$B),"")</f>
        <v>PWEPL</v>
      </c>
      <c r="I352" s="79" t="str">
        <f>IFERROR(_xlfn.XLOOKUP(Table6[[#This Row],[Affected Feeder ]],'Basic Data'!$A:$A,'Basic Data'!$C:$C),"")</f>
        <v>MSEDCL</v>
      </c>
      <c r="J352" s="295">
        <f>IFERROR(_xlfn.XLOOKUP(Table6[[#This Row],[Affected Feeder ]],'Basic Data'!$A:$A,'Basic Data'!$E:$E),"")</f>
        <v>0.22727272727272727</v>
      </c>
      <c r="K352" s="296" t="s">
        <v>447</v>
      </c>
      <c r="L352" s="297">
        <v>0.16458333333333333</v>
      </c>
      <c r="M352" s="297">
        <v>0.16458333333333333</v>
      </c>
      <c r="N352" s="297">
        <v>0.18819444444444444</v>
      </c>
      <c r="O352" s="19">
        <f>(Table6[[#This Row],[Work Start TimeStamp]]-Table6[[#This Row],[Fault Start TimeStamp]])*24</f>
        <v>0</v>
      </c>
      <c r="P352" s="19">
        <f>(Table6[[#This Row],[Fault Clearance time]]-Table6[[#This Row],[Fault Start TimeStamp]])*24</f>
        <v>0.56666666666666665</v>
      </c>
      <c r="Q352" s="19">
        <f>(Table6[[#This Row],[Fault Clearance time]]-Table6[[#This Row],[Fault Start TimeStamp]])*24</f>
        <v>0.56666666666666665</v>
      </c>
      <c r="R352" s="79" t="s">
        <v>420</v>
      </c>
      <c r="S352" s="79" t="s">
        <v>339</v>
      </c>
      <c r="T352" s="298">
        <f>IFERROR(Table6[[#This Row],[Breakdown Time]]*Table6[[#This Row],[Plant Equivalent Weightage]],"")</f>
        <v>0.12878787878787878</v>
      </c>
      <c r="U352" s="79" t="s">
        <v>421</v>
      </c>
      <c r="W352" s="79">
        <v>1482</v>
      </c>
    </row>
    <row r="353" spans="1:23">
      <c r="A353" s="79">
        <f t="shared" si="5"/>
        <v>352</v>
      </c>
      <c r="B353" s="79">
        <f>YEAR(Table6[[#This Row],[Date]])+IF(MONTH(Table6[[#This Row],[Date]])&gt;=4,1,0)</f>
        <v>2026</v>
      </c>
      <c r="C353" s="79">
        <f>YEAR(Table6[[#This Row],[Date]])</f>
        <v>2025</v>
      </c>
      <c r="D353" s="79" t="s">
        <v>344</v>
      </c>
      <c r="E353" s="284">
        <f>Table6[[#This Row],[Date]]-DAY(Table6[[#This Row],[Date]])+1</f>
        <v>45748</v>
      </c>
      <c r="F353" s="285">
        <v>45772</v>
      </c>
      <c r="G353" s="79" t="s">
        <v>84</v>
      </c>
      <c r="H353" s="79" t="str">
        <f>IFERROR(_xlfn.XLOOKUP(Table6[[#This Row],[Affected Feeder ]],'Basic Data'!$A:$A,'Basic Data'!$B:$B),"")</f>
        <v>PWEPL</v>
      </c>
      <c r="I353" s="79" t="str">
        <f>IFERROR(_xlfn.XLOOKUP(Table6[[#This Row],[Affected Feeder ]],'Basic Data'!$A:$A,'Basic Data'!$C:$C),"")</f>
        <v>MSEDCL</v>
      </c>
      <c r="J353" s="295">
        <f>IFERROR(_xlfn.XLOOKUP(Table6[[#This Row],[Affected Feeder ]],'Basic Data'!$A:$A,'Basic Data'!$E:$E),"")</f>
        <v>2.2727272727272728E-2</v>
      </c>
      <c r="K353" s="296" t="s">
        <v>171</v>
      </c>
      <c r="L353" s="297">
        <v>0.18819444444444444</v>
      </c>
      <c r="M353" s="297">
        <v>0.18819444444444444</v>
      </c>
      <c r="N353" s="297">
        <v>0.20208333333333331</v>
      </c>
      <c r="O353" s="19">
        <f>(Table6[[#This Row],[Work Start TimeStamp]]-Table6[[#This Row],[Fault Start TimeStamp]])*24</f>
        <v>0</v>
      </c>
      <c r="P353" s="19">
        <f>(Table6[[#This Row],[Fault Clearance time]]-Table6[[#This Row],[Fault Start TimeStamp]])*24</f>
        <v>0.33333333333333282</v>
      </c>
      <c r="Q353" s="19">
        <f>(Table6[[#This Row],[Fault Clearance time]]-Table6[[#This Row],[Fault Start TimeStamp]])*24</f>
        <v>0.33333333333333282</v>
      </c>
      <c r="R353" s="79" t="s">
        <v>353</v>
      </c>
      <c r="S353" s="79" t="s">
        <v>339</v>
      </c>
      <c r="T353" s="298">
        <f>IFERROR(Table6[[#This Row],[Breakdown Time]]*Table6[[#This Row],[Plant Equivalent Weightage]],"")</f>
        <v>7.5757575757575638E-3</v>
      </c>
      <c r="U353" s="79" t="s">
        <v>421</v>
      </c>
      <c r="W353" s="79">
        <v>87</v>
      </c>
    </row>
    <row r="354" spans="1:23">
      <c r="A354" s="79">
        <f t="shared" si="5"/>
        <v>353</v>
      </c>
      <c r="B354" s="79">
        <f>YEAR(Table6[[#This Row],[Date]])+IF(MONTH(Table6[[#This Row],[Date]])&gt;=4,1,0)</f>
        <v>2026</v>
      </c>
      <c r="C354" s="79">
        <f>YEAR(Table6[[#This Row],[Date]])</f>
        <v>2025</v>
      </c>
      <c r="D354" s="79" t="s">
        <v>344</v>
      </c>
      <c r="E354" s="284">
        <f>Table6[[#This Row],[Date]]-DAY(Table6[[#This Row],[Date]])+1</f>
        <v>45748</v>
      </c>
      <c r="F354" s="285">
        <v>45772</v>
      </c>
      <c r="G354" s="79" t="s">
        <v>85</v>
      </c>
      <c r="H354" s="79" t="str">
        <f>IFERROR(_xlfn.XLOOKUP(Table6[[#This Row],[Affected Feeder ]],'Basic Data'!$A:$A,'Basic Data'!$B:$B),"")</f>
        <v>PWEPL</v>
      </c>
      <c r="I354" s="79" t="str">
        <f>IFERROR(_xlfn.XLOOKUP(Table6[[#This Row],[Affected Feeder ]],'Basic Data'!$A:$A,'Basic Data'!$C:$C),"")</f>
        <v>MSEDCL</v>
      </c>
      <c r="J354" s="295">
        <f>IFERROR(_xlfn.XLOOKUP(Table6[[#This Row],[Affected Feeder ]],'Basic Data'!$A:$A,'Basic Data'!$E:$E),"")</f>
        <v>2.2727272727272728E-2</v>
      </c>
      <c r="K354" s="296" t="s">
        <v>171</v>
      </c>
      <c r="L354" s="297">
        <v>0.18819444444444444</v>
      </c>
      <c r="M354" s="297">
        <v>0.18819444444444444</v>
      </c>
      <c r="N354" s="297">
        <v>0.1986111111111111</v>
      </c>
      <c r="O354" s="19">
        <f>(Table6[[#This Row],[Work Start TimeStamp]]-Table6[[#This Row],[Fault Start TimeStamp]])*24</f>
        <v>0</v>
      </c>
      <c r="P354" s="19">
        <f>(Table6[[#This Row],[Fault Clearance time]]-Table6[[#This Row],[Fault Start TimeStamp]])*24</f>
        <v>0.24999999999999978</v>
      </c>
      <c r="Q354" s="19">
        <f>(Table6[[#This Row],[Fault Clearance time]]-Table6[[#This Row],[Fault Start TimeStamp]])*24</f>
        <v>0.24999999999999978</v>
      </c>
      <c r="R354" s="79" t="s">
        <v>353</v>
      </c>
      <c r="S354" s="79" t="s">
        <v>339</v>
      </c>
      <c r="T354" s="298">
        <f>IFERROR(Table6[[#This Row],[Breakdown Time]]*Table6[[#This Row],[Plant Equivalent Weightage]],"")</f>
        <v>5.6818181818181768E-3</v>
      </c>
      <c r="U354" s="79" t="s">
        <v>421</v>
      </c>
      <c r="W354" s="79">
        <v>65</v>
      </c>
    </row>
    <row r="355" spans="1:23">
      <c r="A355" s="79">
        <f t="shared" si="5"/>
        <v>354</v>
      </c>
      <c r="B355" s="79">
        <f>YEAR(Table6[[#This Row],[Date]])+IF(MONTH(Table6[[#This Row],[Date]])&gt;=4,1,0)</f>
        <v>2026</v>
      </c>
      <c r="C355" s="79">
        <f>YEAR(Table6[[#This Row],[Date]])</f>
        <v>2025</v>
      </c>
      <c r="D355" s="79" t="s">
        <v>344</v>
      </c>
      <c r="E355" s="284">
        <f>Table6[[#This Row],[Date]]-DAY(Table6[[#This Row],[Date]])+1</f>
        <v>45748</v>
      </c>
      <c r="F355" s="285">
        <v>45772</v>
      </c>
      <c r="G355" s="79" t="s">
        <v>86</v>
      </c>
      <c r="H355" s="79" t="str">
        <f>IFERROR(_xlfn.XLOOKUP(Table6[[#This Row],[Affected Feeder ]],'Basic Data'!$A:$A,'Basic Data'!$B:$B),"")</f>
        <v>PWEPL</v>
      </c>
      <c r="I355" s="79" t="str">
        <f>IFERROR(_xlfn.XLOOKUP(Table6[[#This Row],[Affected Feeder ]],'Basic Data'!$A:$A,'Basic Data'!$C:$C),"")</f>
        <v>MSEDCL</v>
      </c>
      <c r="J355" s="295">
        <f>IFERROR(_xlfn.XLOOKUP(Table6[[#This Row],[Affected Feeder ]],'Basic Data'!$A:$A,'Basic Data'!$E:$E),"")</f>
        <v>2.2727272727272728E-2</v>
      </c>
      <c r="K355" s="296" t="s">
        <v>171</v>
      </c>
      <c r="L355" s="297">
        <v>0.18819444444444444</v>
      </c>
      <c r="M355" s="297">
        <v>0.18819444444444444</v>
      </c>
      <c r="N355" s="297">
        <v>0.20138888888888887</v>
      </c>
      <c r="O355" s="19">
        <f>(Table6[[#This Row],[Work Start TimeStamp]]-Table6[[#This Row],[Fault Start TimeStamp]])*24</f>
        <v>0</v>
      </c>
      <c r="P355" s="19">
        <f>(Table6[[#This Row],[Fault Clearance time]]-Table6[[#This Row],[Fault Start TimeStamp]])*24</f>
        <v>0.31666666666666621</v>
      </c>
      <c r="Q355" s="19">
        <f>(Table6[[#This Row],[Fault Clearance time]]-Table6[[#This Row],[Fault Start TimeStamp]])*24</f>
        <v>0.31666666666666621</v>
      </c>
      <c r="R355" s="79" t="s">
        <v>353</v>
      </c>
      <c r="S355" s="79" t="s">
        <v>339</v>
      </c>
      <c r="T355" s="298">
        <f>IFERROR(Table6[[#This Row],[Breakdown Time]]*Table6[[#This Row],[Plant Equivalent Weightage]],"")</f>
        <v>7.1969696969696869E-3</v>
      </c>
      <c r="U355" s="79" t="s">
        <v>421</v>
      </c>
      <c r="W355" s="79">
        <v>82</v>
      </c>
    </row>
    <row r="356" spans="1:23">
      <c r="A356" s="79">
        <f t="shared" si="5"/>
        <v>355</v>
      </c>
      <c r="B356" s="79">
        <f>YEAR(Table6[[#This Row],[Date]])+IF(MONTH(Table6[[#This Row],[Date]])&gt;=4,1,0)</f>
        <v>2026</v>
      </c>
      <c r="C356" s="79">
        <f>YEAR(Table6[[#This Row],[Date]])</f>
        <v>2025</v>
      </c>
      <c r="D356" s="79" t="s">
        <v>344</v>
      </c>
      <c r="E356" s="284">
        <f>Table6[[#This Row],[Date]]-DAY(Table6[[#This Row],[Date]])+1</f>
        <v>45748</v>
      </c>
      <c r="F356" s="285">
        <v>45772</v>
      </c>
      <c r="G356" s="79" t="s">
        <v>87</v>
      </c>
      <c r="H356" s="79" t="str">
        <f>IFERROR(_xlfn.XLOOKUP(Table6[[#This Row],[Affected Feeder ]],'Basic Data'!$A:$A,'Basic Data'!$B:$B),"")</f>
        <v>PWEPL</v>
      </c>
      <c r="I356" s="79" t="str">
        <f>IFERROR(_xlfn.XLOOKUP(Table6[[#This Row],[Affected Feeder ]],'Basic Data'!$A:$A,'Basic Data'!$C:$C),"")</f>
        <v>MSEDCL</v>
      </c>
      <c r="J356" s="295">
        <f>IFERROR(_xlfn.XLOOKUP(Table6[[#This Row],[Affected Feeder ]],'Basic Data'!$A:$A,'Basic Data'!$E:$E),"")</f>
        <v>2.2727272727272728E-2</v>
      </c>
      <c r="K356" s="296" t="s">
        <v>171</v>
      </c>
      <c r="L356" s="297">
        <v>0.18819444444444444</v>
      </c>
      <c r="M356" s="297">
        <v>0.18819444444444444</v>
      </c>
      <c r="N356" s="297">
        <v>0.20208333333333331</v>
      </c>
      <c r="O356" s="19">
        <f>(Table6[[#This Row],[Work Start TimeStamp]]-Table6[[#This Row],[Fault Start TimeStamp]])*24</f>
        <v>0</v>
      </c>
      <c r="P356" s="19">
        <f>(Table6[[#This Row],[Fault Clearance time]]-Table6[[#This Row],[Fault Start TimeStamp]])*24</f>
        <v>0.33333333333333282</v>
      </c>
      <c r="Q356" s="19">
        <f>(Table6[[#This Row],[Fault Clearance time]]-Table6[[#This Row],[Fault Start TimeStamp]])*24</f>
        <v>0.33333333333333282</v>
      </c>
      <c r="R356" s="79" t="s">
        <v>353</v>
      </c>
      <c r="S356" s="79" t="s">
        <v>339</v>
      </c>
      <c r="T356" s="298">
        <f>IFERROR(Table6[[#This Row],[Breakdown Time]]*Table6[[#This Row],[Plant Equivalent Weightage]],"")</f>
        <v>7.5757575757575638E-3</v>
      </c>
      <c r="U356" s="79" t="s">
        <v>421</v>
      </c>
      <c r="W356" s="79">
        <v>87</v>
      </c>
    </row>
    <row r="357" spans="1:23">
      <c r="A357" s="79">
        <f t="shared" si="5"/>
        <v>356</v>
      </c>
      <c r="B357" s="79">
        <f>YEAR(Table6[[#This Row],[Date]])+IF(MONTH(Table6[[#This Row],[Date]])&gt;=4,1,0)</f>
        <v>2026</v>
      </c>
      <c r="C357" s="79">
        <f>YEAR(Table6[[#This Row],[Date]])</f>
        <v>2025</v>
      </c>
      <c r="D357" s="79" t="s">
        <v>344</v>
      </c>
      <c r="E357" s="284">
        <f>Table6[[#This Row],[Date]]-DAY(Table6[[#This Row],[Date]])+1</f>
        <v>45748</v>
      </c>
      <c r="F357" s="285">
        <v>45772</v>
      </c>
      <c r="G357" s="79" t="s">
        <v>88</v>
      </c>
      <c r="H357" s="79" t="str">
        <f>IFERROR(_xlfn.XLOOKUP(Table6[[#This Row],[Affected Feeder ]],'Basic Data'!$A:$A,'Basic Data'!$B:$B),"")</f>
        <v>PWEPL</v>
      </c>
      <c r="I357" s="79" t="str">
        <f>IFERROR(_xlfn.XLOOKUP(Table6[[#This Row],[Affected Feeder ]],'Basic Data'!$A:$A,'Basic Data'!$C:$C),"")</f>
        <v>MSEDCL</v>
      </c>
      <c r="J357" s="295">
        <f>IFERROR(_xlfn.XLOOKUP(Table6[[#This Row],[Affected Feeder ]],'Basic Data'!$A:$A,'Basic Data'!$E:$E),"")</f>
        <v>2.2727272727272728E-2</v>
      </c>
      <c r="K357" s="296" t="s">
        <v>171</v>
      </c>
      <c r="L357" s="297">
        <v>0.18819444444444444</v>
      </c>
      <c r="M357" s="297">
        <v>0.18819444444444444</v>
      </c>
      <c r="N357" s="297">
        <v>0.20208333333333331</v>
      </c>
      <c r="O357" s="19">
        <f>(Table6[[#This Row],[Work Start TimeStamp]]-Table6[[#This Row],[Fault Start TimeStamp]])*24</f>
        <v>0</v>
      </c>
      <c r="P357" s="19">
        <f>(Table6[[#This Row],[Fault Clearance time]]-Table6[[#This Row],[Fault Start TimeStamp]])*24</f>
        <v>0.33333333333333282</v>
      </c>
      <c r="Q357" s="19">
        <f>(Table6[[#This Row],[Fault Clearance time]]-Table6[[#This Row],[Fault Start TimeStamp]])*24</f>
        <v>0.33333333333333282</v>
      </c>
      <c r="R357" s="79" t="s">
        <v>353</v>
      </c>
      <c r="S357" s="79" t="s">
        <v>339</v>
      </c>
      <c r="T357" s="298">
        <f>IFERROR(Table6[[#This Row],[Breakdown Time]]*Table6[[#This Row],[Plant Equivalent Weightage]],"")</f>
        <v>7.5757575757575638E-3</v>
      </c>
      <c r="U357" s="79" t="s">
        <v>421</v>
      </c>
      <c r="W357" s="79">
        <v>87</v>
      </c>
    </row>
    <row r="358" spans="1:23">
      <c r="A358" s="79">
        <f t="shared" si="5"/>
        <v>357</v>
      </c>
      <c r="B358" s="79">
        <f>YEAR(Table6[[#This Row],[Date]])+IF(MONTH(Table6[[#This Row],[Date]])&gt;=4,1,0)</f>
        <v>2026</v>
      </c>
      <c r="C358" s="79">
        <f>YEAR(Table6[[#This Row],[Date]])</f>
        <v>2025</v>
      </c>
      <c r="D358" s="79" t="s">
        <v>344</v>
      </c>
      <c r="E358" s="284">
        <f>Table6[[#This Row],[Date]]-DAY(Table6[[#This Row],[Date]])+1</f>
        <v>45748</v>
      </c>
      <c r="F358" s="285">
        <v>45772</v>
      </c>
      <c r="G358" s="79" t="s">
        <v>83</v>
      </c>
      <c r="H358" s="79" t="str">
        <f>IFERROR(_xlfn.XLOOKUP(Table6[[#This Row],[Affected Feeder ]],'Basic Data'!$A:$A,'Basic Data'!$B:$B),"")</f>
        <v>PWEPL</v>
      </c>
      <c r="I358" s="79" t="str">
        <f>IFERROR(_xlfn.XLOOKUP(Table6[[#This Row],[Affected Feeder ]],'Basic Data'!$A:$A,'Basic Data'!$C:$C),"")</f>
        <v>MSEDCL</v>
      </c>
      <c r="J358" s="295">
        <f>IFERROR(_xlfn.XLOOKUP(Table6[[#This Row],[Affected Feeder ]],'Basic Data'!$A:$A,'Basic Data'!$E:$E),"")</f>
        <v>2.2727272727272728E-2</v>
      </c>
      <c r="K358" s="296" t="s">
        <v>171</v>
      </c>
      <c r="L358" s="297">
        <v>0.18819444444444444</v>
      </c>
      <c r="M358" s="297">
        <v>0.18819444444444444</v>
      </c>
      <c r="N358" s="297">
        <v>0.20138888888888887</v>
      </c>
      <c r="O358" s="19">
        <f>(Table6[[#This Row],[Work Start TimeStamp]]-Table6[[#This Row],[Fault Start TimeStamp]])*24</f>
        <v>0</v>
      </c>
      <c r="P358" s="19">
        <f>(Table6[[#This Row],[Fault Clearance time]]-Table6[[#This Row],[Fault Start TimeStamp]])*24</f>
        <v>0.31666666666666621</v>
      </c>
      <c r="Q358" s="19">
        <f>(Table6[[#This Row],[Fault Clearance time]]-Table6[[#This Row],[Fault Start TimeStamp]])*24</f>
        <v>0.31666666666666621</v>
      </c>
      <c r="R358" s="79" t="s">
        <v>353</v>
      </c>
      <c r="S358" s="79" t="s">
        <v>339</v>
      </c>
      <c r="T358" s="298">
        <f>IFERROR(Table6[[#This Row],[Breakdown Time]]*Table6[[#This Row],[Plant Equivalent Weightage]],"")</f>
        <v>7.1969696969696869E-3</v>
      </c>
      <c r="U358" s="79" t="s">
        <v>421</v>
      </c>
      <c r="W358" s="79">
        <v>82</v>
      </c>
    </row>
    <row r="359" spans="1:23">
      <c r="A359" s="79">
        <f t="shared" si="5"/>
        <v>358</v>
      </c>
      <c r="B359" s="79">
        <f>YEAR(Table6[[#This Row],[Date]])+IF(MONTH(Table6[[#This Row],[Date]])&gt;=4,1,0)</f>
        <v>2026</v>
      </c>
      <c r="C359" s="79">
        <f>YEAR(Table6[[#This Row],[Date]])</f>
        <v>2025</v>
      </c>
      <c r="D359" s="79" t="s">
        <v>344</v>
      </c>
      <c r="E359" s="284">
        <f>Table6[[#This Row],[Date]]-DAY(Table6[[#This Row],[Date]])+1</f>
        <v>45748</v>
      </c>
      <c r="F359" s="285">
        <v>45772</v>
      </c>
      <c r="G359" s="79" t="s">
        <v>98</v>
      </c>
      <c r="H359" s="79" t="str">
        <f>IFERROR(_xlfn.XLOOKUP(Table6[[#This Row],[Affected Feeder ]],'Basic Data'!$A:$A,'Basic Data'!$B:$B),"")</f>
        <v>PWEPL</v>
      </c>
      <c r="I359" s="79" t="str">
        <f>IFERROR(_xlfn.XLOOKUP(Table6[[#This Row],[Affected Feeder ]],'Basic Data'!$A:$A,'Basic Data'!$C:$C),"")</f>
        <v>MSEDCL</v>
      </c>
      <c r="J359" s="295">
        <f>IFERROR(_xlfn.XLOOKUP(Table6[[#This Row],[Affected Feeder ]],'Basic Data'!$A:$A,'Basic Data'!$E:$E),"")</f>
        <v>2.2727272727272728E-2</v>
      </c>
      <c r="K359" s="296" t="s">
        <v>171</v>
      </c>
      <c r="L359" s="297">
        <v>0.18819444444444444</v>
      </c>
      <c r="M359" s="297">
        <v>0.18819444444444444</v>
      </c>
      <c r="N359" s="297">
        <v>0.20208333333333331</v>
      </c>
      <c r="O359" s="19">
        <f>(Table6[[#This Row],[Work Start TimeStamp]]-Table6[[#This Row],[Fault Start TimeStamp]])*24</f>
        <v>0</v>
      </c>
      <c r="P359" s="19">
        <f>(Table6[[#This Row],[Fault Clearance time]]-Table6[[#This Row],[Fault Start TimeStamp]])*24</f>
        <v>0.33333333333333282</v>
      </c>
      <c r="Q359" s="19">
        <f>(Table6[[#This Row],[Fault Clearance time]]-Table6[[#This Row],[Fault Start TimeStamp]])*24</f>
        <v>0.33333333333333282</v>
      </c>
      <c r="R359" s="79" t="s">
        <v>353</v>
      </c>
      <c r="S359" s="79" t="s">
        <v>339</v>
      </c>
      <c r="T359" s="298">
        <f>IFERROR(Table6[[#This Row],[Breakdown Time]]*Table6[[#This Row],[Plant Equivalent Weightage]],"")</f>
        <v>7.5757575757575638E-3</v>
      </c>
      <c r="U359" s="79" t="s">
        <v>421</v>
      </c>
      <c r="W359" s="79">
        <v>87</v>
      </c>
    </row>
    <row r="360" spans="1:23">
      <c r="A360" s="79">
        <f t="shared" si="5"/>
        <v>359</v>
      </c>
      <c r="B360" s="79">
        <f>YEAR(Table6[[#This Row],[Date]])+IF(MONTH(Table6[[#This Row],[Date]])&gt;=4,1,0)</f>
        <v>2026</v>
      </c>
      <c r="C360" s="79">
        <f>YEAR(Table6[[#This Row],[Date]])</f>
        <v>2025</v>
      </c>
      <c r="D360" s="79" t="s">
        <v>344</v>
      </c>
      <c r="E360" s="284">
        <f>Table6[[#This Row],[Date]]-DAY(Table6[[#This Row],[Date]])+1</f>
        <v>45748</v>
      </c>
      <c r="F360" s="285">
        <v>45772</v>
      </c>
      <c r="G360" s="79" t="s">
        <v>99</v>
      </c>
      <c r="H360" s="79" t="str">
        <f>IFERROR(_xlfn.XLOOKUP(Table6[[#This Row],[Affected Feeder ]],'Basic Data'!$A:$A,'Basic Data'!$B:$B),"")</f>
        <v>PWEPL</v>
      </c>
      <c r="I360" s="79" t="str">
        <f>IFERROR(_xlfn.XLOOKUP(Table6[[#This Row],[Affected Feeder ]],'Basic Data'!$A:$A,'Basic Data'!$C:$C),"")</f>
        <v>MSEDCL</v>
      </c>
      <c r="J360" s="295">
        <f>IFERROR(_xlfn.XLOOKUP(Table6[[#This Row],[Affected Feeder ]],'Basic Data'!$A:$A,'Basic Data'!$E:$E),"")</f>
        <v>2.2727272727272728E-2</v>
      </c>
      <c r="K360" s="296" t="s">
        <v>171</v>
      </c>
      <c r="L360" s="297">
        <v>0.18819444444444444</v>
      </c>
      <c r="M360" s="297">
        <v>0.18819444444444444</v>
      </c>
      <c r="N360" s="297">
        <v>0.20208333333333331</v>
      </c>
      <c r="O360" s="19">
        <f>(Table6[[#This Row],[Work Start TimeStamp]]-Table6[[#This Row],[Fault Start TimeStamp]])*24</f>
        <v>0</v>
      </c>
      <c r="P360" s="19">
        <f>(Table6[[#This Row],[Fault Clearance time]]-Table6[[#This Row],[Fault Start TimeStamp]])*24</f>
        <v>0.33333333333333282</v>
      </c>
      <c r="Q360" s="19">
        <f>(Table6[[#This Row],[Fault Clearance time]]-Table6[[#This Row],[Fault Start TimeStamp]])*24</f>
        <v>0.33333333333333282</v>
      </c>
      <c r="R360" s="79" t="s">
        <v>353</v>
      </c>
      <c r="S360" s="79" t="s">
        <v>339</v>
      </c>
      <c r="T360" s="298">
        <f>IFERROR(Table6[[#This Row],[Breakdown Time]]*Table6[[#This Row],[Plant Equivalent Weightage]],"")</f>
        <v>7.5757575757575638E-3</v>
      </c>
      <c r="U360" s="79" t="s">
        <v>421</v>
      </c>
      <c r="W360" s="79">
        <v>87</v>
      </c>
    </row>
    <row r="361" spans="1:23">
      <c r="A361" s="79">
        <f t="shared" si="5"/>
        <v>360</v>
      </c>
      <c r="B361" s="79">
        <f>YEAR(Table6[[#This Row],[Date]])+IF(MONTH(Table6[[#This Row],[Date]])&gt;=4,1,0)</f>
        <v>2026</v>
      </c>
      <c r="C361" s="79">
        <f>YEAR(Table6[[#This Row],[Date]])</f>
        <v>2025</v>
      </c>
      <c r="D361" s="79" t="s">
        <v>344</v>
      </c>
      <c r="E361" s="284">
        <f>Table6[[#This Row],[Date]]-DAY(Table6[[#This Row],[Date]])+1</f>
        <v>45748</v>
      </c>
      <c r="F361" s="285">
        <v>45772</v>
      </c>
      <c r="G361" s="79" t="s">
        <v>100</v>
      </c>
      <c r="H361" s="79" t="str">
        <f>IFERROR(_xlfn.XLOOKUP(Table6[[#This Row],[Affected Feeder ]],'Basic Data'!$A:$A,'Basic Data'!$B:$B),"")</f>
        <v>PWEPL</v>
      </c>
      <c r="I361" s="79" t="str">
        <f>IFERROR(_xlfn.XLOOKUP(Table6[[#This Row],[Affected Feeder ]],'Basic Data'!$A:$A,'Basic Data'!$C:$C),"")</f>
        <v>MSEDCL</v>
      </c>
      <c r="J361" s="295">
        <f>IFERROR(_xlfn.XLOOKUP(Table6[[#This Row],[Affected Feeder ]],'Basic Data'!$A:$A,'Basic Data'!$E:$E),"")</f>
        <v>2.2727272727272728E-2</v>
      </c>
      <c r="K361" s="296" t="s">
        <v>171</v>
      </c>
      <c r="L361" s="297">
        <v>0.18819444444444444</v>
      </c>
      <c r="M361" s="297">
        <v>0.18819444444444444</v>
      </c>
      <c r="N361" s="297">
        <v>0.20069444444444443</v>
      </c>
      <c r="O361" s="19">
        <f>(Table6[[#This Row],[Work Start TimeStamp]]-Table6[[#This Row],[Fault Start TimeStamp]])*24</f>
        <v>0</v>
      </c>
      <c r="P361" s="19">
        <f>(Table6[[#This Row],[Fault Clearance time]]-Table6[[#This Row],[Fault Start TimeStamp]])*24</f>
        <v>0.2999999999999996</v>
      </c>
      <c r="Q361" s="19">
        <f>(Table6[[#This Row],[Fault Clearance time]]-Table6[[#This Row],[Fault Start TimeStamp]])*24</f>
        <v>0.2999999999999996</v>
      </c>
      <c r="R361" s="79" t="s">
        <v>353</v>
      </c>
      <c r="S361" s="79" t="s">
        <v>339</v>
      </c>
      <c r="T361" s="298">
        <f>IFERROR(Table6[[#This Row],[Breakdown Time]]*Table6[[#This Row],[Plant Equivalent Weightage]],"")</f>
        <v>6.8181818181818092E-3</v>
      </c>
      <c r="U361" s="79" t="s">
        <v>421</v>
      </c>
      <c r="W361" s="79">
        <v>78</v>
      </c>
    </row>
    <row r="362" spans="1:23">
      <c r="A362" s="79">
        <f t="shared" si="5"/>
        <v>361</v>
      </c>
      <c r="B362" s="79">
        <f>YEAR(Table6[[#This Row],[Date]])+IF(MONTH(Table6[[#This Row],[Date]])&gt;=4,1,0)</f>
        <v>2026</v>
      </c>
      <c r="C362" s="79">
        <f>YEAR(Table6[[#This Row],[Date]])</f>
        <v>2025</v>
      </c>
      <c r="D362" s="79" t="s">
        <v>344</v>
      </c>
      <c r="E362" s="284">
        <f>Table6[[#This Row],[Date]]-DAY(Table6[[#This Row],[Date]])+1</f>
        <v>45748</v>
      </c>
      <c r="F362" s="285">
        <v>45772</v>
      </c>
      <c r="G362" s="79" t="s">
        <v>101</v>
      </c>
      <c r="H362" s="79" t="str">
        <f>IFERROR(_xlfn.XLOOKUP(Table6[[#This Row],[Affected Feeder ]],'Basic Data'!$A:$A,'Basic Data'!$B:$B),"")</f>
        <v>PWEPL</v>
      </c>
      <c r="I362" s="79" t="str">
        <f>IFERROR(_xlfn.XLOOKUP(Table6[[#This Row],[Affected Feeder ]],'Basic Data'!$A:$A,'Basic Data'!$C:$C),"")</f>
        <v>MSEDCL</v>
      </c>
      <c r="J362" s="295">
        <f>IFERROR(_xlfn.XLOOKUP(Table6[[#This Row],[Affected Feeder ]],'Basic Data'!$A:$A,'Basic Data'!$E:$E),"")</f>
        <v>2.2727272727272728E-2</v>
      </c>
      <c r="K362" s="296" t="s">
        <v>171</v>
      </c>
      <c r="L362" s="297">
        <v>0.18819444444444444</v>
      </c>
      <c r="M362" s="297">
        <v>0.18819444444444444</v>
      </c>
      <c r="N362" s="297">
        <v>0.20208333333333331</v>
      </c>
      <c r="O362" s="19">
        <f>(Table6[[#This Row],[Work Start TimeStamp]]-Table6[[#This Row],[Fault Start TimeStamp]])*24</f>
        <v>0</v>
      </c>
      <c r="P362" s="19">
        <f>(Table6[[#This Row],[Fault Clearance time]]-Table6[[#This Row],[Fault Start TimeStamp]])*24</f>
        <v>0.33333333333333282</v>
      </c>
      <c r="Q362" s="19">
        <f>(Table6[[#This Row],[Fault Clearance time]]-Table6[[#This Row],[Fault Start TimeStamp]])*24</f>
        <v>0.33333333333333282</v>
      </c>
      <c r="R362" s="79" t="s">
        <v>353</v>
      </c>
      <c r="S362" s="79" t="s">
        <v>339</v>
      </c>
      <c r="T362" s="298">
        <f>IFERROR(Table6[[#This Row],[Breakdown Time]]*Table6[[#This Row],[Plant Equivalent Weightage]],"")</f>
        <v>7.5757575757575638E-3</v>
      </c>
      <c r="U362" s="79" t="s">
        <v>421</v>
      </c>
      <c r="W362" s="79">
        <v>87</v>
      </c>
    </row>
    <row r="363" spans="1:23">
      <c r="A363" s="79">
        <f t="shared" si="5"/>
        <v>362</v>
      </c>
      <c r="B363" s="79">
        <f>YEAR(Table6[[#This Row],[Date]])+IF(MONTH(Table6[[#This Row],[Date]])&gt;=4,1,0)</f>
        <v>2026</v>
      </c>
      <c r="C363" s="79">
        <f>YEAR(Table6[[#This Row],[Date]])</f>
        <v>2025</v>
      </c>
      <c r="D363" s="79" t="s">
        <v>344</v>
      </c>
      <c r="E363" s="284">
        <f>Table6[[#This Row],[Date]]-DAY(Table6[[#This Row],[Date]])+1</f>
        <v>45748</v>
      </c>
      <c r="F363" s="285">
        <v>45773</v>
      </c>
      <c r="G363" s="79" t="s">
        <v>89</v>
      </c>
      <c r="H363" s="79" t="str">
        <f>IFERROR(_xlfn.XLOOKUP(Table6[[#This Row],[Affected Feeder ]],'Basic Data'!$A:$A,'Basic Data'!$B:$B),"")</f>
        <v>PWEPL</v>
      </c>
      <c r="I363" s="79" t="str">
        <f>IFERROR(_xlfn.XLOOKUP(Table6[[#This Row],[Affected Feeder ]],'Basic Data'!$A:$A,'Basic Data'!$C:$C),"")</f>
        <v>MSEDCL</v>
      </c>
      <c r="J363" s="295">
        <f>IFERROR(_xlfn.XLOOKUP(Table6[[#This Row],[Affected Feeder ]],'Basic Data'!$A:$A,'Basic Data'!$E:$E),"")</f>
        <v>2.2727272727272728E-2</v>
      </c>
      <c r="K363" s="296" t="s">
        <v>414</v>
      </c>
      <c r="L363" s="297">
        <v>0.30486111111111108</v>
      </c>
      <c r="M363" s="297">
        <v>0.30486111111111108</v>
      </c>
      <c r="N363" s="297">
        <v>0.77916666666666667</v>
      </c>
      <c r="O363" s="19">
        <f>(Table6[[#This Row],[Work Start TimeStamp]]-Table6[[#This Row],[Fault Start TimeStamp]])*24</f>
        <v>0</v>
      </c>
      <c r="P363" s="19">
        <f>(Table6[[#This Row],[Fault Clearance time]]-Table6[[#This Row],[Fault Start TimeStamp]])*24</f>
        <v>11.383333333333335</v>
      </c>
      <c r="Q363" s="19">
        <f>(Table6[[#This Row],[Fault Clearance time]]-Table6[[#This Row],[Fault Start TimeStamp]])*24</f>
        <v>11.383333333333335</v>
      </c>
      <c r="R363" s="79" t="s">
        <v>457</v>
      </c>
      <c r="S363" s="79" t="s">
        <v>339</v>
      </c>
      <c r="T363" s="298">
        <f>IFERROR(Table6[[#This Row],[Breakdown Time]]*Table6[[#This Row],[Plant Equivalent Weightage]],"")</f>
        <v>0.25871212121212123</v>
      </c>
      <c r="U363" s="79" t="s">
        <v>416</v>
      </c>
      <c r="W363" s="79">
        <v>1559</v>
      </c>
    </row>
    <row r="364" spans="1:23">
      <c r="A364" s="79">
        <f t="shared" si="5"/>
        <v>363</v>
      </c>
      <c r="B364" s="79">
        <f>YEAR(Table6[[#This Row],[Date]])+IF(MONTH(Table6[[#This Row],[Date]])&gt;=4,1,0)</f>
        <v>2026</v>
      </c>
      <c r="C364" s="79">
        <f>YEAR(Table6[[#This Row],[Date]])</f>
        <v>2025</v>
      </c>
      <c r="D364" s="79" t="s">
        <v>344</v>
      </c>
      <c r="E364" s="284">
        <f>Table6[[#This Row],[Date]]-DAY(Table6[[#This Row],[Date]])+1</f>
        <v>45748</v>
      </c>
      <c r="F364" s="285">
        <v>45773</v>
      </c>
      <c r="G364" s="79" t="s">
        <v>89</v>
      </c>
      <c r="H364" s="79" t="str">
        <f>IFERROR(_xlfn.XLOOKUP(Table6[[#This Row],[Affected Feeder ]],'Basic Data'!$A:$A,'Basic Data'!$B:$B),"")</f>
        <v>PWEPL</v>
      </c>
      <c r="I364" s="79" t="str">
        <f>IFERROR(_xlfn.XLOOKUP(Table6[[#This Row],[Affected Feeder ]],'Basic Data'!$A:$A,'Basic Data'!$C:$C),"")</f>
        <v>MSEDCL</v>
      </c>
      <c r="J364" s="295">
        <f>IFERROR(_xlfn.XLOOKUP(Table6[[#This Row],[Affected Feeder ]],'Basic Data'!$A:$A,'Basic Data'!$E:$E),"")</f>
        <v>2.2727272727272728E-2</v>
      </c>
      <c r="K364" s="296" t="s">
        <v>171</v>
      </c>
      <c r="L364" s="297">
        <v>0.77916666666666667</v>
      </c>
      <c r="M364" s="297">
        <v>0.77916666666666667</v>
      </c>
      <c r="N364" s="297">
        <v>0.79027777777777775</v>
      </c>
      <c r="O364" s="19">
        <f>(Table6[[#This Row],[Work Start TimeStamp]]-Table6[[#This Row],[Fault Start TimeStamp]])*24</f>
        <v>0</v>
      </c>
      <c r="P364" s="19">
        <f>(Table6[[#This Row],[Fault Clearance time]]-Table6[[#This Row],[Fault Start TimeStamp]])*24</f>
        <v>0.26666666666666572</v>
      </c>
      <c r="Q364" s="19">
        <f>(Table6[[#This Row],[Fault Clearance time]]-Table6[[#This Row],[Fault Start TimeStamp]])*24</f>
        <v>0.26666666666666572</v>
      </c>
      <c r="R364" s="79" t="s">
        <v>353</v>
      </c>
      <c r="S364" s="79" t="s">
        <v>339</v>
      </c>
      <c r="T364" s="298">
        <f>IFERROR(Table6[[#This Row],[Breakdown Time]]*Table6[[#This Row],[Plant Equivalent Weightage]],"")</f>
        <v>6.0606060606060389E-3</v>
      </c>
      <c r="U364" s="79" t="s">
        <v>416</v>
      </c>
      <c r="W364" s="79">
        <v>37</v>
      </c>
    </row>
    <row r="365" spans="1:23">
      <c r="A365" s="79">
        <f t="shared" si="5"/>
        <v>364</v>
      </c>
      <c r="B365" s="79">
        <f>YEAR(Table6[[#This Row],[Date]])+IF(MONTH(Table6[[#This Row],[Date]])&gt;=4,1,0)</f>
        <v>2026</v>
      </c>
      <c r="C365" s="79">
        <f>YEAR(Table6[[#This Row],[Date]])</f>
        <v>2025</v>
      </c>
      <c r="D365" s="79" t="s">
        <v>344</v>
      </c>
      <c r="E365" s="284">
        <f>Table6[[#This Row],[Date]]-DAY(Table6[[#This Row],[Date]])+1</f>
        <v>45748</v>
      </c>
      <c r="F365" s="285">
        <v>45773</v>
      </c>
      <c r="G365" s="79" t="s">
        <v>90</v>
      </c>
      <c r="H365" s="79" t="str">
        <f>IFERROR(_xlfn.XLOOKUP(Table6[[#This Row],[Affected Feeder ]],'Basic Data'!$A:$A,'Basic Data'!$B:$B),"")</f>
        <v>PWEPL</v>
      </c>
      <c r="I365" s="79" t="str">
        <f>IFERROR(_xlfn.XLOOKUP(Table6[[#This Row],[Affected Feeder ]],'Basic Data'!$A:$A,'Basic Data'!$C:$C),"")</f>
        <v>MSEDCL</v>
      </c>
      <c r="J365" s="295">
        <f>IFERROR(_xlfn.XLOOKUP(Table6[[#This Row],[Affected Feeder ]],'Basic Data'!$A:$A,'Basic Data'!$E:$E),"")</f>
        <v>2.2727272727272728E-2</v>
      </c>
      <c r="K365" s="296" t="s">
        <v>414</v>
      </c>
      <c r="L365" s="297">
        <v>0.30486111111111108</v>
      </c>
      <c r="M365" s="297">
        <v>0.30486111111111108</v>
      </c>
      <c r="N365" s="297">
        <v>0.77916666666666667</v>
      </c>
      <c r="O365" s="19">
        <f>(Table6[[#This Row],[Work Start TimeStamp]]-Table6[[#This Row],[Fault Start TimeStamp]])*24</f>
        <v>0</v>
      </c>
      <c r="P365" s="19">
        <f>(Table6[[#This Row],[Fault Clearance time]]-Table6[[#This Row],[Fault Start TimeStamp]])*24</f>
        <v>11.383333333333335</v>
      </c>
      <c r="Q365" s="19">
        <f>(Table6[[#This Row],[Fault Clearance time]]-Table6[[#This Row],[Fault Start TimeStamp]])*24</f>
        <v>11.383333333333335</v>
      </c>
      <c r="R365" s="79" t="s">
        <v>457</v>
      </c>
      <c r="S365" s="79" t="s">
        <v>339</v>
      </c>
      <c r="T365" s="298">
        <f>IFERROR(Table6[[#This Row],[Breakdown Time]]*Table6[[#This Row],[Plant Equivalent Weightage]],"")</f>
        <v>0.25871212121212123</v>
      </c>
      <c r="U365" s="79" t="s">
        <v>416</v>
      </c>
      <c r="W365" s="79">
        <v>1560</v>
      </c>
    </row>
    <row r="366" spans="1:23">
      <c r="A366" s="79">
        <f t="shared" si="5"/>
        <v>365</v>
      </c>
      <c r="B366" s="79">
        <f>YEAR(Table6[[#This Row],[Date]])+IF(MONTH(Table6[[#This Row],[Date]])&gt;=4,1,0)</f>
        <v>2026</v>
      </c>
      <c r="C366" s="79">
        <f>YEAR(Table6[[#This Row],[Date]])</f>
        <v>2025</v>
      </c>
      <c r="D366" s="79" t="s">
        <v>344</v>
      </c>
      <c r="E366" s="284">
        <f>Table6[[#This Row],[Date]]-DAY(Table6[[#This Row],[Date]])+1</f>
        <v>45748</v>
      </c>
      <c r="F366" s="285">
        <v>45773</v>
      </c>
      <c r="G366" s="79" t="s">
        <v>90</v>
      </c>
      <c r="H366" s="79" t="str">
        <f>IFERROR(_xlfn.XLOOKUP(Table6[[#This Row],[Affected Feeder ]],'Basic Data'!$A:$A,'Basic Data'!$B:$B),"")</f>
        <v>PWEPL</v>
      </c>
      <c r="I366" s="79" t="str">
        <f>IFERROR(_xlfn.XLOOKUP(Table6[[#This Row],[Affected Feeder ]],'Basic Data'!$A:$A,'Basic Data'!$C:$C),"")</f>
        <v>MSEDCL</v>
      </c>
      <c r="J366" s="295">
        <f>IFERROR(_xlfn.XLOOKUP(Table6[[#This Row],[Affected Feeder ]],'Basic Data'!$A:$A,'Basic Data'!$E:$E),"")</f>
        <v>2.2727272727272728E-2</v>
      </c>
      <c r="K366" s="296" t="s">
        <v>171</v>
      </c>
      <c r="L366" s="297">
        <v>0.77916666666666667</v>
      </c>
      <c r="M366" s="297">
        <v>0.77916666666666667</v>
      </c>
      <c r="N366" s="297">
        <v>0.78611111111111109</v>
      </c>
      <c r="O366" s="19">
        <f>(Table6[[#This Row],[Work Start TimeStamp]]-Table6[[#This Row],[Fault Start TimeStamp]])*24</f>
        <v>0</v>
      </c>
      <c r="P366" s="19">
        <f>(Table6[[#This Row],[Fault Clearance time]]-Table6[[#This Row],[Fault Start TimeStamp]])*24</f>
        <v>0.16666666666666607</v>
      </c>
      <c r="Q366" s="19">
        <f>(Table6[[#This Row],[Fault Clearance time]]-Table6[[#This Row],[Fault Start TimeStamp]])*24</f>
        <v>0.16666666666666607</v>
      </c>
      <c r="R366" s="79" t="s">
        <v>353</v>
      </c>
      <c r="S366" s="79" t="s">
        <v>339</v>
      </c>
      <c r="T366" s="298">
        <f>IFERROR(Table6[[#This Row],[Breakdown Time]]*Table6[[#This Row],[Plant Equivalent Weightage]],"")</f>
        <v>3.7878787878787745E-3</v>
      </c>
      <c r="U366" s="79" t="s">
        <v>416</v>
      </c>
      <c r="W366" s="79">
        <v>23</v>
      </c>
    </row>
    <row r="367" spans="1:23">
      <c r="A367" s="79">
        <f t="shared" si="5"/>
        <v>366</v>
      </c>
      <c r="B367" s="79">
        <f>YEAR(Table6[[#This Row],[Date]])+IF(MONTH(Table6[[#This Row],[Date]])&gt;=4,1,0)</f>
        <v>2026</v>
      </c>
      <c r="C367" s="79">
        <f>YEAR(Table6[[#This Row],[Date]])</f>
        <v>2025</v>
      </c>
      <c r="D367" s="79" t="s">
        <v>344</v>
      </c>
      <c r="E367" s="284">
        <f>Table6[[#This Row],[Date]]-DAY(Table6[[#This Row],[Date]])+1</f>
        <v>45748</v>
      </c>
      <c r="F367" s="285">
        <v>45773</v>
      </c>
      <c r="G367" s="79" t="s">
        <v>91</v>
      </c>
      <c r="H367" s="79" t="str">
        <f>IFERROR(_xlfn.XLOOKUP(Table6[[#This Row],[Affected Feeder ]],'Basic Data'!$A:$A,'Basic Data'!$B:$B),"")</f>
        <v>PWEPL</v>
      </c>
      <c r="I367" s="79" t="str">
        <f>IFERROR(_xlfn.XLOOKUP(Table6[[#This Row],[Affected Feeder ]],'Basic Data'!$A:$A,'Basic Data'!$C:$C),"")</f>
        <v>MSEDCL</v>
      </c>
      <c r="J367" s="295">
        <f>IFERROR(_xlfn.XLOOKUP(Table6[[#This Row],[Affected Feeder ]],'Basic Data'!$A:$A,'Basic Data'!$E:$E),"")</f>
        <v>2.2727272727272728E-2</v>
      </c>
      <c r="K367" s="296" t="s">
        <v>414</v>
      </c>
      <c r="L367" s="297">
        <v>0.30486111111111108</v>
      </c>
      <c r="M367" s="297">
        <v>0.30486111111111108</v>
      </c>
      <c r="N367" s="297">
        <v>0.77916666666666667</v>
      </c>
      <c r="O367" s="19">
        <f>(Table6[[#This Row],[Work Start TimeStamp]]-Table6[[#This Row],[Fault Start TimeStamp]])*24</f>
        <v>0</v>
      </c>
      <c r="P367" s="19">
        <f>(Table6[[#This Row],[Fault Clearance time]]-Table6[[#This Row],[Fault Start TimeStamp]])*24</f>
        <v>11.383333333333335</v>
      </c>
      <c r="Q367" s="19">
        <f>(Table6[[#This Row],[Fault Clearance time]]-Table6[[#This Row],[Fault Start TimeStamp]])*24</f>
        <v>11.383333333333335</v>
      </c>
      <c r="R367" s="79" t="s">
        <v>457</v>
      </c>
      <c r="S367" s="79" t="s">
        <v>339</v>
      </c>
      <c r="T367" s="298">
        <f>IFERROR(Table6[[#This Row],[Breakdown Time]]*Table6[[#This Row],[Plant Equivalent Weightage]],"")</f>
        <v>0.25871212121212123</v>
      </c>
      <c r="U367" s="79" t="s">
        <v>416</v>
      </c>
      <c r="W367" s="79">
        <v>1559</v>
      </c>
    </row>
    <row r="368" spans="1:23">
      <c r="A368" s="79">
        <f t="shared" si="5"/>
        <v>367</v>
      </c>
      <c r="B368" s="79">
        <f>YEAR(Table6[[#This Row],[Date]])+IF(MONTH(Table6[[#This Row],[Date]])&gt;=4,1,0)</f>
        <v>2026</v>
      </c>
      <c r="C368" s="79">
        <f>YEAR(Table6[[#This Row],[Date]])</f>
        <v>2025</v>
      </c>
      <c r="D368" s="79" t="s">
        <v>344</v>
      </c>
      <c r="E368" s="284">
        <f>Table6[[#This Row],[Date]]-DAY(Table6[[#This Row],[Date]])+1</f>
        <v>45748</v>
      </c>
      <c r="F368" s="285">
        <v>45773</v>
      </c>
      <c r="G368" s="79" t="s">
        <v>91</v>
      </c>
      <c r="H368" s="79" t="str">
        <f>IFERROR(_xlfn.XLOOKUP(Table6[[#This Row],[Affected Feeder ]],'Basic Data'!$A:$A,'Basic Data'!$B:$B),"")</f>
        <v>PWEPL</v>
      </c>
      <c r="I368" s="79" t="str">
        <f>IFERROR(_xlfn.XLOOKUP(Table6[[#This Row],[Affected Feeder ]],'Basic Data'!$A:$A,'Basic Data'!$C:$C),"")</f>
        <v>MSEDCL</v>
      </c>
      <c r="J368" s="295">
        <f>IFERROR(_xlfn.XLOOKUP(Table6[[#This Row],[Affected Feeder ]],'Basic Data'!$A:$A,'Basic Data'!$E:$E),"")</f>
        <v>2.2727272727272728E-2</v>
      </c>
      <c r="K368" s="296" t="s">
        <v>171</v>
      </c>
      <c r="L368" s="297">
        <v>0.77916666666666667</v>
      </c>
      <c r="M368" s="297">
        <v>0.77916666666666667</v>
      </c>
      <c r="N368" s="297">
        <v>0.79027777777777775</v>
      </c>
      <c r="O368" s="19">
        <f>(Table6[[#This Row],[Work Start TimeStamp]]-Table6[[#This Row],[Fault Start TimeStamp]])*24</f>
        <v>0</v>
      </c>
      <c r="P368" s="19">
        <f>(Table6[[#This Row],[Fault Clearance time]]-Table6[[#This Row],[Fault Start TimeStamp]])*24</f>
        <v>0.26666666666666572</v>
      </c>
      <c r="Q368" s="19">
        <f>(Table6[[#This Row],[Fault Clearance time]]-Table6[[#This Row],[Fault Start TimeStamp]])*24</f>
        <v>0.26666666666666572</v>
      </c>
      <c r="R368" s="79" t="s">
        <v>353</v>
      </c>
      <c r="S368" s="79" t="s">
        <v>339</v>
      </c>
      <c r="T368" s="298">
        <f>IFERROR(Table6[[#This Row],[Breakdown Time]]*Table6[[#This Row],[Plant Equivalent Weightage]],"")</f>
        <v>6.0606060606060389E-3</v>
      </c>
      <c r="U368" s="79" t="s">
        <v>416</v>
      </c>
      <c r="W368" s="79">
        <v>37</v>
      </c>
    </row>
    <row r="369" spans="1:23">
      <c r="A369" s="79">
        <f t="shared" si="5"/>
        <v>368</v>
      </c>
      <c r="B369" s="79">
        <f>YEAR(Table6[[#This Row],[Date]])+IF(MONTH(Table6[[#This Row],[Date]])&gt;=4,1,0)</f>
        <v>2026</v>
      </c>
      <c r="C369" s="79">
        <f>YEAR(Table6[[#This Row],[Date]])</f>
        <v>2025</v>
      </c>
      <c r="D369" s="79" t="s">
        <v>344</v>
      </c>
      <c r="E369" s="284">
        <f>Table6[[#This Row],[Date]]-DAY(Table6[[#This Row],[Date]])+1</f>
        <v>45748</v>
      </c>
      <c r="F369" s="285">
        <v>45773</v>
      </c>
      <c r="G369" s="79" t="s">
        <v>92</v>
      </c>
      <c r="H369" s="79" t="str">
        <f>IFERROR(_xlfn.XLOOKUP(Table6[[#This Row],[Affected Feeder ]],'Basic Data'!$A:$A,'Basic Data'!$B:$B),"")</f>
        <v>PWEPL</v>
      </c>
      <c r="I369" s="79" t="str">
        <f>IFERROR(_xlfn.XLOOKUP(Table6[[#This Row],[Affected Feeder ]],'Basic Data'!$A:$A,'Basic Data'!$C:$C),"")</f>
        <v>MSEDCL</v>
      </c>
      <c r="J369" s="295">
        <f>IFERROR(_xlfn.XLOOKUP(Table6[[#This Row],[Affected Feeder ]],'Basic Data'!$A:$A,'Basic Data'!$E:$E),"")</f>
        <v>2.2727272727272728E-2</v>
      </c>
      <c r="K369" s="296" t="s">
        <v>414</v>
      </c>
      <c r="L369" s="297">
        <v>0.30486111111111108</v>
      </c>
      <c r="M369" s="297">
        <v>0.30486111111111108</v>
      </c>
      <c r="N369" s="297">
        <v>0.77916666666666667</v>
      </c>
      <c r="O369" s="19">
        <f>(Table6[[#This Row],[Work Start TimeStamp]]-Table6[[#This Row],[Fault Start TimeStamp]])*24</f>
        <v>0</v>
      </c>
      <c r="P369" s="19">
        <f>(Table6[[#This Row],[Fault Clearance time]]-Table6[[#This Row],[Fault Start TimeStamp]])*24</f>
        <v>11.383333333333335</v>
      </c>
      <c r="Q369" s="19">
        <f>(Table6[[#This Row],[Fault Clearance time]]-Table6[[#This Row],[Fault Start TimeStamp]])*24</f>
        <v>11.383333333333335</v>
      </c>
      <c r="R369" s="79" t="s">
        <v>457</v>
      </c>
      <c r="S369" s="79" t="s">
        <v>339</v>
      </c>
      <c r="T369" s="298">
        <f>IFERROR(Table6[[#This Row],[Breakdown Time]]*Table6[[#This Row],[Plant Equivalent Weightage]],"")</f>
        <v>0.25871212121212123</v>
      </c>
      <c r="U369" s="79" t="s">
        <v>416</v>
      </c>
      <c r="W369" s="79">
        <v>1559</v>
      </c>
    </row>
    <row r="370" spans="1:23">
      <c r="A370" s="79">
        <f t="shared" si="5"/>
        <v>369</v>
      </c>
      <c r="B370" s="79">
        <f>YEAR(Table6[[#This Row],[Date]])+IF(MONTH(Table6[[#This Row],[Date]])&gt;=4,1,0)</f>
        <v>2026</v>
      </c>
      <c r="C370" s="79">
        <f>YEAR(Table6[[#This Row],[Date]])</f>
        <v>2025</v>
      </c>
      <c r="D370" s="79" t="s">
        <v>344</v>
      </c>
      <c r="E370" s="284">
        <f>Table6[[#This Row],[Date]]-DAY(Table6[[#This Row],[Date]])+1</f>
        <v>45748</v>
      </c>
      <c r="F370" s="285">
        <v>45773</v>
      </c>
      <c r="G370" s="79" t="s">
        <v>92</v>
      </c>
      <c r="H370" s="79" t="str">
        <f>IFERROR(_xlfn.XLOOKUP(Table6[[#This Row],[Affected Feeder ]],'Basic Data'!$A:$A,'Basic Data'!$B:$B),"")</f>
        <v>PWEPL</v>
      </c>
      <c r="I370" s="79" t="str">
        <f>IFERROR(_xlfn.XLOOKUP(Table6[[#This Row],[Affected Feeder ]],'Basic Data'!$A:$A,'Basic Data'!$C:$C),"")</f>
        <v>MSEDCL</v>
      </c>
      <c r="J370" s="295">
        <f>IFERROR(_xlfn.XLOOKUP(Table6[[#This Row],[Affected Feeder ]],'Basic Data'!$A:$A,'Basic Data'!$E:$E),"")</f>
        <v>2.2727272727272728E-2</v>
      </c>
      <c r="K370" s="296" t="s">
        <v>171</v>
      </c>
      <c r="L370" s="297">
        <v>0.77916666666666667</v>
      </c>
      <c r="M370" s="297">
        <v>0.77916666666666667</v>
      </c>
      <c r="N370" s="297">
        <v>0.7895833333333333</v>
      </c>
      <c r="O370" s="19">
        <f>(Table6[[#This Row],[Work Start TimeStamp]]-Table6[[#This Row],[Fault Start TimeStamp]])*24</f>
        <v>0</v>
      </c>
      <c r="P370" s="19">
        <f>(Table6[[#This Row],[Fault Clearance time]]-Table6[[#This Row],[Fault Start TimeStamp]])*24</f>
        <v>0.24999999999999911</v>
      </c>
      <c r="Q370" s="19">
        <f>(Table6[[#This Row],[Fault Clearance time]]-Table6[[#This Row],[Fault Start TimeStamp]])*24</f>
        <v>0.24999999999999911</v>
      </c>
      <c r="R370" s="79" t="s">
        <v>353</v>
      </c>
      <c r="S370" s="79" t="s">
        <v>339</v>
      </c>
      <c r="T370" s="298">
        <f>IFERROR(Table6[[#This Row],[Breakdown Time]]*Table6[[#This Row],[Plant Equivalent Weightage]],"")</f>
        <v>5.681818181818162E-3</v>
      </c>
      <c r="U370" s="79" t="s">
        <v>416</v>
      </c>
      <c r="W370" s="79">
        <v>35</v>
      </c>
    </row>
    <row r="371" spans="1:23">
      <c r="A371" s="79">
        <f t="shared" si="5"/>
        <v>370</v>
      </c>
      <c r="B371" s="79">
        <f>YEAR(Table6[[#This Row],[Date]])+IF(MONTH(Table6[[#This Row],[Date]])&gt;=4,1,0)</f>
        <v>2026</v>
      </c>
      <c r="C371" s="79">
        <f>YEAR(Table6[[#This Row],[Date]])</f>
        <v>2025</v>
      </c>
      <c r="D371" s="79" t="s">
        <v>344</v>
      </c>
      <c r="E371" s="284">
        <f>Table6[[#This Row],[Date]]-DAY(Table6[[#This Row],[Date]])+1</f>
        <v>45748</v>
      </c>
      <c r="F371" s="285">
        <v>45773</v>
      </c>
      <c r="G371" s="79" t="s">
        <v>94</v>
      </c>
      <c r="H371" s="79" t="str">
        <f>IFERROR(_xlfn.XLOOKUP(Table6[[#This Row],[Affected Feeder ]],'Basic Data'!$A:$A,'Basic Data'!$B:$B),"")</f>
        <v>PWEPL</v>
      </c>
      <c r="I371" s="79" t="str">
        <f>IFERROR(_xlfn.XLOOKUP(Table6[[#This Row],[Affected Feeder ]],'Basic Data'!$A:$A,'Basic Data'!$C:$C),"")</f>
        <v>MSEDCL</v>
      </c>
      <c r="J371" s="295">
        <f>IFERROR(_xlfn.XLOOKUP(Table6[[#This Row],[Affected Feeder ]],'Basic Data'!$A:$A,'Basic Data'!$E:$E),"")</f>
        <v>2.2727272727272728E-2</v>
      </c>
      <c r="K371" s="296" t="s">
        <v>414</v>
      </c>
      <c r="L371" s="297">
        <v>0.30486111111111108</v>
      </c>
      <c r="M371" s="297">
        <v>0.30486111111111108</v>
      </c>
      <c r="N371" s="297">
        <v>0.77916666666666667</v>
      </c>
      <c r="O371" s="19">
        <f>(Table6[[#This Row],[Work Start TimeStamp]]-Table6[[#This Row],[Fault Start TimeStamp]])*24</f>
        <v>0</v>
      </c>
      <c r="P371" s="19">
        <f>(Table6[[#This Row],[Fault Clearance time]]-Table6[[#This Row],[Fault Start TimeStamp]])*24</f>
        <v>11.383333333333335</v>
      </c>
      <c r="Q371" s="19">
        <f>(Table6[[#This Row],[Fault Clearance time]]-Table6[[#This Row],[Fault Start TimeStamp]])*24</f>
        <v>11.383333333333335</v>
      </c>
      <c r="R371" s="79" t="s">
        <v>457</v>
      </c>
      <c r="S371" s="79" t="s">
        <v>339</v>
      </c>
      <c r="T371" s="298">
        <f>IFERROR(Table6[[#This Row],[Breakdown Time]]*Table6[[#This Row],[Plant Equivalent Weightage]],"")</f>
        <v>0.25871212121212123</v>
      </c>
      <c r="U371" s="79" t="s">
        <v>416</v>
      </c>
      <c r="W371" s="79">
        <v>1558</v>
      </c>
    </row>
    <row r="372" spans="1:23">
      <c r="A372" s="79">
        <f t="shared" si="5"/>
        <v>371</v>
      </c>
      <c r="B372" s="79">
        <f>YEAR(Table6[[#This Row],[Date]])+IF(MONTH(Table6[[#This Row],[Date]])&gt;=4,1,0)</f>
        <v>2026</v>
      </c>
      <c r="C372" s="79">
        <f>YEAR(Table6[[#This Row],[Date]])</f>
        <v>2025</v>
      </c>
      <c r="D372" s="79" t="s">
        <v>344</v>
      </c>
      <c r="E372" s="284">
        <f>Table6[[#This Row],[Date]]-DAY(Table6[[#This Row],[Date]])+1</f>
        <v>45748</v>
      </c>
      <c r="F372" s="285">
        <v>45773</v>
      </c>
      <c r="G372" s="79" t="s">
        <v>94</v>
      </c>
      <c r="H372" s="79" t="str">
        <f>IFERROR(_xlfn.XLOOKUP(Table6[[#This Row],[Affected Feeder ]],'Basic Data'!$A:$A,'Basic Data'!$B:$B),"")</f>
        <v>PWEPL</v>
      </c>
      <c r="I372" s="79" t="str">
        <f>IFERROR(_xlfn.XLOOKUP(Table6[[#This Row],[Affected Feeder ]],'Basic Data'!$A:$A,'Basic Data'!$C:$C),"")</f>
        <v>MSEDCL</v>
      </c>
      <c r="J372" s="295">
        <f>IFERROR(_xlfn.XLOOKUP(Table6[[#This Row],[Affected Feeder ]],'Basic Data'!$A:$A,'Basic Data'!$E:$E),"")</f>
        <v>2.2727272727272728E-2</v>
      </c>
      <c r="K372" s="296" t="s">
        <v>171</v>
      </c>
      <c r="L372" s="297">
        <v>0.77916666666666667</v>
      </c>
      <c r="M372" s="297">
        <v>0.77916666666666667</v>
      </c>
      <c r="N372" s="297">
        <v>0.79305555555555562</v>
      </c>
      <c r="O372" s="19">
        <f>(Table6[[#This Row],[Work Start TimeStamp]]-Table6[[#This Row],[Fault Start TimeStamp]])*24</f>
        <v>0</v>
      </c>
      <c r="P372" s="19">
        <f>(Table6[[#This Row],[Fault Clearance time]]-Table6[[#This Row],[Fault Start TimeStamp]])*24</f>
        <v>0.33333333333333481</v>
      </c>
      <c r="Q372" s="19">
        <f>(Table6[[#This Row],[Fault Clearance time]]-Table6[[#This Row],[Fault Start TimeStamp]])*24</f>
        <v>0.33333333333333481</v>
      </c>
      <c r="R372" s="79" t="s">
        <v>353</v>
      </c>
      <c r="S372" s="79" t="s">
        <v>339</v>
      </c>
      <c r="T372" s="298">
        <f>IFERROR(Table6[[#This Row],[Breakdown Time]]*Table6[[#This Row],[Plant Equivalent Weightage]],"")</f>
        <v>7.5757575757576098E-3</v>
      </c>
      <c r="U372" s="79" t="s">
        <v>416</v>
      </c>
      <c r="W372" s="79">
        <v>47</v>
      </c>
    </row>
    <row r="373" spans="1:23">
      <c r="A373" s="79">
        <f t="shared" si="5"/>
        <v>372</v>
      </c>
      <c r="B373" s="79">
        <f>YEAR(Table6[[#This Row],[Date]])+IF(MONTH(Table6[[#This Row],[Date]])&gt;=4,1,0)</f>
        <v>2026</v>
      </c>
      <c r="C373" s="79">
        <f>YEAR(Table6[[#This Row],[Date]])</f>
        <v>2025</v>
      </c>
      <c r="D373" s="79" t="s">
        <v>344</v>
      </c>
      <c r="E373" s="284">
        <f>Table6[[#This Row],[Date]]-DAY(Table6[[#This Row],[Date]])+1</f>
        <v>45748</v>
      </c>
      <c r="F373" s="285">
        <v>45773</v>
      </c>
      <c r="G373" s="79" t="s">
        <v>95</v>
      </c>
      <c r="H373" s="79" t="str">
        <f>IFERROR(_xlfn.XLOOKUP(Table6[[#This Row],[Affected Feeder ]],'Basic Data'!$A:$A,'Basic Data'!$B:$B),"")</f>
        <v>PWEPL</v>
      </c>
      <c r="I373" s="79" t="str">
        <f>IFERROR(_xlfn.XLOOKUP(Table6[[#This Row],[Affected Feeder ]],'Basic Data'!$A:$A,'Basic Data'!$C:$C),"")</f>
        <v>MSEDCL</v>
      </c>
      <c r="J373" s="295">
        <f>IFERROR(_xlfn.XLOOKUP(Table6[[#This Row],[Affected Feeder ]],'Basic Data'!$A:$A,'Basic Data'!$E:$E),"")</f>
        <v>2.2727272727272728E-2</v>
      </c>
      <c r="K373" s="296" t="s">
        <v>414</v>
      </c>
      <c r="L373" s="297">
        <v>0.30486111111111108</v>
      </c>
      <c r="M373" s="297">
        <v>0.30486111111111108</v>
      </c>
      <c r="N373" s="297">
        <v>0.77916666666666667</v>
      </c>
      <c r="O373" s="19">
        <f>(Table6[[#This Row],[Work Start TimeStamp]]-Table6[[#This Row],[Fault Start TimeStamp]])*24</f>
        <v>0</v>
      </c>
      <c r="P373" s="19">
        <f>(Table6[[#This Row],[Fault Clearance time]]-Table6[[#This Row],[Fault Start TimeStamp]])*24</f>
        <v>11.383333333333335</v>
      </c>
      <c r="Q373" s="19">
        <f>(Table6[[#This Row],[Fault Clearance time]]-Table6[[#This Row],[Fault Start TimeStamp]])*24</f>
        <v>11.383333333333335</v>
      </c>
      <c r="R373" s="79" t="s">
        <v>457</v>
      </c>
      <c r="S373" s="79" t="s">
        <v>339</v>
      </c>
      <c r="T373" s="298">
        <f>IFERROR(Table6[[#This Row],[Breakdown Time]]*Table6[[#This Row],[Plant Equivalent Weightage]],"")</f>
        <v>0.25871212121212123</v>
      </c>
      <c r="U373" s="79" t="s">
        <v>416</v>
      </c>
      <c r="W373" s="79">
        <v>1558</v>
      </c>
    </row>
    <row r="374" spans="1:23">
      <c r="A374" s="79">
        <f t="shared" si="5"/>
        <v>373</v>
      </c>
      <c r="B374" s="79">
        <f>YEAR(Table6[[#This Row],[Date]])+IF(MONTH(Table6[[#This Row],[Date]])&gt;=4,1,0)</f>
        <v>2026</v>
      </c>
      <c r="C374" s="79">
        <f>YEAR(Table6[[#This Row],[Date]])</f>
        <v>2025</v>
      </c>
      <c r="D374" s="79" t="s">
        <v>344</v>
      </c>
      <c r="E374" s="284">
        <f>Table6[[#This Row],[Date]]-DAY(Table6[[#This Row],[Date]])+1</f>
        <v>45748</v>
      </c>
      <c r="F374" s="285">
        <v>45773</v>
      </c>
      <c r="G374" s="79" t="s">
        <v>95</v>
      </c>
      <c r="H374" s="79" t="str">
        <f>IFERROR(_xlfn.XLOOKUP(Table6[[#This Row],[Affected Feeder ]],'Basic Data'!$A:$A,'Basic Data'!$B:$B),"")</f>
        <v>PWEPL</v>
      </c>
      <c r="I374" s="79" t="str">
        <f>IFERROR(_xlfn.XLOOKUP(Table6[[#This Row],[Affected Feeder ]],'Basic Data'!$A:$A,'Basic Data'!$C:$C),"")</f>
        <v>MSEDCL</v>
      </c>
      <c r="J374" s="295">
        <f>IFERROR(_xlfn.XLOOKUP(Table6[[#This Row],[Affected Feeder ]],'Basic Data'!$A:$A,'Basic Data'!$E:$E),"")</f>
        <v>2.2727272727272728E-2</v>
      </c>
      <c r="K374" s="296" t="s">
        <v>171</v>
      </c>
      <c r="L374" s="297">
        <v>0.77916666666666667</v>
      </c>
      <c r="M374" s="297">
        <v>0.77916666666666667</v>
      </c>
      <c r="N374" s="297">
        <v>0.79305555555555562</v>
      </c>
      <c r="O374" s="19">
        <f>(Table6[[#This Row],[Work Start TimeStamp]]-Table6[[#This Row],[Fault Start TimeStamp]])*24</f>
        <v>0</v>
      </c>
      <c r="P374" s="19">
        <f>(Table6[[#This Row],[Fault Clearance time]]-Table6[[#This Row],[Fault Start TimeStamp]])*24</f>
        <v>0.33333333333333481</v>
      </c>
      <c r="Q374" s="19">
        <f>(Table6[[#This Row],[Fault Clearance time]]-Table6[[#This Row],[Fault Start TimeStamp]])*24</f>
        <v>0.33333333333333481</v>
      </c>
      <c r="R374" s="79" t="s">
        <v>353</v>
      </c>
      <c r="S374" s="79" t="s">
        <v>339</v>
      </c>
      <c r="T374" s="298">
        <f>IFERROR(Table6[[#This Row],[Breakdown Time]]*Table6[[#This Row],[Plant Equivalent Weightage]],"")</f>
        <v>7.5757575757576098E-3</v>
      </c>
      <c r="U374" s="79" t="s">
        <v>416</v>
      </c>
      <c r="W374" s="79">
        <v>47</v>
      </c>
    </row>
    <row r="375" spans="1:23">
      <c r="A375" s="79">
        <f t="shared" si="5"/>
        <v>374</v>
      </c>
      <c r="B375" s="79">
        <f>YEAR(Table6[[#This Row],[Date]])+IF(MONTH(Table6[[#This Row],[Date]])&gt;=4,1,0)</f>
        <v>2026</v>
      </c>
      <c r="C375" s="79">
        <f>YEAR(Table6[[#This Row],[Date]])</f>
        <v>2025</v>
      </c>
      <c r="D375" s="79" t="s">
        <v>344</v>
      </c>
      <c r="E375" s="284">
        <f>Table6[[#This Row],[Date]]-DAY(Table6[[#This Row],[Date]])+1</f>
        <v>45748</v>
      </c>
      <c r="F375" s="285">
        <v>45773</v>
      </c>
      <c r="G375" s="79" t="s">
        <v>106</v>
      </c>
      <c r="H375" s="79" t="str">
        <f>IFERROR(_xlfn.XLOOKUP(Table6[[#This Row],[Affected Feeder ]],'Basic Data'!$A:$A,'Basic Data'!$B:$B),"")</f>
        <v>PWEPL</v>
      </c>
      <c r="I375" s="79" t="str">
        <f>IFERROR(_xlfn.XLOOKUP(Table6[[#This Row],[Affected Feeder ]],'Basic Data'!$A:$A,'Basic Data'!$C:$C),"")</f>
        <v>MSEDCL</v>
      </c>
      <c r="J375" s="295">
        <f>IFERROR(_xlfn.XLOOKUP(Table6[[#This Row],[Affected Feeder ]],'Basic Data'!$A:$A,'Basic Data'!$E:$E),"")</f>
        <v>2.2727272727272728E-2</v>
      </c>
      <c r="K375" s="296" t="s">
        <v>414</v>
      </c>
      <c r="L375" s="297">
        <v>0.30486111111111108</v>
      </c>
      <c r="M375" s="297">
        <v>0.30486111111111108</v>
      </c>
      <c r="N375" s="297">
        <v>0.77916666666666667</v>
      </c>
      <c r="O375" s="19">
        <f>(Table6[[#This Row],[Work Start TimeStamp]]-Table6[[#This Row],[Fault Start TimeStamp]])*24</f>
        <v>0</v>
      </c>
      <c r="P375" s="19">
        <f>(Table6[[#This Row],[Fault Clearance time]]-Table6[[#This Row],[Fault Start TimeStamp]])*24</f>
        <v>11.383333333333335</v>
      </c>
      <c r="Q375" s="19">
        <f>(Table6[[#This Row],[Fault Clearance time]]-Table6[[#This Row],[Fault Start TimeStamp]])*24</f>
        <v>11.383333333333335</v>
      </c>
      <c r="R375" s="79" t="s">
        <v>457</v>
      </c>
      <c r="S375" s="79" t="s">
        <v>339</v>
      </c>
      <c r="T375" s="298">
        <f>IFERROR(Table6[[#This Row],[Breakdown Time]]*Table6[[#This Row],[Plant Equivalent Weightage]],"")</f>
        <v>0.25871212121212123</v>
      </c>
      <c r="U375" s="79" t="s">
        <v>416</v>
      </c>
      <c r="W375" s="79">
        <v>1558</v>
      </c>
    </row>
    <row r="376" spans="1:23">
      <c r="A376" s="79">
        <f t="shared" si="5"/>
        <v>375</v>
      </c>
      <c r="B376" s="79">
        <f>YEAR(Table6[[#This Row],[Date]])+IF(MONTH(Table6[[#This Row],[Date]])&gt;=4,1,0)</f>
        <v>2026</v>
      </c>
      <c r="C376" s="79">
        <f>YEAR(Table6[[#This Row],[Date]])</f>
        <v>2025</v>
      </c>
      <c r="D376" s="79" t="s">
        <v>344</v>
      </c>
      <c r="E376" s="284">
        <f>Table6[[#This Row],[Date]]-DAY(Table6[[#This Row],[Date]])+1</f>
        <v>45748</v>
      </c>
      <c r="F376" s="285">
        <v>45773</v>
      </c>
      <c r="G376" s="79" t="s">
        <v>106</v>
      </c>
      <c r="H376" s="79" t="str">
        <f>IFERROR(_xlfn.XLOOKUP(Table6[[#This Row],[Affected Feeder ]],'Basic Data'!$A:$A,'Basic Data'!$B:$B),"")</f>
        <v>PWEPL</v>
      </c>
      <c r="I376" s="79" t="str">
        <f>IFERROR(_xlfn.XLOOKUP(Table6[[#This Row],[Affected Feeder ]],'Basic Data'!$A:$A,'Basic Data'!$C:$C),"")</f>
        <v>MSEDCL</v>
      </c>
      <c r="J376" s="295">
        <f>IFERROR(_xlfn.XLOOKUP(Table6[[#This Row],[Affected Feeder ]],'Basic Data'!$A:$A,'Basic Data'!$E:$E),"")</f>
        <v>2.2727272727272728E-2</v>
      </c>
      <c r="K376" s="296" t="s">
        <v>171</v>
      </c>
      <c r="L376" s="297">
        <v>0.77916666666666667</v>
      </c>
      <c r="M376" s="297">
        <v>0.77916666666666667</v>
      </c>
      <c r="N376" s="297">
        <v>0.79305555555555562</v>
      </c>
      <c r="O376" s="19">
        <f>(Table6[[#This Row],[Work Start TimeStamp]]-Table6[[#This Row],[Fault Start TimeStamp]])*24</f>
        <v>0</v>
      </c>
      <c r="P376" s="19">
        <f>(Table6[[#This Row],[Fault Clearance time]]-Table6[[#This Row],[Fault Start TimeStamp]])*24</f>
        <v>0.33333333333333481</v>
      </c>
      <c r="Q376" s="19">
        <f>(Table6[[#This Row],[Fault Clearance time]]-Table6[[#This Row],[Fault Start TimeStamp]])*24</f>
        <v>0.33333333333333481</v>
      </c>
      <c r="R376" s="79" t="s">
        <v>353</v>
      </c>
      <c r="S376" s="79" t="s">
        <v>339</v>
      </c>
      <c r="T376" s="298">
        <f>IFERROR(Table6[[#This Row],[Breakdown Time]]*Table6[[#This Row],[Plant Equivalent Weightage]],"")</f>
        <v>7.5757575757576098E-3</v>
      </c>
      <c r="U376" s="79" t="s">
        <v>416</v>
      </c>
      <c r="W376" s="79">
        <v>47</v>
      </c>
    </row>
    <row r="377" spans="1:23">
      <c r="A377" s="79">
        <f t="shared" si="5"/>
        <v>376</v>
      </c>
      <c r="B377" s="79">
        <f>YEAR(Table6[[#This Row],[Date]])+IF(MONTH(Table6[[#This Row],[Date]])&gt;=4,1,0)</f>
        <v>2026</v>
      </c>
      <c r="C377" s="79">
        <f>YEAR(Table6[[#This Row],[Date]])</f>
        <v>2025</v>
      </c>
      <c r="D377" s="79" t="s">
        <v>344</v>
      </c>
      <c r="E377" s="284">
        <f>Table6[[#This Row],[Date]]-DAY(Table6[[#This Row],[Date]])+1</f>
        <v>45778</v>
      </c>
      <c r="F377" s="285">
        <v>45780</v>
      </c>
      <c r="G377" s="79" t="s">
        <v>79</v>
      </c>
      <c r="H377" s="79" t="str">
        <f>IFERROR(_xlfn.XLOOKUP(Table6[[#This Row],[Affected Feeder ]],'Basic Data'!$A:$A,'Basic Data'!$B:$B),"")</f>
        <v>PWEPL</v>
      </c>
      <c r="I377" s="79" t="str">
        <f>IFERROR(_xlfn.XLOOKUP(Table6[[#This Row],[Affected Feeder ]],'Basic Data'!$A:$A,'Basic Data'!$C:$C),"")</f>
        <v>MSEDCL</v>
      </c>
      <c r="J377" s="295">
        <f>IFERROR(_xlfn.XLOOKUP(Table6[[#This Row],[Affected Feeder ]],'Basic Data'!$A:$A,'Basic Data'!$E:$E),"")</f>
        <v>2.2727272727272728E-2</v>
      </c>
      <c r="K377" s="296" t="s">
        <v>414</v>
      </c>
      <c r="L377" s="297">
        <v>0.32708333333333334</v>
      </c>
      <c r="M377" s="297">
        <v>0.32708333333333334</v>
      </c>
      <c r="N377" s="297">
        <v>0.68055555555555547</v>
      </c>
      <c r="O377" s="19">
        <f>(Table6[[#This Row],[Work Start TimeStamp]]-Table6[[#This Row],[Fault Start TimeStamp]])*24</f>
        <v>0</v>
      </c>
      <c r="P377" s="19">
        <f>(Table6[[#This Row],[Fault Clearance time]]-Table6[[#This Row],[Fault Start TimeStamp]])*24</f>
        <v>8.4833333333333307</v>
      </c>
      <c r="Q377" s="19">
        <f>(Table6[[#This Row],[Fault Clearance time]]-Table6[[#This Row],[Fault Start TimeStamp]])*24</f>
        <v>8.4833333333333307</v>
      </c>
      <c r="R377" s="79" t="s">
        <v>457</v>
      </c>
      <c r="S377" s="79" t="s">
        <v>339</v>
      </c>
      <c r="T377" s="298">
        <f>IFERROR(Table6[[#This Row],[Breakdown Time]]*Table6[[#This Row],[Plant Equivalent Weightage]],"")</f>
        <v>0.19280303030303025</v>
      </c>
      <c r="U377" s="79" t="s">
        <v>416</v>
      </c>
      <c r="W377" s="79">
        <v>3829</v>
      </c>
    </row>
    <row r="378" spans="1:23">
      <c r="A378" s="79">
        <f t="shared" si="5"/>
        <v>377</v>
      </c>
      <c r="B378" s="79">
        <f>YEAR(Table6[[#This Row],[Date]])+IF(MONTH(Table6[[#This Row],[Date]])&gt;=4,1,0)</f>
        <v>2026</v>
      </c>
      <c r="C378" s="79">
        <f>YEAR(Table6[[#This Row],[Date]])</f>
        <v>2025</v>
      </c>
      <c r="D378" s="79" t="s">
        <v>344</v>
      </c>
      <c r="E378" s="284">
        <f>Table6[[#This Row],[Date]]-DAY(Table6[[#This Row],[Date]])+1</f>
        <v>45778</v>
      </c>
      <c r="F378" s="285">
        <v>45780</v>
      </c>
      <c r="G378" s="79" t="s">
        <v>79</v>
      </c>
      <c r="H378" s="79" t="str">
        <f>IFERROR(_xlfn.XLOOKUP(Table6[[#This Row],[Affected Feeder ]],'Basic Data'!$A:$A,'Basic Data'!$B:$B),"")</f>
        <v>PWEPL</v>
      </c>
      <c r="I378" s="79" t="str">
        <f>IFERROR(_xlfn.XLOOKUP(Table6[[#This Row],[Affected Feeder ]],'Basic Data'!$A:$A,'Basic Data'!$C:$C),"")</f>
        <v>MSEDCL</v>
      </c>
      <c r="J378" s="295">
        <f>IFERROR(_xlfn.XLOOKUP(Table6[[#This Row],[Affected Feeder ]],'Basic Data'!$A:$A,'Basic Data'!$E:$E),"")</f>
        <v>2.2727272727272728E-2</v>
      </c>
      <c r="K378" s="296" t="s">
        <v>171</v>
      </c>
      <c r="L378" s="297">
        <v>0.68055555555555547</v>
      </c>
      <c r="M378" s="297">
        <v>0.68055555555555547</v>
      </c>
      <c r="N378" s="297">
        <v>0.69444444444444453</v>
      </c>
      <c r="O378" s="19">
        <f>(Table6[[#This Row],[Work Start TimeStamp]]-Table6[[#This Row],[Fault Start TimeStamp]])*24</f>
        <v>0</v>
      </c>
      <c r="P378" s="19">
        <f>(Table6[[#This Row],[Fault Clearance time]]-Table6[[#This Row],[Fault Start TimeStamp]])*24</f>
        <v>0.33333333333333748</v>
      </c>
      <c r="Q378" s="19">
        <f>(Table6[[#This Row],[Fault Clearance time]]-Table6[[#This Row],[Fault Start TimeStamp]])*24</f>
        <v>0.33333333333333748</v>
      </c>
      <c r="R378" s="79" t="s">
        <v>353</v>
      </c>
      <c r="S378" s="79" t="s">
        <v>339</v>
      </c>
      <c r="T378" s="298">
        <f>IFERROR(Table6[[#This Row],[Breakdown Time]]*Table6[[#This Row],[Plant Equivalent Weightage]],"")</f>
        <v>7.5757575757576705E-3</v>
      </c>
      <c r="U378" s="79" t="s">
        <v>416</v>
      </c>
      <c r="W378" s="79">
        <v>156</v>
      </c>
    </row>
    <row r="379" spans="1:23">
      <c r="A379" s="79">
        <f t="shared" si="5"/>
        <v>378</v>
      </c>
      <c r="B379" s="79">
        <f>YEAR(Table6[[#This Row],[Date]])+IF(MONTH(Table6[[#This Row],[Date]])&gt;=4,1,0)</f>
        <v>2026</v>
      </c>
      <c r="C379" s="79">
        <f>YEAR(Table6[[#This Row],[Date]])</f>
        <v>2025</v>
      </c>
      <c r="D379" s="79" t="s">
        <v>344</v>
      </c>
      <c r="E379" s="284">
        <f>Table6[[#This Row],[Date]]-DAY(Table6[[#This Row],[Date]])+1</f>
        <v>45778</v>
      </c>
      <c r="F379" s="285">
        <v>45780</v>
      </c>
      <c r="G379" s="79" t="s">
        <v>96</v>
      </c>
      <c r="H379" s="79" t="str">
        <f>IFERROR(_xlfn.XLOOKUP(Table6[[#This Row],[Affected Feeder ]],'Basic Data'!$A:$A,'Basic Data'!$B:$B),"")</f>
        <v>PWEPL</v>
      </c>
      <c r="I379" s="79" t="str">
        <f>IFERROR(_xlfn.XLOOKUP(Table6[[#This Row],[Affected Feeder ]],'Basic Data'!$A:$A,'Basic Data'!$C:$C),"")</f>
        <v>MSEDCL</v>
      </c>
      <c r="J379" s="295">
        <f>IFERROR(_xlfn.XLOOKUP(Table6[[#This Row],[Affected Feeder ]],'Basic Data'!$A:$A,'Basic Data'!$E:$E),"")</f>
        <v>2.2727272727272728E-2</v>
      </c>
      <c r="K379" s="296" t="s">
        <v>414</v>
      </c>
      <c r="L379" s="297">
        <v>0.32708333333333334</v>
      </c>
      <c r="M379" s="297">
        <v>0.32708333333333334</v>
      </c>
      <c r="N379" s="297">
        <v>0.68055555555555547</v>
      </c>
      <c r="O379" s="19">
        <f>(Table6[[#This Row],[Work Start TimeStamp]]-Table6[[#This Row],[Fault Start TimeStamp]])*24</f>
        <v>0</v>
      </c>
      <c r="P379" s="19">
        <f>(Table6[[#This Row],[Fault Clearance time]]-Table6[[#This Row],[Fault Start TimeStamp]])*24</f>
        <v>8.4833333333333307</v>
      </c>
      <c r="Q379" s="19">
        <f>(Table6[[#This Row],[Fault Clearance time]]-Table6[[#This Row],[Fault Start TimeStamp]])*24</f>
        <v>8.4833333333333307</v>
      </c>
      <c r="R379" s="79" t="s">
        <v>457</v>
      </c>
      <c r="S379" s="79" t="s">
        <v>339</v>
      </c>
      <c r="T379" s="298">
        <f>IFERROR(Table6[[#This Row],[Breakdown Time]]*Table6[[#This Row],[Plant Equivalent Weightage]],"")</f>
        <v>0.19280303030303025</v>
      </c>
      <c r="U379" s="79" t="s">
        <v>416</v>
      </c>
      <c r="W379" s="79">
        <v>3831</v>
      </c>
    </row>
    <row r="380" spans="1:23">
      <c r="A380" s="79">
        <f t="shared" si="5"/>
        <v>379</v>
      </c>
      <c r="B380" s="79">
        <f>YEAR(Table6[[#This Row],[Date]])+IF(MONTH(Table6[[#This Row],[Date]])&gt;=4,1,0)</f>
        <v>2026</v>
      </c>
      <c r="C380" s="79">
        <f>YEAR(Table6[[#This Row],[Date]])</f>
        <v>2025</v>
      </c>
      <c r="D380" s="79" t="s">
        <v>344</v>
      </c>
      <c r="E380" s="284">
        <f>Table6[[#This Row],[Date]]-DAY(Table6[[#This Row],[Date]])+1</f>
        <v>45778</v>
      </c>
      <c r="F380" s="285">
        <v>45780</v>
      </c>
      <c r="G380" s="79" t="s">
        <v>96</v>
      </c>
      <c r="H380" s="79" t="str">
        <f>IFERROR(_xlfn.XLOOKUP(Table6[[#This Row],[Affected Feeder ]],'Basic Data'!$A:$A,'Basic Data'!$B:$B),"")</f>
        <v>PWEPL</v>
      </c>
      <c r="I380" s="79" t="str">
        <f>IFERROR(_xlfn.XLOOKUP(Table6[[#This Row],[Affected Feeder ]],'Basic Data'!$A:$A,'Basic Data'!$C:$C),"")</f>
        <v>MSEDCL</v>
      </c>
      <c r="J380" s="295">
        <f>IFERROR(_xlfn.XLOOKUP(Table6[[#This Row],[Affected Feeder ]],'Basic Data'!$A:$A,'Basic Data'!$E:$E),"")</f>
        <v>2.2727272727272728E-2</v>
      </c>
      <c r="K380" s="296" t="s">
        <v>171</v>
      </c>
      <c r="L380" s="297">
        <v>0.68055555555555547</v>
      </c>
      <c r="M380" s="297">
        <v>0.68055555555555547</v>
      </c>
      <c r="N380" s="297">
        <v>0.69166666666666676</v>
      </c>
      <c r="O380" s="19">
        <f>(Table6[[#This Row],[Work Start TimeStamp]]-Table6[[#This Row],[Fault Start TimeStamp]])*24</f>
        <v>0</v>
      </c>
      <c r="P380" s="19">
        <f>(Table6[[#This Row],[Fault Clearance time]]-Table6[[#This Row],[Fault Start TimeStamp]])*24</f>
        <v>0.26666666666667105</v>
      </c>
      <c r="Q380" s="19">
        <f>(Table6[[#This Row],[Fault Clearance time]]-Table6[[#This Row],[Fault Start TimeStamp]])*24</f>
        <v>0.26666666666667105</v>
      </c>
      <c r="R380" s="79" t="s">
        <v>353</v>
      </c>
      <c r="S380" s="79" t="s">
        <v>339</v>
      </c>
      <c r="T380" s="298">
        <f>IFERROR(Table6[[#This Row],[Breakdown Time]]*Table6[[#This Row],[Plant Equivalent Weightage]],"")</f>
        <v>6.0606060606061603E-3</v>
      </c>
      <c r="U380" s="79" t="s">
        <v>416</v>
      </c>
      <c r="W380" s="79">
        <v>124</v>
      </c>
    </row>
    <row r="381" spans="1:23">
      <c r="A381" s="79">
        <f t="shared" si="5"/>
        <v>380</v>
      </c>
      <c r="B381" s="79">
        <f>YEAR(Table6[[#This Row],[Date]])+IF(MONTH(Table6[[#This Row],[Date]])&gt;=4,1,0)</f>
        <v>2026</v>
      </c>
      <c r="C381" s="79">
        <f>YEAR(Table6[[#This Row],[Date]])</f>
        <v>2025</v>
      </c>
      <c r="D381" s="79" t="s">
        <v>344</v>
      </c>
      <c r="E381" s="284">
        <f>Table6[[#This Row],[Date]]-DAY(Table6[[#This Row],[Date]])+1</f>
        <v>45778</v>
      </c>
      <c r="F381" s="285">
        <v>45780</v>
      </c>
      <c r="G381" s="79" t="s">
        <v>97</v>
      </c>
      <c r="H381" s="79" t="str">
        <f>IFERROR(_xlfn.XLOOKUP(Table6[[#This Row],[Affected Feeder ]],'Basic Data'!$A:$A,'Basic Data'!$B:$B),"")</f>
        <v>PWEPL</v>
      </c>
      <c r="I381" s="79" t="str">
        <f>IFERROR(_xlfn.XLOOKUP(Table6[[#This Row],[Affected Feeder ]],'Basic Data'!$A:$A,'Basic Data'!$C:$C),"")</f>
        <v>MSEDCL</v>
      </c>
      <c r="J381" s="295">
        <f>IFERROR(_xlfn.XLOOKUP(Table6[[#This Row],[Affected Feeder ]],'Basic Data'!$A:$A,'Basic Data'!$E:$E),"")</f>
        <v>2.2727272727272728E-2</v>
      </c>
      <c r="K381" s="296" t="s">
        <v>414</v>
      </c>
      <c r="L381" s="297">
        <v>0.32708333333333334</v>
      </c>
      <c r="M381" s="297">
        <v>0.32708333333333334</v>
      </c>
      <c r="N381" s="297">
        <v>0.68055555555555547</v>
      </c>
      <c r="O381" s="19">
        <f>(Table6[[#This Row],[Work Start TimeStamp]]-Table6[[#This Row],[Fault Start TimeStamp]])*24</f>
        <v>0</v>
      </c>
      <c r="P381" s="19">
        <f>(Table6[[#This Row],[Fault Clearance time]]-Table6[[#This Row],[Fault Start TimeStamp]])*24</f>
        <v>8.4833333333333307</v>
      </c>
      <c r="Q381" s="19">
        <f>(Table6[[#This Row],[Fault Clearance time]]-Table6[[#This Row],[Fault Start TimeStamp]])*24</f>
        <v>8.4833333333333307</v>
      </c>
      <c r="R381" s="79" t="s">
        <v>457</v>
      </c>
      <c r="S381" s="79" t="s">
        <v>339</v>
      </c>
      <c r="T381" s="298">
        <f>IFERROR(Table6[[#This Row],[Breakdown Time]]*Table6[[#This Row],[Plant Equivalent Weightage]],"")</f>
        <v>0.19280303030303025</v>
      </c>
      <c r="U381" s="79" t="s">
        <v>416</v>
      </c>
      <c r="W381" s="79">
        <v>3830</v>
      </c>
    </row>
    <row r="382" spans="1:23">
      <c r="A382" s="79">
        <f t="shared" si="5"/>
        <v>381</v>
      </c>
      <c r="B382" s="79">
        <f>YEAR(Table6[[#This Row],[Date]])+IF(MONTH(Table6[[#This Row],[Date]])&gt;=4,1,0)</f>
        <v>2026</v>
      </c>
      <c r="C382" s="79">
        <f>YEAR(Table6[[#This Row],[Date]])</f>
        <v>2025</v>
      </c>
      <c r="D382" s="79" t="s">
        <v>344</v>
      </c>
      <c r="E382" s="284">
        <f>Table6[[#This Row],[Date]]-DAY(Table6[[#This Row],[Date]])+1</f>
        <v>45778</v>
      </c>
      <c r="F382" s="285">
        <v>45780</v>
      </c>
      <c r="G382" s="79" t="s">
        <v>97</v>
      </c>
      <c r="H382" s="79" t="str">
        <f>IFERROR(_xlfn.XLOOKUP(Table6[[#This Row],[Affected Feeder ]],'Basic Data'!$A:$A,'Basic Data'!$B:$B),"")</f>
        <v>PWEPL</v>
      </c>
      <c r="I382" s="79" t="str">
        <f>IFERROR(_xlfn.XLOOKUP(Table6[[#This Row],[Affected Feeder ]],'Basic Data'!$A:$A,'Basic Data'!$C:$C),"")</f>
        <v>MSEDCL</v>
      </c>
      <c r="J382" s="295">
        <f>IFERROR(_xlfn.XLOOKUP(Table6[[#This Row],[Affected Feeder ]],'Basic Data'!$A:$A,'Basic Data'!$E:$E),"")</f>
        <v>2.2727272727272728E-2</v>
      </c>
      <c r="K382" s="296" t="s">
        <v>171</v>
      </c>
      <c r="L382" s="297">
        <v>0.68055555555555547</v>
      </c>
      <c r="M382" s="297">
        <v>0.68055555555555547</v>
      </c>
      <c r="N382" s="297">
        <v>0.69236111111111109</v>
      </c>
      <c r="O382" s="19">
        <f>(Table6[[#This Row],[Work Start TimeStamp]]-Table6[[#This Row],[Fault Start TimeStamp]])*24</f>
        <v>0</v>
      </c>
      <c r="P382" s="19">
        <f>(Table6[[#This Row],[Fault Clearance time]]-Table6[[#This Row],[Fault Start TimeStamp]])*24</f>
        <v>0.28333333333333499</v>
      </c>
      <c r="Q382" s="19">
        <f>(Table6[[#This Row],[Fault Clearance time]]-Table6[[#This Row],[Fault Start TimeStamp]])*24</f>
        <v>0.28333333333333499</v>
      </c>
      <c r="R382" s="79" t="s">
        <v>353</v>
      </c>
      <c r="S382" s="79" t="s">
        <v>339</v>
      </c>
      <c r="T382" s="298">
        <f>IFERROR(Table6[[#This Row],[Breakdown Time]]*Table6[[#This Row],[Plant Equivalent Weightage]],"")</f>
        <v>6.4393939393939774E-3</v>
      </c>
      <c r="U382" s="79" t="s">
        <v>416</v>
      </c>
      <c r="W382" s="79">
        <v>132</v>
      </c>
    </row>
    <row r="383" spans="1:23">
      <c r="A383" s="79">
        <f t="shared" si="5"/>
        <v>382</v>
      </c>
      <c r="B383" s="79">
        <f>YEAR(Table6[[#This Row],[Date]])+IF(MONTH(Table6[[#This Row],[Date]])&gt;=4,1,0)</f>
        <v>2026</v>
      </c>
      <c r="C383" s="79">
        <f>YEAR(Table6[[#This Row],[Date]])</f>
        <v>2025</v>
      </c>
      <c r="D383" s="79" t="s">
        <v>344</v>
      </c>
      <c r="E383" s="284">
        <f>Table6[[#This Row],[Date]]-DAY(Table6[[#This Row],[Date]])+1</f>
        <v>45778</v>
      </c>
      <c r="F383" s="285">
        <v>45780</v>
      </c>
      <c r="G383" s="79" t="s">
        <v>104</v>
      </c>
      <c r="H383" s="79" t="str">
        <f>IFERROR(_xlfn.XLOOKUP(Table6[[#This Row],[Affected Feeder ]],'Basic Data'!$A:$A,'Basic Data'!$B:$B),"")</f>
        <v>PWEPL</v>
      </c>
      <c r="I383" s="79" t="str">
        <f>IFERROR(_xlfn.XLOOKUP(Table6[[#This Row],[Affected Feeder ]],'Basic Data'!$A:$A,'Basic Data'!$C:$C),"")</f>
        <v>MSEDCL</v>
      </c>
      <c r="J383" s="295">
        <f>IFERROR(_xlfn.XLOOKUP(Table6[[#This Row],[Affected Feeder ]],'Basic Data'!$A:$A,'Basic Data'!$E:$E),"")</f>
        <v>2.2727272727272728E-2</v>
      </c>
      <c r="K383" s="296" t="s">
        <v>414</v>
      </c>
      <c r="L383" s="297">
        <v>0.32708333333333334</v>
      </c>
      <c r="M383" s="297">
        <v>0.32708333333333334</v>
      </c>
      <c r="N383" s="297">
        <v>0.68055555555555547</v>
      </c>
      <c r="O383" s="19">
        <f>(Table6[[#This Row],[Work Start TimeStamp]]-Table6[[#This Row],[Fault Start TimeStamp]])*24</f>
        <v>0</v>
      </c>
      <c r="P383" s="19">
        <f>(Table6[[#This Row],[Fault Clearance time]]-Table6[[#This Row],[Fault Start TimeStamp]])*24</f>
        <v>8.4833333333333307</v>
      </c>
      <c r="Q383" s="19">
        <f>(Table6[[#This Row],[Fault Clearance time]]-Table6[[#This Row],[Fault Start TimeStamp]])*24</f>
        <v>8.4833333333333307</v>
      </c>
      <c r="R383" s="79" t="s">
        <v>457</v>
      </c>
      <c r="S383" s="79" t="s">
        <v>339</v>
      </c>
      <c r="T383" s="298">
        <f>IFERROR(Table6[[#This Row],[Breakdown Time]]*Table6[[#This Row],[Plant Equivalent Weightage]],"")</f>
        <v>0.19280303030303025</v>
      </c>
      <c r="U383" s="79" t="s">
        <v>416</v>
      </c>
      <c r="W383" s="79">
        <v>3831</v>
      </c>
    </row>
    <row r="384" spans="1:23">
      <c r="A384" s="79">
        <f t="shared" si="5"/>
        <v>383</v>
      </c>
      <c r="B384" s="79">
        <f>YEAR(Table6[[#This Row],[Date]])+IF(MONTH(Table6[[#This Row],[Date]])&gt;=4,1,0)</f>
        <v>2026</v>
      </c>
      <c r="C384" s="79">
        <f>YEAR(Table6[[#This Row],[Date]])</f>
        <v>2025</v>
      </c>
      <c r="D384" s="79" t="s">
        <v>344</v>
      </c>
      <c r="E384" s="284">
        <f>Table6[[#This Row],[Date]]-DAY(Table6[[#This Row],[Date]])+1</f>
        <v>45778</v>
      </c>
      <c r="F384" s="285">
        <v>45780</v>
      </c>
      <c r="G384" s="79" t="s">
        <v>104</v>
      </c>
      <c r="H384" s="79" t="str">
        <f>IFERROR(_xlfn.XLOOKUP(Table6[[#This Row],[Affected Feeder ]],'Basic Data'!$A:$A,'Basic Data'!$B:$B),"")</f>
        <v>PWEPL</v>
      </c>
      <c r="I384" s="79" t="str">
        <f>IFERROR(_xlfn.XLOOKUP(Table6[[#This Row],[Affected Feeder ]],'Basic Data'!$A:$A,'Basic Data'!$C:$C),"")</f>
        <v>MSEDCL</v>
      </c>
      <c r="J384" s="295">
        <f>IFERROR(_xlfn.XLOOKUP(Table6[[#This Row],[Affected Feeder ]],'Basic Data'!$A:$A,'Basic Data'!$E:$E),"")</f>
        <v>2.2727272727272728E-2</v>
      </c>
      <c r="K384" s="296" t="s">
        <v>171</v>
      </c>
      <c r="L384" s="297">
        <v>0.68055555555555547</v>
      </c>
      <c r="M384" s="297">
        <v>0.68055555555555547</v>
      </c>
      <c r="N384" s="297">
        <v>0.69097222222222221</v>
      </c>
      <c r="O384" s="19">
        <f>(Table6[[#This Row],[Work Start TimeStamp]]-Table6[[#This Row],[Fault Start TimeStamp]])*24</f>
        <v>0</v>
      </c>
      <c r="P384" s="19">
        <f>(Table6[[#This Row],[Fault Clearance time]]-Table6[[#This Row],[Fault Start TimeStamp]])*24</f>
        <v>0.25000000000000178</v>
      </c>
      <c r="Q384" s="19">
        <f>(Table6[[#This Row],[Fault Clearance time]]-Table6[[#This Row],[Fault Start TimeStamp]])*24</f>
        <v>0.25000000000000178</v>
      </c>
      <c r="R384" s="79" t="s">
        <v>353</v>
      </c>
      <c r="S384" s="79" t="s">
        <v>339</v>
      </c>
      <c r="T384" s="298">
        <f>IFERROR(Table6[[#This Row],[Breakdown Time]]*Table6[[#This Row],[Plant Equivalent Weightage]],"")</f>
        <v>5.6818181818182227E-3</v>
      </c>
      <c r="U384" s="79" t="s">
        <v>416</v>
      </c>
      <c r="W384" s="79">
        <v>116</v>
      </c>
    </row>
    <row r="385" spans="1:23">
      <c r="A385" s="79">
        <f t="shared" si="5"/>
        <v>384</v>
      </c>
      <c r="B385" s="79">
        <f>YEAR(Table6[[#This Row],[Date]])+IF(MONTH(Table6[[#This Row],[Date]])&gt;=4,1,0)</f>
        <v>2026</v>
      </c>
      <c r="C385" s="79">
        <f>YEAR(Table6[[#This Row],[Date]])</f>
        <v>2025</v>
      </c>
      <c r="D385" s="79" t="s">
        <v>344</v>
      </c>
      <c r="E385" s="284">
        <f>Table6[[#This Row],[Date]]-DAY(Table6[[#This Row],[Date]])+1</f>
        <v>45778</v>
      </c>
      <c r="F385" s="285">
        <v>45780</v>
      </c>
      <c r="G385" s="79" t="s">
        <v>110</v>
      </c>
      <c r="H385" s="79" t="str">
        <f>IFERROR(_xlfn.XLOOKUP(Table6[[#This Row],[Affected Feeder ]],'Basic Data'!$A:$A,'Basic Data'!$B:$B),"")</f>
        <v>PWEPL</v>
      </c>
      <c r="I385" s="79" t="str">
        <f>IFERROR(_xlfn.XLOOKUP(Table6[[#This Row],[Affected Feeder ]],'Basic Data'!$A:$A,'Basic Data'!$C:$C),"")</f>
        <v>MSEDCL</v>
      </c>
      <c r="J385" s="295">
        <f>IFERROR(_xlfn.XLOOKUP(Table6[[#This Row],[Affected Feeder ]],'Basic Data'!$A:$A,'Basic Data'!$E:$E),"")</f>
        <v>2.2727272727272728E-2</v>
      </c>
      <c r="K385" s="296" t="s">
        <v>414</v>
      </c>
      <c r="L385" s="297">
        <v>0.32708333333333334</v>
      </c>
      <c r="M385" s="297">
        <v>0.32708333333333334</v>
      </c>
      <c r="N385" s="297">
        <v>0.68055555555555547</v>
      </c>
      <c r="O385" s="19">
        <f>(Table6[[#This Row],[Work Start TimeStamp]]-Table6[[#This Row],[Fault Start TimeStamp]])*24</f>
        <v>0</v>
      </c>
      <c r="P385" s="19">
        <f>(Table6[[#This Row],[Fault Clearance time]]-Table6[[#This Row],[Fault Start TimeStamp]])*24</f>
        <v>8.4833333333333307</v>
      </c>
      <c r="Q385" s="19">
        <f>(Table6[[#This Row],[Fault Clearance time]]-Table6[[#This Row],[Fault Start TimeStamp]])*24</f>
        <v>8.4833333333333307</v>
      </c>
      <c r="R385" s="79" t="s">
        <v>457</v>
      </c>
      <c r="S385" s="79" t="s">
        <v>339</v>
      </c>
      <c r="T385" s="298">
        <f>IFERROR(Table6[[#This Row],[Breakdown Time]]*Table6[[#This Row],[Plant Equivalent Weightage]],"")</f>
        <v>0.19280303030303025</v>
      </c>
      <c r="U385" s="79" t="s">
        <v>416</v>
      </c>
      <c r="W385" s="79">
        <v>3831</v>
      </c>
    </row>
    <row r="386" spans="1:23">
      <c r="A386" s="79">
        <f t="shared" si="5"/>
        <v>385</v>
      </c>
      <c r="B386" s="79">
        <f>YEAR(Table6[[#This Row],[Date]])+IF(MONTH(Table6[[#This Row],[Date]])&gt;=4,1,0)</f>
        <v>2026</v>
      </c>
      <c r="C386" s="79">
        <f>YEAR(Table6[[#This Row],[Date]])</f>
        <v>2025</v>
      </c>
      <c r="D386" s="79" t="s">
        <v>344</v>
      </c>
      <c r="E386" s="284">
        <f>Table6[[#This Row],[Date]]-DAY(Table6[[#This Row],[Date]])+1</f>
        <v>45778</v>
      </c>
      <c r="F386" s="285">
        <v>45780</v>
      </c>
      <c r="G386" s="79" t="s">
        <v>110</v>
      </c>
      <c r="H386" s="79" t="str">
        <f>IFERROR(_xlfn.XLOOKUP(Table6[[#This Row],[Affected Feeder ]],'Basic Data'!$A:$A,'Basic Data'!$B:$B),"")</f>
        <v>PWEPL</v>
      </c>
      <c r="I386" s="79" t="str">
        <f>IFERROR(_xlfn.XLOOKUP(Table6[[#This Row],[Affected Feeder ]],'Basic Data'!$A:$A,'Basic Data'!$C:$C),"")</f>
        <v>MSEDCL</v>
      </c>
      <c r="J386" s="295">
        <f>IFERROR(_xlfn.XLOOKUP(Table6[[#This Row],[Affected Feeder ]],'Basic Data'!$A:$A,'Basic Data'!$E:$E),"")</f>
        <v>2.2727272727272728E-2</v>
      </c>
      <c r="K386" s="296" t="s">
        <v>171</v>
      </c>
      <c r="L386" s="297">
        <v>0.68055555555555547</v>
      </c>
      <c r="M386" s="297">
        <v>0.68055555555555547</v>
      </c>
      <c r="N386" s="297">
        <v>0.69097222222222221</v>
      </c>
      <c r="O386" s="19">
        <f>(Table6[[#This Row],[Work Start TimeStamp]]-Table6[[#This Row],[Fault Start TimeStamp]])*24</f>
        <v>0</v>
      </c>
      <c r="P386" s="19">
        <f>(Table6[[#This Row],[Fault Clearance time]]-Table6[[#This Row],[Fault Start TimeStamp]])*24</f>
        <v>0.25000000000000178</v>
      </c>
      <c r="Q386" s="19">
        <f>(Table6[[#This Row],[Fault Clearance time]]-Table6[[#This Row],[Fault Start TimeStamp]])*24</f>
        <v>0.25000000000000178</v>
      </c>
      <c r="R386" s="79" t="s">
        <v>353</v>
      </c>
      <c r="S386" s="79" t="s">
        <v>339</v>
      </c>
      <c r="T386" s="298">
        <f>IFERROR(Table6[[#This Row],[Breakdown Time]]*Table6[[#This Row],[Plant Equivalent Weightage]],"")</f>
        <v>5.6818181818182227E-3</v>
      </c>
      <c r="U386" s="79" t="s">
        <v>416</v>
      </c>
      <c r="W386" s="79">
        <v>116</v>
      </c>
    </row>
    <row r="387" spans="1:23">
      <c r="A387" s="79">
        <f t="shared" si="5"/>
        <v>386</v>
      </c>
      <c r="B387" s="79">
        <f>YEAR(Table6[[#This Row],[Date]])+IF(MONTH(Table6[[#This Row],[Date]])&gt;=4,1,0)</f>
        <v>2026</v>
      </c>
      <c r="C387" s="79">
        <f>YEAR(Table6[[#This Row],[Date]])</f>
        <v>2025</v>
      </c>
      <c r="D387" s="79" t="s">
        <v>344</v>
      </c>
      <c r="E387" s="284">
        <f>Table6[[#This Row],[Date]]-DAY(Table6[[#This Row],[Date]])+1</f>
        <v>45778</v>
      </c>
      <c r="F387" s="285">
        <v>45785</v>
      </c>
      <c r="G387" s="79" t="s">
        <v>94</v>
      </c>
      <c r="H387" s="79" t="str">
        <f>IFERROR(_xlfn.XLOOKUP(Table6[[#This Row],[Affected Feeder ]],'Basic Data'!$A:$A,'Basic Data'!$B:$B),"")</f>
        <v>PWEPL</v>
      </c>
      <c r="I387" s="79" t="str">
        <f>IFERROR(_xlfn.XLOOKUP(Table6[[#This Row],[Affected Feeder ]],'Basic Data'!$A:$A,'Basic Data'!$C:$C),"")</f>
        <v>MSEDCL</v>
      </c>
      <c r="J387" s="295">
        <f>IFERROR(_xlfn.XLOOKUP(Table6[[#This Row],[Affected Feeder ]],'Basic Data'!$A:$A,'Basic Data'!$E:$E),"")</f>
        <v>2.2727272727272728E-2</v>
      </c>
      <c r="K387" s="296" t="s">
        <v>796</v>
      </c>
      <c r="L387" s="297">
        <v>0.42986111111111108</v>
      </c>
      <c r="M387" s="297">
        <v>0.42986111111111108</v>
      </c>
      <c r="N387" s="297">
        <v>0.4548611111111111</v>
      </c>
      <c r="O387" s="19">
        <f>(Table6[[#This Row],[Work Start TimeStamp]]-Table6[[#This Row],[Fault Start TimeStamp]])*24</f>
        <v>0</v>
      </c>
      <c r="P387" s="19">
        <f>(Table6[[#This Row],[Fault Clearance time]]-Table6[[#This Row],[Fault Start TimeStamp]])*24</f>
        <v>0.60000000000000053</v>
      </c>
      <c r="Q387" s="19">
        <f>(Table6[[#This Row],[Fault Clearance time]]-Table6[[#This Row],[Fault Start TimeStamp]])*24</f>
        <v>0.60000000000000053</v>
      </c>
      <c r="R387" s="79" t="s">
        <v>424</v>
      </c>
      <c r="S387" s="79" t="s">
        <v>339</v>
      </c>
      <c r="T387" s="298">
        <f>IFERROR(Table6[[#This Row],[Breakdown Time]]*Table6[[#This Row],[Plant Equivalent Weightage]],"")</f>
        <v>1.363636363636365E-2</v>
      </c>
      <c r="U387" s="79" t="s">
        <v>421</v>
      </c>
      <c r="W387" s="79">
        <v>760</v>
      </c>
    </row>
    <row r="388" spans="1:23">
      <c r="A388" s="79">
        <f t="shared" ref="A388:A451" si="6">A387+1</f>
        <v>387</v>
      </c>
      <c r="B388" s="79">
        <f>YEAR(Table6[[#This Row],[Date]])+IF(MONTH(Table6[[#This Row],[Date]])&gt;=4,1,0)</f>
        <v>2026</v>
      </c>
      <c r="C388" s="79">
        <f>YEAR(Table6[[#This Row],[Date]])</f>
        <v>2025</v>
      </c>
      <c r="D388" s="79" t="s">
        <v>344</v>
      </c>
      <c r="E388" s="284">
        <f>Table6[[#This Row],[Date]]-DAY(Table6[[#This Row],[Date]])+1</f>
        <v>45778</v>
      </c>
      <c r="F388" s="285">
        <v>45785</v>
      </c>
      <c r="G388" s="79" t="s">
        <v>94</v>
      </c>
      <c r="H388" s="79" t="str">
        <f>IFERROR(_xlfn.XLOOKUP(Table6[[#This Row],[Affected Feeder ]],'Basic Data'!$A:$A,'Basic Data'!$B:$B),"")</f>
        <v>PWEPL</v>
      </c>
      <c r="I388" s="79" t="str">
        <f>IFERROR(_xlfn.XLOOKUP(Table6[[#This Row],[Affected Feeder ]],'Basic Data'!$A:$A,'Basic Data'!$C:$C),"")</f>
        <v>MSEDCL</v>
      </c>
      <c r="J388" s="295">
        <f>IFERROR(_xlfn.XLOOKUP(Table6[[#This Row],[Affected Feeder ]],'Basic Data'!$A:$A,'Basic Data'!$E:$E),"")</f>
        <v>2.2727272727272728E-2</v>
      </c>
      <c r="K388" s="296" t="s">
        <v>171</v>
      </c>
      <c r="L388" s="297">
        <v>0.4548611111111111</v>
      </c>
      <c r="M388" s="297">
        <v>0.4548611111111111</v>
      </c>
      <c r="N388" s="297">
        <v>0.46875</v>
      </c>
      <c r="O388" s="19">
        <f>(Table6[[#This Row],[Work Start TimeStamp]]-Table6[[#This Row],[Fault Start TimeStamp]])*24</f>
        <v>0</v>
      </c>
      <c r="P388" s="19">
        <f>(Table6[[#This Row],[Fault Clearance time]]-Table6[[#This Row],[Fault Start TimeStamp]])*24</f>
        <v>0.33333333333333348</v>
      </c>
      <c r="Q388" s="19">
        <f>(Table6[[#This Row],[Fault Clearance time]]-Table6[[#This Row],[Fault Start TimeStamp]])*24</f>
        <v>0.33333333333333348</v>
      </c>
      <c r="R388" s="79" t="s">
        <v>353</v>
      </c>
      <c r="S388" s="79" t="s">
        <v>339</v>
      </c>
      <c r="T388" s="298">
        <f>IFERROR(Table6[[#This Row],[Breakdown Time]]*Table6[[#This Row],[Plant Equivalent Weightage]],"")</f>
        <v>7.5757575757575794E-3</v>
      </c>
      <c r="U388" s="79" t="s">
        <v>421</v>
      </c>
      <c r="W388" s="79">
        <v>421</v>
      </c>
    </row>
    <row r="389" spans="1:23">
      <c r="A389" s="79">
        <f t="shared" si="6"/>
        <v>388</v>
      </c>
      <c r="B389" s="79">
        <f>YEAR(Table6[[#This Row],[Date]])+IF(MONTH(Table6[[#This Row],[Date]])&gt;=4,1,0)</f>
        <v>2026</v>
      </c>
      <c r="C389" s="79">
        <f>YEAR(Table6[[#This Row],[Date]])</f>
        <v>2025</v>
      </c>
      <c r="D389" s="79" t="s">
        <v>344</v>
      </c>
      <c r="E389" s="284">
        <f>Table6[[#This Row],[Date]]-DAY(Table6[[#This Row],[Date]])+1</f>
        <v>45778</v>
      </c>
      <c r="F389" s="285">
        <v>45786</v>
      </c>
      <c r="G389" s="79" t="s">
        <v>109</v>
      </c>
      <c r="H389" s="79" t="str">
        <f>IFERROR(_xlfn.XLOOKUP(Table6[[#This Row],[Affected Feeder ]],'Basic Data'!$A:$A,'Basic Data'!$B:$B),"")</f>
        <v>PWEPL</v>
      </c>
      <c r="I389" s="79" t="str">
        <f>IFERROR(_xlfn.XLOOKUP(Table6[[#This Row],[Affected Feeder ]],'Basic Data'!$A:$A,'Basic Data'!$C:$C),"")</f>
        <v>MSEDCL</v>
      </c>
      <c r="J389" s="295">
        <f>IFERROR(_xlfn.XLOOKUP(Table6[[#This Row],[Affected Feeder ]],'Basic Data'!$A:$A,'Basic Data'!$E:$E),"")</f>
        <v>2.2727272727272728E-2</v>
      </c>
      <c r="K389" s="296" t="s">
        <v>414</v>
      </c>
      <c r="L389" s="297">
        <v>0.3354166666666667</v>
      </c>
      <c r="M389" s="297">
        <v>0.3354166666666667</v>
      </c>
      <c r="N389" s="297">
        <v>0.56111111111111112</v>
      </c>
      <c r="O389" s="19">
        <f>(Table6[[#This Row],[Work Start TimeStamp]]-Table6[[#This Row],[Fault Start TimeStamp]])*24</f>
        <v>0</v>
      </c>
      <c r="P389" s="19">
        <f>(Table6[[#This Row],[Fault Clearance time]]-Table6[[#This Row],[Fault Start TimeStamp]])*24</f>
        <v>5.4166666666666661</v>
      </c>
      <c r="Q389" s="19">
        <f>(Table6[[#This Row],[Fault Clearance time]]-Table6[[#This Row],[Fault Start TimeStamp]])*24</f>
        <v>5.4166666666666661</v>
      </c>
      <c r="R389" s="79" t="s">
        <v>457</v>
      </c>
      <c r="S389" s="79" t="s">
        <v>339</v>
      </c>
      <c r="T389" s="298">
        <f>IFERROR(Table6[[#This Row],[Breakdown Time]]*Table6[[#This Row],[Plant Equivalent Weightage]],"")</f>
        <v>0.12310606060606059</v>
      </c>
      <c r="U389" s="79" t="s">
        <v>416</v>
      </c>
      <c r="W389" s="79">
        <v>1075</v>
      </c>
    </row>
    <row r="390" spans="1:23">
      <c r="A390" s="79">
        <f t="shared" si="6"/>
        <v>389</v>
      </c>
      <c r="B390" s="79">
        <f>YEAR(Table6[[#This Row],[Date]])+IF(MONTH(Table6[[#This Row],[Date]])&gt;=4,1,0)</f>
        <v>2026</v>
      </c>
      <c r="C390" s="79">
        <f>YEAR(Table6[[#This Row],[Date]])</f>
        <v>2025</v>
      </c>
      <c r="D390" s="79" t="s">
        <v>344</v>
      </c>
      <c r="E390" s="284">
        <f>Table6[[#This Row],[Date]]-DAY(Table6[[#This Row],[Date]])+1</f>
        <v>45778</v>
      </c>
      <c r="F390" s="285">
        <v>45786</v>
      </c>
      <c r="G390" s="79" t="s">
        <v>109</v>
      </c>
      <c r="H390" s="79" t="str">
        <f>IFERROR(_xlfn.XLOOKUP(Table6[[#This Row],[Affected Feeder ]],'Basic Data'!$A:$A,'Basic Data'!$B:$B),"")</f>
        <v>PWEPL</v>
      </c>
      <c r="I390" s="79" t="str">
        <f>IFERROR(_xlfn.XLOOKUP(Table6[[#This Row],[Affected Feeder ]],'Basic Data'!$A:$A,'Basic Data'!$C:$C),"")</f>
        <v>MSEDCL</v>
      </c>
      <c r="J390" s="295">
        <f>IFERROR(_xlfn.XLOOKUP(Table6[[#This Row],[Affected Feeder ]],'Basic Data'!$A:$A,'Basic Data'!$E:$E),"")</f>
        <v>2.2727272727272728E-2</v>
      </c>
      <c r="K390" s="296" t="s">
        <v>171</v>
      </c>
      <c r="L390" s="297">
        <v>0.56111111111111112</v>
      </c>
      <c r="M390" s="297">
        <v>0.56111111111111112</v>
      </c>
      <c r="N390" s="297">
        <v>0.5708333333333333</v>
      </c>
      <c r="O390" s="19">
        <f>(Table6[[#This Row],[Work Start TimeStamp]]-Table6[[#This Row],[Fault Start TimeStamp]])*24</f>
        <v>0</v>
      </c>
      <c r="P390" s="19">
        <f>(Table6[[#This Row],[Fault Clearance time]]-Table6[[#This Row],[Fault Start TimeStamp]])*24</f>
        <v>0.2333333333333325</v>
      </c>
      <c r="Q390" s="19">
        <f>(Table6[[#This Row],[Fault Clearance time]]-Table6[[#This Row],[Fault Start TimeStamp]])*24</f>
        <v>0.2333333333333325</v>
      </c>
      <c r="R390" s="79" t="s">
        <v>353</v>
      </c>
      <c r="S390" s="79" t="s">
        <v>339</v>
      </c>
      <c r="T390" s="298">
        <f>IFERROR(Table6[[#This Row],[Breakdown Time]]*Table6[[#This Row],[Plant Equivalent Weightage]],"")</f>
        <v>5.3030303030302843E-3</v>
      </c>
      <c r="U390" s="79" t="s">
        <v>416</v>
      </c>
      <c r="W390" s="79">
        <v>48</v>
      </c>
    </row>
    <row r="391" spans="1:23">
      <c r="A391" s="79">
        <f t="shared" si="6"/>
        <v>390</v>
      </c>
      <c r="B391" s="79">
        <f>YEAR(Table6[[#This Row],[Date]])+IF(MONTH(Table6[[#This Row],[Date]])&gt;=4,1,0)</f>
        <v>2026</v>
      </c>
      <c r="C391" s="79">
        <f>YEAR(Table6[[#This Row],[Date]])</f>
        <v>2025</v>
      </c>
      <c r="D391" s="79" t="s">
        <v>344</v>
      </c>
      <c r="E391" s="284">
        <f>Table6[[#This Row],[Date]]-DAY(Table6[[#This Row],[Date]])+1</f>
        <v>45778</v>
      </c>
      <c r="F391" s="285">
        <v>45786</v>
      </c>
      <c r="G391" s="79" t="s">
        <v>111</v>
      </c>
      <c r="H391" s="79" t="str">
        <f>IFERROR(_xlfn.XLOOKUP(Table6[[#This Row],[Affected Feeder ]],'Basic Data'!$A:$A,'Basic Data'!$B:$B),"")</f>
        <v>PWEPL</v>
      </c>
      <c r="I391" s="79" t="str">
        <f>IFERROR(_xlfn.XLOOKUP(Table6[[#This Row],[Affected Feeder ]],'Basic Data'!$A:$A,'Basic Data'!$C:$C),"")</f>
        <v>MSEDCL</v>
      </c>
      <c r="J391" s="295">
        <f>IFERROR(_xlfn.XLOOKUP(Table6[[#This Row],[Affected Feeder ]],'Basic Data'!$A:$A,'Basic Data'!$E:$E),"")</f>
        <v>2.2727272727272728E-2</v>
      </c>
      <c r="K391" s="296" t="s">
        <v>414</v>
      </c>
      <c r="L391" s="297">
        <v>0.3354166666666667</v>
      </c>
      <c r="M391" s="297">
        <v>0.3354166666666667</v>
      </c>
      <c r="N391" s="297">
        <v>0.56111111111111112</v>
      </c>
      <c r="O391" s="19">
        <f>(Table6[[#This Row],[Work Start TimeStamp]]-Table6[[#This Row],[Fault Start TimeStamp]])*24</f>
        <v>0</v>
      </c>
      <c r="P391" s="19">
        <f>(Table6[[#This Row],[Fault Clearance time]]-Table6[[#This Row],[Fault Start TimeStamp]])*24</f>
        <v>5.4166666666666661</v>
      </c>
      <c r="Q391" s="19">
        <f>(Table6[[#This Row],[Fault Clearance time]]-Table6[[#This Row],[Fault Start TimeStamp]])*24</f>
        <v>5.4166666666666661</v>
      </c>
      <c r="R391" s="79" t="s">
        <v>457</v>
      </c>
      <c r="S391" s="79" t="s">
        <v>339</v>
      </c>
      <c r="T391" s="298">
        <f>IFERROR(Table6[[#This Row],[Breakdown Time]]*Table6[[#This Row],[Plant Equivalent Weightage]],"")</f>
        <v>0.12310606060606059</v>
      </c>
      <c r="U391" s="79" t="s">
        <v>416</v>
      </c>
      <c r="W391" s="79">
        <v>1075</v>
      </c>
    </row>
    <row r="392" spans="1:23">
      <c r="A392" s="79">
        <f t="shared" si="6"/>
        <v>391</v>
      </c>
      <c r="B392" s="79">
        <f>YEAR(Table6[[#This Row],[Date]])+IF(MONTH(Table6[[#This Row],[Date]])&gt;=4,1,0)</f>
        <v>2026</v>
      </c>
      <c r="C392" s="79">
        <f>YEAR(Table6[[#This Row],[Date]])</f>
        <v>2025</v>
      </c>
      <c r="D392" s="79" t="s">
        <v>344</v>
      </c>
      <c r="E392" s="284">
        <f>Table6[[#This Row],[Date]]-DAY(Table6[[#This Row],[Date]])+1</f>
        <v>45778</v>
      </c>
      <c r="F392" s="285">
        <v>45786</v>
      </c>
      <c r="G392" s="79" t="s">
        <v>111</v>
      </c>
      <c r="H392" s="79" t="str">
        <f>IFERROR(_xlfn.XLOOKUP(Table6[[#This Row],[Affected Feeder ]],'Basic Data'!$A:$A,'Basic Data'!$B:$B),"")</f>
        <v>PWEPL</v>
      </c>
      <c r="I392" s="79" t="str">
        <f>IFERROR(_xlfn.XLOOKUP(Table6[[#This Row],[Affected Feeder ]],'Basic Data'!$A:$A,'Basic Data'!$C:$C),"")</f>
        <v>MSEDCL</v>
      </c>
      <c r="J392" s="295">
        <f>IFERROR(_xlfn.XLOOKUP(Table6[[#This Row],[Affected Feeder ]],'Basic Data'!$A:$A,'Basic Data'!$E:$E),"")</f>
        <v>2.2727272727272728E-2</v>
      </c>
      <c r="K392" s="296" t="s">
        <v>171</v>
      </c>
      <c r="L392" s="297">
        <v>0.56111111111111112</v>
      </c>
      <c r="M392" s="297">
        <v>0.56111111111111112</v>
      </c>
      <c r="N392" s="297">
        <v>0.5708333333333333</v>
      </c>
      <c r="O392" s="19">
        <f>(Table6[[#This Row],[Work Start TimeStamp]]-Table6[[#This Row],[Fault Start TimeStamp]])*24</f>
        <v>0</v>
      </c>
      <c r="P392" s="19">
        <f>(Table6[[#This Row],[Fault Clearance time]]-Table6[[#This Row],[Fault Start TimeStamp]])*24</f>
        <v>0.2333333333333325</v>
      </c>
      <c r="Q392" s="19">
        <f>(Table6[[#This Row],[Fault Clearance time]]-Table6[[#This Row],[Fault Start TimeStamp]])*24</f>
        <v>0.2333333333333325</v>
      </c>
      <c r="R392" s="79" t="s">
        <v>353</v>
      </c>
      <c r="S392" s="79" t="s">
        <v>339</v>
      </c>
      <c r="T392" s="298">
        <f>IFERROR(Table6[[#This Row],[Breakdown Time]]*Table6[[#This Row],[Plant Equivalent Weightage]],"")</f>
        <v>5.3030303030302843E-3</v>
      </c>
      <c r="U392" s="79" t="s">
        <v>416</v>
      </c>
      <c r="W392" s="79">
        <v>48</v>
      </c>
    </row>
    <row r="393" spans="1:23">
      <c r="A393" s="79">
        <f t="shared" si="6"/>
        <v>392</v>
      </c>
      <c r="B393" s="79">
        <f>YEAR(Table6[[#This Row],[Date]])+IF(MONTH(Table6[[#This Row],[Date]])&gt;=4,1,0)</f>
        <v>2026</v>
      </c>
      <c r="C393" s="79">
        <f>YEAR(Table6[[#This Row],[Date]])</f>
        <v>2025</v>
      </c>
      <c r="D393" s="79" t="s">
        <v>344</v>
      </c>
      <c r="E393" s="284">
        <f>Table6[[#This Row],[Date]]-DAY(Table6[[#This Row],[Date]])+1</f>
        <v>45778</v>
      </c>
      <c r="F393" s="285">
        <v>45786</v>
      </c>
      <c r="G393" s="79" t="s">
        <v>112</v>
      </c>
      <c r="H393" s="79" t="str">
        <f>IFERROR(_xlfn.XLOOKUP(Table6[[#This Row],[Affected Feeder ]],'Basic Data'!$A:$A,'Basic Data'!$B:$B),"")</f>
        <v>PWEPL</v>
      </c>
      <c r="I393" s="79" t="str">
        <f>IFERROR(_xlfn.XLOOKUP(Table6[[#This Row],[Affected Feeder ]],'Basic Data'!$A:$A,'Basic Data'!$C:$C),"")</f>
        <v>MSEDCL</v>
      </c>
      <c r="J393" s="295">
        <f>IFERROR(_xlfn.XLOOKUP(Table6[[#This Row],[Affected Feeder ]],'Basic Data'!$A:$A,'Basic Data'!$E:$E),"")</f>
        <v>2.2727272727272728E-2</v>
      </c>
      <c r="K393" s="296" t="s">
        <v>414</v>
      </c>
      <c r="L393" s="297">
        <v>0.3354166666666667</v>
      </c>
      <c r="M393" s="297">
        <v>0.3354166666666667</v>
      </c>
      <c r="N393" s="297">
        <v>0.56111111111111112</v>
      </c>
      <c r="O393" s="19">
        <f>(Table6[[#This Row],[Work Start TimeStamp]]-Table6[[#This Row],[Fault Start TimeStamp]])*24</f>
        <v>0</v>
      </c>
      <c r="P393" s="19">
        <f>(Table6[[#This Row],[Fault Clearance time]]-Table6[[#This Row],[Fault Start TimeStamp]])*24</f>
        <v>5.4166666666666661</v>
      </c>
      <c r="Q393" s="19">
        <f>(Table6[[#This Row],[Fault Clearance time]]-Table6[[#This Row],[Fault Start TimeStamp]])*24</f>
        <v>5.4166666666666661</v>
      </c>
      <c r="R393" s="79" t="s">
        <v>457</v>
      </c>
      <c r="S393" s="79" t="s">
        <v>339</v>
      </c>
      <c r="T393" s="298">
        <f>IFERROR(Table6[[#This Row],[Breakdown Time]]*Table6[[#This Row],[Plant Equivalent Weightage]],"")</f>
        <v>0.12310606060606059</v>
      </c>
      <c r="U393" s="79" t="s">
        <v>416</v>
      </c>
      <c r="W393" s="79">
        <v>1075</v>
      </c>
    </row>
    <row r="394" spans="1:23">
      <c r="A394" s="79">
        <f t="shared" si="6"/>
        <v>393</v>
      </c>
      <c r="B394" s="79">
        <f>YEAR(Table6[[#This Row],[Date]])+IF(MONTH(Table6[[#This Row],[Date]])&gt;=4,1,0)</f>
        <v>2026</v>
      </c>
      <c r="C394" s="79">
        <f>YEAR(Table6[[#This Row],[Date]])</f>
        <v>2025</v>
      </c>
      <c r="D394" s="79" t="s">
        <v>344</v>
      </c>
      <c r="E394" s="284">
        <f>Table6[[#This Row],[Date]]-DAY(Table6[[#This Row],[Date]])+1</f>
        <v>45778</v>
      </c>
      <c r="F394" s="285">
        <v>45786</v>
      </c>
      <c r="G394" s="79" t="s">
        <v>112</v>
      </c>
      <c r="H394" s="79" t="str">
        <f>IFERROR(_xlfn.XLOOKUP(Table6[[#This Row],[Affected Feeder ]],'Basic Data'!$A:$A,'Basic Data'!$B:$B),"")</f>
        <v>PWEPL</v>
      </c>
      <c r="I394" s="79" t="str">
        <f>IFERROR(_xlfn.XLOOKUP(Table6[[#This Row],[Affected Feeder ]],'Basic Data'!$A:$A,'Basic Data'!$C:$C),"")</f>
        <v>MSEDCL</v>
      </c>
      <c r="J394" s="295">
        <f>IFERROR(_xlfn.XLOOKUP(Table6[[#This Row],[Affected Feeder ]],'Basic Data'!$A:$A,'Basic Data'!$E:$E),"")</f>
        <v>2.2727272727272728E-2</v>
      </c>
      <c r="K394" s="296" t="s">
        <v>171</v>
      </c>
      <c r="L394" s="297">
        <v>0.56111111111111112</v>
      </c>
      <c r="M394" s="297">
        <v>0.56111111111111112</v>
      </c>
      <c r="N394" s="297">
        <v>0.56944444444444442</v>
      </c>
      <c r="O394" s="19">
        <f>(Table6[[#This Row],[Work Start TimeStamp]]-Table6[[#This Row],[Fault Start TimeStamp]])*24</f>
        <v>0</v>
      </c>
      <c r="P394" s="19">
        <f>(Table6[[#This Row],[Fault Clearance time]]-Table6[[#This Row],[Fault Start TimeStamp]])*24</f>
        <v>0.19999999999999929</v>
      </c>
      <c r="Q394" s="19">
        <f>(Table6[[#This Row],[Fault Clearance time]]-Table6[[#This Row],[Fault Start TimeStamp]])*24</f>
        <v>0.19999999999999929</v>
      </c>
      <c r="R394" s="79" t="s">
        <v>353</v>
      </c>
      <c r="S394" s="79" t="s">
        <v>339</v>
      </c>
      <c r="T394" s="298">
        <f>IFERROR(Table6[[#This Row],[Breakdown Time]]*Table6[[#This Row],[Plant Equivalent Weightage]],"")</f>
        <v>4.5454545454545296E-3</v>
      </c>
      <c r="U394" s="79" t="s">
        <v>416</v>
      </c>
      <c r="W394" s="79">
        <v>41</v>
      </c>
    </row>
    <row r="395" spans="1:23">
      <c r="A395" s="79">
        <f t="shared" si="6"/>
        <v>394</v>
      </c>
      <c r="B395" s="79">
        <f>YEAR(Table6[[#This Row],[Date]])+IF(MONTH(Table6[[#This Row],[Date]])&gt;=4,1,0)</f>
        <v>2026</v>
      </c>
      <c r="C395" s="79">
        <f>YEAR(Table6[[#This Row],[Date]])</f>
        <v>2025</v>
      </c>
      <c r="D395" s="79" t="s">
        <v>344</v>
      </c>
      <c r="E395" s="284">
        <f>Table6[[#This Row],[Date]]-DAY(Table6[[#This Row],[Date]])+1</f>
        <v>45778</v>
      </c>
      <c r="F395" s="285">
        <v>45786</v>
      </c>
      <c r="G395" s="79" t="s">
        <v>113</v>
      </c>
      <c r="H395" s="79" t="str">
        <f>IFERROR(_xlfn.XLOOKUP(Table6[[#This Row],[Affected Feeder ]],'Basic Data'!$A:$A,'Basic Data'!$B:$B),"")</f>
        <v>PWEPL</v>
      </c>
      <c r="I395" s="79" t="str">
        <f>IFERROR(_xlfn.XLOOKUP(Table6[[#This Row],[Affected Feeder ]],'Basic Data'!$A:$A,'Basic Data'!$C:$C),"")</f>
        <v>MSEDCL</v>
      </c>
      <c r="J395" s="295">
        <f>IFERROR(_xlfn.XLOOKUP(Table6[[#This Row],[Affected Feeder ]],'Basic Data'!$A:$A,'Basic Data'!$E:$E),"")</f>
        <v>2.2727272727272728E-2</v>
      </c>
      <c r="K395" s="296" t="s">
        <v>414</v>
      </c>
      <c r="L395" s="297">
        <v>0.3354166666666667</v>
      </c>
      <c r="M395" s="297">
        <v>0.3354166666666667</v>
      </c>
      <c r="N395" s="297">
        <v>0.56111111111111112</v>
      </c>
      <c r="O395" s="19">
        <f>(Table6[[#This Row],[Work Start TimeStamp]]-Table6[[#This Row],[Fault Start TimeStamp]])*24</f>
        <v>0</v>
      </c>
      <c r="P395" s="19">
        <f>(Table6[[#This Row],[Fault Clearance time]]-Table6[[#This Row],[Fault Start TimeStamp]])*24</f>
        <v>5.4166666666666661</v>
      </c>
      <c r="Q395" s="19">
        <f>(Table6[[#This Row],[Fault Clearance time]]-Table6[[#This Row],[Fault Start TimeStamp]])*24</f>
        <v>5.4166666666666661</v>
      </c>
      <c r="R395" s="79" t="s">
        <v>457</v>
      </c>
      <c r="S395" s="79" t="s">
        <v>339</v>
      </c>
      <c r="T395" s="298">
        <f>IFERROR(Table6[[#This Row],[Breakdown Time]]*Table6[[#This Row],[Plant Equivalent Weightage]],"")</f>
        <v>0.12310606060606059</v>
      </c>
      <c r="U395" s="79" t="s">
        <v>416</v>
      </c>
      <c r="W395" s="79">
        <v>1075</v>
      </c>
    </row>
    <row r="396" spans="1:23">
      <c r="A396" s="79">
        <f t="shared" si="6"/>
        <v>395</v>
      </c>
      <c r="B396" s="79">
        <f>YEAR(Table6[[#This Row],[Date]])+IF(MONTH(Table6[[#This Row],[Date]])&gt;=4,1,0)</f>
        <v>2026</v>
      </c>
      <c r="C396" s="79">
        <f>YEAR(Table6[[#This Row],[Date]])</f>
        <v>2025</v>
      </c>
      <c r="D396" s="79" t="s">
        <v>344</v>
      </c>
      <c r="E396" s="284">
        <f>Table6[[#This Row],[Date]]-DAY(Table6[[#This Row],[Date]])+1</f>
        <v>45778</v>
      </c>
      <c r="F396" s="285">
        <v>45786</v>
      </c>
      <c r="G396" s="79" t="s">
        <v>113</v>
      </c>
      <c r="H396" s="79" t="str">
        <f>IFERROR(_xlfn.XLOOKUP(Table6[[#This Row],[Affected Feeder ]],'Basic Data'!$A:$A,'Basic Data'!$B:$B),"")</f>
        <v>PWEPL</v>
      </c>
      <c r="I396" s="79" t="str">
        <f>IFERROR(_xlfn.XLOOKUP(Table6[[#This Row],[Affected Feeder ]],'Basic Data'!$A:$A,'Basic Data'!$C:$C),"")</f>
        <v>MSEDCL</v>
      </c>
      <c r="J396" s="295">
        <f>IFERROR(_xlfn.XLOOKUP(Table6[[#This Row],[Affected Feeder ]],'Basic Data'!$A:$A,'Basic Data'!$E:$E),"")</f>
        <v>2.2727272727272728E-2</v>
      </c>
      <c r="K396" s="296" t="s">
        <v>171</v>
      </c>
      <c r="L396" s="297">
        <v>0.56111111111111112</v>
      </c>
      <c r="M396" s="297">
        <v>0.56111111111111112</v>
      </c>
      <c r="N396" s="297">
        <v>0.56944444444444442</v>
      </c>
      <c r="O396" s="19">
        <f>(Table6[[#This Row],[Work Start TimeStamp]]-Table6[[#This Row],[Fault Start TimeStamp]])*24</f>
        <v>0</v>
      </c>
      <c r="P396" s="19">
        <f>(Table6[[#This Row],[Fault Clearance time]]-Table6[[#This Row],[Fault Start TimeStamp]])*24</f>
        <v>0.19999999999999929</v>
      </c>
      <c r="Q396" s="19">
        <f>(Table6[[#This Row],[Fault Clearance time]]-Table6[[#This Row],[Fault Start TimeStamp]])*24</f>
        <v>0.19999999999999929</v>
      </c>
      <c r="R396" s="79" t="s">
        <v>353</v>
      </c>
      <c r="S396" s="79" t="s">
        <v>339</v>
      </c>
      <c r="T396" s="298">
        <f>IFERROR(Table6[[#This Row],[Breakdown Time]]*Table6[[#This Row],[Plant Equivalent Weightage]],"")</f>
        <v>4.5454545454545296E-3</v>
      </c>
      <c r="U396" s="79" t="s">
        <v>416</v>
      </c>
      <c r="W396" s="79">
        <v>41</v>
      </c>
    </row>
    <row r="397" spans="1:23">
      <c r="A397" s="79">
        <f t="shared" si="6"/>
        <v>396</v>
      </c>
      <c r="B397" s="79">
        <f>YEAR(Table6[[#This Row],[Date]])+IF(MONTH(Table6[[#This Row],[Date]])&gt;=4,1,0)</f>
        <v>2026</v>
      </c>
      <c r="C397" s="79">
        <f>YEAR(Table6[[#This Row],[Date]])</f>
        <v>2025</v>
      </c>
      <c r="D397" s="79" t="s">
        <v>344</v>
      </c>
      <c r="E397" s="284">
        <f>Table6[[#This Row],[Date]]-DAY(Table6[[#This Row],[Date]])+1</f>
        <v>45778</v>
      </c>
      <c r="F397" s="285">
        <v>45786</v>
      </c>
      <c r="G397" s="79" t="s">
        <v>114</v>
      </c>
      <c r="H397" s="79" t="str">
        <f>IFERROR(_xlfn.XLOOKUP(Table6[[#This Row],[Affected Feeder ]],'Basic Data'!$A:$A,'Basic Data'!$B:$B),"")</f>
        <v>PWEPL</v>
      </c>
      <c r="I397" s="79" t="str">
        <f>IFERROR(_xlfn.XLOOKUP(Table6[[#This Row],[Affected Feeder ]],'Basic Data'!$A:$A,'Basic Data'!$C:$C),"")</f>
        <v>MSEDCL</v>
      </c>
      <c r="J397" s="295">
        <f>IFERROR(_xlfn.XLOOKUP(Table6[[#This Row],[Affected Feeder ]],'Basic Data'!$A:$A,'Basic Data'!$E:$E),"")</f>
        <v>2.2727272727272728E-2</v>
      </c>
      <c r="K397" s="296" t="s">
        <v>414</v>
      </c>
      <c r="L397" s="297">
        <v>0.3354166666666667</v>
      </c>
      <c r="M397" s="297">
        <v>0.3354166666666667</v>
      </c>
      <c r="N397" s="297">
        <v>0.56111111111111112</v>
      </c>
      <c r="O397" s="19">
        <f>(Table6[[#This Row],[Work Start TimeStamp]]-Table6[[#This Row],[Fault Start TimeStamp]])*24</f>
        <v>0</v>
      </c>
      <c r="P397" s="19">
        <f>(Table6[[#This Row],[Fault Clearance time]]-Table6[[#This Row],[Fault Start TimeStamp]])*24</f>
        <v>5.4166666666666661</v>
      </c>
      <c r="Q397" s="19">
        <f>(Table6[[#This Row],[Fault Clearance time]]-Table6[[#This Row],[Fault Start TimeStamp]])*24</f>
        <v>5.4166666666666661</v>
      </c>
      <c r="R397" s="79" t="s">
        <v>457</v>
      </c>
      <c r="S397" s="79" t="s">
        <v>339</v>
      </c>
      <c r="T397" s="298">
        <f>IFERROR(Table6[[#This Row],[Breakdown Time]]*Table6[[#This Row],[Plant Equivalent Weightage]],"")</f>
        <v>0.12310606060606059</v>
      </c>
      <c r="U397" s="79" t="s">
        <v>416</v>
      </c>
      <c r="W397" s="79">
        <v>1075</v>
      </c>
    </row>
    <row r="398" spans="1:23">
      <c r="A398" s="79">
        <f t="shared" si="6"/>
        <v>397</v>
      </c>
      <c r="B398" s="79">
        <f>YEAR(Table6[[#This Row],[Date]])+IF(MONTH(Table6[[#This Row],[Date]])&gt;=4,1,0)</f>
        <v>2026</v>
      </c>
      <c r="C398" s="79">
        <f>YEAR(Table6[[#This Row],[Date]])</f>
        <v>2025</v>
      </c>
      <c r="D398" s="79" t="s">
        <v>344</v>
      </c>
      <c r="E398" s="284">
        <f>Table6[[#This Row],[Date]]-DAY(Table6[[#This Row],[Date]])+1</f>
        <v>45778</v>
      </c>
      <c r="F398" s="285">
        <v>45786</v>
      </c>
      <c r="G398" s="79" t="s">
        <v>114</v>
      </c>
      <c r="H398" s="79" t="str">
        <f>IFERROR(_xlfn.XLOOKUP(Table6[[#This Row],[Affected Feeder ]],'Basic Data'!$A:$A,'Basic Data'!$B:$B),"")</f>
        <v>PWEPL</v>
      </c>
      <c r="I398" s="79" t="str">
        <f>IFERROR(_xlfn.XLOOKUP(Table6[[#This Row],[Affected Feeder ]],'Basic Data'!$A:$A,'Basic Data'!$C:$C),"")</f>
        <v>MSEDCL</v>
      </c>
      <c r="J398" s="295">
        <f>IFERROR(_xlfn.XLOOKUP(Table6[[#This Row],[Affected Feeder ]],'Basic Data'!$A:$A,'Basic Data'!$E:$E),"")</f>
        <v>2.2727272727272728E-2</v>
      </c>
      <c r="K398" s="296" t="s">
        <v>171</v>
      </c>
      <c r="L398" s="297">
        <v>0.56111111111111112</v>
      </c>
      <c r="M398" s="297">
        <v>0.56111111111111112</v>
      </c>
      <c r="N398" s="297">
        <v>0.56944444444444442</v>
      </c>
      <c r="O398" s="19">
        <f>(Table6[[#This Row],[Work Start TimeStamp]]-Table6[[#This Row],[Fault Start TimeStamp]])*24</f>
        <v>0</v>
      </c>
      <c r="P398" s="19">
        <f>(Table6[[#This Row],[Fault Clearance time]]-Table6[[#This Row],[Fault Start TimeStamp]])*24</f>
        <v>0.19999999999999929</v>
      </c>
      <c r="Q398" s="19">
        <f>(Table6[[#This Row],[Fault Clearance time]]-Table6[[#This Row],[Fault Start TimeStamp]])*24</f>
        <v>0.19999999999999929</v>
      </c>
      <c r="R398" s="79" t="s">
        <v>353</v>
      </c>
      <c r="S398" s="79" t="s">
        <v>339</v>
      </c>
      <c r="T398" s="298">
        <f>IFERROR(Table6[[#This Row],[Breakdown Time]]*Table6[[#This Row],[Plant Equivalent Weightage]],"")</f>
        <v>4.5454545454545296E-3</v>
      </c>
      <c r="U398" s="79" t="s">
        <v>416</v>
      </c>
      <c r="W398" s="79">
        <v>41</v>
      </c>
    </row>
    <row r="399" spans="1:23">
      <c r="A399" s="79">
        <f t="shared" si="6"/>
        <v>398</v>
      </c>
      <c r="B399" s="79">
        <f>YEAR(Table6[[#This Row],[Date]])+IF(MONTH(Table6[[#This Row],[Date]])&gt;=4,1,0)</f>
        <v>2026</v>
      </c>
      <c r="C399" s="79">
        <f>YEAR(Table6[[#This Row],[Date]])</f>
        <v>2025</v>
      </c>
      <c r="D399" s="79" t="s">
        <v>344</v>
      </c>
      <c r="E399" s="284">
        <f>Table6[[#This Row],[Date]]-DAY(Table6[[#This Row],[Date]])+1</f>
        <v>45778</v>
      </c>
      <c r="F399" s="285">
        <v>45787</v>
      </c>
      <c r="G399" s="79" t="s">
        <v>76</v>
      </c>
      <c r="H399" s="79" t="str">
        <f>IFERROR(_xlfn.XLOOKUP(Table6[[#This Row],[Affected Feeder ]],'Basic Data'!$A:$A,'Basic Data'!$B:$B),"")</f>
        <v>PWEPL</v>
      </c>
      <c r="I399" s="79" t="str">
        <f>IFERROR(_xlfn.XLOOKUP(Table6[[#This Row],[Affected Feeder ]],'Basic Data'!$A:$A,'Basic Data'!$C:$C),"")</f>
        <v>MSEDCL</v>
      </c>
      <c r="J399" s="295">
        <f>IFERROR(_xlfn.XLOOKUP(Table6[[#This Row],[Affected Feeder ]],'Basic Data'!$A:$A,'Basic Data'!$E:$E),"")</f>
        <v>2.2727272727272728E-2</v>
      </c>
      <c r="K399" s="296" t="s">
        <v>414</v>
      </c>
      <c r="L399" s="297">
        <v>0.31944444444444448</v>
      </c>
      <c r="M399" s="297">
        <v>0.31944444444444448</v>
      </c>
      <c r="N399" s="297">
        <v>0.5805555555555556</v>
      </c>
      <c r="O399" s="19">
        <f>(Table6[[#This Row],[Work Start TimeStamp]]-Table6[[#This Row],[Fault Start TimeStamp]])*24</f>
        <v>0</v>
      </c>
      <c r="P399" s="19">
        <f>(Table6[[#This Row],[Fault Clearance time]]-Table6[[#This Row],[Fault Start TimeStamp]])*24</f>
        <v>6.2666666666666675</v>
      </c>
      <c r="Q399" s="19">
        <f>(Table6[[#This Row],[Fault Clearance time]]-Table6[[#This Row],[Fault Start TimeStamp]])*24</f>
        <v>6.2666666666666675</v>
      </c>
      <c r="R399" s="79" t="s">
        <v>457</v>
      </c>
      <c r="S399" s="79" t="s">
        <v>339</v>
      </c>
      <c r="T399" s="298">
        <f>IFERROR(Table6[[#This Row],[Breakdown Time]]*Table6[[#This Row],[Plant Equivalent Weightage]],"")</f>
        <v>0.14242424242424245</v>
      </c>
      <c r="U399" s="79" t="s">
        <v>416</v>
      </c>
      <c r="W399" s="79">
        <v>926</v>
      </c>
    </row>
    <row r="400" spans="1:23">
      <c r="A400" s="79">
        <f t="shared" si="6"/>
        <v>399</v>
      </c>
      <c r="B400" s="79">
        <f>YEAR(Table6[[#This Row],[Date]])+IF(MONTH(Table6[[#This Row],[Date]])&gt;=4,1,0)</f>
        <v>2026</v>
      </c>
      <c r="C400" s="79">
        <f>YEAR(Table6[[#This Row],[Date]])</f>
        <v>2025</v>
      </c>
      <c r="D400" s="79" t="s">
        <v>344</v>
      </c>
      <c r="E400" s="284">
        <f>Table6[[#This Row],[Date]]-DAY(Table6[[#This Row],[Date]])+1</f>
        <v>45778</v>
      </c>
      <c r="F400" s="285">
        <v>45787</v>
      </c>
      <c r="G400" s="79" t="s">
        <v>76</v>
      </c>
      <c r="H400" s="79" t="str">
        <f>IFERROR(_xlfn.XLOOKUP(Table6[[#This Row],[Affected Feeder ]],'Basic Data'!$A:$A,'Basic Data'!$B:$B),"")</f>
        <v>PWEPL</v>
      </c>
      <c r="I400" s="79" t="str">
        <f>IFERROR(_xlfn.XLOOKUP(Table6[[#This Row],[Affected Feeder ]],'Basic Data'!$A:$A,'Basic Data'!$C:$C),"")</f>
        <v>MSEDCL</v>
      </c>
      <c r="J400" s="295">
        <f>IFERROR(_xlfn.XLOOKUP(Table6[[#This Row],[Affected Feeder ]],'Basic Data'!$A:$A,'Basic Data'!$E:$E),"")</f>
        <v>2.2727272727272728E-2</v>
      </c>
      <c r="K400" s="296" t="s">
        <v>171</v>
      </c>
      <c r="L400" s="297">
        <v>0.5805555555555556</v>
      </c>
      <c r="M400" s="297">
        <v>0.5805555555555556</v>
      </c>
      <c r="N400" s="297">
        <v>0.59097222222222223</v>
      </c>
      <c r="O400" s="19">
        <f>(Table6[[#This Row],[Work Start TimeStamp]]-Table6[[#This Row],[Fault Start TimeStamp]])*24</f>
        <v>0</v>
      </c>
      <c r="P400" s="19">
        <f>(Table6[[#This Row],[Fault Clearance time]]-Table6[[#This Row],[Fault Start TimeStamp]])*24</f>
        <v>0.24999999999999911</v>
      </c>
      <c r="Q400" s="19">
        <f>(Table6[[#This Row],[Fault Clearance time]]-Table6[[#This Row],[Fault Start TimeStamp]])*24</f>
        <v>0.24999999999999911</v>
      </c>
      <c r="R400" s="79" t="s">
        <v>353</v>
      </c>
      <c r="S400" s="79" t="s">
        <v>339</v>
      </c>
      <c r="T400" s="298">
        <f>IFERROR(Table6[[#This Row],[Breakdown Time]]*Table6[[#This Row],[Plant Equivalent Weightage]],"")</f>
        <v>5.681818181818162E-3</v>
      </c>
      <c r="U400" s="79" t="s">
        <v>416</v>
      </c>
      <c r="W400" s="79">
        <v>38</v>
      </c>
    </row>
    <row r="401" spans="1:23">
      <c r="A401" s="79">
        <f t="shared" si="6"/>
        <v>400</v>
      </c>
      <c r="B401" s="79">
        <f>YEAR(Table6[[#This Row],[Date]])+IF(MONTH(Table6[[#This Row],[Date]])&gt;=4,1,0)</f>
        <v>2026</v>
      </c>
      <c r="C401" s="79">
        <f>YEAR(Table6[[#This Row],[Date]])</f>
        <v>2025</v>
      </c>
      <c r="D401" s="79" t="s">
        <v>344</v>
      </c>
      <c r="E401" s="284">
        <f>Table6[[#This Row],[Date]]-DAY(Table6[[#This Row],[Date]])+1</f>
        <v>45778</v>
      </c>
      <c r="F401" s="285">
        <v>45787</v>
      </c>
      <c r="G401" s="79" t="s">
        <v>77</v>
      </c>
      <c r="H401" s="79" t="str">
        <f>IFERROR(_xlfn.XLOOKUP(Table6[[#This Row],[Affected Feeder ]],'Basic Data'!$A:$A,'Basic Data'!$B:$B),"")</f>
        <v>PWEPL</v>
      </c>
      <c r="I401" s="79" t="str">
        <f>IFERROR(_xlfn.XLOOKUP(Table6[[#This Row],[Affected Feeder ]],'Basic Data'!$A:$A,'Basic Data'!$C:$C),"")</f>
        <v>MSEDCL</v>
      </c>
      <c r="J401" s="295">
        <f>IFERROR(_xlfn.XLOOKUP(Table6[[#This Row],[Affected Feeder ]],'Basic Data'!$A:$A,'Basic Data'!$E:$E),"")</f>
        <v>2.2727272727272728E-2</v>
      </c>
      <c r="K401" s="296" t="s">
        <v>414</v>
      </c>
      <c r="L401" s="297">
        <v>0.31944444444444448</v>
      </c>
      <c r="M401" s="297">
        <v>0.31944444444444448</v>
      </c>
      <c r="N401" s="297">
        <v>0.5805555555555556</v>
      </c>
      <c r="O401" s="19">
        <f>(Table6[[#This Row],[Work Start TimeStamp]]-Table6[[#This Row],[Fault Start TimeStamp]])*24</f>
        <v>0</v>
      </c>
      <c r="P401" s="19">
        <f>(Table6[[#This Row],[Fault Clearance time]]-Table6[[#This Row],[Fault Start TimeStamp]])*24</f>
        <v>6.2666666666666675</v>
      </c>
      <c r="Q401" s="19">
        <f>(Table6[[#This Row],[Fault Clearance time]]-Table6[[#This Row],[Fault Start TimeStamp]])*24</f>
        <v>6.2666666666666675</v>
      </c>
      <c r="R401" s="79" t="s">
        <v>457</v>
      </c>
      <c r="S401" s="79" t="s">
        <v>339</v>
      </c>
      <c r="T401" s="298">
        <f>IFERROR(Table6[[#This Row],[Breakdown Time]]*Table6[[#This Row],[Plant Equivalent Weightage]],"")</f>
        <v>0.14242424242424245</v>
      </c>
      <c r="U401" s="79" t="s">
        <v>416</v>
      </c>
      <c r="W401" s="79">
        <v>927</v>
      </c>
    </row>
    <row r="402" spans="1:23">
      <c r="A402" s="79">
        <f t="shared" si="6"/>
        <v>401</v>
      </c>
      <c r="B402" s="79">
        <f>YEAR(Table6[[#This Row],[Date]])+IF(MONTH(Table6[[#This Row],[Date]])&gt;=4,1,0)</f>
        <v>2026</v>
      </c>
      <c r="C402" s="79">
        <f>YEAR(Table6[[#This Row],[Date]])</f>
        <v>2025</v>
      </c>
      <c r="D402" s="79" t="s">
        <v>344</v>
      </c>
      <c r="E402" s="284">
        <f>Table6[[#This Row],[Date]]-DAY(Table6[[#This Row],[Date]])+1</f>
        <v>45778</v>
      </c>
      <c r="F402" s="285">
        <v>45787</v>
      </c>
      <c r="G402" s="79" t="s">
        <v>77</v>
      </c>
      <c r="H402" s="79" t="str">
        <f>IFERROR(_xlfn.XLOOKUP(Table6[[#This Row],[Affected Feeder ]],'Basic Data'!$A:$A,'Basic Data'!$B:$B),"")</f>
        <v>PWEPL</v>
      </c>
      <c r="I402" s="79" t="str">
        <f>IFERROR(_xlfn.XLOOKUP(Table6[[#This Row],[Affected Feeder ]],'Basic Data'!$A:$A,'Basic Data'!$C:$C),"")</f>
        <v>MSEDCL</v>
      </c>
      <c r="J402" s="295">
        <f>IFERROR(_xlfn.XLOOKUP(Table6[[#This Row],[Affected Feeder ]],'Basic Data'!$A:$A,'Basic Data'!$E:$E),"")</f>
        <v>2.2727272727272728E-2</v>
      </c>
      <c r="K402" s="296" t="s">
        <v>171</v>
      </c>
      <c r="L402" s="297">
        <v>0.5805555555555556</v>
      </c>
      <c r="M402" s="297">
        <v>0.5805555555555556</v>
      </c>
      <c r="N402" s="297">
        <v>0.58402777777777781</v>
      </c>
      <c r="O402" s="19">
        <f>(Table6[[#This Row],[Work Start TimeStamp]]-Table6[[#This Row],[Fault Start TimeStamp]])*24</f>
        <v>0</v>
      </c>
      <c r="P402" s="19">
        <f>(Table6[[#This Row],[Fault Clearance time]]-Table6[[#This Row],[Fault Start TimeStamp]])*24</f>
        <v>8.3333333333333037E-2</v>
      </c>
      <c r="Q402" s="19">
        <f>(Table6[[#This Row],[Fault Clearance time]]-Table6[[#This Row],[Fault Start TimeStamp]])*24</f>
        <v>8.3333333333333037E-2</v>
      </c>
      <c r="R402" s="79" t="s">
        <v>353</v>
      </c>
      <c r="S402" s="79" t="s">
        <v>339</v>
      </c>
      <c r="T402" s="298">
        <f>IFERROR(Table6[[#This Row],[Breakdown Time]]*Table6[[#This Row],[Plant Equivalent Weightage]],"")</f>
        <v>1.8939393939393873E-3</v>
      </c>
      <c r="U402" s="79" t="s">
        <v>416</v>
      </c>
      <c r="W402" s="79">
        <v>12</v>
      </c>
    </row>
    <row r="403" spans="1:23">
      <c r="A403" s="79">
        <f t="shared" si="6"/>
        <v>402</v>
      </c>
      <c r="B403" s="79">
        <f>YEAR(Table6[[#This Row],[Date]])+IF(MONTH(Table6[[#This Row],[Date]])&gt;=4,1,0)</f>
        <v>2026</v>
      </c>
      <c r="C403" s="79">
        <f>YEAR(Table6[[#This Row],[Date]])</f>
        <v>2025</v>
      </c>
      <c r="D403" s="79" t="s">
        <v>344</v>
      </c>
      <c r="E403" s="284">
        <f>Table6[[#This Row],[Date]]-DAY(Table6[[#This Row],[Date]])+1</f>
        <v>45778</v>
      </c>
      <c r="F403" s="285">
        <v>45787</v>
      </c>
      <c r="G403" s="79" t="s">
        <v>78</v>
      </c>
      <c r="H403" s="79" t="str">
        <f>IFERROR(_xlfn.XLOOKUP(Table6[[#This Row],[Affected Feeder ]],'Basic Data'!$A:$A,'Basic Data'!$B:$B),"")</f>
        <v>PWEPL</v>
      </c>
      <c r="I403" s="79" t="str">
        <f>IFERROR(_xlfn.XLOOKUP(Table6[[#This Row],[Affected Feeder ]],'Basic Data'!$A:$A,'Basic Data'!$C:$C),"")</f>
        <v>MSEDCL</v>
      </c>
      <c r="J403" s="295">
        <f>IFERROR(_xlfn.XLOOKUP(Table6[[#This Row],[Affected Feeder ]],'Basic Data'!$A:$A,'Basic Data'!$E:$E),"")</f>
        <v>2.2727272727272728E-2</v>
      </c>
      <c r="K403" s="296" t="s">
        <v>414</v>
      </c>
      <c r="L403" s="297">
        <v>0.31944444444444448</v>
      </c>
      <c r="M403" s="297">
        <v>0.31944444444444448</v>
      </c>
      <c r="N403" s="297">
        <v>0.5805555555555556</v>
      </c>
      <c r="O403" s="19">
        <f>(Table6[[#This Row],[Work Start TimeStamp]]-Table6[[#This Row],[Fault Start TimeStamp]])*24</f>
        <v>0</v>
      </c>
      <c r="P403" s="19">
        <f>(Table6[[#This Row],[Fault Clearance time]]-Table6[[#This Row],[Fault Start TimeStamp]])*24</f>
        <v>6.2666666666666675</v>
      </c>
      <c r="Q403" s="19">
        <f>(Table6[[#This Row],[Fault Clearance time]]-Table6[[#This Row],[Fault Start TimeStamp]])*24</f>
        <v>6.2666666666666675</v>
      </c>
      <c r="R403" s="79" t="s">
        <v>457</v>
      </c>
      <c r="S403" s="79" t="s">
        <v>339</v>
      </c>
      <c r="T403" s="298">
        <f>IFERROR(Table6[[#This Row],[Breakdown Time]]*Table6[[#This Row],[Plant Equivalent Weightage]],"")</f>
        <v>0.14242424242424245</v>
      </c>
      <c r="U403" s="79" t="s">
        <v>416</v>
      </c>
      <c r="W403" s="79">
        <v>924</v>
      </c>
    </row>
    <row r="404" spans="1:23">
      <c r="A404" s="79">
        <f t="shared" si="6"/>
        <v>403</v>
      </c>
      <c r="B404" s="79">
        <f>YEAR(Table6[[#This Row],[Date]])+IF(MONTH(Table6[[#This Row],[Date]])&gt;=4,1,0)</f>
        <v>2026</v>
      </c>
      <c r="C404" s="79">
        <f>YEAR(Table6[[#This Row],[Date]])</f>
        <v>2025</v>
      </c>
      <c r="D404" s="79" t="s">
        <v>344</v>
      </c>
      <c r="E404" s="284">
        <f>Table6[[#This Row],[Date]]-DAY(Table6[[#This Row],[Date]])+1</f>
        <v>45778</v>
      </c>
      <c r="F404" s="285">
        <v>45787</v>
      </c>
      <c r="G404" s="79" t="s">
        <v>78</v>
      </c>
      <c r="H404" s="79" t="str">
        <f>IFERROR(_xlfn.XLOOKUP(Table6[[#This Row],[Affected Feeder ]],'Basic Data'!$A:$A,'Basic Data'!$B:$B),"")</f>
        <v>PWEPL</v>
      </c>
      <c r="I404" s="79" t="str">
        <f>IFERROR(_xlfn.XLOOKUP(Table6[[#This Row],[Affected Feeder ]],'Basic Data'!$A:$A,'Basic Data'!$C:$C),"")</f>
        <v>MSEDCL</v>
      </c>
      <c r="J404" s="295">
        <f>IFERROR(_xlfn.XLOOKUP(Table6[[#This Row],[Affected Feeder ]],'Basic Data'!$A:$A,'Basic Data'!$E:$E),"")</f>
        <v>2.2727272727272728E-2</v>
      </c>
      <c r="K404" s="296" t="s">
        <v>171</v>
      </c>
      <c r="L404" s="297">
        <v>0.5805555555555556</v>
      </c>
      <c r="M404" s="297">
        <v>0.5805555555555556</v>
      </c>
      <c r="N404" s="297">
        <v>0.59375</v>
      </c>
      <c r="O404" s="19">
        <f>(Table6[[#This Row],[Work Start TimeStamp]]-Table6[[#This Row],[Fault Start TimeStamp]])*24</f>
        <v>0</v>
      </c>
      <c r="P404" s="19">
        <f>(Table6[[#This Row],[Fault Clearance time]]-Table6[[#This Row],[Fault Start TimeStamp]])*24</f>
        <v>0.31666666666666554</v>
      </c>
      <c r="Q404" s="19">
        <f>(Table6[[#This Row],[Fault Clearance time]]-Table6[[#This Row],[Fault Start TimeStamp]])*24</f>
        <v>0.31666666666666554</v>
      </c>
      <c r="R404" s="79" t="s">
        <v>353</v>
      </c>
      <c r="S404" s="79" t="s">
        <v>339</v>
      </c>
      <c r="T404" s="298">
        <f>IFERROR(Table6[[#This Row],[Breakdown Time]]*Table6[[#This Row],[Plant Equivalent Weightage]],"")</f>
        <v>7.1969696969696713E-3</v>
      </c>
      <c r="U404" s="79" t="s">
        <v>416</v>
      </c>
      <c r="W404" s="79">
        <v>49</v>
      </c>
    </row>
    <row r="405" spans="1:23">
      <c r="A405" s="79">
        <f t="shared" si="6"/>
        <v>404</v>
      </c>
      <c r="B405" s="79">
        <f>YEAR(Table6[[#This Row],[Date]])+IF(MONTH(Table6[[#This Row],[Date]])&gt;=4,1,0)</f>
        <v>2026</v>
      </c>
      <c r="C405" s="79">
        <f>YEAR(Table6[[#This Row],[Date]])</f>
        <v>2025</v>
      </c>
      <c r="D405" s="79" t="s">
        <v>344</v>
      </c>
      <c r="E405" s="284">
        <f>Table6[[#This Row],[Date]]-DAY(Table6[[#This Row],[Date]])+1</f>
        <v>45778</v>
      </c>
      <c r="F405" s="285">
        <v>45787</v>
      </c>
      <c r="G405" s="79" t="s">
        <v>82</v>
      </c>
      <c r="H405" s="79" t="str">
        <f>IFERROR(_xlfn.XLOOKUP(Table6[[#This Row],[Affected Feeder ]],'Basic Data'!$A:$A,'Basic Data'!$B:$B),"")</f>
        <v>PWEPL</v>
      </c>
      <c r="I405" s="79" t="str">
        <f>IFERROR(_xlfn.XLOOKUP(Table6[[#This Row],[Affected Feeder ]],'Basic Data'!$A:$A,'Basic Data'!$C:$C),"")</f>
        <v>MSEDCL</v>
      </c>
      <c r="J405" s="295">
        <f>IFERROR(_xlfn.XLOOKUP(Table6[[#This Row],[Affected Feeder ]],'Basic Data'!$A:$A,'Basic Data'!$E:$E),"")</f>
        <v>2.2727272727272728E-2</v>
      </c>
      <c r="K405" s="296" t="s">
        <v>414</v>
      </c>
      <c r="L405" s="297">
        <v>0.31944444444444448</v>
      </c>
      <c r="M405" s="297">
        <v>0.31944444444444448</v>
      </c>
      <c r="N405" s="297">
        <v>0.5805555555555556</v>
      </c>
      <c r="O405" s="19">
        <f>(Table6[[#This Row],[Work Start TimeStamp]]-Table6[[#This Row],[Fault Start TimeStamp]])*24</f>
        <v>0</v>
      </c>
      <c r="P405" s="19">
        <f>(Table6[[#This Row],[Fault Clearance time]]-Table6[[#This Row],[Fault Start TimeStamp]])*24</f>
        <v>6.2666666666666675</v>
      </c>
      <c r="Q405" s="19">
        <f>(Table6[[#This Row],[Fault Clearance time]]-Table6[[#This Row],[Fault Start TimeStamp]])*24</f>
        <v>6.2666666666666675</v>
      </c>
      <c r="R405" s="79" t="s">
        <v>457</v>
      </c>
      <c r="S405" s="79" t="s">
        <v>339</v>
      </c>
      <c r="T405" s="298">
        <f>IFERROR(Table6[[#This Row],[Breakdown Time]]*Table6[[#This Row],[Plant Equivalent Weightage]],"")</f>
        <v>0.14242424242424245</v>
      </c>
      <c r="U405" s="79" t="s">
        <v>416</v>
      </c>
      <c r="W405" s="79">
        <v>926</v>
      </c>
    </row>
    <row r="406" spans="1:23">
      <c r="A406" s="79">
        <f t="shared" si="6"/>
        <v>405</v>
      </c>
      <c r="B406" s="79">
        <f>YEAR(Table6[[#This Row],[Date]])+IF(MONTH(Table6[[#This Row],[Date]])&gt;=4,1,0)</f>
        <v>2026</v>
      </c>
      <c r="C406" s="79">
        <f>YEAR(Table6[[#This Row],[Date]])</f>
        <v>2025</v>
      </c>
      <c r="D406" s="79" t="s">
        <v>344</v>
      </c>
      <c r="E406" s="284">
        <f>Table6[[#This Row],[Date]]-DAY(Table6[[#This Row],[Date]])+1</f>
        <v>45778</v>
      </c>
      <c r="F406" s="285">
        <v>45787</v>
      </c>
      <c r="G406" s="79" t="s">
        <v>82</v>
      </c>
      <c r="H406" s="79" t="str">
        <f>IFERROR(_xlfn.XLOOKUP(Table6[[#This Row],[Affected Feeder ]],'Basic Data'!$A:$A,'Basic Data'!$B:$B),"")</f>
        <v>PWEPL</v>
      </c>
      <c r="I406" s="79" t="str">
        <f>IFERROR(_xlfn.XLOOKUP(Table6[[#This Row],[Affected Feeder ]],'Basic Data'!$A:$A,'Basic Data'!$C:$C),"")</f>
        <v>MSEDCL</v>
      </c>
      <c r="J406" s="295">
        <f>IFERROR(_xlfn.XLOOKUP(Table6[[#This Row],[Affected Feeder ]],'Basic Data'!$A:$A,'Basic Data'!$E:$E),"")</f>
        <v>2.2727272727272728E-2</v>
      </c>
      <c r="K406" s="296" t="s">
        <v>171</v>
      </c>
      <c r="L406" s="297">
        <v>0.5805555555555556</v>
      </c>
      <c r="M406" s="297">
        <v>0.5805555555555556</v>
      </c>
      <c r="N406" s="297">
        <v>0.58750000000000002</v>
      </c>
      <c r="O406" s="19">
        <f>(Table6[[#This Row],[Work Start TimeStamp]]-Table6[[#This Row],[Fault Start TimeStamp]])*24</f>
        <v>0</v>
      </c>
      <c r="P406" s="19">
        <f>(Table6[[#This Row],[Fault Clearance time]]-Table6[[#This Row],[Fault Start TimeStamp]])*24</f>
        <v>0.16666666666666607</v>
      </c>
      <c r="Q406" s="19">
        <f>(Table6[[#This Row],[Fault Clearance time]]-Table6[[#This Row],[Fault Start TimeStamp]])*24</f>
        <v>0.16666666666666607</v>
      </c>
      <c r="R406" s="79" t="s">
        <v>353</v>
      </c>
      <c r="S406" s="79" t="s">
        <v>339</v>
      </c>
      <c r="T406" s="298">
        <f>IFERROR(Table6[[#This Row],[Breakdown Time]]*Table6[[#This Row],[Plant Equivalent Weightage]],"")</f>
        <v>3.7878787878787745E-3</v>
      </c>
      <c r="U406" s="79" t="s">
        <v>416</v>
      </c>
      <c r="W406" s="79">
        <v>25</v>
      </c>
    </row>
    <row r="407" spans="1:23">
      <c r="A407" s="79">
        <f t="shared" si="6"/>
        <v>406</v>
      </c>
      <c r="B407" s="79">
        <f>YEAR(Table6[[#This Row],[Date]])+IF(MONTH(Table6[[#This Row],[Date]])&gt;=4,1,0)</f>
        <v>2026</v>
      </c>
      <c r="C407" s="79">
        <f>YEAR(Table6[[#This Row],[Date]])</f>
        <v>2025</v>
      </c>
      <c r="D407" s="79" t="s">
        <v>344</v>
      </c>
      <c r="E407" s="284">
        <f>Table6[[#This Row],[Date]]-DAY(Table6[[#This Row],[Date]])+1</f>
        <v>45778</v>
      </c>
      <c r="F407" s="285">
        <v>45787</v>
      </c>
      <c r="G407" s="79" t="s">
        <v>93</v>
      </c>
      <c r="H407" s="79" t="str">
        <f>IFERROR(_xlfn.XLOOKUP(Table6[[#This Row],[Affected Feeder ]],'Basic Data'!$A:$A,'Basic Data'!$B:$B),"")</f>
        <v>PWEPL</v>
      </c>
      <c r="I407" s="79" t="str">
        <f>IFERROR(_xlfn.XLOOKUP(Table6[[#This Row],[Affected Feeder ]],'Basic Data'!$A:$A,'Basic Data'!$C:$C),"")</f>
        <v>MSEDCL</v>
      </c>
      <c r="J407" s="295">
        <f>IFERROR(_xlfn.XLOOKUP(Table6[[#This Row],[Affected Feeder ]],'Basic Data'!$A:$A,'Basic Data'!$E:$E),"")</f>
        <v>2.2727272727272728E-2</v>
      </c>
      <c r="K407" s="296" t="s">
        <v>414</v>
      </c>
      <c r="L407" s="297">
        <v>0.31944444444444448</v>
      </c>
      <c r="M407" s="297">
        <v>0.31944444444444448</v>
      </c>
      <c r="N407" s="297">
        <v>0.5805555555555556</v>
      </c>
      <c r="O407" s="19">
        <f>(Table6[[#This Row],[Work Start TimeStamp]]-Table6[[#This Row],[Fault Start TimeStamp]])*24</f>
        <v>0</v>
      </c>
      <c r="P407" s="19">
        <f>(Table6[[#This Row],[Fault Clearance time]]-Table6[[#This Row],[Fault Start TimeStamp]])*24</f>
        <v>6.2666666666666675</v>
      </c>
      <c r="Q407" s="19">
        <f>(Table6[[#This Row],[Fault Clearance time]]-Table6[[#This Row],[Fault Start TimeStamp]])*24</f>
        <v>6.2666666666666675</v>
      </c>
      <c r="R407" s="79" t="s">
        <v>457</v>
      </c>
      <c r="S407" s="79" t="s">
        <v>339</v>
      </c>
      <c r="T407" s="298">
        <f>IFERROR(Table6[[#This Row],[Breakdown Time]]*Table6[[#This Row],[Plant Equivalent Weightage]],"")</f>
        <v>0.14242424242424245</v>
      </c>
      <c r="U407" s="79" t="s">
        <v>416</v>
      </c>
      <c r="W407" s="79">
        <v>926</v>
      </c>
    </row>
    <row r="408" spans="1:23">
      <c r="A408" s="79">
        <f t="shared" si="6"/>
        <v>407</v>
      </c>
      <c r="B408" s="79">
        <f>YEAR(Table6[[#This Row],[Date]])+IF(MONTH(Table6[[#This Row],[Date]])&gt;=4,1,0)</f>
        <v>2026</v>
      </c>
      <c r="C408" s="79">
        <f>YEAR(Table6[[#This Row],[Date]])</f>
        <v>2025</v>
      </c>
      <c r="D408" s="79" t="s">
        <v>344</v>
      </c>
      <c r="E408" s="284">
        <f>Table6[[#This Row],[Date]]-DAY(Table6[[#This Row],[Date]])+1</f>
        <v>45778</v>
      </c>
      <c r="F408" s="285">
        <v>45787</v>
      </c>
      <c r="G408" s="79" t="s">
        <v>93</v>
      </c>
      <c r="H408" s="79" t="str">
        <f>IFERROR(_xlfn.XLOOKUP(Table6[[#This Row],[Affected Feeder ]],'Basic Data'!$A:$A,'Basic Data'!$B:$B),"")</f>
        <v>PWEPL</v>
      </c>
      <c r="I408" s="79" t="str">
        <f>IFERROR(_xlfn.XLOOKUP(Table6[[#This Row],[Affected Feeder ]],'Basic Data'!$A:$A,'Basic Data'!$C:$C),"")</f>
        <v>MSEDCL</v>
      </c>
      <c r="J408" s="295">
        <f>IFERROR(_xlfn.XLOOKUP(Table6[[#This Row],[Affected Feeder ]],'Basic Data'!$A:$A,'Basic Data'!$E:$E),"")</f>
        <v>2.2727272727272728E-2</v>
      </c>
      <c r="K408" s="296" t="s">
        <v>171</v>
      </c>
      <c r="L408" s="297">
        <v>0.5805555555555556</v>
      </c>
      <c r="M408" s="297">
        <v>0.5805555555555556</v>
      </c>
      <c r="N408" s="297">
        <v>0.58819444444444446</v>
      </c>
      <c r="O408" s="19">
        <f>(Table6[[#This Row],[Work Start TimeStamp]]-Table6[[#This Row],[Fault Start TimeStamp]])*24</f>
        <v>0</v>
      </c>
      <c r="P408" s="19">
        <f>(Table6[[#This Row],[Fault Clearance time]]-Table6[[#This Row],[Fault Start TimeStamp]])*24</f>
        <v>0.18333333333333268</v>
      </c>
      <c r="Q408" s="19">
        <f>(Table6[[#This Row],[Fault Clearance time]]-Table6[[#This Row],[Fault Start TimeStamp]])*24</f>
        <v>0.18333333333333268</v>
      </c>
      <c r="R408" s="79" t="s">
        <v>353</v>
      </c>
      <c r="S408" s="79" t="s">
        <v>339</v>
      </c>
      <c r="T408" s="298">
        <f>IFERROR(Table6[[#This Row],[Breakdown Time]]*Table6[[#This Row],[Plant Equivalent Weightage]],"")</f>
        <v>4.1666666666666519E-3</v>
      </c>
      <c r="U408" s="79" t="s">
        <v>416</v>
      </c>
      <c r="W408" s="79">
        <v>28</v>
      </c>
    </row>
    <row r="409" spans="1:23">
      <c r="A409" s="79">
        <f t="shared" si="6"/>
        <v>408</v>
      </c>
      <c r="B409" s="79">
        <f>YEAR(Table6[[#This Row],[Date]])+IF(MONTH(Table6[[#This Row],[Date]])&gt;=4,1,0)</f>
        <v>2026</v>
      </c>
      <c r="C409" s="79">
        <f>YEAR(Table6[[#This Row],[Date]])</f>
        <v>2025</v>
      </c>
      <c r="D409" s="79" t="s">
        <v>344</v>
      </c>
      <c r="E409" s="284">
        <f>Table6[[#This Row],[Date]]-DAY(Table6[[#This Row],[Date]])+1</f>
        <v>45778</v>
      </c>
      <c r="F409" s="285">
        <v>45787</v>
      </c>
      <c r="G409" s="79" t="s">
        <v>102</v>
      </c>
      <c r="H409" s="79" t="str">
        <f>IFERROR(_xlfn.XLOOKUP(Table6[[#This Row],[Affected Feeder ]],'Basic Data'!$A:$A,'Basic Data'!$B:$B),"")</f>
        <v>PWEPL</v>
      </c>
      <c r="I409" s="79" t="str">
        <f>IFERROR(_xlfn.XLOOKUP(Table6[[#This Row],[Affected Feeder ]],'Basic Data'!$A:$A,'Basic Data'!$C:$C),"")</f>
        <v>MSEDCL</v>
      </c>
      <c r="J409" s="295">
        <f>IFERROR(_xlfn.XLOOKUP(Table6[[#This Row],[Affected Feeder ]],'Basic Data'!$A:$A,'Basic Data'!$E:$E),"")</f>
        <v>2.2727272727272728E-2</v>
      </c>
      <c r="K409" s="296" t="s">
        <v>414</v>
      </c>
      <c r="L409" s="297">
        <v>0.31944444444444448</v>
      </c>
      <c r="M409" s="297">
        <v>0.31944444444444448</v>
      </c>
      <c r="N409" s="297">
        <v>0.5805555555555556</v>
      </c>
      <c r="O409" s="19">
        <f>(Table6[[#This Row],[Work Start TimeStamp]]-Table6[[#This Row],[Fault Start TimeStamp]])*24</f>
        <v>0</v>
      </c>
      <c r="P409" s="19">
        <f>(Table6[[#This Row],[Fault Clearance time]]-Table6[[#This Row],[Fault Start TimeStamp]])*24</f>
        <v>6.2666666666666675</v>
      </c>
      <c r="Q409" s="19">
        <f>(Table6[[#This Row],[Fault Clearance time]]-Table6[[#This Row],[Fault Start TimeStamp]])*24</f>
        <v>6.2666666666666675</v>
      </c>
      <c r="R409" s="79" t="s">
        <v>457</v>
      </c>
      <c r="S409" s="79" t="s">
        <v>339</v>
      </c>
      <c r="T409" s="298">
        <f>IFERROR(Table6[[#This Row],[Breakdown Time]]*Table6[[#This Row],[Plant Equivalent Weightage]],"")</f>
        <v>0.14242424242424245</v>
      </c>
      <c r="U409" s="79" t="s">
        <v>416</v>
      </c>
      <c r="W409" s="79">
        <v>936</v>
      </c>
    </row>
    <row r="410" spans="1:23">
      <c r="A410" s="79">
        <f t="shared" si="6"/>
        <v>409</v>
      </c>
      <c r="B410" s="79">
        <f>YEAR(Table6[[#This Row],[Date]])+IF(MONTH(Table6[[#This Row],[Date]])&gt;=4,1,0)</f>
        <v>2026</v>
      </c>
      <c r="C410" s="79">
        <f>YEAR(Table6[[#This Row],[Date]])</f>
        <v>2025</v>
      </c>
      <c r="D410" s="79" t="s">
        <v>344</v>
      </c>
      <c r="E410" s="284">
        <f>Table6[[#This Row],[Date]]-DAY(Table6[[#This Row],[Date]])+1</f>
        <v>45778</v>
      </c>
      <c r="F410" s="285">
        <v>45787</v>
      </c>
      <c r="G410" s="79" t="s">
        <v>102</v>
      </c>
      <c r="H410" s="79" t="str">
        <f>IFERROR(_xlfn.XLOOKUP(Table6[[#This Row],[Affected Feeder ]],'Basic Data'!$A:$A,'Basic Data'!$B:$B),"")</f>
        <v>PWEPL</v>
      </c>
      <c r="I410" s="79" t="str">
        <f>IFERROR(_xlfn.XLOOKUP(Table6[[#This Row],[Affected Feeder ]],'Basic Data'!$A:$A,'Basic Data'!$C:$C),"")</f>
        <v>MSEDCL</v>
      </c>
      <c r="J410" s="295">
        <f>IFERROR(_xlfn.XLOOKUP(Table6[[#This Row],[Affected Feeder ]],'Basic Data'!$A:$A,'Basic Data'!$E:$E),"")</f>
        <v>2.2727272727272728E-2</v>
      </c>
      <c r="K410" s="296" t="s">
        <v>171</v>
      </c>
      <c r="L410" s="297">
        <v>0.5805555555555556</v>
      </c>
      <c r="M410" s="297">
        <v>0.5805555555555556</v>
      </c>
      <c r="N410" s="297">
        <v>0.58680555555555558</v>
      </c>
      <c r="O410" s="19">
        <f>(Table6[[#This Row],[Work Start TimeStamp]]-Table6[[#This Row],[Fault Start TimeStamp]])*24</f>
        <v>0</v>
      </c>
      <c r="P410" s="19">
        <f>(Table6[[#This Row],[Fault Clearance time]]-Table6[[#This Row],[Fault Start TimeStamp]])*24</f>
        <v>0.14999999999999947</v>
      </c>
      <c r="Q410" s="19">
        <f>(Table6[[#This Row],[Fault Clearance time]]-Table6[[#This Row],[Fault Start TimeStamp]])*24</f>
        <v>0.14999999999999947</v>
      </c>
      <c r="R410" s="79" t="s">
        <v>353</v>
      </c>
      <c r="S410" s="79" t="s">
        <v>339</v>
      </c>
      <c r="T410" s="298">
        <f>IFERROR(Table6[[#This Row],[Breakdown Time]]*Table6[[#This Row],[Plant Equivalent Weightage]],"")</f>
        <v>3.4090909090908972E-3</v>
      </c>
      <c r="U410" s="79" t="s">
        <v>416</v>
      </c>
      <c r="W410" s="79">
        <v>23</v>
      </c>
    </row>
    <row r="411" spans="1:23">
      <c r="A411" s="79">
        <f t="shared" si="6"/>
        <v>410</v>
      </c>
      <c r="B411" s="79">
        <f>YEAR(Table6[[#This Row],[Date]])+IF(MONTH(Table6[[#This Row],[Date]])&gt;=4,1,0)</f>
        <v>2026</v>
      </c>
      <c r="C411" s="79">
        <f>YEAR(Table6[[#This Row],[Date]])</f>
        <v>2025</v>
      </c>
      <c r="D411" s="79" t="s">
        <v>344</v>
      </c>
      <c r="E411" s="284">
        <f>Table6[[#This Row],[Date]]-DAY(Table6[[#This Row],[Date]])+1</f>
        <v>45778</v>
      </c>
      <c r="F411" s="285">
        <v>45787</v>
      </c>
      <c r="G411" s="79" t="s">
        <v>119</v>
      </c>
      <c r="H411" s="79" t="str">
        <f>IFERROR(_xlfn.XLOOKUP(Table6[[#This Row],[Affected Feeder ]],'Basic Data'!$A:$A,'Basic Data'!$B:$B),"")</f>
        <v>PWEPL</v>
      </c>
      <c r="I411" s="79" t="str">
        <f>IFERROR(_xlfn.XLOOKUP(Table6[[#This Row],[Affected Feeder ]],'Basic Data'!$A:$A,'Basic Data'!$C:$C),"")</f>
        <v>MSEDCL</v>
      </c>
      <c r="J411" s="295">
        <f>IFERROR(_xlfn.XLOOKUP(Table6[[#This Row],[Affected Feeder ]],'Basic Data'!$A:$A,'Basic Data'!$E:$E),"")</f>
        <v>2.2727272727272728E-2</v>
      </c>
      <c r="K411" s="296" t="s">
        <v>414</v>
      </c>
      <c r="L411" s="297">
        <v>0.31944444444444448</v>
      </c>
      <c r="M411" s="297">
        <v>0.31944444444444448</v>
      </c>
      <c r="N411" s="297">
        <v>0.5805555555555556</v>
      </c>
      <c r="O411" s="19">
        <f>(Table6[[#This Row],[Work Start TimeStamp]]-Table6[[#This Row],[Fault Start TimeStamp]])*24</f>
        <v>0</v>
      </c>
      <c r="P411" s="19">
        <f>(Table6[[#This Row],[Fault Clearance time]]-Table6[[#This Row],[Fault Start TimeStamp]])*24</f>
        <v>6.2666666666666675</v>
      </c>
      <c r="Q411" s="19">
        <f>(Table6[[#This Row],[Fault Clearance time]]-Table6[[#This Row],[Fault Start TimeStamp]])*24</f>
        <v>6.2666666666666675</v>
      </c>
      <c r="R411" s="79" t="s">
        <v>457</v>
      </c>
      <c r="S411" s="79" t="s">
        <v>339</v>
      </c>
      <c r="T411" s="298">
        <f>IFERROR(Table6[[#This Row],[Breakdown Time]]*Table6[[#This Row],[Plant Equivalent Weightage]],"")</f>
        <v>0.14242424242424245</v>
      </c>
      <c r="U411" s="79" t="s">
        <v>416</v>
      </c>
      <c r="W411" s="79">
        <v>926</v>
      </c>
    </row>
    <row r="412" spans="1:23">
      <c r="A412" s="79">
        <f t="shared" si="6"/>
        <v>411</v>
      </c>
      <c r="B412" s="79">
        <f>YEAR(Table6[[#This Row],[Date]])+IF(MONTH(Table6[[#This Row],[Date]])&gt;=4,1,0)</f>
        <v>2026</v>
      </c>
      <c r="C412" s="79">
        <f>YEAR(Table6[[#This Row],[Date]])</f>
        <v>2025</v>
      </c>
      <c r="D412" s="79" t="s">
        <v>344</v>
      </c>
      <c r="E412" s="284">
        <f>Table6[[#This Row],[Date]]-DAY(Table6[[#This Row],[Date]])+1</f>
        <v>45778</v>
      </c>
      <c r="F412" s="285">
        <v>45787</v>
      </c>
      <c r="G412" s="79" t="s">
        <v>119</v>
      </c>
      <c r="H412" s="79" t="str">
        <f>IFERROR(_xlfn.XLOOKUP(Table6[[#This Row],[Affected Feeder ]],'Basic Data'!$A:$A,'Basic Data'!$B:$B),"")</f>
        <v>PWEPL</v>
      </c>
      <c r="I412" s="79" t="str">
        <f>IFERROR(_xlfn.XLOOKUP(Table6[[#This Row],[Affected Feeder ]],'Basic Data'!$A:$A,'Basic Data'!$C:$C),"")</f>
        <v>MSEDCL</v>
      </c>
      <c r="J412" s="295">
        <f>IFERROR(_xlfn.XLOOKUP(Table6[[#This Row],[Affected Feeder ]],'Basic Data'!$A:$A,'Basic Data'!$E:$E),"")</f>
        <v>2.2727272727272728E-2</v>
      </c>
      <c r="K412" s="296" t="s">
        <v>171</v>
      </c>
      <c r="L412" s="297">
        <v>0.5805555555555556</v>
      </c>
      <c r="M412" s="297">
        <v>0.5805555555555556</v>
      </c>
      <c r="N412" s="297">
        <v>0.58819444444444446</v>
      </c>
      <c r="O412" s="19">
        <f>(Table6[[#This Row],[Work Start TimeStamp]]-Table6[[#This Row],[Fault Start TimeStamp]])*24</f>
        <v>0</v>
      </c>
      <c r="P412" s="19">
        <f>(Table6[[#This Row],[Fault Clearance time]]-Table6[[#This Row],[Fault Start TimeStamp]])*24</f>
        <v>0.18333333333333268</v>
      </c>
      <c r="Q412" s="19">
        <f>(Table6[[#This Row],[Fault Clearance time]]-Table6[[#This Row],[Fault Start TimeStamp]])*24</f>
        <v>0.18333333333333268</v>
      </c>
      <c r="R412" s="79" t="s">
        <v>353</v>
      </c>
      <c r="S412" s="79" t="s">
        <v>339</v>
      </c>
      <c r="T412" s="298">
        <f>IFERROR(Table6[[#This Row],[Breakdown Time]]*Table6[[#This Row],[Plant Equivalent Weightage]],"")</f>
        <v>4.1666666666666519E-3</v>
      </c>
      <c r="U412" s="79" t="s">
        <v>416</v>
      </c>
      <c r="W412" s="79">
        <v>28</v>
      </c>
    </row>
    <row r="413" spans="1:23">
      <c r="A413" s="79">
        <f t="shared" si="6"/>
        <v>412</v>
      </c>
      <c r="B413" s="79">
        <f>YEAR(Table6[[#This Row],[Date]])+IF(MONTH(Table6[[#This Row],[Date]])&gt;=4,1,0)</f>
        <v>2026</v>
      </c>
      <c r="C413" s="79">
        <f>YEAR(Table6[[#This Row],[Date]])</f>
        <v>2025</v>
      </c>
      <c r="D413" s="79" t="s">
        <v>344</v>
      </c>
      <c r="E413" s="284">
        <f>Table6[[#This Row],[Date]]-DAY(Table6[[#This Row],[Date]])+1</f>
        <v>45778</v>
      </c>
      <c r="F413" s="285">
        <v>45789</v>
      </c>
      <c r="G413" s="79" t="s">
        <v>103</v>
      </c>
      <c r="H413" s="79" t="str">
        <f>IFERROR(_xlfn.XLOOKUP(Table6[[#This Row],[Affected Feeder ]],'Basic Data'!$A:$A,'Basic Data'!$B:$B),"")</f>
        <v>PWEPL</v>
      </c>
      <c r="I413" s="79" t="str">
        <f>IFERROR(_xlfn.XLOOKUP(Table6[[#This Row],[Affected Feeder ]],'Basic Data'!$A:$A,'Basic Data'!$C:$C),"")</f>
        <v>MSEDCL</v>
      </c>
      <c r="J413" s="295">
        <f>IFERROR(_xlfn.XLOOKUP(Table6[[#This Row],[Affected Feeder ]],'Basic Data'!$A:$A,'Basic Data'!$E:$E),"")</f>
        <v>2.2727272727272728E-2</v>
      </c>
      <c r="K413" s="296" t="s">
        <v>414</v>
      </c>
      <c r="L413" s="297">
        <v>0.3444444444444445</v>
      </c>
      <c r="M413" s="297">
        <v>0.3444444444444445</v>
      </c>
      <c r="N413" s="297">
        <v>0.59305555555555556</v>
      </c>
      <c r="O413" s="19">
        <f>(Table6[[#This Row],[Work Start TimeStamp]]-Table6[[#This Row],[Fault Start TimeStamp]])*24</f>
        <v>0</v>
      </c>
      <c r="P413" s="19">
        <f>(Table6[[#This Row],[Fault Clearance time]]-Table6[[#This Row],[Fault Start TimeStamp]])*24</f>
        <v>5.966666666666665</v>
      </c>
      <c r="Q413" s="19">
        <f>(Table6[[#This Row],[Fault Clearance time]]-Table6[[#This Row],[Fault Start TimeStamp]])*24</f>
        <v>5.966666666666665</v>
      </c>
      <c r="R413" s="79" t="s">
        <v>457</v>
      </c>
      <c r="S413" s="79" t="s">
        <v>339</v>
      </c>
      <c r="T413" s="298">
        <f>IFERROR(Table6[[#This Row],[Breakdown Time]]*Table6[[#This Row],[Plant Equivalent Weightage]],"")</f>
        <v>0.13560606060606056</v>
      </c>
      <c r="U413" s="79" t="s">
        <v>416</v>
      </c>
      <c r="W413" s="79">
        <v>519</v>
      </c>
    </row>
    <row r="414" spans="1:23">
      <c r="A414" s="79">
        <f t="shared" si="6"/>
        <v>413</v>
      </c>
      <c r="B414" s="79">
        <f>YEAR(Table6[[#This Row],[Date]])+IF(MONTH(Table6[[#This Row],[Date]])&gt;=4,1,0)</f>
        <v>2026</v>
      </c>
      <c r="C414" s="79">
        <f>YEAR(Table6[[#This Row],[Date]])</f>
        <v>2025</v>
      </c>
      <c r="D414" s="79" t="s">
        <v>344</v>
      </c>
      <c r="E414" s="284">
        <f>Table6[[#This Row],[Date]]-DAY(Table6[[#This Row],[Date]])+1</f>
        <v>45778</v>
      </c>
      <c r="F414" s="285">
        <v>45789</v>
      </c>
      <c r="G414" s="79" t="s">
        <v>103</v>
      </c>
      <c r="H414" s="79" t="str">
        <f>IFERROR(_xlfn.XLOOKUP(Table6[[#This Row],[Affected Feeder ]],'Basic Data'!$A:$A,'Basic Data'!$B:$B),"")</f>
        <v>PWEPL</v>
      </c>
      <c r="I414" s="79" t="str">
        <f>IFERROR(_xlfn.XLOOKUP(Table6[[#This Row],[Affected Feeder ]],'Basic Data'!$A:$A,'Basic Data'!$C:$C),"")</f>
        <v>MSEDCL</v>
      </c>
      <c r="J414" s="295">
        <f>IFERROR(_xlfn.XLOOKUP(Table6[[#This Row],[Affected Feeder ]],'Basic Data'!$A:$A,'Basic Data'!$E:$E),"")</f>
        <v>2.2727272727272728E-2</v>
      </c>
      <c r="K414" s="296" t="s">
        <v>171</v>
      </c>
      <c r="L414" s="297">
        <v>0.59305555555555556</v>
      </c>
      <c r="M414" s="297">
        <v>0.59305555555555556</v>
      </c>
      <c r="N414" s="297">
        <v>0.60069444444444442</v>
      </c>
      <c r="O414" s="19">
        <f>(Table6[[#This Row],[Work Start TimeStamp]]-Table6[[#This Row],[Fault Start TimeStamp]])*24</f>
        <v>0</v>
      </c>
      <c r="P414" s="19">
        <f>(Table6[[#This Row],[Fault Clearance time]]-Table6[[#This Row],[Fault Start TimeStamp]])*24</f>
        <v>0.18333333333333268</v>
      </c>
      <c r="Q414" s="19">
        <f>(Table6[[#This Row],[Fault Clearance time]]-Table6[[#This Row],[Fault Start TimeStamp]])*24</f>
        <v>0.18333333333333268</v>
      </c>
      <c r="R414" s="79" t="s">
        <v>353</v>
      </c>
      <c r="S414" s="79" t="s">
        <v>339</v>
      </c>
      <c r="T414" s="298">
        <f>IFERROR(Table6[[#This Row],[Breakdown Time]]*Table6[[#This Row],[Plant Equivalent Weightage]],"")</f>
        <v>4.1666666666666519E-3</v>
      </c>
      <c r="U414" s="79" t="s">
        <v>416</v>
      </c>
      <c r="W414" s="79">
        <v>16</v>
      </c>
    </row>
    <row r="415" spans="1:23">
      <c r="A415" s="79">
        <f t="shared" si="6"/>
        <v>414</v>
      </c>
      <c r="B415" s="79">
        <f>YEAR(Table6[[#This Row],[Date]])+IF(MONTH(Table6[[#This Row],[Date]])&gt;=4,1,0)</f>
        <v>2026</v>
      </c>
      <c r="C415" s="79">
        <f>YEAR(Table6[[#This Row],[Date]])</f>
        <v>2025</v>
      </c>
      <c r="D415" s="79" t="s">
        <v>344</v>
      </c>
      <c r="E415" s="284">
        <f>Table6[[#This Row],[Date]]-DAY(Table6[[#This Row],[Date]])+1</f>
        <v>45778</v>
      </c>
      <c r="F415" s="285">
        <v>45789</v>
      </c>
      <c r="G415" s="79" t="s">
        <v>105</v>
      </c>
      <c r="H415" s="79" t="str">
        <f>IFERROR(_xlfn.XLOOKUP(Table6[[#This Row],[Affected Feeder ]],'Basic Data'!$A:$A,'Basic Data'!$B:$B),"")</f>
        <v>PWEPL</v>
      </c>
      <c r="I415" s="79" t="str">
        <f>IFERROR(_xlfn.XLOOKUP(Table6[[#This Row],[Affected Feeder ]],'Basic Data'!$A:$A,'Basic Data'!$C:$C),"")</f>
        <v>MSEDCL</v>
      </c>
      <c r="J415" s="295">
        <f>IFERROR(_xlfn.XLOOKUP(Table6[[#This Row],[Affected Feeder ]],'Basic Data'!$A:$A,'Basic Data'!$E:$E),"")</f>
        <v>2.2727272727272728E-2</v>
      </c>
      <c r="K415" s="296" t="s">
        <v>414</v>
      </c>
      <c r="L415" s="297">
        <v>0.3444444444444445</v>
      </c>
      <c r="M415" s="297">
        <v>0.3444444444444445</v>
      </c>
      <c r="N415" s="297">
        <v>0.59305555555555556</v>
      </c>
      <c r="O415" s="19">
        <f>(Table6[[#This Row],[Work Start TimeStamp]]-Table6[[#This Row],[Fault Start TimeStamp]])*24</f>
        <v>0</v>
      </c>
      <c r="P415" s="19">
        <f>(Table6[[#This Row],[Fault Clearance time]]-Table6[[#This Row],[Fault Start TimeStamp]])*24</f>
        <v>5.966666666666665</v>
      </c>
      <c r="Q415" s="19">
        <f>(Table6[[#This Row],[Fault Clearance time]]-Table6[[#This Row],[Fault Start TimeStamp]])*24</f>
        <v>5.966666666666665</v>
      </c>
      <c r="R415" s="79" t="s">
        <v>457</v>
      </c>
      <c r="S415" s="79" t="s">
        <v>339</v>
      </c>
      <c r="T415" s="298">
        <f>IFERROR(Table6[[#This Row],[Breakdown Time]]*Table6[[#This Row],[Plant Equivalent Weightage]],"")</f>
        <v>0.13560606060606056</v>
      </c>
      <c r="U415" s="79" t="s">
        <v>416</v>
      </c>
      <c r="W415" s="79">
        <v>518</v>
      </c>
    </row>
    <row r="416" spans="1:23">
      <c r="A416" s="79">
        <f t="shared" si="6"/>
        <v>415</v>
      </c>
      <c r="B416" s="79">
        <f>YEAR(Table6[[#This Row],[Date]])+IF(MONTH(Table6[[#This Row],[Date]])&gt;=4,1,0)</f>
        <v>2026</v>
      </c>
      <c r="C416" s="79">
        <f>YEAR(Table6[[#This Row],[Date]])</f>
        <v>2025</v>
      </c>
      <c r="D416" s="79" t="s">
        <v>344</v>
      </c>
      <c r="E416" s="284">
        <f>Table6[[#This Row],[Date]]-DAY(Table6[[#This Row],[Date]])+1</f>
        <v>45778</v>
      </c>
      <c r="F416" s="285">
        <v>45789</v>
      </c>
      <c r="G416" s="79" t="s">
        <v>105</v>
      </c>
      <c r="H416" s="79" t="str">
        <f>IFERROR(_xlfn.XLOOKUP(Table6[[#This Row],[Affected Feeder ]],'Basic Data'!$A:$A,'Basic Data'!$B:$B),"")</f>
        <v>PWEPL</v>
      </c>
      <c r="I416" s="79" t="str">
        <f>IFERROR(_xlfn.XLOOKUP(Table6[[#This Row],[Affected Feeder ]],'Basic Data'!$A:$A,'Basic Data'!$C:$C),"")</f>
        <v>MSEDCL</v>
      </c>
      <c r="J416" s="295">
        <f>IFERROR(_xlfn.XLOOKUP(Table6[[#This Row],[Affected Feeder ]],'Basic Data'!$A:$A,'Basic Data'!$E:$E),"")</f>
        <v>2.2727272727272728E-2</v>
      </c>
      <c r="K416" s="296" t="s">
        <v>171</v>
      </c>
      <c r="L416" s="297">
        <v>0.59305555555555556</v>
      </c>
      <c r="M416" s="297">
        <v>0.59305555555555556</v>
      </c>
      <c r="N416" s="297">
        <v>0.6069444444444444</v>
      </c>
      <c r="O416" s="19">
        <f>(Table6[[#This Row],[Work Start TimeStamp]]-Table6[[#This Row],[Fault Start TimeStamp]])*24</f>
        <v>0</v>
      </c>
      <c r="P416" s="19">
        <f>(Table6[[#This Row],[Fault Clearance time]]-Table6[[#This Row],[Fault Start TimeStamp]])*24</f>
        <v>0.33333333333333215</v>
      </c>
      <c r="Q416" s="19">
        <f>(Table6[[#This Row],[Fault Clearance time]]-Table6[[#This Row],[Fault Start TimeStamp]])*24</f>
        <v>0.33333333333333215</v>
      </c>
      <c r="R416" s="79" t="s">
        <v>353</v>
      </c>
      <c r="S416" s="79" t="s">
        <v>339</v>
      </c>
      <c r="T416" s="298">
        <f>IFERROR(Table6[[#This Row],[Breakdown Time]]*Table6[[#This Row],[Plant Equivalent Weightage]],"")</f>
        <v>7.5757575757575491E-3</v>
      </c>
      <c r="U416" s="79" t="s">
        <v>416</v>
      </c>
      <c r="W416" s="79">
        <v>30</v>
      </c>
    </row>
    <row r="417" spans="1:23">
      <c r="A417" s="79">
        <f t="shared" si="6"/>
        <v>416</v>
      </c>
      <c r="B417" s="79">
        <f>YEAR(Table6[[#This Row],[Date]])+IF(MONTH(Table6[[#This Row],[Date]])&gt;=4,1,0)</f>
        <v>2026</v>
      </c>
      <c r="C417" s="79">
        <f>YEAR(Table6[[#This Row],[Date]])</f>
        <v>2025</v>
      </c>
      <c r="D417" s="79" t="s">
        <v>344</v>
      </c>
      <c r="E417" s="284">
        <f>Table6[[#This Row],[Date]]-DAY(Table6[[#This Row],[Date]])+1</f>
        <v>45778</v>
      </c>
      <c r="F417" s="285">
        <v>45789</v>
      </c>
      <c r="G417" s="79" t="s">
        <v>115</v>
      </c>
      <c r="H417" s="79" t="str">
        <f>IFERROR(_xlfn.XLOOKUP(Table6[[#This Row],[Affected Feeder ]],'Basic Data'!$A:$A,'Basic Data'!$B:$B),"")</f>
        <v>PWEPL</v>
      </c>
      <c r="I417" s="79" t="str">
        <f>IFERROR(_xlfn.XLOOKUP(Table6[[#This Row],[Affected Feeder ]],'Basic Data'!$A:$A,'Basic Data'!$C:$C),"")</f>
        <v>MSEDCL</v>
      </c>
      <c r="J417" s="295">
        <f>IFERROR(_xlfn.XLOOKUP(Table6[[#This Row],[Affected Feeder ]],'Basic Data'!$A:$A,'Basic Data'!$E:$E),"")</f>
        <v>2.2727272727272728E-2</v>
      </c>
      <c r="K417" s="296" t="s">
        <v>414</v>
      </c>
      <c r="L417" s="297">
        <v>0.3444444444444445</v>
      </c>
      <c r="M417" s="297">
        <v>0.3444444444444445</v>
      </c>
      <c r="N417" s="297">
        <v>0.59305555555555556</v>
      </c>
      <c r="O417" s="19">
        <f>(Table6[[#This Row],[Work Start TimeStamp]]-Table6[[#This Row],[Fault Start TimeStamp]])*24</f>
        <v>0</v>
      </c>
      <c r="P417" s="19">
        <f>(Table6[[#This Row],[Fault Clearance time]]-Table6[[#This Row],[Fault Start TimeStamp]])*24</f>
        <v>5.966666666666665</v>
      </c>
      <c r="Q417" s="19">
        <f>(Table6[[#This Row],[Fault Clearance time]]-Table6[[#This Row],[Fault Start TimeStamp]])*24</f>
        <v>5.966666666666665</v>
      </c>
      <c r="R417" s="79" t="s">
        <v>457</v>
      </c>
      <c r="S417" s="79" t="s">
        <v>339</v>
      </c>
      <c r="T417" s="298">
        <f>IFERROR(Table6[[#This Row],[Breakdown Time]]*Table6[[#This Row],[Plant Equivalent Weightage]],"")</f>
        <v>0.13560606060606056</v>
      </c>
      <c r="U417" s="79" t="s">
        <v>416</v>
      </c>
      <c r="W417" s="79">
        <v>518</v>
      </c>
    </row>
    <row r="418" spans="1:23">
      <c r="A418" s="79">
        <f t="shared" si="6"/>
        <v>417</v>
      </c>
      <c r="B418" s="79">
        <f>YEAR(Table6[[#This Row],[Date]])+IF(MONTH(Table6[[#This Row],[Date]])&gt;=4,1,0)</f>
        <v>2026</v>
      </c>
      <c r="C418" s="79">
        <f>YEAR(Table6[[#This Row],[Date]])</f>
        <v>2025</v>
      </c>
      <c r="D418" s="79" t="s">
        <v>344</v>
      </c>
      <c r="E418" s="284">
        <f>Table6[[#This Row],[Date]]-DAY(Table6[[#This Row],[Date]])+1</f>
        <v>45778</v>
      </c>
      <c r="F418" s="285">
        <v>45789</v>
      </c>
      <c r="G418" s="79" t="s">
        <v>115</v>
      </c>
      <c r="H418" s="79" t="str">
        <f>IFERROR(_xlfn.XLOOKUP(Table6[[#This Row],[Affected Feeder ]],'Basic Data'!$A:$A,'Basic Data'!$B:$B),"")</f>
        <v>PWEPL</v>
      </c>
      <c r="I418" s="79" t="str">
        <f>IFERROR(_xlfn.XLOOKUP(Table6[[#This Row],[Affected Feeder ]],'Basic Data'!$A:$A,'Basic Data'!$C:$C),"")</f>
        <v>MSEDCL</v>
      </c>
      <c r="J418" s="295">
        <f>IFERROR(_xlfn.XLOOKUP(Table6[[#This Row],[Affected Feeder ]],'Basic Data'!$A:$A,'Basic Data'!$E:$E),"")</f>
        <v>2.2727272727272728E-2</v>
      </c>
      <c r="K418" s="296" t="s">
        <v>171</v>
      </c>
      <c r="L418" s="297">
        <v>0.59305555555555556</v>
      </c>
      <c r="M418" s="297">
        <v>0.59305555555555556</v>
      </c>
      <c r="N418" s="297">
        <v>0.60416666666666663</v>
      </c>
      <c r="O418" s="19">
        <f>(Table6[[#This Row],[Work Start TimeStamp]]-Table6[[#This Row],[Fault Start TimeStamp]])*24</f>
        <v>0</v>
      </c>
      <c r="P418" s="19">
        <f>(Table6[[#This Row],[Fault Clearance time]]-Table6[[#This Row],[Fault Start TimeStamp]])*24</f>
        <v>0.26666666666666572</v>
      </c>
      <c r="Q418" s="19">
        <f>(Table6[[#This Row],[Fault Clearance time]]-Table6[[#This Row],[Fault Start TimeStamp]])*24</f>
        <v>0.26666666666666572</v>
      </c>
      <c r="R418" s="79" t="s">
        <v>353</v>
      </c>
      <c r="S418" s="79" t="s">
        <v>339</v>
      </c>
      <c r="T418" s="298">
        <f>IFERROR(Table6[[#This Row],[Breakdown Time]]*Table6[[#This Row],[Plant Equivalent Weightage]],"")</f>
        <v>6.0606060606060389E-3</v>
      </c>
      <c r="U418" s="79" t="s">
        <v>416</v>
      </c>
      <c r="W418" s="79">
        <v>24</v>
      </c>
    </row>
    <row r="419" spans="1:23">
      <c r="A419" s="79">
        <f t="shared" si="6"/>
        <v>418</v>
      </c>
      <c r="B419" s="79">
        <f>YEAR(Table6[[#This Row],[Date]])+IF(MONTH(Table6[[#This Row],[Date]])&gt;=4,1,0)</f>
        <v>2026</v>
      </c>
      <c r="C419" s="79">
        <f>YEAR(Table6[[#This Row],[Date]])</f>
        <v>2025</v>
      </c>
      <c r="D419" s="79" t="s">
        <v>344</v>
      </c>
      <c r="E419" s="284">
        <f>Table6[[#This Row],[Date]]-DAY(Table6[[#This Row],[Date]])+1</f>
        <v>45778</v>
      </c>
      <c r="F419" s="285">
        <v>45789</v>
      </c>
      <c r="G419" s="79" t="s">
        <v>116</v>
      </c>
      <c r="H419" s="79" t="str">
        <f>IFERROR(_xlfn.XLOOKUP(Table6[[#This Row],[Affected Feeder ]],'Basic Data'!$A:$A,'Basic Data'!$B:$B),"")</f>
        <v>PWEPL</v>
      </c>
      <c r="I419" s="79" t="str">
        <f>IFERROR(_xlfn.XLOOKUP(Table6[[#This Row],[Affected Feeder ]],'Basic Data'!$A:$A,'Basic Data'!$C:$C),"")</f>
        <v>MSEDCL</v>
      </c>
      <c r="J419" s="295">
        <f>IFERROR(_xlfn.XLOOKUP(Table6[[#This Row],[Affected Feeder ]],'Basic Data'!$A:$A,'Basic Data'!$E:$E),"")</f>
        <v>2.2727272727272728E-2</v>
      </c>
      <c r="K419" s="296" t="s">
        <v>414</v>
      </c>
      <c r="L419" s="297">
        <v>0.3444444444444445</v>
      </c>
      <c r="M419" s="297">
        <v>0.3444444444444445</v>
      </c>
      <c r="N419" s="297">
        <v>0.59305555555555556</v>
      </c>
      <c r="O419" s="19">
        <f>(Table6[[#This Row],[Work Start TimeStamp]]-Table6[[#This Row],[Fault Start TimeStamp]])*24</f>
        <v>0</v>
      </c>
      <c r="P419" s="19">
        <f>(Table6[[#This Row],[Fault Clearance time]]-Table6[[#This Row],[Fault Start TimeStamp]])*24</f>
        <v>5.966666666666665</v>
      </c>
      <c r="Q419" s="19">
        <f>(Table6[[#This Row],[Fault Clearance time]]-Table6[[#This Row],[Fault Start TimeStamp]])*24</f>
        <v>5.966666666666665</v>
      </c>
      <c r="R419" s="79" t="s">
        <v>457</v>
      </c>
      <c r="S419" s="79" t="s">
        <v>339</v>
      </c>
      <c r="T419" s="298">
        <f>IFERROR(Table6[[#This Row],[Breakdown Time]]*Table6[[#This Row],[Plant Equivalent Weightage]],"")</f>
        <v>0.13560606060606056</v>
      </c>
      <c r="U419" s="79" t="s">
        <v>416</v>
      </c>
      <c r="W419" s="79">
        <v>518</v>
      </c>
    </row>
    <row r="420" spans="1:23">
      <c r="A420" s="79">
        <f t="shared" si="6"/>
        <v>419</v>
      </c>
      <c r="B420" s="79">
        <f>YEAR(Table6[[#This Row],[Date]])+IF(MONTH(Table6[[#This Row],[Date]])&gt;=4,1,0)</f>
        <v>2026</v>
      </c>
      <c r="C420" s="79">
        <f>YEAR(Table6[[#This Row],[Date]])</f>
        <v>2025</v>
      </c>
      <c r="D420" s="79" t="s">
        <v>344</v>
      </c>
      <c r="E420" s="284">
        <f>Table6[[#This Row],[Date]]-DAY(Table6[[#This Row],[Date]])+1</f>
        <v>45778</v>
      </c>
      <c r="F420" s="285">
        <v>45789</v>
      </c>
      <c r="G420" s="79" t="s">
        <v>116</v>
      </c>
      <c r="H420" s="79" t="str">
        <f>IFERROR(_xlfn.XLOOKUP(Table6[[#This Row],[Affected Feeder ]],'Basic Data'!$A:$A,'Basic Data'!$B:$B),"")</f>
        <v>PWEPL</v>
      </c>
      <c r="I420" s="79" t="str">
        <f>IFERROR(_xlfn.XLOOKUP(Table6[[#This Row],[Affected Feeder ]],'Basic Data'!$A:$A,'Basic Data'!$C:$C),"")</f>
        <v>MSEDCL</v>
      </c>
      <c r="J420" s="295">
        <f>IFERROR(_xlfn.XLOOKUP(Table6[[#This Row],[Affected Feeder ]],'Basic Data'!$A:$A,'Basic Data'!$E:$E),"")</f>
        <v>2.2727272727272728E-2</v>
      </c>
      <c r="K420" s="296" t="s">
        <v>171</v>
      </c>
      <c r="L420" s="297">
        <v>0.59305555555555556</v>
      </c>
      <c r="M420" s="297">
        <v>0.59305555555555556</v>
      </c>
      <c r="N420" s="297">
        <v>0.6020833333333333</v>
      </c>
      <c r="O420" s="19">
        <f>(Table6[[#This Row],[Work Start TimeStamp]]-Table6[[#This Row],[Fault Start TimeStamp]])*24</f>
        <v>0</v>
      </c>
      <c r="P420" s="19">
        <f>(Table6[[#This Row],[Fault Clearance time]]-Table6[[#This Row],[Fault Start TimeStamp]])*24</f>
        <v>0.2166666666666659</v>
      </c>
      <c r="Q420" s="19">
        <f>(Table6[[#This Row],[Fault Clearance time]]-Table6[[#This Row],[Fault Start TimeStamp]])*24</f>
        <v>0.2166666666666659</v>
      </c>
      <c r="R420" s="79" t="s">
        <v>353</v>
      </c>
      <c r="S420" s="79" t="s">
        <v>339</v>
      </c>
      <c r="T420" s="298">
        <f>IFERROR(Table6[[#This Row],[Breakdown Time]]*Table6[[#This Row],[Plant Equivalent Weightage]],"")</f>
        <v>4.9242424242424065E-3</v>
      </c>
      <c r="U420" s="79" t="s">
        <v>416</v>
      </c>
      <c r="W420" s="79">
        <v>19</v>
      </c>
    </row>
    <row r="421" spans="1:23">
      <c r="A421" s="79">
        <f t="shared" si="6"/>
        <v>420</v>
      </c>
      <c r="B421" s="79">
        <f>YEAR(Table6[[#This Row],[Date]])+IF(MONTH(Table6[[#This Row],[Date]])&gt;=4,1,0)</f>
        <v>2026</v>
      </c>
      <c r="C421" s="79">
        <f>YEAR(Table6[[#This Row],[Date]])</f>
        <v>2025</v>
      </c>
      <c r="D421" s="79" t="s">
        <v>344</v>
      </c>
      <c r="E421" s="284">
        <f>Table6[[#This Row],[Date]]-DAY(Table6[[#This Row],[Date]])+1</f>
        <v>45778</v>
      </c>
      <c r="F421" s="285">
        <v>45789</v>
      </c>
      <c r="G421" s="79" t="s">
        <v>117</v>
      </c>
      <c r="H421" s="79" t="str">
        <f>IFERROR(_xlfn.XLOOKUP(Table6[[#This Row],[Affected Feeder ]],'Basic Data'!$A:$A,'Basic Data'!$B:$B),"")</f>
        <v>PWEPL</v>
      </c>
      <c r="I421" s="79" t="str">
        <f>IFERROR(_xlfn.XLOOKUP(Table6[[#This Row],[Affected Feeder ]],'Basic Data'!$A:$A,'Basic Data'!$C:$C),"")</f>
        <v>MSEDCL</v>
      </c>
      <c r="J421" s="295">
        <f>IFERROR(_xlfn.XLOOKUP(Table6[[#This Row],[Affected Feeder ]],'Basic Data'!$A:$A,'Basic Data'!$E:$E),"")</f>
        <v>2.2727272727272728E-2</v>
      </c>
      <c r="K421" s="296" t="s">
        <v>414</v>
      </c>
      <c r="L421" s="297">
        <v>0.3444444444444445</v>
      </c>
      <c r="M421" s="297">
        <v>0.3444444444444445</v>
      </c>
      <c r="N421" s="297">
        <v>0.59305555555555556</v>
      </c>
      <c r="O421" s="19">
        <f>(Table6[[#This Row],[Work Start TimeStamp]]-Table6[[#This Row],[Fault Start TimeStamp]])*24</f>
        <v>0</v>
      </c>
      <c r="P421" s="19">
        <f>(Table6[[#This Row],[Fault Clearance time]]-Table6[[#This Row],[Fault Start TimeStamp]])*24</f>
        <v>5.966666666666665</v>
      </c>
      <c r="Q421" s="19">
        <f>(Table6[[#This Row],[Fault Clearance time]]-Table6[[#This Row],[Fault Start TimeStamp]])*24</f>
        <v>5.966666666666665</v>
      </c>
      <c r="R421" s="79" t="s">
        <v>457</v>
      </c>
      <c r="S421" s="79" t="s">
        <v>339</v>
      </c>
      <c r="T421" s="298">
        <f>IFERROR(Table6[[#This Row],[Breakdown Time]]*Table6[[#This Row],[Plant Equivalent Weightage]],"")</f>
        <v>0.13560606060606056</v>
      </c>
      <c r="U421" s="79" t="s">
        <v>416</v>
      </c>
      <c r="W421" s="79">
        <v>518</v>
      </c>
    </row>
    <row r="422" spans="1:23">
      <c r="A422" s="79">
        <f t="shared" si="6"/>
        <v>421</v>
      </c>
      <c r="B422" s="79">
        <f>YEAR(Table6[[#This Row],[Date]])+IF(MONTH(Table6[[#This Row],[Date]])&gt;=4,1,0)</f>
        <v>2026</v>
      </c>
      <c r="C422" s="79">
        <f>YEAR(Table6[[#This Row],[Date]])</f>
        <v>2025</v>
      </c>
      <c r="D422" s="79" t="s">
        <v>344</v>
      </c>
      <c r="E422" s="284">
        <f>Table6[[#This Row],[Date]]-DAY(Table6[[#This Row],[Date]])+1</f>
        <v>45778</v>
      </c>
      <c r="F422" s="285">
        <v>45789</v>
      </c>
      <c r="G422" s="79" t="s">
        <v>117</v>
      </c>
      <c r="H422" s="79" t="str">
        <f>IFERROR(_xlfn.XLOOKUP(Table6[[#This Row],[Affected Feeder ]],'Basic Data'!$A:$A,'Basic Data'!$B:$B),"")</f>
        <v>PWEPL</v>
      </c>
      <c r="I422" s="79" t="str">
        <f>IFERROR(_xlfn.XLOOKUP(Table6[[#This Row],[Affected Feeder ]],'Basic Data'!$A:$A,'Basic Data'!$C:$C),"")</f>
        <v>MSEDCL</v>
      </c>
      <c r="J422" s="295">
        <f>IFERROR(_xlfn.XLOOKUP(Table6[[#This Row],[Affected Feeder ]],'Basic Data'!$A:$A,'Basic Data'!$E:$E),"")</f>
        <v>2.2727272727272728E-2</v>
      </c>
      <c r="K422" s="296" t="s">
        <v>171</v>
      </c>
      <c r="L422" s="297">
        <v>0.59305555555555556</v>
      </c>
      <c r="M422" s="297">
        <v>0.59305555555555556</v>
      </c>
      <c r="N422" s="297">
        <v>0.6069444444444444</v>
      </c>
      <c r="O422" s="19">
        <f>(Table6[[#This Row],[Work Start TimeStamp]]-Table6[[#This Row],[Fault Start TimeStamp]])*24</f>
        <v>0</v>
      </c>
      <c r="P422" s="19">
        <f>(Table6[[#This Row],[Fault Clearance time]]-Table6[[#This Row],[Fault Start TimeStamp]])*24</f>
        <v>0.33333333333333215</v>
      </c>
      <c r="Q422" s="19">
        <f>(Table6[[#This Row],[Fault Clearance time]]-Table6[[#This Row],[Fault Start TimeStamp]])*24</f>
        <v>0.33333333333333215</v>
      </c>
      <c r="R422" s="79" t="s">
        <v>353</v>
      </c>
      <c r="S422" s="79" t="s">
        <v>339</v>
      </c>
      <c r="T422" s="298">
        <f>IFERROR(Table6[[#This Row],[Breakdown Time]]*Table6[[#This Row],[Plant Equivalent Weightage]],"")</f>
        <v>7.5757575757575491E-3</v>
      </c>
      <c r="U422" s="79" t="s">
        <v>416</v>
      </c>
      <c r="W422" s="79">
        <v>30</v>
      </c>
    </row>
    <row r="423" spans="1:23">
      <c r="A423" s="79">
        <f t="shared" si="6"/>
        <v>422</v>
      </c>
      <c r="B423" s="79">
        <f>YEAR(Table6[[#This Row],[Date]])+IF(MONTH(Table6[[#This Row],[Date]])&gt;=4,1,0)</f>
        <v>2026</v>
      </c>
      <c r="C423" s="79">
        <f>YEAR(Table6[[#This Row],[Date]])</f>
        <v>2025</v>
      </c>
      <c r="D423" s="79" t="s">
        <v>344</v>
      </c>
      <c r="E423" s="284">
        <f>Table6[[#This Row],[Date]]-DAY(Table6[[#This Row],[Date]])+1</f>
        <v>45778</v>
      </c>
      <c r="F423" s="285">
        <v>45789</v>
      </c>
      <c r="G423" s="79" t="s">
        <v>118</v>
      </c>
      <c r="H423" s="79" t="str">
        <f>IFERROR(_xlfn.XLOOKUP(Table6[[#This Row],[Affected Feeder ]],'Basic Data'!$A:$A,'Basic Data'!$B:$B),"")</f>
        <v>PWEPL</v>
      </c>
      <c r="I423" s="79" t="str">
        <f>IFERROR(_xlfn.XLOOKUP(Table6[[#This Row],[Affected Feeder ]],'Basic Data'!$A:$A,'Basic Data'!$C:$C),"")</f>
        <v>MSEDCL</v>
      </c>
      <c r="J423" s="295">
        <f>IFERROR(_xlfn.XLOOKUP(Table6[[#This Row],[Affected Feeder ]],'Basic Data'!$A:$A,'Basic Data'!$E:$E),"")</f>
        <v>2.2727272727272728E-2</v>
      </c>
      <c r="K423" s="296" t="s">
        <v>414</v>
      </c>
      <c r="L423" s="297">
        <v>0.3444444444444445</v>
      </c>
      <c r="M423" s="297">
        <v>0.3444444444444445</v>
      </c>
      <c r="N423" s="297">
        <v>0.59305555555555556</v>
      </c>
      <c r="O423" s="19">
        <f>(Table6[[#This Row],[Work Start TimeStamp]]-Table6[[#This Row],[Fault Start TimeStamp]])*24</f>
        <v>0</v>
      </c>
      <c r="P423" s="19">
        <f>(Table6[[#This Row],[Fault Clearance time]]-Table6[[#This Row],[Fault Start TimeStamp]])*24</f>
        <v>5.966666666666665</v>
      </c>
      <c r="Q423" s="19">
        <f>(Table6[[#This Row],[Fault Clearance time]]-Table6[[#This Row],[Fault Start TimeStamp]])*24</f>
        <v>5.966666666666665</v>
      </c>
      <c r="R423" s="79" t="s">
        <v>457</v>
      </c>
      <c r="S423" s="79" t="s">
        <v>339</v>
      </c>
      <c r="T423" s="298">
        <f>IFERROR(Table6[[#This Row],[Breakdown Time]]*Table6[[#This Row],[Plant Equivalent Weightage]],"")</f>
        <v>0.13560606060606056</v>
      </c>
      <c r="U423" s="79" t="s">
        <v>416</v>
      </c>
      <c r="W423" s="79">
        <v>518</v>
      </c>
    </row>
    <row r="424" spans="1:23">
      <c r="A424" s="79">
        <f t="shared" si="6"/>
        <v>423</v>
      </c>
      <c r="B424" s="79">
        <f>YEAR(Table6[[#This Row],[Date]])+IF(MONTH(Table6[[#This Row],[Date]])&gt;=4,1,0)</f>
        <v>2026</v>
      </c>
      <c r="C424" s="79">
        <f>YEAR(Table6[[#This Row],[Date]])</f>
        <v>2025</v>
      </c>
      <c r="D424" s="79" t="s">
        <v>344</v>
      </c>
      <c r="E424" s="284">
        <f>Table6[[#This Row],[Date]]-DAY(Table6[[#This Row],[Date]])+1</f>
        <v>45778</v>
      </c>
      <c r="F424" s="285">
        <v>45789</v>
      </c>
      <c r="G424" s="79" t="s">
        <v>118</v>
      </c>
      <c r="H424" s="79" t="str">
        <f>IFERROR(_xlfn.XLOOKUP(Table6[[#This Row],[Affected Feeder ]],'Basic Data'!$A:$A,'Basic Data'!$B:$B),"")</f>
        <v>PWEPL</v>
      </c>
      <c r="I424" s="79" t="str">
        <f>IFERROR(_xlfn.XLOOKUP(Table6[[#This Row],[Affected Feeder ]],'Basic Data'!$A:$A,'Basic Data'!$C:$C),"")</f>
        <v>MSEDCL</v>
      </c>
      <c r="J424" s="295">
        <f>IFERROR(_xlfn.XLOOKUP(Table6[[#This Row],[Affected Feeder ]],'Basic Data'!$A:$A,'Basic Data'!$E:$E),"")</f>
        <v>2.2727272727272728E-2</v>
      </c>
      <c r="K424" s="296" t="s">
        <v>171</v>
      </c>
      <c r="L424" s="297">
        <v>0.59305555555555556</v>
      </c>
      <c r="M424" s="297">
        <v>0.59305555555555556</v>
      </c>
      <c r="N424" s="297">
        <v>0.6</v>
      </c>
      <c r="O424" s="19">
        <f>(Table6[[#This Row],[Work Start TimeStamp]]-Table6[[#This Row],[Fault Start TimeStamp]])*24</f>
        <v>0</v>
      </c>
      <c r="P424" s="19">
        <f>(Table6[[#This Row],[Fault Clearance time]]-Table6[[#This Row],[Fault Start TimeStamp]])*24</f>
        <v>0.16666666666666607</v>
      </c>
      <c r="Q424" s="19">
        <f>(Table6[[#This Row],[Fault Clearance time]]-Table6[[#This Row],[Fault Start TimeStamp]])*24</f>
        <v>0.16666666666666607</v>
      </c>
      <c r="R424" s="79" t="s">
        <v>353</v>
      </c>
      <c r="S424" s="79" t="s">
        <v>339</v>
      </c>
      <c r="T424" s="298">
        <f>IFERROR(Table6[[#This Row],[Breakdown Time]]*Table6[[#This Row],[Plant Equivalent Weightage]],"")</f>
        <v>3.7878787878787745E-3</v>
      </c>
      <c r="U424" s="79" t="s">
        <v>416</v>
      </c>
      <c r="W424" s="79">
        <v>15</v>
      </c>
    </row>
    <row r="425" spans="1:23">
      <c r="A425" s="79">
        <f t="shared" si="6"/>
        <v>424</v>
      </c>
      <c r="B425" s="79">
        <f>YEAR(Table6[[#This Row],[Date]])+IF(MONTH(Table6[[#This Row],[Date]])&gt;=4,1,0)</f>
        <v>2026</v>
      </c>
      <c r="C425" s="79">
        <f>YEAR(Table6[[#This Row],[Date]])</f>
        <v>2025</v>
      </c>
      <c r="D425" s="79" t="s">
        <v>344</v>
      </c>
      <c r="E425" s="284">
        <f>Table6[[#This Row],[Date]]-DAY(Table6[[#This Row],[Date]])+1</f>
        <v>45778</v>
      </c>
      <c r="F425" s="285">
        <v>45789</v>
      </c>
      <c r="G425" s="79" t="s">
        <v>405</v>
      </c>
      <c r="H425" s="79" t="str">
        <f>IFERROR(_xlfn.XLOOKUP(Table6[[#This Row],[Affected Feeder ]],'Basic Data'!$A:$A,'Basic Data'!$B:$B),"")</f>
        <v>PWEPL</v>
      </c>
      <c r="I425" s="79" t="str">
        <f>IFERROR(_xlfn.XLOOKUP(Table6[[#This Row],[Affected Feeder ]],'Basic Data'!$A:$A,'Basic Data'!$C:$C),"")</f>
        <v>MSEDCL</v>
      </c>
      <c r="J425" s="295">
        <f>IFERROR(_xlfn.XLOOKUP(Table6[[#This Row],[Affected Feeder ]],'Basic Data'!$A:$A,'Basic Data'!$E:$E),"")</f>
        <v>0.20454545454545453</v>
      </c>
      <c r="K425" s="296" t="s">
        <v>447</v>
      </c>
      <c r="L425" s="297">
        <v>0.67986111111111114</v>
      </c>
      <c r="M425" s="297">
        <v>0.67986111111111114</v>
      </c>
      <c r="N425" s="297">
        <v>0.75</v>
      </c>
      <c r="O425" s="19">
        <f>(Table6[[#This Row],[Work Start TimeStamp]]-Table6[[#This Row],[Fault Start TimeStamp]])*24</f>
        <v>0</v>
      </c>
      <c r="P425" s="19">
        <f>(Table6[[#This Row],[Fault Clearance time]]-Table6[[#This Row],[Fault Start TimeStamp]])*24</f>
        <v>1.6833333333333327</v>
      </c>
      <c r="Q425" s="19">
        <f>(Table6[[#This Row],[Fault Clearance time]]-Table6[[#This Row],[Fault Start TimeStamp]])*24</f>
        <v>1.6833333333333327</v>
      </c>
      <c r="R425" s="79" t="s">
        <v>420</v>
      </c>
      <c r="S425" s="79" t="s">
        <v>339</v>
      </c>
      <c r="T425" s="298">
        <f>IFERROR(Table6[[#This Row],[Breakdown Time]]*Table6[[#This Row],[Plant Equivalent Weightage]],"")</f>
        <v>0.34431818181818163</v>
      </c>
      <c r="U425" s="79" t="s">
        <v>421</v>
      </c>
      <c r="W425" s="79">
        <v>949</v>
      </c>
    </row>
    <row r="426" spans="1:23">
      <c r="A426" s="79">
        <f t="shared" si="6"/>
        <v>425</v>
      </c>
      <c r="B426" s="79">
        <f>YEAR(Table6[[#This Row],[Date]])+IF(MONTH(Table6[[#This Row],[Date]])&gt;=4,1,0)</f>
        <v>2026</v>
      </c>
      <c r="C426" s="79">
        <f>YEAR(Table6[[#This Row],[Date]])</f>
        <v>2025</v>
      </c>
      <c r="D426" s="79" t="s">
        <v>344</v>
      </c>
      <c r="E426" s="284">
        <f>Table6[[#This Row],[Date]]-DAY(Table6[[#This Row],[Date]])+1</f>
        <v>45778</v>
      </c>
      <c r="F426" s="285">
        <v>45789</v>
      </c>
      <c r="G426" s="79" t="s">
        <v>80</v>
      </c>
      <c r="H426" s="79" t="str">
        <f>IFERROR(_xlfn.XLOOKUP(Table6[[#This Row],[Affected Feeder ]],'Basic Data'!$A:$A,'Basic Data'!$B:$B),"")</f>
        <v>PWEPL</v>
      </c>
      <c r="I426" s="79" t="str">
        <f>IFERROR(_xlfn.XLOOKUP(Table6[[#This Row],[Affected Feeder ]],'Basic Data'!$A:$A,'Basic Data'!$C:$C),"")</f>
        <v>MSEDCL</v>
      </c>
      <c r="J426" s="295">
        <f>IFERROR(_xlfn.XLOOKUP(Table6[[#This Row],[Affected Feeder ]],'Basic Data'!$A:$A,'Basic Data'!$E:$E),"")</f>
        <v>2.2727272727272728E-2</v>
      </c>
      <c r="K426" s="296" t="s">
        <v>171</v>
      </c>
      <c r="L426" s="297">
        <v>0.75</v>
      </c>
      <c r="M426" s="297">
        <v>0.75</v>
      </c>
      <c r="N426" s="297">
        <v>0.76388888888888884</v>
      </c>
      <c r="O426" s="19">
        <f>(Table6[[#This Row],[Work Start TimeStamp]]-Table6[[#This Row],[Fault Start TimeStamp]])*24</f>
        <v>0</v>
      </c>
      <c r="P426" s="19">
        <f>(Table6[[#This Row],[Fault Clearance time]]-Table6[[#This Row],[Fault Start TimeStamp]])*24</f>
        <v>0.33333333333333215</v>
      </c>
      <c r="Q426" s="19">
        <f>(Table6[[#This Row],[Fault Clearance time]]-Table6[[#This Row],[Fault Start TimeStamp]])*24</f>
        <v>0.33333333333333215</v>
      </c>
      <c r="R426" s="79" t="s">
        <v>353</v>
      </c>
      <c r="S426" s="79" t="s">
        <v>339</v>
      </c>
      <c r="T426" s="298">
        <f>IFERROR(Table6[[#This Row],[Breakdown Time]]*Table6[[#This Row],[Plant Equivalent Weightage]],"")</f>
        <v>7.5757575757575491E-3</v>
      </c>
      <c r="U426" s="79" t="s">
        <v>421</v>
      </c>
      <c r="W426" s="79">
        <v>47</v>
      </c>
    </row>
    <row r="427" spans="1:23">
      <c r="A427" s="79">
        <f t="shared" si="6"/>
        <v>426</v>
      </c>
      <c r="B427" s="79">
        <f>YEAR(Table6[[#This Row],[Date]])+IF(MONTH(Table6[[#This Row],[Date]])&gt;=4,1,0)</f>
        <v>2026</v>
      </c>
      <c r="C427" s="79">
        <f>YEAR(Table6[[#This Row],[Date]])</f>
        <v>2025</v>
      </c>
      <c r="D427" s="79" t="s">
        <v>344</v>
      </c>
      <c r="E427" s="284">
        <f>Table6[[#This Row],[Date]]-DAY(Table6[[#This Row],[Date]])+1</f>
        <v>45778</v>
      </c>
      <c r="F427" s="285">
        <v>45789</v>
      </c>
      <c r="G427" s="79" t="s">
        <v>81</v>
      </c>
      <c r="H427" s="79" t="str">
        <f>IFERROR(_xlfn.XLOOKUP(Table6[[#This Row],[Affected Feeder ]],'Basic Data'!$A:$A,'Basic Data'!$B:$B),"")</f>
        <v>PWEPL</v>
      </c>
      <c r="I427" s="79" t="str">
        <f>IFERROR(_xlfn.XLOOKUP(Table6[[#This Row],[Affected Feeder ]],'Basic Data'!$A:$A,'Basic Data'!$C:$C),"")</f>
        <v>MSEDCL</v>
      </c>
      <c r="J427" s="295">
        <f>IFERROR(_xlfn.XLOOKUP(Table6[[#This Row],[Affected Feeder ]],'Basic Data'!$A:$A,'Basic Data'!$E:$E),"")</f>
        <v>2.2727272727272728E-2</v>
      </c>
      <c r="K427" s="296" t="s">
        <v>171</v>
      </c>
      <c r="L427" s="297">
        <v>0.75</v>
      </c>
      <c r="M427" s="297">
        <v>0.75</v>
      </c>
      <c r="N427" s="297">
        <v>0.76111111111111107</v>
      </c>
      <c r="O427" s="19">
        <f>(Table6[[#This Row],[Work Start TimeStamp]]-Table6[[#This Row],[Fault Start TimeStamp]])*24</f>
        <v>0</v>
      </c>
      <c r="P427" s="19">
        <f>(Table6[[#This Row],[Fault Clearance time]]-Table6[[#This Row],[Fault Start TimeStamp]])*24</f>
        <v>0.26666666666666572</v>
      </c>
      <c r="Q427" s="19">
        <f>(Table6[[#This Row],[Fault Clearance time]]-Table6[[#This Row],[Fault Start TimeStamp]])*24</f>
        <v>0.26666666666666572</v>
      </c>
      <c r="R427" s="79" t="s">
        <v>353</v>
      </c>
      <c r="S427" s="79" t="s">
        <v>339</v>
      </c>
      <c r="T427" s="298">
        <f>IFERROR(Table6[[#This Row],[Breakdown Time]]*Table6[[#This Row],[Plant Equivalent Weightage]],"")</f>
        <v>6.0606060606060389E-3</v>
      </c>
      <c r="U427" s="79" t="s">
        <v>421</v>
      </c>
      <c r="W427" s="79">
        <v>37</v>
      </c>
    </row>
    <row r="428" spans="1:23">
      <c r="A428" s="79">
        <f t="shared" si="6"/>
        <v>427</v>
      </c>
      <c r="B428" s="79">
        <f>YEAR(Table6[[#This Row],[Date]])+IF(MONTH(Table6[[#This Row],[Date]])&gt;=4,1,0)</f>
        <v>2026</v>
      </c>
      <c r="C428" s="79">
        <f>YEAR(Table6[[#This Row],[Date]])</f>
        <v>2025</v>
      </c>
      <c r="D428" s="79" t="s">
        <v>344</v>
      </c>
      <c r="E428" s="284">
        <f>Table6[[#This Row],[Date]]-DAY(Table6[[#This Row],[Date]])+1</f>
        <v>45778</v>
      </c>
      <c r="F428" s="285">
        <v>45789</v>
      </c>
      <c r="G428" s="79" t="s">
        <v>107</v>
      </c>
      <c r="H428" s="79" t="str">
        <f>IFERROR(_xlfn.XLOOKUP(Table6[[#This Row],[Affected Feeder ]],'Basic Data'!$A:$A,'Basic Data'!$B:$B),"")</f>
        <v>PWEPL</v>
      </c>
      <c r="I428" s="79" t="str">
        <f>IFERROR(_xlfn.XLOOKUP(Table6[[#This Row],[Affected Feeder ]],'Basic Data'!$A:$A,'Basic Data'!$C:$C),"")</f>
        <v>MSEDCL</v>
      </c>
      <c r="J428" s="295">
        <f>IFERROR(_xlfn.XLOOKUP(Table6[[#This Row],[Affected Feeder ]],'Basic Data'!$A:$A,'Basic Data'!$E:$E),"")</f>
        <v>2.2727272727272728E-2</v>
      </c>
      <c r="K428" s="296" t="s">
        <v>171</v>
      </c>
      <c r="L428" s="297">
        <v>0.75</v>
      </c>
      <c r="M428" s="297">
        <v>0.75</v>
      </c>
      <c r="N428" s="297">
        <v>0.76388888888888884</v>
      </c>
      <c r="O428" s="19">
        <f>(Table6[[#This Row],[Work Start TimeStamp]]-Table6[[#This Row],[Fault Start TimeStamp]])*24</f>
        <v>0</v>
      </c>
      <c r="P428" s="19">
        <f>(Table6[[#This Row],[Fault Clearance time]]-Table6[[#This Row],[Fault Start TimeStamp]])*24</f>
        <v>0.33333333333333215</v>
      </c>
      <c r="Q428" s="19">
        <f>(Table6[[#This Row],[Fault Clearance time]]-Table6[[#This Row],[Fault Start TimeStamp]])*24</f>
        <v>0.33333333333333215</v>
      </c>
      <c r="R428" s="79" t="s">
        <v>353</v>
      </c>
      <c r="S428" s="79" t="s">
        <v>339</v>
      </c>
      <c r="T428" s="298">
        <f>IFERROR(Table6[[#This Row],[Breakdown Time]]*Table6[[#This Row],[Plant Equivalent Weightage]],"")</f>
        <v>7.5757575757575491E-3</v>
      </c>
      <c r="U428" s="79" t="s">
        <v>421</v>
      </c>
      <c r="W428" s="79">
        <v>47</v>
      </c>
    </row>
    <row r="429" spans="1:23">
      <c r="A429" s="79">
        <f t="shared" si="6"/>
        <v>428</v>
      </c>
      <c r="B429" s="79">
        <f>YEAR(Table6[[#This Row],[Date]])+IF(MONTH(Table6[[#This Row],[Date]])&gt;=4,1,0)</f>
        <v>2026</v>
      </c>
      <c r="C429" s="79">
        <f>YEAR(Table6[[#This Row],[Date]])</f>
        <v>2025</v>
      </c>
      <c r="D429" s="79" t="s">
        <v>344</v>
      </c>
      <c r="E429" s="284">
        <f>Table6[[#This Row],[Date]]-DAY(Table6[[#This Row],[Date]])+1</f>
        <v>45778</v>
      </c>
      <c r="F429" s="285">
        <v>45789</v>
      </c>
      <c r="G429" s="79" t="s">
        <v>108</v>
      </c>
      <c r="H429" s="79" t="str">
        <f>IFERROR(_xlfn.XLOOKUP(Table6[[#This Row],[Affected Feeder ]],'Basic Data'!$A:$A,'Basic Data'!$B:$B),"")</f>
        <v>PWEPL</v>
      </c>
      <c r="I429" s="79" t="str">
        <f>IFERROR(_xlfn.XLOOKUP(Table6[[#This Row],[Affected Feeder ]],'Basic Data'!$A:$A,'Basic Data'!$C:$C),"")</f>
        <v>MSEDCL</v>
      </c>
      <c r="J429" s="295">
        <f>IFERROR(_xlfn.XLOOKUP(Table6[[#This Row],[Affected Feeder ]],'Basic Data'!$A:$A,'Basic Data'!$E:$E),"")</f>
        <v>2.2727272727272728E-2</v>
      </c>
      <c r="K429" s="296" t="s">
        <v>171</v>
      </c>
      <c r="L429" s="297">
        <v>0.75</v>
      </c>
      <c r="M429" s="297">
        <v>0.75</v>
      </c>
      <c r="N429" s="297">
        <v>0.76388888888888884</v>
      </c>
      <c r="O429" s="19">
        <f>(Table6[[#This Row],[Work Start TimeStamp]]-Table6[[#This Row],[Fault Start TimeStamp]])*24</f>
        <v>0</v>
      </c>
      <c r="P429" s="19">
        <f>(Table6[[#This Row],[Fault Clearance time]]-Table6[[#This Row],[Fault Start TimeStamp]])*24</f>
        <v>0.33333333333333215</v>
      </c>
      <c r="Q429" s="19">
        <f>(Table6[[#This Row],[Fault Clearance time]]-Table6[[#This Row],[Fault Start TimeStamp]])*24</f>
        <v>0.33333333333333215</v>
      </c>
      <c r="R429" s="79" t="s">
        <v>353</v>
      </c>
      <c r="S429" s="79" t="s">
        <v>339</v>
      </c>
      <c r="T429" s="298">
        <f>IFERROR(Table6[[#This Row],[Breakdown Time]]*Table6[[#This Row],[Plant Equivalent Weightage]],"")</f>
        <v>7.5757575757575491E-3</v>
      </c>
      <c r="U429" s="79" t="s">
        <v>421</v>
      </c>
      <c r="W429" s="79">
        <v>47</v>
      </c>
    </row>
    <row r="430" spans="1:23">
      <c r="A430" s="79">
        <f t="shared" si="6"/>
        <v>429</v>
      </c>
      <c r="B430" s="79">
        <f>YEAR(Table6[[#This Row],[Date]])+IF(MONTH(Table6[[#This Row],[Date]])&gt;=4,1,0)</f>
        <v>2026</v>
      </c>
      <c r="C430" s="79">
        <f>YEAR(Table6[[#This Row],[Date]])</f>
        <v>2025</v>
      </c>
      <c r="D430" s="79" t="s">
        <v>344</v>
      </c>
      <c r="E430" s="284">
        <f>Table6[[#This Row],[Date]]-DAY(Table6[[#This Row],[Date]])+1</f>
        <v>45778</v>
      </c>
      <c r="F430" s="285">
        <v>45789</v>
      </c>
      <c r="G430" s="79" t="s">
        <v>109</v>
      </c>
      <c r="H430" s="79" t="str">
        <f>IFERROR(_xlfn.XLOOKUP(Table6[[#This Row],[Affected Feeder ]],'Basic Data'!$A:$A,'Basic Data'!$B:$B),"")</f>
        <v>PWEPL</v>
      </c>
      <c r="I430" s="79" t="str">
        <f>IFERROR(_xlfn.XLOOKUP(Table6[[#This Row],[Affected Feeder ]],'Basic Data'!$A:$A,'Basic Data'!$C:$C),"")</f>
        <v>MSEDCL</v>
      </c>
      <c r="J430" s="295">
        <f>IFERROR(_xlfn.XLOOKUP(Table6[[#This Row],[Affected Feeder ]],'Basic Data'!$A:$A,'Basic Data'!$E:$E),"")</f>
        <v>2.2727272727272728E-2</v>
      </c>
      <c r="K430" s="296" t="s">
        <v>803</v>
      </c>
      <c r="L430" s="297">
        <v>0.75</v>
      </c>
      <c r="M430" s="297">
        <v>0.75</v>
      </c>
      <c r="N430" s="297">
        <v>0.7729166666666667</v>
      </c>
      <c r="O430" s="19">
        <f>(Table6[[#This Row],[Work Start TimeStamp]]-Table6[[#This Row],[Fault Start TimeStamp]])*24</f>
        <v>0</v>
      </c>
      <c r="P430" s="19">
        <f>(Table6[[#This Row],[Fault Clearance time]]-Table6[[#This Row],[Fault Start TimeStamp]])*24</f>
        <v>0.55000000000000071</v>
      </c>
      <c r="Q430" s="19">
        <f>(Table6[[#This Row],[Fault Clearance time]]-Table6[[#This Row],[Fault Start TimeStamp]])*24</f>
        <v>0.55000000000000071</v>
      </c>
      <c r="R430" s="79" t="s">
        <v>804</v>
      </c>
      <c r="S430" s="79" t="s">
        <v>339</v>
      </c>
      <c r="T430" s="298">
        <f>IFERROR(Table6[[#This Row],[Breakdown Time]]*Table6[[#This Row],[Plant Equivalent Weightage]],"")</f>
        <v>1.2500000000000016E-2</v>
      </c>
      <c r="U430" s="79" t="s">
        <v>421</v>
      </c>
      <c r="W430" s="79">
        <v>723</v>
      </c>
    </row>
    <row r="431" spans="1:23">
      <c r="A431" s="79">
        <f t="shared" si="6"/>
        <v>430</v>
      </c>
      <c r="B431" s="79">
        <f>YEAR(Table6[[#This Row],[Date]])+IF(MONTH(Table6[[#This Row],[Date]])&gt;=4,1,0)</f>
        <v>2026</v>
      </c>
      <c r="C431" s="79">
        <f>YEAR(Table6[[#This Row],[Date]])</f>
        <v>2025</v>
      </c>
      <c r="D431" s="79" t="s">
        <v>344</v>
      </c>
      <c r="E431" s="284">
        <f>Table6[[#This Row],[Date]]-DAY(Table6[[#This Row],[Date]])+1</f>
        <v>45778</v>
      </c>
      <c r="F431" s="285">
        <v>45789</v>
      </c>
      <c r="G431" s="79" t="s">
        <v>109</v>
      </c>
      <c r="H431" s="79" t="str">
        <f>IFERROR(_xlfn.XLOOKUP(Table6[[#This Row],[Affected Feeder ]],'Basic Data'!$A:$A,'Basic Data'!$B:$B),"")</f>
        <v>PWEPL</v>
      </c>
      <c r="I431" s="79" t="str">
        <f>IFERROR(_xlfn.XLOOKUP(Table6[[#This Row],[Affected Feeder ]],'Basic Data'!$A:$A,'Basic Data'!$C:$C),"")</f>
        <v>MSEDCL</v>
      </c>
      <c r="J431" s="295">
        <f>IFERROR(_xlfn.XLOOKUP(Table6[[#This Row],[Affected Feeder ]],'Basic Data'!$A:$A,'Basic Data'!$E:$E),"")</f>
        <v>2.2727272727272728E-2</v>
      </c>
      <c r="K431" s="296" t="s">
        <v>171</v>
      </c>
      <c r="L431" s="297">
        <v>0.7729166666666667</v>
      </c>
      <c r="M431" s="297">
        <v>0.7729166666666667</v>
      </c>
      <c r="N431" s="297">
        <v>0.78680555555555554</v>
      </c>
      <c r="O431" s="19">
        <f>(Table6[[#This Row],[Work Start TimeStamp]]-Table6[[#This Row],[Fault Start TimeStamp]])*24</f>
        <v>0</v>
      </c>
      <c r="P431" s="19">
        <f>(Table6[[#This Row],[Fault Clearance time]]-Table6[[#This Row],[Fault Start TimeStamp]])*24</f>
        <v>0.33333333333333215</v>
      </c>
      <c r="Q431" s="19">
        <f>(Table6[[#This Row],[Fault Clearance time]]-Table6[[#This Row],[Fault Start TimeStamp]])*24</f>
        <v>0.33333333333333215</v>
      </c>
      <c r="R431" s="79" t="s">
        <v>353</v>
      </c>
      <c r="S431" s="79" t="s">
        <v>339</v>
      </c>
      <c r="T431" s="298">
        <f>IFERROR(Table6[[#This Row],[Breakdown Time]]*Table6[[#This Row],[Plant Equivalent Weightage]],"")</f>
        <v>7.5757575757575491E-3</v>
      </c>
      <c r="U431" s="79" t="s">
        <v>421</v>
      </c>
      <c r="W431" s="79">
        <v>99</v>
      </c>
    </row>
    <row r="432" spans="1:23">
      <c r="A432" s="79">
        <f t="shared" si="6"/>
        <v>431</v>
      </c>
      <c r="B432" s="79">
        <f>YEAR(Table6[[#This Row],[Date]])+IF(MONTH(Table6[[#This Row],[Date]])&gt;=4,1,0)</f>
        <v>2026</v>
      </c>
      <c r="C432" s="79">
        <f>YEAR(Table6[[#This Row],[Date]])</f>
        <v>2025</v>
      </c>
      <c r="D432" s="79" t="s">
        <v>344</v>
      </c>
      <c r="E432" s="284">
        <f>Table6[[#This Row],[Date]]-DAY(Table6[[#This Row],[Date]])+1</f>
        <v>45778</v>
      </c>
      <c r="F432" s="285">
        <v>45789</v>
      </c>
      <c r="G432" s="79" t="s">
        <v>111</v>
      </c>
      <c r="H432" s="79" t="str">
        <f>IFERROR(_xlfn.XLOOKUP(Table6[[#This Row],[Affected Feeder ]],'Basic Data'!$A:$A,'Basic Data'!$B:$B),"")</f>
        <v>PWEPL</v>
      </c>
      <c r="I432" s="79" t="str">
        <f>IFERROR(_xlfn.XLOOKUP(Table6[[#This Row],[Affected Feeder ]],'Basic Data'!$A:$A,'Basic Data'!$C:$C),"")</f>
        <v>MSEDCL</v>
      </c>
      <c r="J432" s="295">
        <f>IFERROR(_xlfn.XLOOKUP(Table6[[#This Row],[Affected Feeder ]],'Basic Data'!$A:$A,'Basic Data'!$E:$E),"")</f>
        <v>2.2727272727272728E-2</v>
      </c>
      <c r="K432" s="296" t="s">
        <v>803</v>
      </c>
      <c r="L432" s="297">
        <v>0.75</v>
      </c>
      <c r="M432" s="297">
        <v>0.75</v>
      </c>
      <c r="N432" s="297">
        <v>0.7729166666666667</v>
      </c>
      <c r="O432" s="19">
        <f>(Table6[[#This Row],[Work Start TimeStamp]]-Table6[[#This Row],[Fault Start TimeStamp]])*24</f>
        <v>0</v>
      </c>
      <c r="P432" s="19">
        <f>(Table6[[#This Row],[Fault Clearance time]]-Table6[[#This Row],[Fault Start TimeStamp]])*24</f>
        <v>0.55000000000000071</v>
      </c>
      <c r="Q432" s="19">
        <f>(Table6[[#This Row],[Fault Clearance time]]-Table6[[#This Row],[Fault Start TimeStamp]])*24</f>
        <v>0.55000000000000071</v>
      </c>
      <c r="R432" s="79" t="s">
        <v>804</v>
      </c>
      <c r="S432" s="79" t="s">
        <v>339</v>
      </c>
      <c r="T432" s="298">
        <f>IFERROR(Table6[[#This Row],[Breakdown Time]]*Table6[[#This Row],[Plant Equivalent Weightage]],"")</f>
        <v>1.2500000000000016E-2</v>
      </c>
      <c r="U432" s="79" t="s">
        <v>421</v>
      </c>
      <c r="W432" s="79">
        <v>738</v>
      </c>
    </row>
    <row r="433" spans="1:23">
      <c r="A433" s="79">
        <f t="shared" si="6"/>
        <v>432</v>
      </c>
      <c r="B433" s="79">
        <f>YEAR(Table6[[#This Row],[Date]])+IF(MONTH(Table6[[#This Row],[Date]])&gt;=4,1,0)</f>
        <v>2026</v>
      </c>
      <c r="C433" s="79">
        <f>YEAR(Table6[[#This Row],[Date]])</f>
        <v>2025</v>
      </c>
      <c r="D433" s="79" t="s">
        <v>344</v>
      </c>
      <c r="E433" s="284">
        <f>Table6[[#This Row],[Date]]-DAY(Table6[[#This Row],[Date]])+1</f>
        <v>45778</v>
      </c>
      <c r="F433" s="285">
        <v>45789</v>
      </c>
      <c r="G433" s="79" t="s">
        <v>111</v>
      </c>
      <c r="H433" s="79" t="str">
        <f>IFERROR(_xlfn.XLOOKUP(Table6[[#This Row],[Affected Feeder ]],'Basic Data'!$A:$A,'Basic Data'!$B:$B),"")</f>
        <v>PWEPL</v>
      </c>
      <c r="I433" s="79" t="str">
        <f>IFERROR(_xlfn.XLOOKUP(Table6[[#This Row],[Affected Feeder ]],'Basic Data'!$A:$A,'Basic Data'!$C:$C),"")</f>
        <v>MSEDCL</v>
      </c>
      <c r="J433" s="295">
        <f>IFERROR(_xlfn.XLOOKUP(Table6[[#This Row],[Affected Feeder ]],'Basic Data'!$A:$A,'Basic Data'!$E:$E),"")</f>
        <v>2.2727272727272728E-2</v>
      </c>
      <c r="K433" s="296" t="s">
        <v>171</v>
      </c>
      <c r="L433" s="297">
        <v>0.7729166666666667</v>
      </c>
      <c r="M433" s="297">
        <v>0.7729166666666667</v>
      </c>
      <c r="N433" s="297">
        <v>0.78472222222222221</v>
      </c>
      <c r="O433" s="19">
        <f>(Table6[[#This Row],[Work Start TimeStamp]]-Table6[[#This Row],[Fault Start TimeStamp]])*24</f>
        <v>0</v>
      </c>
      <c r="P433" s="19">
        <f>(Table6[[#This Row],[Fault Clearance time]]-Table6[[#This Row],[Fault Start TimeStamp]])*24</f>
        <v>0.28333333333333233</v>
      </c>
      <c r="Q433" s="19">
        <f>(Table6[[#This Row],[Fault Clearance time]]-Table6[[#This Row],[Fault Start TimeStamp]])*24</f>
        <v>0.28333333333333233</v>
      </c>
      <c r="R433" s="79" t="s">
        <v>353</v>
      </c>
      <c r="S433" s="79" t="s">
        <v>339</v>
      </c>
      <c r="T433" s="298">
        <f>IFERROR(Table6[[#This Row],[Breakdown Time]]*Table6[[#This Row],[Plant Equivalent Weightage]],"")</f>
        <v>6.4393939393939167E-3</v>
      </c>
      <c r="U433" s="79" t="s">
        <v>421</v>
      </c>
      <c r="W433" s="79">
        <v>84</v>
      </c>
    </row>
    <row r="434" spans="1:23">
      <c r="A434" s="79">
        <f t="shared" si="6"/>
        <v>433</v>
      </c>
      <c r="B434" s="79">
        <f>YEAR(Table6[[#This Row],[Date]])+IF(MONTH(Table6[[#This Row],[Date]])&gt;=4,1,0)</f>
        <v>2026</v>
      </c>
      <c r="C434" s="79">
        <f>YEAR(Table6[[#This Row],[Date]])</f>
        <v>2025</v>
      </c>
      <c r="D434" s="79" t="s">
        <v>344</v>
      </c>
      <c r="E434" s="284">
        <f>Table6[[#This Row],[Date]]-DAY(Table6[[#This Row],[Date]])+1</f>
        <v>45778</v>
      </c>
      <c r="F434" s="285">
        <v>45789</v>
      </c>
      <c r="G434" s="79" t="s">
        <v>112</v>
      </c>
      <c r="H434" s="79" t="str">
        <f>IFERROR(_xlfn.XLOOKUP(Table6[[#This Row],[Affected Feeder ]],'Basic Data'!$A:$A,'Basic Data'!$B:$B),"")</f>
        <v>PWEPL</v>
      </c>
      <c r="I434" s="79" t="str">
        <f>IFERROR(_xlfn.XLOOKUP(Table6[[#This Row],[Affected Feeder ]],'Basic Data'!$A:$A,'Basic Data'!$C:$C),"")</f>
        <v>MSEDCL</v>
      </c>
      <c r="J434" s="295">
        <f>IFERROR(_xlfn.XLOOKUP(Table6[[#This Row],[Affected Feeder ]],'Basic Data'!$A:$A,'Basic Data'!$E:$E),"")</f>
        <v>2.2727272727272728E-2</v>
      </c>
      <c r="K434" s="296" t="s">
        <v>803</v>
      </c>
      <c r="L434" s="297">
        <v>0.75</v>
      </c>
      <c r="M434" s="297">
        <v>0.75</v>
      </c>
      <c r="N434" s="297">
        <v>0.7729166666666667</v>
      </c>
      <c r="O434" s="19">
        <f>(Table6[[#This Row],[Work Start TimeStamp]]-Table6[[#This Row],[Fault Start TimeStamp]])*24</f>
        <v>0</v>
      </c>
      <c r="P434" s="19">
        <f>(Table6[[#This Row],[Fault Clearance time]]-Table6[[#This Row],[Fault Start TimeStamp]])*24</f>
        <v>0.55000000000000071</v>
      </c>
      <c r="Q434" s="19">
        <f>(Table6[[#This Row],[Fault Clearance time]]-Table6[[#This Row],[Fault Start TimeStamp]])*24</f>
        <v>0.55000000000000071</v>
      </c>
      <c r="R434" s="79" t="s">
        <v>804</v>
      </c>
      <c r="S434" s="79" t="s">
        <v>339</v>
      </c>
      <c r="T434" s="298">
        <f>IFERROR(Table6[[#This Row],[Breakdown Time]]*Table6[[#This Row],[Plant Equivalent Weightage]],"")</f>
        <v>1.2500000000000016E-2</v>
      </c>
      <c r="U434" s="79" t="s">
        <v>421</v>
      </c>
      <c r="W434" s="79">
        <v>723</v>
      </c>
    </row>
    <row r="435" spans="1:23">
      <c r="A435" s="79">
        <f t="shared" si="6"/>
        <v>434</v>
      </c>
      <c r="B435" s="79">
        <f>YEAR(Table6[[#This Row],[Date]])+IF(MONTH(Table6[[#This Row],[Date]])&gt;=4,1,0)</f>
        <v>2026</v>
      </c>
      <c r="C435" s="79">
        <f>YEAR(Table6[[#This Row],[Date]])</f>
        <v>2025</v>
      </c>
      <c r="D435" s="79" t="s">
        <v>344</v>
      </c>
      <c r="E435" s="284">
        <f>Table6[[#This Row],[Date]]-DAY(Table6[[#This Row],[Date]])+1</f>
        <v>45778</v>
      </c>
      <c r="F435" s="285">
        <v>45789</v>
      </c>
      <c r="G435" s="79" t="s">
        <v>112</v>
      </c>
      <c r="H435" s="79" t="str">
        <f>IFERROR(_xlfn.XLOOKUP(Table6[[#This Row],[Affected Feeder ]],'Basic Data'!$A:$A,'Basic Data'!$B:$B),"")</f>
        <v>PWEPL</v>
      </c>
      <c r="I435" s="79" t="str">
        <f>IFERROR(_xlfn.XLOOKUP(Table6[[#This Row],[Affected Feeder ]],'Basic Data'!$A:$A,'Basic Data'!$C:$C),"")</f>
        <v>MSEDCL</v>
      </c>
      <c r="J435" s="295">
        <f>IFERROR(_xlfn.XLOOKUP(Table6[[#This Row],[Affected Feeder ]],'Basic Data'!$A:$A,'Basic Data'!$E:$E),"")</f>
        <v>2.2727272727272728E-2</v>
      </c>
      <c r="K435" s="296" t="s">
        <v>171</v>
      </c>
      <c r="L435" s="297">
        <v>0.7729166666666667</v>
      </c>
      <c r="M435" s="297">
        <v>0.7729166666666667</v>
      </c>
      <c r="N435" s="297">
        <v>0.78680555555555554</v>
      </c>
      <c r="O435" s="19">
        <f>(Table6[[#This Row],[Work Start TimeStamp]]-Table6[[#This Row],[Fault Start TimeStamp]])*24</f>
        <v>0</v>
      </c>
      <c r="P435" s="19">
        <f>(Table6[[#This Row],[Fault Clearance time]]-Table6[[#This Row],[Fault Start TimeStamp]])*24</f>
        <v>0.33333333333333215</v>
      </c>
      <c r="Q435" s="19">
        <f>(Table6[[#This Row],[Fault Clearance time]]-Table6[[#This Row],[Fault Start TimeStamp]])*24</f>
        <v>0.33333333333333215</v>
      </c>
      <c r="R435" s="79" t="s">
        <v>353</v>
      </c>
      <c r="S435" s="79" t="s">
        <v>339</v>
      </c>
      <c r="T435" s="298">
        <f>IFERROR(Table6[[#This Row],[Breakdown Time]]*Table6[[#This Row],[Plant Equivalent Weightage]],"")</f>
        <v>7.5757575757575491E-3</v>
      </c>
      <c r="U435" s="79" t="s">
        <v>421</v>
      </c>
      <c r="W435" s="79">
        <v>99</v>
      </c>
    </row>
    <row r="436" spans="1:23">
      <c r="A436" s="79">
        <f t="shared" si="6"/>
        <v>435</v>
      </c>
      <c r="B436" s="79">
        <f>YEAR(Table6[[#This Row],[Date]])+IF(MONTH(Table6[[#This Row],[Date]])&gt;=4,1,0)</f>
        <v>2026</v>
      </c>
      <c r="C436" s="79">
        <f>YEAR(Table6[[#This Row],[Date]])</f>
        <v>2025</v>
      </c>
      <c r="D436" s="79" t="s">
        <v>344</v>
      </c>
      <c r="E436" s="284">
        <f>Table6[[#This Row],[Date]]-DAY(Table6[[#This Row],[Date]])+1</f>
        <v>45778</v>
      </c>
      <c r="F436" s="285">
        <v>45789</v>
      </c>
      <c r="G436" s="79" t="s">
        <v>113</v>
      </c>
      <c r="H436" s="79" t="str">
        <f>IFERROR(_xlfn.XLOOKUP(Table6[[#This Row],[Affected Feeder ]],'Basic Data'!$A:$A,'Basic Data'!$B:$B),"")</f>
        <v>PWEPL</v>
      </c>
      <c r="I436" s="79" t="str">
        <f>IFERROR(_xlfn.XLOOKUP(Table6[[#This Row],[Affected Feeder ]],'Basic Data'!$A:$A,'Basic Data'!$C:$C),"")</f>
        <v>MSEDCL</v>
      </c>
      <c r="J436" s="295">
        <f>IFERROR(_xlfn.XLOOKUP(Table6[[#This Row],[Affected Feeder ]],'Basic Data'!$A:$A,'Basic Data'!$E:$E),"")</f>
        <v>2.2727272727272728E-2</v>
      </c>
      <c r="K436" s="296" t="s">
        <v>803</v>
      </c>
      <c r="L436" s="297">
        <v>0.75</v>
      </c>
      <c r="M436" s="297">
        <v>0.75</v>
      </c>
      <c r="N436" s="297">
        <v>0.7729166666666667</v>
      </c>
      <c r="O436" s="19">
        <f>(Table6[[#This Row],[Work Start TimeStamp]]-Table6[[#This Row],[Fault Start TimeStamp]])*24</f>
        <v>0</v>
      </c>
      <c r="P436" s="19">
        <f>(Table6[[#This Row],[Fault Clearance time]]-Table6[[#This Row],[Fault Start TimeStamp]])*24</f>
        <v>0.55000000000000071</v>
      </c>
      <c r="Q436" s="19">
        <f>(Table6[[#This Row],[Fault Clearance time]]-Table6[[#This Row],[Fault Start TimeStamp]])*24</f>
        <v>0.55000000000000071</v>
      </c>
      <c r="R436" s="79" t="s">
        <v>804</v>
      </c>
      <c r="S436" s="79" t="s">
        <v>339</v>
      </c>
      <c r="T436" s="298">
        <f>IFERROR(Table6[[#This Row],[Breakdown Time]]*Table6[[#This Row],[Plant Equivalent Weightage]],"")</f>
        <v>1.2500000000000016E-2</v>
      </c>
      <c r="U436" s="79" t="s">
        <v>421</v>
      </c>
      <c r="W436" s="79">
        <v>723</v>
      </c>
    </row>
    <row r="437" spans="1:23">
      <c r="A437" s="79">
        <f t="shared" si="6"/>
        <v>436</v>
      </c>
      <c r="B437" s="79">
        <f>YEAR(Table6[[#This Row],[Date]])+IF(MONTH(Table6[[#This Row],[Date]])&gt;=4,1,0)</f>
        <v>2026</v>
      </c>
      <c r="C437" s="79">
        <f>YEAR(Table6[[#This Row],[Date]])</f>
        <v>2025</v>
      </c>
      <c r="D437" s="79" t="s">
        <v>344</v>
      </c>
      <c r="E437" s="284">
        <f>Table6[[#This Row],[Date]]-DAY(Table6[[#This Row],[Date]])+1</f>
        <v>45778</v>
      </c>
      <c r="F437" s="285">
        <v>45789</v>
      </c>
      <c r="G437" s="79" t="s">
        <v>113</v>
      </c>
      <c r="H437" s="79" t="str">
        <f>IFERROR(_xlfn.XLOOKUP(Table6[[#This Row],[Affected Feeder ]],'Basic Data'!$A:$A,'Basic Data'!$B:$B),"")</f>
        <v>PWEPL</v>
      </c>
      <c r="I437" s="79" t="str">
        <f>IFERROR(_xlfn.XLOOKUP(Table6[[#This Row],[Affected Feeder ]],'Basic Data'!$A:$A,'Basic Data'!$C:$C),"")</f>
        <v>MSEDCL</v>
      </c>
      <c r="J437" s="295">
        <f>IFERROR(_xlfn.XLOOKUP(Table6[[#This Row],[Affected Feeder ]],'Basic Data'!$A:$A,'Basic Data'!$E:$E),"")</f>
        <v>2.2727272727272728E-2</v>
      </c>
      <c r="K437" s="296" t="s">
        <v>171</v>
      </c>
      <c r="L437" s="297">
        <v>0.7729166666666667</v>
      </c>
      <c r="M437" s="297">
        <v>0.7729166666666667</v>
      </c>
      <c r="N437" s="297">
        <v>0.78680555555555554</v>
      </c>
      <c r="O437" s="19">
        <f>(Table6[[#This Row],[Work Start TimeStamp]]-Table6[[#This Row],[Fault Start TimeStamp]])*24</f>
        <v>0</v>
      </c>
      <c r="P437" s="19">
        <f>(Table6[[#This Row],[Fault Clearance time]]-Table6[[#This Row],[Fault Start TimeStamp]])*24</f>
        <v>0.33333333333333215</v>
      </c>
      <c r="Q437" s="19">
        <f>(Table6[[#This Row],[Fault Clearance time]]-Table6[[#This Row],[Fault Start TimeStamp]])*24</f>
        <v>0.33333333333333215</v>
      </c>
      <c r="R437" s="79" t="s">
        <v>353</v>
      </c>
      <c r="S437" s="79" t="s">
        <v>339</v>
      </c>
      <c r="T437" s="298">
        <f>IFERROR(Table6[[#This Row],[Breakdown Time]]*Table6[[#This Row],[Plant Equivalent Weightage]],"")</f>
        <v>7.5757575757575491E-3</v>
      </c>
      <c r="U437" s="79" t="s">
        <v>421</v>
      </c>
      <c r="W437" s="79">
        <v>99</v>
      </c>
    </row>
    <row r="438" spans="1:23">
      <c r="A438" s="79">
        <f t="shared" si="6"/>
        <v>437</v>
      </c>
      <c r="B438" s="79">
        <f>YEAR(Table6[[#This Row],[Date]])+IF(MONTH(Table6[[#This Row],[Date]])&gt;=4,1,0)</f>
        <v>2026</v>
      </c>
      <c r="C438" s="79">
        <f>YEAR(Table6[[#This Row],[Date]])</f>
        <v>2025</v>
      </c>
      <c r="D438" s="79" t="s">
        <v>344</v>
      </c>
      <c r="E438" s="284">
        <f>Table6[[#This Row],[Date]]-DAY(Table6[[#This Row],[Date]])+1</f>
        <v>45778</v>
      </c>
      <c r="F438" s="285">
        <v>45789</v>
      </c>
      <c r="G438" s="79" t="s">
        <v>114</v>
      </c>
      <c r="H438" s="79" t="str">
        <f>IFERROR(_xlfn.XLOOKUP(Table6[[#This Row],[Affected Feeder ]],'Basic Data'!$A:$A,'Basic Data'!$B:$B),"")</f>
        <v>PWEPL</v>
      </c>
      <c r="I438" s="79" t="str">
        <f>IFERROR(_xlfn.XLOOKUP(Table6[[#This Row],[Affected Feeder ]],'Basic Data'!$A:$A,'Basic Data'!$C:$C),"")</f>
        <v>MSEDCL</v>
      </c>
      <c r="J438" s="295">
        <f>IFERROR(_xlfn.XLOOKUP(Table6[[#This Row],[Affected Feeder ]],'Basic Data'!$A:$A,'Basic Data'!$E:$E),"")</f>
        <v>2.2727272727272728E-2</v>
      </c>
      <c r="K438" s="296" t="s">
        <v>803</v>
      </c>
      <c r="L438" s="297">
        <v>0.75</v>
      </c>
      <c r="M438" s="297">
        <v>0.75</v>
      </c>
      <c r="N438" s="297">
        <v>0.7729166666666667</v>
      </c>
      <c r="O438" s="19">
        <f>(Table6[[#This Row],[Work Start TimeStamp]]-Table6[[#This Row],[Fault Start TimeStamp]])*24</f>
        <v>0</v>
      </c>
      <c r="P438" s="19">
        <f>(Table6[[#This Row],[Fault Clearance time]]-Table6[[#This Row],[Fault Start TimeStamp]])*24</f>
        <v>0.55000000000000071</v>
      </c>
      <c r="Q438" s="19">
        <f>(Table6[[#This Row],[Fault Clearance time]]-Table6[[#This Row],[Fault Start TimeStamp]])*24</f>
        <v>0.55000000000000071</v>
      </c>
      <c r="R438" s="79" t="s">
        <v>804</v>
      </c>
      <c r="S438" s="79" t="s">
        <v>339</v>
      </c>
      <c r="T438" s="298">
        <f>IFERROR(Table6[[#This Row],[Breakdown Time]]*Table6[[#This Row],[Plant Equivalent Weightage]],"")</f>
        <v>1.2500000000000016E-2</v>
      </c>
      <c r="U438" s="79" t="s">
        <v>421</v>
      </c>
      <c r="W438" s="79">
        <v>723</v>
      </c>
    </row>
    <row r="439" spans="1:23">
      <c r="A439" s="79">
        <f t="shared" si="6"/>
        <v>438</v>
      </c>
      <c r="B439" s="79">
        <f>YEAR(Table6[[#This Row],[Date]])+IF(MONTH(Table6[[#This Row],[Date]])&gt;=4,1,0)</f>
        <v>2026</v>
      </c>
      <c r="C439" s="79">
        <f>YEAR(Table6[[#This Row],[Date]])</f>
        <v>2025</v>
      </c>
      <c r="D439" s="79" t="s">
        <v>344</v>
      </c>
      <c r="E439" s="284">
        <f>Table6[[#This Row],[Date]]-DAY(Table6[[#This Row],[Date]])+1</f>
        <v>45778</v>
      </c>
      <c r="F439" s="285">
        <v>45789</v>
      </c>
      <c r="G439" s="79" t="s">
        <v>114</v>
      </c>
      <c r="H439" s="79" t="str">
        <f>IFERROR(_xlfn.XLOOKUP(Table6[[#This Row],[Affected Feeder ]],'Basic Data'!$A:$A,'Basic Data'!$B:$B),"")</f>
        <v>PWEPL</v>
      </c>
      <c r="I439" s="79" t="str">
        <f>IFERROR(_xlfn.XLOOKUP(Table6[[#This Row],[Affected Feeder ]],'Basic Data'!$A:$A,'Basic Data'!$C:$C),"")</f>
        <v>MSEDCL</v>
      </c>
      <c r="J439" s="295">
        <f>IFERROR(_xlfn.XLOOKUP(Table6[[#This Row],[Affected Feeder ]],'Basic Data'!$A:$A,'Basic Data'!$E:$E),"")</f>
        <v>2.2727272727272728E-2</v>
      </c>
      <c r="K439" s="296" t="s">
        <v>171</v>
      </c>
      <c r="L439" s="297">
        <v>0.7729166666666667</v>
      </c>
      <c r="M439" s="297">
        <v>0.7729166666666667</v>
      </c>
      <c r="N439" s="297">
        <v>0.78680555555555554</v>
      </c>
      <c r="O439" s="19">
        <f>(Table6[[#This Row],[Work Start TimeStamp]]-Table6[[#This Row],[Fault Start TimeStamp]])*24</f>
        <v>0</v>
      </c>
      <c r="P439" s="19">
        <f>(Table6[[#This Row],[Fault Clearance time]]-Table6[[#This Row],[Fault Start TimeStamp]])*24</f>
        <v>0.33333333333333215</v>
      </c>
      <c r="Q439" s="19">
        <f>(Table6[[#This Row],[Fault Clearance time]]-Table6[[#This Row],[Fault Start TimeStamp]])*24</f>
        <v>0.33333333333333215</v>
      </c>
      <c r="R439" s="79" t="s">
        <v>353</v>
      </c>
      <c r="S439" s="79" t="s">
        <v>339</v>
      </c>
      <c r="T439" s="298">
        <f>IFERROR(Table6[[#This Row],[Breakdown Time]]*Table6[[#This Row],[Plant Equivalent Weightage]],"")</f>
        <v>7.5757575757575491E-3</v>
      </c>
      <c r="U439" s="79" t="s">
        <v>421</v>
      </c>
      <c r="W439" s="79">
        <v>99</v>
      </c>
    </row>
    <row r="440" spans="1:23">
      <c r="A440" s="79">
        <f t="shared" si="6"/>
        <v>439</v>
      </c>
      <c r="B440" s="79">
        <f>YEAR(Table6[[#This Row],[Date]])+IF(MONTH(Table6[[#This Row],[Date]])&gt;=4,1,0)</f>
        <v>2026</v>
      </c>
      <c r="C440" s="79">
        <f>YEAR(Table6[[#This Row],[Date]])</f>
        <v>2025</v>
      </c>
      <c r="D440" s="79" t="s">
        <v>344</v>
      </c>
      <c r="E440" s="284">
        <f>Table6[[#This Row],[Date]]-DAY(Table6[[#This Row],[Date]])+1</f>
        <v>45778</v>
      </c>
      <c r="F440" s="285">
        <v>45789</v>
      </c>
      <c r="G440" s="79" t="s">
        <v>109</v>
      </c>
      <c r="H440" s="79" t="str">
        <f>IFERROR(_xlfn.XLOOKUP(Table6[[#This Row],[Affected Feeder ]],'Basic Data'!$A:$A,'Basic Data'!$B:$B),"")</f>
        <v>PWEPL</v>
      </c>
      <c r="I440" s="79" t="str">
        <f>IFERROR(_xlfn.XLOOKUP(Table6[[#This Row],[Affected Feeder ]],'Basic Data'!$A:$A,'Basic Data'!$C:$C),"")</f>
        <v>MSEDCL</v>
      </c>
      <c r="J440" s="295">
        <f>IFERROR(_xlfn.XLOOKUP(Table6[[#This Row],[Affected Feeder ]],'Basic Data'!$A:$A,'Basic Data'!$E:$E),"")</f>
        <v>2.2727272727272728E-2</v>
      </c>
      <c r="K440" s="296" t="s">
        <v>796</v>
      </c>
      <c r="L440" s="297">
        <v>0.78680555555555554</v>
      </c>
      <c r="M440" s="297">
        <v>0.78680555555555554</v>
      </c>
      <c r="N440" s="297">
        <v>0.82500000000000007</v>
      </c>
      <c r="O440" s="19">
        <f>(Table6[[#This Row],[Work Start TimeStamp]]-Table6[[#This Row],[Fault Start TimeStamp]])*24</f>
        <v>0</v>
      </c>
      <c r="P440" s="19">
        <f>(Table6[[#This Row],[Fault Clearance time]]-Table6[[#This Row],[Fault Start TimeStamp]])*24</f>
        <v>0.91666666666666874</v>
      </c>
      <c r="Q440" s="19">
        <f>(Table6[[#This Row],[Fault Clearance time]]-Table6[[#This Row],[Fault Start TimeStamp]])*24</f>
        <v>0.91666666666666874</v>
      </c>
      <c r="R440" s="79" t="s">
        <v>424</v>
      </c>
      <c r="S440" s="79" t="s">
        <v>339</v>
      </c>
      <c r="T440" s="298">
        <f>IFERROR(Table6[[#This Row],[Breakdown Time]]*Table6[[#This Row],[Plant Equivalent Weightage]],"")</f>
        <v>2.0833333333333381E-2</v>
      </c>
      <c r="U440" s="79" t="s">
        <v>421</v>
      </c>
      <c r="W440" s="79">
        <v>325</v>
      </c>
    </row>
    <row r="441" spans="1:23">
      <c r="A441" s="79">
        <f t="shared" si="6"/>
        <v>440</v>
      </c>
      <c r="B441" s="79">
        <f>YEAR(Table6[[#This Row],[Date]])+IF(MONTH(Table6[[#This Row],[Date]])&gt;=4,1,0)</f>
        <v>2026</v>
      </c>
      <c r="C441" s="79">
        <f>YEAR(Table6[[#This Row],[Date]])</f>
        <v>2025</v>
      </c>
      <c r="D441" s="79" t="s">
        <v>344</v>
      </c>
      <c r="E441" s="284">
        <f>Table6[[#This Row],[Date]]-DAY(Table6[[#This Row],[Date]])+1</f>
        <v>45778</v>
      </c>
      <c r="F441" s="285">
        <v>45789</v>
      </c>
      <c r="G441" s="79" t="s">
        <v>109</v>
      </c>
      <c r="H441" s="79" t="str">
        <f>IFERROR(_xlfn.XLOOKUP(Table6[[#This Row],[Affected Feeder ]],'Basic Data'!$A:$A,'Basic Data'!$B:$B),"")</f>
        <v>PWEPL</v>
      </c>
      <c r="I441" s="79" t="str">
        <f>IFERROR(_xlfn.XLOOKUP(Table6[[#This Row],[Affected Feeder ]],'Basic Data'!$A:$A,'Basic Data'!$C:$C),"")</f>
        <v>MSEDCL</v>
      </c>
      <c r="J441" s="295">
        <f>IFERROR(_xlfn.XLOOKUP(Table6[[#This Row],[Affected Feeder ]],'Basic Data'!$A:$A,'Basic Data'!$E:$E),"")</f>
        <v>2.2727272727272728E-2</v>
      </c>
      <c r="K441" s="296" t="s">
        <v>171</v>
      </c>
      <c r="L441" s="297">
        <v>0.82500000000000007</v>
      </c>
      <c r="M441" s="297">
        <v>0.82500000000000007</v>
      </c>
      <c r="N441" s="297">
        <v>0.83680555555555547</v>
      </c>
      <c r="O441" s="19">
        <f>(Table6[[#This Row],[Work Start TimeStamp]]-Table6[[#This Row],[Fault Start TimeStamp]])*24</f>
        <v>0</v>
      </c>
      <c r="P441" s="19">
        <f>(Table6[[#This Row],[Fault Clearance time]]-Table6[[#This Row],[Fault Start TimeStamp]])*24</f>
        <v>0.28333333333332966</v>
      </c>
      <c r="Q441" s="19">
        <f>(Table6[[#This Row],[Fault Clearance time]]-Table6[[#This Row],[Fault Start TimeStamp]])*24</f>
        <v>0.28333333333332966</v>
      </c>
      <c r="R441" s="79" t="s">
        <v>353</v>
      </c>
      <c r="S441" s="79" t="s">
        <v>339</v>
      </c>
      <c r="T441" s="298">
        <f>IFERROR(Table6[[#This Row],[Breakdown Time]]*Table6[[#This Row],[Plant Equivalent Weightage]],"")</f>
        <v>6.439393939393856E-3</v>
      </c>
      <c r="U441" s="79" t="s">
        <v>421</v>
      </c>
      <c r="W441" s="79">
        <v>144</v>
      </c>
    </row>
    <row r="442" spans="1:23">
      <c r="A442" s="79">
        <f t="shared" si="6"/>
        <v>441</v>
      </c>
      <c r="B442" s="79">
        <f>YEAR(Table6[[#This Row],[Date]])+IF(MONTH(Table6[[#This Row],[Date]])&gt;=4,1,0)</f>
        <v>2026</v>
      </c>
      <c r="C442" s="79">
        <f>YEAR(Table6[[#This Row],[Date]])</f>
        <v>2025</v>
      </c>
      <c r="D442" s="79" t="s">
        <v>344</v>
      </c>
      <c r="E442" s="284">
        <f>Table6[[#This Row],[Date]]-DAY(Table6[[#This Row],[Date]])+1</f>
        <v>45778</v>
      </c>
      <c r="F442" s="285">
        <v>45791</v>
      </c>
      <c r="G442" s="79" t="s">
        <v>80</v>
      </c>
      <c r="H442" s="79" t="str">
        <f>IFERROR(_xlfn.XLOOKUP(Table6[[#This Row],[Affected Feeder ]],'Basic Data'!$A:$A,'Basic Data'!$B:$B),"")</f>
        <v>PWEPL</v>
      </c>
      <c r="I442" s="79" t="str">
        <f>IFERROR(_xlfn.XLOOKUP(Table6[[#This Row],[Affected Feeder ]],'Basic Data'!$A:$A,'Basic Data'!$C:$C),"")</f>
        <v>MSEDCL</v>
      </c>
      <c r="J442" s="295">
        <f>IFERROR(_xlfn.XLOOKUP(Table6[[#This Row],[Affected Feeder ]],'Basic Data'!$A:$A,'Basic Data'!$E:$E),"")</f>
        <v>2.2727272727272728E-2</v>
      </c>
      <c r="K442" s="296" t="s">
        <v>414</v>
      </c>
      <c r="L442" s="297">
        <v>0.52013888888888882</v>
      </c>
      <c r="M442" s="297">
        <v>0.52013888888888882</v>
      </c>
      <c r="N442" s="297">
        <v>0.56388888888888888</v>
      </c>
      <c r="O442" s="19">
        <f>(Table6[[#This Row],[Work Start TimeStamp]]-Table6[[#This Row],[Fault Start TimeStamp]])*24</f>
        <v>0</v>
      </c>
      <c r="P442" s="19">
        <f>(Table6[[#This Row],[Fault Clearance time]]-Table6[[#This Row],[Fault Start TimeStamp]])*24</f>
        <v>1.0500000000000016</v>
      </c>
      <c r="Q442" s="19">
        <f>(Table6[[#This Row],[Fault Clearance time]]-Table6[[#This Row],[Fault Start TimeStamp]])*24</f>
        <v>1.0500000000000016</v>
      </c>
      <c r="R442" s="79" t="s">
        <v>457</v>
      </c>
      <c r="S442" s="79" t="s">
        <v>339</v>
      </c>
      <c r="T442" s="298">
        <f>IFERROR(Table6[[#This Row],[Breakdown Time]]*Table6[[#This Row],[Plant Equivalent Weightage]],"")</f>
        <v>2.3863636363636399E-2</v>
      </c>
      <c r="U442" s="79" t="s">
        <v>416</v>
      </c>
      <c r="W442" s="79">
        <v>97</v>
      </c>
    </row>
    <row r="443" spans="1:23">
      <c r="A443" s="79">
        <f t="shared" si="6"/>
        <v>442</v>
      </c>
      <c r="B443" s="79">
        <f>YEAR(Table6[[#This Row],[Date]])+IF(MONTH(Table6[[#This Row],[Date]])&gt;=4,1,0)</f>
        <v>2026</v>
      </c>
      <c r="C443" s="79">
        <f>YEAR(Table6[[#This Row],[Date]])</f>
        <v>2025</v>
      </c>
      <c r="D443" s="79" t="s">
        <v>344</v>
      </c>
      <c r="E443" s="284">
        <f>Table6[[#This Row],[Date]]-DAY(Table6[[#This Row],[Date]])+1</f>
        <v>45778</v>
      </c>
      <c r="F443" s="285">
        <v>45791</v>
      </c>
      <c r="G443" s="79" t="s">
        <v>81</v>
      </c>
      <c r="H443" s="79" t="str">
        <f>IFERROR(_xlfn.XLOOKUP(Table6[[#This Row],[Affected Feeder ]],'Basic Data'!$A:$A,'Basic Data'!$B:$B),"")</f>
        <v>PWEPL</v>
      </c>
      <c r="I443" s="79" t="str">
        <f>IFERROR(_xlfn.XLOOKUP(Table6[[#This Row],[Affected Feeder ]],'Basic Data'!$A:$A,'Basic Data'!$C:$C),"")</f>
        <v>MSEDCL</v>
      </c>
      <c r="J443" s="295">
        <f>IFERROR(_xlfn.XLOOKUP(Table6[[#This Row],[Affected Feeder ]],'Basic Data'!$A:$A,'Basic Data'!$E:$E),"")</f>
        <v>2.2727272727272728E-2</v>
      </c>
      <c r="K443" s="296" t="s">
        <v>414</v>
      </c>
      <c r="L443" s="297">
        <v>0.52013888888888882</v>
      </c>
      <c r="M443" s="297">
        <v>0.52013888888888882</v>
      </c>
      <c r="N443" s="297">
        <v>0.56388888888888888</v>
      </c>
      <c r="O443" s="19">
        <f>(Table6[[#This Row],[Work Start TimeStamp]]-Table6[[#This Row],[Fault Start TimeStamp]])*24</f>
        <v>0</v>
      </c>
      <c r="P443" s="19">
        <f>(Table6[[#This Row],[Fault Clearance time]]-Table6[[#This Row],[Fault Start TimeStamp]])*24</f>
        <v>1.0500000000000016</v>
      </c>
      <c r="Q443" s="19">
        <f>(Table6[[#This Row],[Fault Clearance time]]-Table6[[#This Row],[Fault Start TimeStamp]])*24</f>
        <v>1.0500000000000016</v>
      </c>
      <c r="R443" s="79" t="s">
        <v>457</v>
      </c>
      <c r="S443" s="79" t="s">
        <v>339</v>
      </c>
      <c r="T443" s="298">
        <f>IFERROR(Table6[[#This Row],[Breakdown Time]]*Table6[[#This Row],[Plant Equivalent Weightage]],"")</f>
        <v>2.3863636363636399E-2</v>
      </c>
      <c r="U443" s="79" t="s">
        <v>416</v>
      </c>
      <c r="W443" s="79">
        <v>97</v>
      </c>
    </row>
    <row r="444" spans="1:23">
      <c r="A444" s="79">
        <f t="shared" si="6"/>
        <v>443</v>
      </c>
      <c r="B444" s="79">
        <f>YEAR(Table6[[#This Row],[Date]])+IF(MONTH(Table6[[#This Row],[Date]])&gt;=4,1,0)</f>
        <v>2026</v>
      </c>
      <c r="C444" s="79">
        <f>YEAR(Table6[[#This Row],[Date]])</f>
        <v>2025</v>
      </c>
      <c r="D444" s="79" t="s">
        <v>344</v>
      </c>
      <c r="E444" s="284">
        <f>Table6[[#This Row],[Date]]-DAY(Table6[[#This Row],[Date]])+1</f>
        <v>45778</v>
      </c>
      <c r="F444" s="285">
        <v>45791</v>
      </c>
      <c r="G444" s="79" t="s">
        <v>107</v>
      </c>
      <c r="H444" s="79" t="str">
        <f>IFERROR(_xlfn.XLOOKUP(Table6[[#This Row],[Affected Feeder ]],'Basic Data'!$A:$A,'Basic Data'!$B:$B),"")</f>
        <v>PWEPL</v>
      </c>
      <c r="I444" s="79" t="str">
        <f>IFERROR(_xlfn.XLOOKUP(Table6[[#This Row],[Affected Feeder ]],'Basic Data'!$A:$A,'Basic Data'!$C:$C),"")</f>
        <v>MSEDCL</v>
      </c>
      <c r="J444" s="295">
        <f>IFERROR(_xlfn.XLOOKUP(Table6[[#This Row],[Affected Feeder ]],'Basic Data'!$A:$A,'Basic Data'!$E:$E),"")</f>
        <v>2.2727272727272728E-2</v>
      </c>
      <c r="K444" s="296" t="s">
        <v>414</v>
      </c>
      <c r="L444" s="297">
        <v>0.52013888888888882</v>
      </c>
      <c r="M444" s="297">
        <v>0.52013888888888882</v>
      </c>
      <c r="N444" s="297">
        <v>0.56388888888888888</v>
      </c>
      <c r="O444" s="19">
        <f>(Table6[[#This Row],[Work Start TimeStamp]]-Table6[[#This Row],[Fault Start TimeStamp]])*24</f>
        <v>0</v>
      </c>
      <c r="P444" s="19">
        <f>(Table6[[#This Row],[Fault Clearance time]]-Table6[[#This Row],[Fault Start TimeStamp]])*24</f>
        <v>1.0500000000000016</v>
      </c>
      <c r="Q444" s="19">
        <f>(Table6[[#This Row],[Fault Clearance time]]-Table6[[#This Row],[Fault Start TimeStamp]])*24</f>
        <v>1.0500000000000016</v>
      </c>
      <c r="R444" s="79" t="s">
        <v>457</v>
      </c>
      <c r="S444" s="79" t="s">
        <v>339</v>
      </c>
      <c r="T444" s="298">
        <f>IFERROR(Table6[[#This Row],[Breakdown Time]]*Table6[[#This Row],[Plant Equivalent Weightage]],"")</f>
        <v>2.3863636363636399E-2</v>
      </c>
      <c r="U444" s="79" t="s">
        <v>416</v>
      </c>
      <c r="W444" s="79">
        <v>97</v>
      </c>
    </row>
    <row r="445" spans="1:23">
      <c r="A445" s="79">
        <f t="shared" si="6"/>
        <v>444</v>
      </c>
      <c r="B445" s="79">
        <f>YEAR(Table6[[#This Row],[Date]])+IF(MONTH(Table6[[#This Row],[Date]])&gt;=4,1,0)</f>
        <v>2026</v>
      </c>
      <c r="C445" s="79">
        <f>YEAR(Table6[[#This Row],[Date]])</f>
        <v>2025</v>
      </c>
      <c r="D445" s="79" t="s">
        <v>344</v>
      </c>
      <c r="E445" s="284">
        <f>Table6[[#This Row],[Date]]-DAY(Table6[[#This Row],[Date]])+1</f>
        <v>45778</v>
      </c>
      <c r="F445" s="285">
        <v>45791</v>
      </c>
      <c r="G445" s="79" t="s">
        <v>108</v>
      </c>
      <c r="H445" s="79" t="str">
        <f>IFERROR(_xlfn.XLOOKUP(Table6[[#This Row],[Affected Feeder ]],'Basic Data'!$A:$A,'Basic Data'!$B:$B),"")</f>
        <v>PWEPL</v>
      </c>
      <c r="I445" s="79" t="str">
        <f>IFERROR(_xlfn.XLOOKUP(Table6[[#This Row],[Affected Feeder ]],'Basic Data'!$A:$A,'Basic Data'!$C:$C),"")</f>
        <v>MSEDCL</v>
      </c>
      <c r="J445" s="295">
        <f>IFERROR(_xlfn.XLOOKUP(Table6[[#This Row],[Affected Feeder ]],'Basic Data'!$A:$A,'Basic Data'!$E:$E),"")</f>
        <v>2.2727272727272728E-2</v>
      </c>
      <c r="K445" s="296" t="s">
        <v>414</v>
      </c>
      <c r="L445" s="297">
        <v>0.52013888888888882</v>
      </c>
      <c r="M445" s="297">
        <v>0.52013888888888882</v>
      </c>
      <c r="N445" s="297">
        <v>0.56388888888888888</v>
      </c>
      <c r="O445" s="19">
        <f>(Table6[[#This Row],[Work Start TimeStamp]]-Table6[[#This Row],[Fault Start TimeStamp]])*24</f>
        <v>0</v>
      </c>
      <c r="P445" s="19">
        <f>(Table6[[#This Row],[Fault Clearance time]]-Table6[[#This Row],[Fault Start TimeStamp]])*24</f>
        <v>1.0500000000000016</v>
      </c>
      <c r="Q445" s="19">
        <f>(Table6[[#This Row],[Fault Clearance time]]-Table6[[#This Row],[Fault Start TimeStamp]])*24</f>
        <v>1.0500000000000016</v>
      </c>
      <c r="R445" s="79" t="s">
        <v>457</v>
      </c>
      <c r="S445" s="79" t="s">
        <v>339</v>
      </c>
      <c r="T445" s="298">
        <f>IFERROR(Table6[[#This Row],[Breakdown Time]]*Table6[[#This Row],[Plant Equivalent Weightage]],"")</f>
        <v>2.3863636363636399E-2</v>
      </c>
      <c r="U445" s="79" t="s">
        <v>416</v>
      </c>
      <c r="W445" s="79">
        <v>97</v>
      </c>
    </row>
    <row r="446" spans="1:23">
      <c r="A446" s="79">
        <f t="shared" si="6"/>
        <v>445</v>
      </c>
      <c r="B446" s="79">
        <f>YEAR(Table6[[#This Row],[Date]])+IF(MONTH(Table6[[#This Row],[Date]])&gt;=4,1,0)</f>
        <v>2026</v>
      </c>
      <c r="C446" s="79">
        <f>YEAR(Table6[[#This Row],[Date]])</f>
        <v>2025</v>
      </c>
      <c r="D446" s="79" t="s">
        <v>344</v>
      </c>
      <c r="E446" s="284">
        <f>Table6[[#This Row],[Date]]-DAY(Table6[[#This Row],[Date]])+1</f>
        <v>45778</v>
      </c>
      <c r="F446" s="285">
        <v>45791</v>
      </c>
      <c r="G446" s="79" t="s">
        <v>405</v>
      </c>
      <c r="H446" s="79" t="str">
        <f>IFERROR(_xlfn.XLOOKUP(Table6[[#This Row],[Affected Feeder ]],'Basic Data'!$A:$A,'Basic Data'!$B:$B),"")</f>
        <v>PWEPL</v>
      </c>
      <c r="I446" s="79" t="str">
        <f>IFERROR(_xlfn.XLOOKUP(Table6[[#This Row],[Affected Feeder ]],'Basic Data'!$A:$A,'Basic Data'!$C:$C),"")</f>
        <v>MSEDCL</v>
      </c>
      <c r="J446" s="295">
        <f>IFERROR(_xlfn.XLOOKUP(Table6[[#This Row],[Affected Feeder ]],'Basic Data'!$A:$A,'Basic Data'!$E:$E),"")</f>
        <v>0.20454545454545453</v>
      </c>
      <c r="K446" s="296" t="s">
        <v>447</v>
      </c>
      <c r="L446" s="297">
        <v>0.56388888888888888</v>
      </c>
      <c r="M446" s="297">
        <v>0.56388888888888888</v>
      </c>
      <c r="N446" s="297">
        <v>0.58402777777777781</v>
      </c>
      <c r="O446" s="19">
        <f>(Table6[[#This Row],[Work Start TimeStamp]]-Table6[[#This Row],[Fault Start TimeStamp]])*24</f>
        <v>0</v>
      </c>
      <c r="P446" s="19">
        <f>(Table6[[#This Row],[Fault Clearance time]]-Table6[[#This Row],[Fault Start TimeStamp]])*24</f>
        <v>0.48333333333333428</v>
      </c>
      <c r="Q446" s="19">
        <f>(Table6[[#This Row],[Fault Clearance time]]-Table6[[#This Row],[Fault Start TimeStamp]])*24</f>
        <v>0.48333333333333428</v>
      </c>
      <c r="R446" s="79" t="s">
        <v>420</v>
      </c>
      <c r="S446" s="79" t="s">
        <v>339</v>
      </c>
      <c r="T446" s="298">
        <f>IFERROR(Table6[[#This Row],[Breakdown Time]]*Table6[[#This Row],[Plant Equivalent Weightage]],"")</f>
        <v>9.8863636363636556E-2</v>
      </c>
      <c r="U446" s="79" t="s">
        <v>421</v>
      </c>
      <c r="W446" s="79">
        <v>438</v>
      </c>
    </row>
    <row r="447" spans="1:23">
      <c r="A447" s="79">
        <f t="shared" si="6"/>
        <v>446</v>
      </c>
      <c r="B447" s="79">
        <f>YEAR(Table6[[#This Row],[Date]])+IF(MONTH(Table6[[#This Row],[Date]])&gt;=4,1,0)</f>
        <v>2026</v>
      </c>
      <c r="C447" s="79">
        <f>YEAR(Table6[[#This Row],[Date]])</f>
        <v>2025</v>
      </c>
      <c r="D447" s="79" t="s">
        <v>344</v>
      </c>
      <c r="E447" s="284">
        <f>Table6[[#This Row],[Date]]-DAY(Table6[[#This Row],[Date]])+1</f>
        <v>45778</v>
      </c>
      <c r="F447" s="285">
        <v>45791</v>
      </c>
      <c r="G447" s="79" t="s">
        <v>109</v>
      </c>
      <c r="H447" s="79" t="str">
        <f>IFERROR(_xlfn.XLOOKUP(Table6[[#This Row],[Affected Feeder ]],'Basic Data'!$A:$A,'Basic Data'!$B:$B),"")</f>
        <v>PWEPL</v>
      </c>
      <c r="I447" s="79" t="str">
        <f>IFERROR(_xlfn.XLOOKUP(Table6[[#This Row],[Affected Feeder ]],'Basic Data'!$A:$A,'Basic Data'!$C:$C),"")</f>
        <v>MSEDCL</v>
      </c>
      <c r="J447" s="295">
        <f>IFERROR(_xlfn.XLOOKUP(Table6[[#This Row],[Affected Feeder ]],'Basic Data'!$A:$A,'Basic Data'!$E:$E),"")</f>
        <v>2.2727272727272728E-2</v>
      </c>
      <c r="K447" s="296" t="s">
        <v>171</v>
      </c>
      <c r="L447" s="297">
        <v>0.58402777777777781</v>
      </c>
      <c r="M447" s="297">
        <v>0.58402777777777781</v>
      </c>
      <c r="N447" s="297">
        <v>0.59444444444444444</v>
      </c>
      <c r="O447" s="19">
        <f>(Table6[[#This Row],[Work Start TimeStamp]]-Table6[[#This Row],[Fault Start TimeStamp]])*24</f>
        <v>0</v>
      </c>
      <c r="P447" s="19">
        <f>(Table6[[#This Row],[Fault Clearance time]]-Table6[[#This Row],[Fault Start TimeStamp]])*24</f>
        <v>0.24999999999999911</v>
      </c>
      <c r="Q447" s="19">
        <f>(Table6[[#This Row],[Fault Clearance time]]-Table6[[#This Row],[Fault Start TimeStamp]])*24</f>
        <v>0.24999999999999911</v>
      </c>
      <c r="R447" s="79" t="s">
        <v>353</v>
      </c>
      <c r="S447" s="79" t="s">
        <v>339</v>
      </c>
      <c r="T447" s="298">
        <f>IFERROR(Table6[[#This Row],[Breakdown Time]]*Table6[[#This Row],[Plant Equivalent Weightage]],"")</f>
        <v>5.681818181818162E-3</v>
      </c>
      <c r="U447" s="79" t="s">
        <v>421</v>
      </c>
      <c r="W447" s="79">
        <v>25</v>
      </c>
    </row>
    <row r="448" spans="1:23">
      <c r="A448" s="79">
        <f t="shared" si="6"/>
        <v>447</v>
      </c>
      <c r="B448" s="79">
        <f>YEAR(Table6[[#This Row],[Date]])+IF(MONTH(Table6[[#This Row],[Date]])&gt;=4,1,0)</f>
        <v>2026</v>
      </c>
      <c r="C448" s="79">
        <f>YEAR(Table6[[#This Row],[Date]])</f>
        <v>2025</v>
      </c>
      <c r="D448" s="79" t="s">
        <v>344</v>
      </c>
      <c r="E448" s="284">
        <f>Table6[[#This Row],[Date]]-DAY(Table6[[#This Row],[Date]])+1</f>
        <v>45778</v>
      </c>
      <c r="F448" s="285">
        <v>45791</v>
      </c>
      <c r="G448" s="79" t="s">
        <v>111</v>
      </c>
      <c r="H448" s="79" t="str">
        <f>IFERROR(_xlfn.XLOOKUP(Table6[[#This Row],[Affected Feeder ]],'Basic Data'!$A:$A,'Basic Data'!$B:$B),"")</f>
        <v>PWEPL</v>
      </c>
      <c r="I448" s="79" t="str">
        <f>IFERROR(_xlfn.XLOOKUP(Table6[[#This Row],[Affected Feeder ]],'Basic Data'!$A:$A,'Basic Data'!$C:$C),"")</f>
        <v>MSEDCL</v>
      </c>
      <c r="J448" s="295">
        <f>IFERROR(_xlfn.XLOOKUP(Table6[[#This Row],[Affected Feeder ]],'Basic Data'!$A:$A,'Basic Data'!$E:$E),"")</f>
        <v>2.2727272727272728E-2</v>
      </c>
      <c r="K448" s="296" t="s">
        <v>171</v>
      </c>
      <c r="L448" s="297">
        <v>0.58402777777777781</v>
      </c>
      <c r="M448" s="297">
        <v>0.58402777777777781</v>
      </c>
      <c r="N448" s="297">
        <v>0.59444444444444444</v>
      </c>
      <c r="O448" s="19">
        <f>(Table6[[#This Row],[Work Start TimeStamp]]-Table6[[#This Row],[Fault Start TimeStamp]])*24</f>
        <v>0</v>
      </c>
      <c r="P448" s="19">
        <f>(Table6[[#This Row],[Fault Clearance time]]-Table6[[#This Row],[Fault Start TimeStamp]])*24</f>
        <v>0.24999999999999911</v>
      </c>
      <c r="Q448" s="19">
        <f>(Table6[[#This Row],[Fault Clearance time]]-Table6[[#This Row],[Fault Start TimeStamp]])*24</f>
        <v>0.24999999999999911</v>
      </c>
      <c r="R448" s="79" t="s">
        <v>353</v>
      </c>
      <c r="S448" s="79" t="s">
        <v>339</v>
      </c>
      <c r="T448" s="298">
        <f>IFERROR(Table6[[#This Row],[Breakdown Time]]*Table6[[#This Row],[Plant Equivalent Weightage]],"")</f>
        <v>5.681818181818162E-3</v>
      </c>
      <c r="U448" s="79" t="s">
        <v>421</v>
      </c>
      <c r="W448" s="79">
        <v>25</v>
      </c>
    </row>
    <row r="449" spans="1:23">
      <c r="A449" s="79">
        <f t="shared" si="6"/>
        <v>448</v>
      </c>
      <c r="B449" s="79">
        <f>YEAR(Table6[[#This Row],[Date]])+IF(MONTH(Table6[[#This Row],[Date]])&gt;=4,1,0)</f>
        <v>2026</v>
      </c>
      <c r="C449" s="79">
        <f>YEAR(Table6[[#This Row],[Date]])</f>
        <v>2025</v>
      </c>
      <c r="D449" s="79" t="s">
        <v>344</v>
      </c>
      <c r="E449" s="284">
        <f>Table6[[#This Row],[Date]]-DAY(Table6[[#This Row],[Date]])+1</f>
        <v>45778</v>
      </c>
      <c r="F449" s="285">
        <v>45791</v>
      </c>
      <c r="G449" s="79" t="s">
        <v>112</v>
      </c>
      <c r="H449" s="79" t="str">
        <f>IFERROR(_xlfn.XLOOKUP(Table6[[#This Row],[Affected Feeder ]],'Basic Data'!$A:$A,'Basic Data'!$B:$B),"")</f>
        <v>PWEPL</v>
      </c>
      <c r="I449" s="79" t="str">
        <f>IFERROR(_xlfn.XLOOKUP(Table6[[#This Row],[Affected Feeder ]],'Basic Data'!$A:$A,'Basic Data'!$C:$C),"")</f>
        <v>MSEDCL</v>
      </c>
      <c r="J449" s="295">
        <f>IFERROR(_xlfn.XLOOKUP(Table6[[#This Row],[Affected Feeder ]],'Basic Data'!$A:$A,'Basic Data'!$E:$E),"")</f>
        <v>2.2727272727272728E-2</v>
      </c>
      <c r="K449" s="296" t="s">
        <v>171</v>
      </c>
      <c r="L449" s="297">
        <v>0.58402777777777781</v>
      </c>
      <c r="M449" s="297">
        <v>0.58402777777777781</v>
      </c>
      <c r="N449" s="297">
        <v>0.59444444444444444</v>
      </c>
      <c r="O449" s="19">
        <f>(Table6[[#This Row],[Work Start TimeStamp]]-Table6[[#This Row],[Fault Start TimeStamp]])*24</f>
        <v>0</v>
      </c>
      <c r="P449" s="19">
        <f>(Table6[[#This Row],[Fault Clearance time]]-Table6[[#This Row],[Fault Start TimeStamp]])*24</f>
        <v>0.24999999999999911</v>
      </c>
      <c r="Q449" s="19">
        <f>(Table6[[#This Row],[Fault Clearance time]]-Table6[[#This Row],[Fault Start TimeStamp]])*24</f>
        <v>0.24999999999999911</v>
      </c>
      <c r="R449" s="79" t="s">
        <v>353</v>
      </c>
      <c r="S449" s="79" t="s">
        <v>339</v>
      </c>
      <c r="T449" s="298">
        <f>IFERROR(Table6[[#This Row],[Breakdown Time]]*Table6[[#This Row],[Plant Equivalent Weightage]],"")</f>
        <v>5.681818181818162E-3</v>
      </c>
      <c r="U449" s="79" t="s">
        <v>421</v>
      </c>
      <c r="W449" s="79">
        <v>25</v>
      </c>
    </row>
    <row r="450" spans="1:23">
      <c r="A450" s="79">
        <f t="shared" si="6"/>
        <v>449</v>
      </c>
      <c r="B450" s="79">
        <f>YEAR(Table6[[#This Row],[Date]])+IF(MONTH(Table6[[#This Row],[Date]])&gt;=4,1,0)</f>
        <v>2026</v>
      </c>
      <c r="C450" s="79">
        <f>YEAR(Table6[[#This Row],[Date]])</f>
        <v>2025</v>
      </c>
      <c r="D450" s="79" t="s">
        <v>344</v>
      </c>
      <c r="E450" s="284">
        <f>Table6[[#This Row],[Date]]-DAY(Table6[[#This Row],[Date]])+1</f>
        <v>45778</v>
      </c>
      <c r="F450" s="285">
        <v>45791</v>
      </c>
      <c r="G450" s="79" t="s">
        <v>113</v>
      </c>
      <c r="H450" s="79" t="str">
        <f>IFERROR(_xlfn.XLOOKUP(Table6[[#This Row],[Affected Feeder ]],'Basic Data'!$A:$A,'Basic Data'!$B:$B),"")</f>
        <v>PWEPL</v>
      </c>
      <c r="I450" s="79" t="str">
        <f>IFERROR(_xlfn.XLOOKUP(Table6[[#This Row],[Affected Feeder ]],'Basic Data'!$A:$A,'Basic Data'!$C:$C),"")</f>
        <v>MSEDCL</v>
      </c>
      <c r="J450" s="295">
        <f>IFERROR(_xlfn.XLOOKUP(Table6[[#This Row],[Affected Feeder ]],'Basic Data'!$A:$A,'Basic Data'!$E:$E),"")</f>
        <v>2.2727272727272728E-2</v>
      </c>
      <c r="K450" s="296" t="s">
        <v>171</v>
      </c>
      <c r="L450" s="297">
        <v>0.58402777777777781</v>
      </c>
      <c r="M450" s="297">
        <v>0.58402777777777781</v>
      </c>
      <c r="N450" s="297">
        <v>0.59444444444444444</v>
      </c>
      <c r="O450" s="19">
        <f>(Table6[[#This Row],[Work Start TimeStamp]]-Table6[[#This Row],[Fault Start TimeStamp]])*24</f>
        <v>0</v>
      </c>
      <c r="P450" s="19">
        <f>(Table6[[#This Row],[Fault Clearance time]]-Table6[[#This Row],[Fault Start TimeStamp]])*24</f>
        <v>0.24999999999999911</v>
      </c>
      <c r="Q450" s="19">
        <f>(Table6[[#This Row],[Fault Clearance time]]-Table6[[#This Row],[Fault Start TimeStamp]])*24</f>
        <v>0.24999999999999911</v>
      </c>
      <c r="R450" s="79" t="s">
        <v>353</v>
      </c>
      <c r="S450" s="79" t="s">
        <v>339</v>
      </c>
      <c r="T450" s="298">
        <f>IFERROR(Table6[[#This Row],[Breakdown Time]]*Table6[[#This Row],[Plant Equivalent Weightage]],"")</f>
        <v>5.681818181818162E-3</v>
      </c>
      <c r="U450" s="79" t="s">
        <v>421</v>
      </c>
      <c r="W450" s="79">
        <v>25</v>
      </c>
    </row>
    <row r="451" spans="1:23">
      <c r="A451" s="79">
        <f t="shared" si="6"/>
        <v>450</v>
      </c>
      <c r="B451" s="79">
        <f>YEAR(Table6[[#This Row],[Date]])+IF(MONTH(Table6[[#This Row],[Date]])&gt;=4,1,0)</f>
        <v>2026</v>
      </c>
      <c r="C451" s="79">
        <f>YEAR(Table6[[#This Row],[Date]])</f>
        <v>2025</v>
      </c>
      <c r="D451" s="79" t="s">
        <v>344</v>
      </c>
      <c r="E451" s="284">
        <f>Table6[[#This Row],[Date]]-DAY(Table6[[#This Row],[Date]])+1</f>
        <v>45778</v>
      </c>
      <c r="F451" s="285">
        <v>45791</v>
      </c>
      <c r="G451" s="79" t="s">
        <v>114</v>
      </c>
      <c r="H451" s="79" t="str">
        <f>IFERROR(_xlfn.XLOOKUP(Table6[[#This Row],[Affected Feeder ]],'Basic Data'!$A:$A,'Basic Data'!$B:$B),"")</f>
        <v>PWEPL</v>
      </c>
      <c r="I451" s="79" t="str">
        <f>IFERROR(_xlfn.XLOOKUP(Table6[[#This Row],[Affected Feeder ]],'Basic Data'!$A:$A,'Basic Data'!$C:$C),"")</f>
        <v>MSEDCL</v>
      </c>
      <c r="J451" s="295">
        <f>IFERROR(_xlfn.XLOOKUP(Table6[[#This Row],[Affected Feeder ]],'Basic Data'!$A:$A,'Basic Data'!$E:$E),"")</f>
        <v>2.2727272727272728E-2</v>
      </c>
      <c r="K451" s="296" t="s">
        <v>171</v>
      </c>
      <c r="L451" s="297">
        <v>0.58402777777777781</v>
      </c>
      <c r="M451" s="297">
        <v>0.58402777777777781</v>
      </c>
      <c r="N451" s="297">
        <v>0.59444444444444444</v>
      </c>
      <c r="O451" s="19">
        <f>(Table6[[#This Row],[Work Start TimeStamp]]-Table6[[#This Row],[Fault Start TimeStamp]])*24</f>
        <v>0</v>
      </c>
      <c r="P451" s="19">
        <f>(Table6[[#This Row],[Fault Clearance time]]-Table6[[#This Row],[Fault Start TimeStamp]])*24</f>
        <v>0.24999999999999911</v>
      </c>
      <c r="Q451" s="19">
        <f>(Table6[[#This Row],[Fault Clearance time]]-Table6[[#This Row],[Fault Start TimeStamp]])*24</f>
        <v>0.24999999999999911</v>
      </c>
      <c r="R451" s="79" t="s">
        <v>353</v>
      </c>
      <c r="S451" s="79" t="s">
        <v>339</v>
      </c>
      <c r="T451" s="298">
        <f>IFERROR(Table6[[#This Row],[Breakdown Time]]*Table6[[#This Row],[Plant Equivalent Weightage]],"")</f>
        <v>5.681818181818162E-3</v>
      </c>
      <c r="U451" s="79" t="s">
        <v>421</v>
      </c>
      <c r="W451" s="79">
        <v>25</v>
      </c>
    </row>
    <row r="452" spans="1:23">
      <c r="A452" s="79">
        <f t="shared" ref="A452:A515" si="7">A451+1</f>
        <v>451</v>
      </c>
      <c r="B452" s="79">
        <f>YEAR(Table6[[#This Row],[Date]])+IF(MONTH(Table6[[#This Row],[Date]])&gt;=4,1,0)</f>
        <v>2026</v>
      </c>
      <c r="C452" s="79">
        <f>YEAR(Table6[[#This Row],[Date]])</f>
        <v>2025</v>
      </c>
      <c r="D452" s="79" t="s">
        <v>344</v>
      </c>
      <c r="E452" s="284">
        <f>Table6[[#This Row],[Date]]-DAY(Table6[[#This Row],[Date]])+1</f>
        <v>45778</v>
      </c>
      <c r="F452" s="285">
        <v>45791</v>
      </c>
      <c r="G452" s="79" t="s">
        <v>80</v>
      </c>
      <c r="H452" s="79" t="str">
        <f>IFERROR(_xlfn.XLOOKUP(Table6[[#This Row],[Affected Feeder ]],'Basic Data'!$A:$A,'Basic Data'!$B:$B),"")</f>
        <v>PWEPL</v>
      </c>
      <c r="I452" s="79" t="str">
        <f>IFERROR(_xlfn.XLOOKUP(Table6[[#This Row],[Affected Feeder ]],'Basic Data'!$A:$A,'Basic Data'!$C:$C),"")</f>
        <v>MSEDCL</v>
      </c>
      <c r="J452" s="295">
        <f>IFERROR(_xlfn.XLOOKUP(Table6[[#This Row],[Affected Feeder ]],'Basic Data'!$A:$A,'Basic Data'!$E:$E),"")</f>
        <v>2.2727272727272728E-2</v>
      </c>
      <c r="K452" s="296" t="s">
        <v>414</v>
      </c>
      <c r="L452" s="297">
        <v>0.58402777777777781</v>
      </c>
      <c r="M452" s="297">
        <v>0.58402777777777781</v>
      </c>
      <c r="N452" s="297">
        <v>0.59444444444444444</v>
      </c>
      <c r="O452" s="19">
        <f>(Table6[[#This Row],[Work Start TimeStamp]]-Table6[[#This Row],[Fault Start TimeStamp]])*24</f>
        <v>0</v>
      </c>
      <c r="P452" s="19">
        <f>(Table6[[#This Row],[Fault Clearance time]]-Table6[[#This Row],[Fault Start TimeStamp]])*24</f>
        <v>0.24999999999999911</v>
      </c>
      <c r="Q452" s="19">
        <f>(Table6[[#This Row],[Fault Clearance time]]-Table6[[#This Row],[Fault Start TimeStamp]])*24</f>
        <v>0.24999999999999911</v>
      </c>
      <c r="R452" s="79" t="s">
        <v>457</v>
      </c>
      <c r="S452" s="79" t="s">
        <v>339</v>
      </c>
      <c r="T452" s="298">
        <f>IFERROR(Table6[[#This Row],[Breakdown Time]]*Table6[[#This Row],[Plant Equivalent Weightage]],"")</f>
        <v>5.681818181818162E-3</v>
      </c>
      <c r="U452" s="79" t="s">
        <v>416</v>
      </c>
      <c r="W452" s="79">
        <v>23</v>
      </c>
    </row>
    <row r="453" spans="1:23">
      <c r="A453" s="79">
        <f t="shared" si="7"/>
        <v>452</v>
      </c>
      <c r="B453" s="79">
        <f>YEAR(Table6[[#This Row],[Date]])+IF(MONTH(Table6[[#This Row],[Date]])&gt;=4,1,0)</f>
        <v>2026</v>
      </c>
      <c r="C453" s="79">
        <f>YEAR(Table6[[#This Row],[Date]])</f>
        <v>2025</v>
      </c>
      <c r="D453" s="79" t="s">
        <v>344</v>
      </c>
      <c r="E453" s="284">
        <f>Table6[[#This Row],[Date]]-DAY(Table6[[#This Row],[Date]])+1</f>
        <v>45778</v>
      </c>
      <c r="F453" s="285">
        <v>45791</v>
      </c>
      <c r="G453" s="79" t="s">
        <v>81</v>
      </c>
      <c r="H453" s="79" t="str">
        <f>IFERROR(_xlfn.XLOOKUP(Table6[[#This Row],[Affected Feeder ]],'Basic Data'!$A:$A,'Basic Data'!$B:$B),"")</f>
        <v>PWEPL</v>
      </c>
      <c r="I453" s="79" t="str">
        <f>IFERROR(_xlfn.XLOOKUP(Table6[[#This Row],[Affected Feeder ]],'Basic Data'!$A:$A,'Basic Data'!$C:$C),"")</f>
        <v>MSEDCL</v>
      </c>
      <c r="J453" s="295">
        <f>IFERROR(_xlfn.XLOOKUP(Table6[[#This Row],[Affected Feeder ]],'Basic Data'!$A:$A,'Basic Data'!$E:$E),"")</f>
        <v>2.2727272727272728E-2</v>
      </c>
      <c r="K453" s="296" t="s">
        <v>414</v>
      </c>
      <c r="L453" s="297">
        <v>0.58402777777777781</v>
      </c>
      <c r="M453" s="297">
        <v>0.58402777777777781</v>
      </c>
      <c r="N453" s="297">
        <v>0.59444444444444444</v>
      </c>
      <c r="O453" s="19">
        <f>(Table6[[#This Row],[Work Start TimeStamp]]-Table6[[#This Row],[Fault Start TimeStamp]])*24</f>
        <v>0</v>
      </c>
      <c r="P453" s="19">
        <f>(Table6[[#This Row],[Fault Clearance time]]-Table6[[#This Row],[Fault Start TimeStamp]])*24</f>
        <v>0.24999999999999911</v>
      </c>
      <c r="Q453" s="19">
        <f>(Table6[[#This Row],[Fault Clearance time]]-Table6[[#This Row],[Fault Start TimeStamp]])*24</f>
        <v>0.24999999999999911</v>
      </c>
      <c r="R453" s="79" t="s">
        <v>457</v>
      </c>
      <c r="S453" s="79" t="s">
        <v>339</v>
      </c>
      <c r="T453" s="298">
        <f>IFERROR(Table6[[#This Row],[Breakdown Time]]*Table6[[#This Row],[Plant Equivalent Weightage]],"")</f>
        <v>5.681818181818162E-3</v>
      </c>
      <c r="U453" s="79" t="s">
        <v>416</v>
      </c>
      <c r="W453" s="79">
        <v>23</v>
      </c>
    </row>
    <row r="454" spans="1:23">
      <c r="A454" s="79">
        <f t="shared" si="7"/>
        <v>453</v>
      </c>
      <c r="B454" s="79">
        <f>YEAR(Table6[[#This Row],[Date]])+IF(MONTH(Table6[[#This Row],[Date]])&gt;=4,1,0)</f>
        <v>2026</v>
      </c>
      <c r="C454" s="79">
        <f>YEAR(Table6[[#This Row],[Date]])</f>
        <v>2025</v>
      </c>
      <c r="D454" s="79" t="s">
        <v>344</v>
      </c>
      <c r="E454" s="284">
        <f>Table6[[#This Row],[Date]]-DAY(Table6[[#This Row],[Date]])+1</f>
        <v>45778</v>
      </c>
      <c r="F454" s="285">
        <v>45791</v>
      </c>
      <c r="G454" s="79" t="s">
        <v>107</v>
      </c>
      <c r="H454" s="79" t="str">
        <f>IFERROR(_xlfn.XLOOKUP(Table6[[#This Row],[Affected Feeder ]],'Basic Data'!$A:$A,'Basic Data'!$B:$B),"")</f>
        <v>PWEPL</v>
      </c>
      <c r="I454" s="79" t="str">
        <f>IFERROR(_xlfn.XLOOKUP(Table6[[#This Row],[Affected Feeder ]],'Basic Data'!$A:$A,'Basic Data'!$C:$C),"")</f>
        <v>MSEDCL</v>
      </c>
      <c r="J454" s="295">
        <f>IFERROR(_xlfn.XLOOKUP(Table6[[#This Row],[Affected Feeder ]],'Basic Data'!$A:$A,'Basic Data'!$E:$E),"")</f>
        <v>2.2727272727272728E-2</v>
      </c>
      <c r="K454" s="296" t="s">
        <v>414</v>
      </c>
      <c r="L454" s="297">
        <v>0.58402777777777781</v>
      </c>
      <c r="M454" s="297">
        <v>0.58402777777777781</v>
      </c>
      <c r="N454" s="297">
        <v>0.59444444444444444</v>
      </c>
      <c r="O454" s="19">
        <f>(Table6[[#This Row],[Work Start TimeStamp]]-Table6[[#This Row],[Fault Start TimeStamp]])*24</f>
        <v>0</v>
      </c>
      <c r="P454" s="19">
        <f>(Table6[[#This Row],[Fault Clearance time]]-Table6[[#This Row],[Fault Start TimeStamp]])*24</f>
        <v>0.24999999999999911</v>
      </c>
      <c r="Q454" s="19">
        <f>(Table6[[#This Row],[Fault Clearance time]]-Table6[[#This Row],[Fault Start TimeStamp]])*24</f>
        <v>0.24999999999999911</v>
      </c>
      <c r="R454" s="79" t="s">
        <v>457</v>
      </c>
      <c r="S454" s="79" t="s">
        <v>339</v>
      </c>
      <c r="T454" s="298">
        <f>IFERROR(Table6[[#This Row],[Breakdown Time]]*Table6[[#This Row],[Plant Equivalent Weightage]],"")</f>
        <v>5.681818181818162E-3</v>
      </c>
      <c r="U454" s="79" t="s">
        <v>416</v>
      </c>
      <c r="W454" s="79">
        <v>23</v>
      </c>
    </row>
    <row r="455" spans="1:23">
      <c r="A455" s="79">
        <f t="shared" si="7"/>
        <v>454</v>
      </c>
      <c r="B455" s="79">
        <f>YEAR(Table6[[#This Row],[Date]])+IF(MONTH(Table6[[#This Row],[Date]])&gt;=4,1,0)</f>
        <v>2026</v>
      </c>
      <c r="C455" s="79">
        <f>YEAR(Table6[[#This Row],[Date]])</f>
        <v>2025</v>
      </c>
      <c r="D455" s="79" t="s">
        <v>344</v>
      </c>
      <c r="E455" s="284">
        <f>Table6[[#This Row],[Date]]-DAY(Table6[[#This Row],[Date]])+1</f>
        <v>45778</v>
      </c>
      <c r="F455" s="285">
        <v>45791</v>
      </c>
      <c r="G455" s="79" t="s">
        <v>108</v>
      </c>
      <c r="H455" s="79" t="str">
        <f>IFERROR(_xlfn.XLOOKUP(Table6[[#This Row],[Affected Feeder ]],'Basic Data'!$A:$A,'Basic Data'!$B:$B),"")</f>
        <v>PWEPL</v>
      </c>
      <c r="I455" s="79" t="str">
        <f>IFERROR(_xlfn.XLOOKUP(Table6[[#This Row],[Affected Feeder ]],'Basic Data'!$A:$A,'Basic Data'!$C:$C),"")</f>
        <v>MSEDCL</v>
      </c>
      <c r="J455" s="295">
        <f>IFERROR(_xlfn.XLOOKUP(Table6[[#This Row],[Affected Feeder ]],'Basic Data'!$A:$A,'Basic Data'!$E:$E),"")</f>
        <v>2.2727272727272728E-2</v>
      </c>
      <c r="K455" s="296" t="s">
        <v>414</v>
      </c>
      <c r="L455" s="297">
        <v>0.58402777777777781</v>
      </c>
      <c r="M455" s="297">
        <v>0.58402777777777781</v>
      </c>
      <c r="N455" s="297">
        <v>0.59444444444444444</v>
      </c>
      <c r="O455" s="19">
        <f>(Table6[[#This Row],[Work Start TimeStamp]]-Table6[[#This Row],[Fault Start TimeStamp]])*24</f>
        <v>0</v>
      </c>
      <c r="P455" s="19">
        <f>(Table6[[#This Row],[Fault Clearance time]]-Table6[[#This Row],[Fault Start TimeStamp]])*24</f>
        <v>0.24999999999999911</v>
      </c>
      <c r="Q455" s="19">
        <f>(Table6[[#This Row],[Fault Clearance time]]-Table6[[#This Row],[Fault Start TimeStamp]])*24</f>
        <v>0.24999999999999911</v>
      </c>
      <c r="R455" s="79" t="s">
        <v>457</v>
      </c>
      <c r="S455" s="79" t="s">
        <v>339</v>
      </c>
      <c r="T455" s="298">
        <f>IFERROR(Table6[[#This Row],[Breakdown Time]]*Table6[[#This Row],[Plant Equivalent Weightage]],"")</f>
        <v>5.681818181818162E-3</v>
      </c>
      <c r="U455" s="79" t="s">
        <v>416</v>
      </c>
      <c r="W455" s="79">
        <v>23</v>
      </c>
    </row>
    <row r="456" spans="1:23">
      <c r="A456" s="79">
        <f t="shared" si="7"/>
        <v>455</v>
      </c>
      <c r="B456" s="79">
        <f>YEAR(Table6[[#This Row],[Date]])+IF(MONTH(Table6[[#This Row],[Date]])&gt;=4,1,0)</f>
        <v>2026</v>
      </c>
      <c r="C456" s="79">
        <f>YEAR(Table6[[#This Row],[Date]])</f>
        <v>2025</v>
      </c>
      <c r="D456" s="79" t="s">
        <v>344</v>
      </c>
      <c r="E456" s="284">
        <f>Table6[[#This Row],[Date]]-DAY(Table6[[#This Row],[Date]])+1</f>
        <v>45778</v>
      </c>
      <c r="F456" s="285">
        <v>45791</v>
      </c>
      <c r="G456" s="79" t="s">
        <v>405</v>
      </c>
      <c r="H456" s="79" t="str">
        <f>IFERROR(_xlfn.XLOOKUP(Table6[[#This Row],[Affected Feeder ]],'Basic Data'!$A:$A,'Basic Data'!$B:$B),"")</f>
        <v>PWEPL</v>
      </c>
      <c r="I456" s="79" t="str">
        <f>IFERROR(_xlfn.XLOOKUP(Table6[[#This Row],[Affected Feeder ]],'Basic Data'!$A:$A,'Basic Data'!$C:$C),"")</f>
        <v>MSEDCL</v>
      </c>
      <c r="J456" s="295">
        <f>IFERROR(_xlfn.XLOOKUP(Table6[[#This Row],[Affected Feeder ]],'Basic Data'!$A:$A,'Basic Data'!$E:$E),"")</f>
        <v>0.20454545454545453</v>
      </c>
      <c r="K456" s="296" t="s">
        <v>447</v>
      </c>
      <c r="L456" s="297">
        <v>0.59444444444444444</v>
      </c>
      <c r="M456" s="297">
        <v>0.59444444444444444</v>
      </c>
      <c r="N456" s="297">
        <v>0.63402777777777775</v>
      </c>
      <c r="O456" s="19">
        <f>(Table6[[#This Row],[Work Start TimeStamp]]-Table6[[#This Row],[Fault Start TimeStamp]])*24</f>
        <v>0</v>
      </c>
      <c r="P456" s="19">
        <f>(Table6[[#This Row],[Fault Clearance time]]-Table6[[#This Row],[Fault Start TimeStamp]])*24</f>
        <v>0.94999999999999929</v>
      </c>
      <c r="Q456" s="19">
        <f>(Table6[[#This Row],[Fault Clearance time]]-Table6[[#This Row],[Fault Start TimeStamp]])*24</f>
        <v>0.94999999999999929</v>
      </c>
      <c r="R456" s="79" t="s">
        <v>420</v>
      </c>
      <c r="S456" s="79" t="s">
        <v>339</v>
      </c>
      <c r="T456" s="298">
        <f>IFERROR(Table6[[#This Row],[Breakdown Time]]*Table6[[#This Row],[Plant Equivalent Weightage]],"")</f>
        <v>0.19431818181818167</v>
      </c>
      <c r="U456" s="79" t="s">
        <v>421</v>
      </c>
      <c r="W456" s="79">
        <v>952</v>
      </c>
    </row>
    <row r="457" spans="1:23">
      <c r="A457" s="79">
        <f t="shared" si="7"/>
        <v>456</v>
      </c>
      <c r="B457" s="79">
        <f>YEAR(Table6[[#This Row],[Date]])+IF(MONTH(Table6[[#This Row],[Date]])&gt;=4,1,0)</f>
        <v>2026</v>
      </c>
      <c r="C457" s="79">
        <f>YEAR(Table6[[#This Row],[Date]])</f>
        <v>2025</v>
      </c>
      <c r="D457" s="79" t="s">
        <v>344</v>
      </c>
      <c r="E457" s="284">
        <f>Table6[[#This Row],[Date]]-DAY(Table6[[#This Row],[Date]])+1</f>
        <v>45778</v>
      </c>
      <c r="F457" s="285">
        <v>45791</v>
      </c>
      <c r="G457" s="79" t="s">
        <v>109</v>
      </c>
      <c r="H457" s="79" t="str">
        <f>IFERROR(_xlfn.XLOOKUP(Table6[[#This Row],[Affected Feeder ]],'Basic Data'!$A:$A,'Basic Data'!$B:$B),"")</f>
        <v>PWEPL</v>
      </c>
      <c r="I457" s="79" t="str">
        <f>IFERROR(_xlfn.XLOOKUP(Table6[[#This Row],[Affected Feeder ]],'Basic Data'!$A:$A,'Basic Data'!$C:$C),"")</f>
        <v>MSEDCL</v>
      </c>
      <c r="J457" s="295">
        <f>IFERROR(_xlfn.XLOOKUP(Table6[[#This Row],[Affected Feeder ]],'Basic Data'!$A:$A,'Basic Data'!$E:$E),"")</f>
        <v>2.2727272727272728E-2</v>
      </c>
      <c r="K457" s="296" t="s">
        <v>414</v>
      </c>
      <c r="L457" s="297">
        <v>0.63402777777777775</v>
      </c>
      <c r="M457" s="297">
        <v>0.63402777777777775</v>
      </c>
      <c r="N457" s="297">
        <v>0.64652777777777781</v>
      </c>
      <c r="O457" s="19">
        <f>(Table6[[#This Row],[Work Start TimeStamp]]-Table6[[#This Row],[Fault Start TimeStamp]])*24</f>
        <v>0</v>
      </c>
      <c r="P457" s="19">
        <f>(Table6[[#This Row],[Fault Clearance time]]-Table6[[#This Row],[Fault Start TimeStamp]])*24</f>
        <v>0.3000000000000016</v>
      </c>
      <c r="Q457" s="19">
        <f>(Table6[[#This Row],[Fault Clearance time]]-Table6[[#This Row],[Fault Start TimeStamp]])*24</f>
        <v>0.3000000000000016</v>
      </c>
      <c r="R457" s="79" t="s">
        <v>353</v>
      </c>
      <c r="S457" s="79" t="s">
        <v>339</v>
      </c>
      <c r="T457" s="298">
        <f>IFERROR(Table6[[#This Row],[Breakdown Time]]*Table6[[#This Row],[Plant Equivalent Weightage]],"")</f>
        <v>6.8181818181818543E-3</v>
      </c>
      <c r="U457" s="79" t="s">
        <v>421</v>
      </c>
      <c r="W457" s="79">
        <v>60</v>
      </c>
    </row>
    <row r="458" spans="1:23">
      <c r="A458" s="79">
        <f t="shared" si="7"/>
        <v>457</v>
      </c>
      <c r="B458" s="79">
        <f>YEAR(Table6[[#This Row],[Date]])+IF(MONTH(Table6[[#This Row],[Date]])&gt;=4,1,0)</f>
        <v>2026</v>
      </c>
      <c r="C458" s="79">
        <f>YEAR(Table6[[#This Row],[Date]])</f>
        <v>2025</v>
      </c>
      <c r="D458" s="79" t="s">
        <v>344</v>
      </c>
      <c r="E458" s="284">
        <f>Table6[[#This Row],[Date]]-DAY(Table6[[#This Row],[Date]])+1</f>
        <v>45778</v>
      </c>
      <c r="F458" s="285">
        <v>45791</v>
      </c>
      <c r="G458" s="79" t="s">
        <v>111</v>
      </c>
      <c r="H458" s="79" t="str">
        <f>IFERROR(_xlfn.XLOOKUP(Table6[[#This Row],[Affected Feeder ]],'Basic Data'!$A:$A,'Basic Data'!$B:$B),"")</f>
        <v>PWEPL</v>
      </c>
      <c r="I458" s="79" t="str">
        <f>IFERROR(_xlfn.XLOOKUP(Table6[[#This Row],[Affected Feeder ]],'Basic Data'!$A:$A,'Basic Data'!$C:$C),"")</f>
        <v>MSEDCL</v>
      </c>
      <c r="J458" s="295">
        <f>IFERROR(_xlfn.XLOOKUP(Table6[[#This Row],[Affected Feeder ]],'Basic Data'!$A:$A,'Basic Data'!$E:$E),"")</f>
        <v>2.2727272727272728E-2</v>
      </c>
      <c r="K458" s="296" t="s">
        <v>414</v>
      </c>
      <c r="L458" s="297">
        <v>0.63402777777777775</v>
      </c>
      <c r="M458" s="297">
        <v>0.63402777777777775</v>
      </c>
      <c r="N458" s="297">
        <v>0.64652777777777781</v>
      </c>
      <c r="O458" s="19">
        <f>(Table6[[#This Row],[Work Start TimeStamp]]-Table6[[#This Row],[Fault Start TimeStamp]])*24</f>
        <v>0</v>
      </c>
      <c r="P458" s="19">
        <f>(Table6[[#This Row],[Fault Clearance time]]-Table6[[#This Row],[Fault Start TimeStamp]])*24</f>
        <v>0.3000000000000016</v>
      </c>
      <c r="Q458" s="19">
        <f>(Table6[[#This Row],[Fault Clearance time]]-Table6[[#This Row],[Fault Start TimeStamp]])*24</f>
        <v>0.3000000000000016</v>
      </c>
      <c r="R458" s="79" t="s">
        <v>353</v>
      </c>
      <c r="S458" s="79" t="s">
        <v>339</v>
      </c>
      <c r="T458" s="298">
        <f>IFERROR(Table6[[#This Row],[Breakdown Time]]*Table6[[#This Row],[Plant Equivalent Weightage]],"")</f>
        <v>6.8181818181818543E-3</v>
      </c>
      <c r="U458" s="79" t="s">
        <v>421</v>
      </c>
      <c r="W458" s="79">
        <v>60</v>
      </c>
    </row>
    <row r="459" spans="1:23">
      <c r="A459" s="79">
        <f t="shared" si="7"/>
        <v>458</v>
      </c>
      <c r="B459" s="79">
        <f>YEAR(Table6[[#This Row],[Date]])+IF(MONTH(Table6[[#This Row],[Date]])&gt;=4,1,0)</f>
        <v>2026</v>
      </c>
      <c r="C459" s="79">
        <f>YEAR(Table6[[#This Row],[Date]])</f>
        <v>2025</v>
      </c>
      <c r="D459" s="79" t="s">
        <v>344</v>
      </c>
      <c r="E459" s="284">
        <f>Table6[[#This Row],[Date]]-DAY(Table6[[#This Row],[Date]])+1</f>
        <v>45778</v>
      </c>
      <c r="F459" s="285">
        <v>45791</v>
      </c>
      <c r="G459" s="79" t="s">
        <v>112</v>
      </c>
      <c r="H459" s="79" t="str">
        <f>IFERROR(_xlfn.XLOOKUP(Table6[[#This Row],[Affected Feeder ]],'Basic Data'!$A:$A,'Basic Data'!$B:$B),"")</f>
        <v>PWEPL</v>
      </c>
      <c r="I459" s="79" t="str">
        <f>IFERROR(_xlfn.XLOOKUP(Table6[[#This Row],[Affected Feeder ]],'Basic Data'!$A:$A,'Basic Data'!$C:$C),"")</f>
        <v>MSEDCL</v>
      </c>
      <c r="J459" s="295">
        <f>IFERROR(_xlfn.XLOOKUP(Table6[[#This Row],[Affected Feeder ]],'Basic Data'!$A:$A,'Basic Data'!$E:$E),"")</f>
        <v>2.2727272727272728E-2</v>
      </c>
      <c r="K459" s="296" t="s">
        <v>414</v>
      </c>
      <c r="L459" s="297">
        <v>0.63402777777777775</v>
      </c>
      <c r="M459" s="297">
        <v>0.63402777777777775</v>
      </c>
      <c r="N459" s="297">
        <v>0.63958333333333328</v>
      </c>
      <c r="O459" s="19">
        <f>(Table6[[#This Row],[Work Start TimeStamp]]-Table6[[#This Row],[Fault Start TimeStamp]])*24</f>
        <v>0</v>
      </c>
      <c r="P459" s="19">
        <f>(Table6[[#This Row],[Fault Clearance time]]-Table6[[#This Row],[Fault Start TimeStamp]])*24</f>
        <v>0.13333333333333286</v>
      </c>
      <c r="Q459" s="19">
        <f>(Table6[[#This Row],[Fault Clearance time]]-Table6[[#This Row],[Fault Start TimeStamp]])*24</f>
        <v>0.13333333333333286</v>
      </c>
      <c r="R459" s="79" t="s">
        <v>353</v>
      </c>
      <c r="S459" s="79" t="s">
        <v>339</v>
      </c>
      <c r="T459" s="298">
        <f>IFERROR(Table6[[#This Row],[Breakdown Time]]*Table6[[#This Row],[Plant Equivalent Weightage]],"")</f>
        <v>3.0303030303030195E-3</v>
      </c>
      <c r="U459" s="79" t="s">
        <v>421</v>
      </c>
      <c r="W459" s="79">
        <v>33</v>
      </c>
    </row>
    <row r="460" spans="1:23">
      <c r="A460" s="79">
        <f t="shared" si="7"/>
        <v>459</v>
      </c>
      <c r="B460" s="79">
        <f>YEAR(Table6[[#This Row],[Date]])+IF(MONTH(Table6[[#This Row],[Date]])&gt;=4,1,0)</f>
        <v>2026</v>
      </c>
      <c r="C460" s="79">
        <f>YEAR(Table6[[#This Row],[Date]])</f>
        <v>2025</v>
      </c>
      <c r="D460" s="79" t="s">
        <v>344</v>
      </c>
      <c r="E460" s="284">
        <f>Table6[[#This Row],[Date]]-DAY(Table6[[#This Row],[Date]])+1</f>
        <v>45778</v>
      </c>
      <c r="F460" s="285">
        <v>45791</v>
      </c>
      <c r="G460" s="79" t="s">
        <v>113</v>
      </c>
      <c r="H460" s="79" t="str">
        <f>IFERROR(_xlfn.XLOOKUP(Table6[[#This Row],[Affected Feeder ]],'Basic Data'!$A:$A,'Basic Data'!$B:$B),"")</f>
        <v>PWEPL</v>
      </c>
      <c r="I460" s="79" t="str">
        <f>IFERROR(_xlfn.XLOOKUP(Table6[[#This Row],[Affected Feeder ]],'Basic Data'!$A:$A,'Basic Data'!$C:$C),"")</f>
        <v>MSEDCL</v>
      </c>
      <c r="J460" s="295">
        <f>IFERROR(_xlfn.XLOOKUP(Table6[[#This Row],[Affected Feeder ]],'Basic Data'!$A:$A,'Basic Data'!$E:$E),"")</f>
        <v>2.2727272727272728E-2</v>
      </c>
      <c r="K460" s="296" t="s">
        <v>414</v>
      </c>
      <c r="L460" s="297">
        <v>0.63402777777777775</v>
      </c>
      <c r="M460" s="297">
        <v>0.63402777777777775</v>
      </c>
      <c r="N460" s="297">
        <v>0.6479166666666667</v>
      </c>
      <c r="O460" s="19">
        <f>(Table6[[#This Row],[Work Start TimeStamp]]-Table6[[#This Row],[Fault Start TimeStamp]])*24</f>
        <v>0</v>
      </c>
      <c r="P460" s="19">
        <f>(Table6[[#This Row],[Fault Clearance time]]-Table6[[#This Row],[Fault Start TimeStamp]])*24</f>
        <v>0.33333333333333481</v>
      </c>
      <c r="Q460" s="19">
        <f>(Table6[[#This Row],[Fault Clearance time]]-Table6[[#This Row],[Fault Start TimeStamp]])*24</f>
        <v>0.33333333333333481</v>
      </c>
      <c r="R460" s="79" t="s">
        <v>353</v>
      </c>
      <c r="S460" s="79" t="s">
        <v>339</v>
      </c>
      <c r="T460" s="298">
        <f>IFERROR(Table6[[#This Row],[Breakdown Time]]*Table6[[#This Row],[Plant Equivalent Weightage]],"")</f>
        <v>7.5757575757576098E-3</v>
      </c>
      <c r="U460" s="79" t="s">
        <v>421</v>
      </c>
      <c r="W460" s="79">
        <v>66</v>
      </c>
    </row>
    <row r="461" spans="1:23">
      <c r="A461" s="79">
        <f t="shared" si="7"/>
        <v>460</v>
      </c>
      <c r="B461" s="79">
        <f>YEAR(Table6[[#This Row],[Date]])+IF(MONTH(Table6[[#This Row],[Date]])&gt;=4,1,0)</f>
        <v>2026</v>
      </c>
      <c r="C461" s="79">
        <f>YEAR(Table6[[#This Row],[Date]])</f>
        <v>2025</v>
      </c>
      <c r="D461" s="79" t="s">
        <v>344</v>
      </c>
      <c r="E461" s="284">
        <f>Table6[[#This Row],[Date]]-DAY(Table6[[#This Row],[Date]])+1</f>
        <v>45778</v>
      </c>
      <c r="F461" s="285">
        <v>45791</v>
      </c>
      <c r="G461" s="79" t="s">
        <v>114</v>
      </c>
      <c r="H461" s="79" t="str">
        <f>IFERROR(_xlfn.XLOOKUP(Table6[[#This Row],[Affected Feeder ]],'Basic Data'!$A:$A,'Basic Data'!$B:$B),"")</f>
        <v>PWEPL</v>
      </c>
      <c r="I461" s="79" t="str">
        <f>IFERROR(_xlfn.XLOOKUP(Table6[[#This Row],[Affected Feeder ]],'Basic Data'!$A:$A,'Basic Data'!$C:$C),"")</f>
        <v>MSEDCL</v>
      </c>
      <c r="J461" s="295">
        <f>IFERROR(_xlfn.XLOOKUP(Table6[[#This Row],[Affected Feeder ]],'Basic Data'!$A:$A,'Basic Data'!$E:$E),"")</f>
        <v>2.2727272727272728E-2</v>
      </c>
      <c r="K461" s="296" t="s">
        <v>414</v>
      </c>
      <c r="L461" s="297">
        <v>0.63402777777777775</v>
      </c>
      <c r="M461" s="297">
        <v>0.63402777777777775</v>
      </c>
      <c r="N461" s="297">
        <v>0.64652777777777781</v>
      </c>
      <c r="O461" s="19">
        <f>(Table6[[#This Row],[Work Start TimeStamp]]-Table6[[#This Row],[Fault Start TimeStamp]])*24</f>
        <v>0</v>
      </c>
      <c r="P461" s="19">
        <f>(Table6[[#This Row],[Fault Clearance time]]-Table6[[#This Row],[Fault Start TimeStamp]])*24</f>
        <v>0.3000000000000016</v>
      </c>
      <c r="Q461" s="19">
        <f>(Table6[[#This Row],[Fault Clearance time]]-Table6[[#This Row],[Fault Start TimeStamp]])*24</f>
        <v>0.3000000000000016</v>
      </c>
      <c r="R461" s="79" t="s">
        <v>353</v>
      </c>
      <c r="S461" s="79" t="s">
        <v>339</v>
      </c>
      <c r="T461" s="298">
        <f>IFERROR(Table6[[#This Row],[Breakdown Time]]*Table6[[#This Row],[Plant Equivalent Weightage]],"")</f>
        <v>6.8181818181818543E-3</v>
      </c>
      <c r="U461" s="79" t="s">
        <v>421</v>
      </c>
      <c r="W461" s="79">
        <v>60</v>
      </c>
    </row>
    <row r="462" spans="1:23">
      <c r="A462" s="79">
        <f t="shared" si="7"/>
        <v>461</v>
      </c>
      <c r="B462" s="79">
        <f>YEAR(Table6[[#This Row],[Date]])+IF(MONTH(Table6[[#This Row],[Date]])&gt;=4,1,0)</f>
        <v>2026</v>
      </c>
      <c r="C462" s="79">
        <f>YEAR(Table6[[#This Row],[Date]])</f>
        <v>2025</v>
      </c>
      <c r="D462" s="79" t="s">
        <v>344</v>
      </c>
      <c r="E462" s="284">
        <f>Table6[[#This Row],[Date]]-DAY(Table6[[#This Row],[Date]])+1</f>
        <v>45778</v>
      </c>
      <c r="F462" s="285">
        <v>45791</v>
      </c>
      <c r="G462" s="79" t="s">
        <v>80</v>
      </c>
      <c r="H462" s="79" t="str">
        <f>IFERROR(_xlfn.XLOOKUP(Table6[[#This Row],[Affected Feeder ]],'Basic Data'!$A:$A,'Basic Data'!$B:$B),"")</f>
        <v>PWEPL</v>
      </c>
      <c r="I462" s="79" t="str">
        <f>IFERROR(_xlfn.XLOOKUP(Table6[[#This Row],[Affected Feeder ]],'Basic Data'!$A:$A,'Basic Data'!$C:$C),"")</f>
        <v>MSEDCL</v>
      </c>
      <c r="J462" s="295">
        <f>IFERROR(_xlfn.XLOOKUP(Table6[[#This Row],[Affected Feeder ]],'Basic Data'!$A:$A,'Basic Data'!$E:$E),"")</f>
        <v>2.2727272727272728E-2</v>
      </c>
      <c r="K462" s="296" t="s">
        <v>808</v>
      </c>
      <c r="L462" s="297">
        <v>0.63402777777777775</v>
      </c>
      <c r="M462" s="297">
        <v>0.63402777777777775</v>
      </c>
      <c r="N462" s="297">
        <v>0.74513888888888891</v>
      </c>
      <c r="O462" s="19">
        <f>(Table6[[#This Row],[Work Start TimeStamp]]-Table6[[#This Row],[Fault Start TimeStamp]])*24</f>
        <v>0</v>
      </c>
      <c r="P462" s="19">
        <f>(Table6[[#This Row],[Fault Clearance time]]-Table6[[#This Row],[Fault Start TimeStamp]])*24</f>
        <v>2.6666666666666679</v>
      </c>
      <c r="Q462" s="19">
        <f>(Table6[[#This Row],[Fault Clearance time]]-Table6[[#This Row],[Fault Start TimeStamp]])*24</f>
        <v>2.6666666666666679</v>
      </c>
      <c r="R462" s="79" t="s">
        <v>812</v>
      </c>
      <c r="S462" s="79" t="s">
        <v>339</v>
      </c>
      <c r="T462" s="298">
        <f>IFERROR(Table6[[#This Row],[Breakdown Time]]*Table6[[#This Row],[Plant Equivalent Weightage]],"")</f>
        <v>6.0606060606060635E-2</v>
      </c>
      <c r="U462" s="79" t="s">
        <v>421</v>
      </c>
      <c r="W462" s="79">
        <v>1443</v>
      </c>
    </row>
    <row r="463" spans="1:23">
      <c r="A463" s="79">
        <f t="shared" si="7"/>
        <v>462</v>
      </c>
      <c r="B463" s="79">
        <f>YEAR(Table6[[#This Row],[Date]])+IF(MONTH(Table6[[#This Row],[Date]])&gt;=4,1,0)</f>
        <v>2026</v>
      </c>
      <c r="C463" s="79">
        <f>YEAR(Table6[[#This Row],[Date]])</f>
        <v>2025</v>
      </c>
      <c r="D463" s="79" t="s">
        <v>344</v>
      </c>
      <c r="E463" s="284">
        <f>Table6[[#This Row],[Date]]-DAY(Table6[[#This Row],[Date]])+1</f>
        <v>45778</v>
      </c>
      <c r="F463" s="285">
        <v>45791</v>
      </c>
      <c r="G463" s="79" t="s">
        <v>80</v>
      </c>
      <c r="H463" s="79" t="str">
        <f>IFERROR(_xlfn.XLOOKUP(Table6[[#This Row],[Affected Feeder ]],'Basic Data'!$A:$A,'Basic Data'!$B:$B),"")</f>
        <v>PWEPL</v>
      </c>
      <c r="I463" s="79" t="str">
        <f>IFERROR(_xlfn.XLOOKUP(Table6[[#This Row],[Affected Feeder ]],'Basic Data'!$A:$A,'Basic Data'!$C:$C),"")</f>
        <v>MSEDCL</v>
      </c>
      <c r="J463" s="295">
        <f>IFERROR(_xlfn.XLOOKUP(Table6[[#This Row],[Affected Feeder ]],'Basic Data'!$A:$A,'Basic Data'!$E:$E),"")</f>
        <v>2.2727272727272728E-2</v>
      </c>
      <c r="K463" s="296" t="s">
        <v>171</v>
      </c>
      <c r="L463" s="297">
        <v>0.74513888888888891</v>
      </c>
      <c r="M463" s="297">
        <v>0.74513888888888891</v>
      </c>
      <c r="N463" s="297">
        <v>0.75902777777777775</v>
      </c>
      <c r="O463" s="19">
        <f>(Table6[[#This Row],[Work Start TimeStamp]]-Table6[[#This Row],[Fault Start TimeStamp]])*24</f>
        <v>0</v>
      </c>
      <c r="P463" s="19">
        <f>(Table6[[#This Row],[Fault Clearance time]]-Table6[[#This Row],[Fault Start TimeStamp]])*24</f>
        <v>0.33333333333333215</v>
      </c>
      <c r="Q463" s="19">
        <f>(Table6[[#This Row],[Fault Clearance time]]-Table6[[#This Row],[Fault Start TimeStamp]])*24</f>
        <v>0.33333333333333215</v>
      </c>
      <c r="R463" s="79" t="s">
        <v>353</v>
      </c>
      <c r="S463" s="79" t="s">
        <v>339</v>
      </c>
      <c r="T463" s="298">
        <f>IFERROR(Table6[[#This Row],[Breakdown Time]]*Table6[[#This Row],[Plant Equivalent Weightage]],"")</f>
        <v>7.5757575757575491E-3</v>
      </c>
      <c r="U463" s="79" t="s">
        <v>421</v>
      </c>
      <c r="W463" s="79">
        <v>46</v>
      </c>
    </row>
    <row r="464" spans="1:23">
      <c r="A464" s="79">
        <f t="shared" si="7"/>
        <v>463</v>
      </c>
      <c r="B464" s="79">
        <f>YEAR(Table6[[#This Row],[Date]])+IF(MONTH(Table6[[#This Row],[Date]])&gt;=4,1,0)</f>
        <v>2026</v>
      </c>
      <c r="C464" s="79">
        <f>YEAR(Table6[[#This Row],[Date]])</f>
        <v>2025</v>
      </c>
      <c r="D464" s="79" t="s">
        <v>344</v>
      </c>
      <c r="E464" s="284">
        <f>Table6[[#This Row],[Date]]-DAY(Table6[[#This Row],[Date]])+1</f>
        <v>45778</v>
      </c>
      <c r="F464" s="285">
        <v>45791</v>
      </c>
      <c r="G464" s="79" t="s">
        <v>81</v>
      </c>
      <c r="H464" s="79" t="str">
        <f>IFERROR(_xlfn.XLOOKUP(Table6[[#This Row],[Affected Feeder ]],'Basic Data'!$A:$A,'Basic Data'!$B:$B),"")</f>
        <v>PWEPL</v>
      </c>
      <c r="I464" s="79" t="str">
        <f>IFERROR(_xlfn.XLOOKUP(Table6[[#This Row],[Affected Feeder ]],'Basic Data'!$A:$A,'Basic Data'!$C:$C),"")</f>
        <v>MSEDCL</v>
      </c>
      <c r="J464" s="295">
        <f>IFERROR(_xlfn.XLOOKUP(Table6[[#This Row],[Affected Feeder ]],'Basic Data'!$A:$A,'Basic Data'!$E:$E),"")</f>
        <v>2.2727272727272728E-2</v>
      </c>
      <c r="K464" s="296" t="s">
        <v>809</v>
      </c>
      <c r="L464" s="297">
        <v>0.63402777777777775</v>
      </c>
      <c r="M464" s="297">
        <v>0.63402777777777775</v>
      </c>
      <c r="N464" s="297">
        <v>0.74513888888888891</v>
      </c>
      <c r="O464" s="19">
        <f>(Table6[[#This Row],[Work Start TimeStamp]]-Table6[[#This Row],[Fault Start TimeStamp]])*24</f>
        <v>0</v>
      </c>
      <c r="P464" s="19">
        <f>(Table6[[#This Row],[Fault Clearance time]]-Table6[[#This Row],[Fault Start TimeStamp]])*24</f>
        <v>2.6666666666666679</v>
      </c>
      <c r="Q464" s="19">
        <f>(Table6[[#This Row],[Fault Clearance time]]-Table6[[#This Row],[Fault Start TimeStamp]])*24</f>
        <v>2.6666666666666679</v>
      </c>
      <c r="R464" s="79" t="s">
        <v>812</v>
      </c>
      <c r="S464" s="79" t="s">
        <v>339</v>
      </c>
      <c r="T464" s="298">
        <f>IFERROR(Table6[[#This Row],[Breakdown Time]]*Table6[[#This Row],[Plant Equivalent Weightage]],"")</f>
        <v>6.0606060606060635E-2</v>
      </c>
      <c r="U464" s="79" t="s">
        <v>421</v>
      </c>
      <c r="W464" s="79">
        <v>1443</v>
      </c>
    </row>
    <row r="465" spans="1:23">
      <c r="A465" s="79">
        <f t="shared" si="7"/>
        <v>464</v>
      </c>
      <c r="B465" s="79">
        <f>YEAR(Table6[[#This Row],[Date]])+IF(MONTH(Table6[[#This Row],[Date]])&gt;=4,1,0)</f>
        <v>2026</v>
      </c>
      <c r="C465" s="79">
        <f>YEAR(Table6[[#This Row],[Date]])</f>
        <v>2025</v>
      </c>
      <c r="D465" s="79" t="s">
        <v>344</v>
      </c>
      <c r="E465" s="284">
        <f>Table6[[#This Row],[Date]]-DAY(Table6[[#This Row],[Date]])+1</f>
        <v>45778</v>
      </c>
      <c r="F465" s="285">
        <v>45791</v>
      </c>
      <c r="G465" s="79" t="s">
        <v>81</v>
      </c>
      <c r="H465" s="79" t="str">
        <f>IFERROR(_xlfn.XLOOKUP(Table6[[#This Row],[Affected Feeder ]],'Basic Data'!$A:$A,'Basic Data'!$B:$B),"")</f>
        <v>PWEPL</v>
      </c>
      <c r="I465" s="79" t="str">
        <f>IFERROR(_xlfn.XLOOKUP(Table6[[#This Row],[Affected Feeder ]],'Basic Data'!$A:$A,'Basic Data'!$C:$C),"")</f>
        <v>MSEDCL</v>
      </c>
      <c r="J465" s="295">
        <f>IFERROR(_xlfn.XLOOKUP(Table6[[#This Row],[Affected Feeder ]],'Basic Data'!$A:$A,'Basic Data'!$E:$E),"")</f>
        <v>2.2727272727272728E-2</v>
      </c>
      <c r="K465" s="296" t="s">
        <v>171</v>
      </c>
      <c r="L465" s="297">
        <v>0.74513888888888891</v>
      </c>
      <c r="M465" s="297">
        <v>0.74513888888888891</v>
      </c>
      <c r="N465" s="297">
        <v>0.75902777777777775</v>
      </c>
      <c r="O465" s="19">
        <f>(Table6[[#This Row],[Work Start TimeStamp]]-Table6[[#This Row],[Fault Start TimeStamp]])*24</f>
        <v>0</v>
      </c>
      <c r="P465" s="19">
        <f>(Table6[[#This Row],[Fault Clearance time]]-Table6[[#This Row],[Fault Start TimeStamp]])*24</f>
        <v>0.33333333333333215</v>
      </c>
      <c r="Q465" s="19">
        <f>(Table6[[#This Row],[Fault Clearance time]]-Table6[[#This Row],[Fault Start TimeStamp]])*24</f>
        <v>0.33333333333333215</v>
      </c>
      <c r="R465" s="79" t="s">
        <v>353</v>
      </c>
      <c r="S465" s="79" t="s">
        <v>339</v>
      </c>
      <c r="T465" s="298">
        <f>IFERROR(Table6[[#This Row],[Breakdown Time]]*Table6[[#This Row],[Plant Equivalent Weightage]],"")</f>
        <v>7.5757575757575491E-3</v>
      </c>
      <c r="U465" s="79" t="s">
        <v>421</v>
      </c>
      <c r="W465" s="79">
        <v>46</v>
      </c>
    </row>
    <row r="466" spans="1:23">
      <c r="A466" s="79">
        <f t="shared" si="7"/>
        <v>465</v>
      </c>
      <c r="B466" s="79">
        <f>YEAR(Table6[[#This Row],[Date]])+IF(MONTH(Table6[[#This Row],[Date]])&gt;=4,1,0)</f>
        <v>2026</v>
      </c>
      <c r="C466" s="79">
        <f>YEAR(Table6[[#This Row],[Date]])</f>
        <v>2025</v>
      </c>
      <c r="D466" s="79" t="s">
        <v>344</v>
      </c>
      <c r="E466" s="284">
        <f>Table6[[#This Row],[Date]]-DAY(Table6[[#This Row],[Date]])+1</f>
        <v>45778</v>
      </c>
      <c r="F466" s="285">
        <v>45791</v>
      </c>
      <c r="G466" s="79" t="s">
        <v>107</v>
      </c>
      <c r="H466" s="79" t="str">
        <f>IFERROR(_xlfn.XLOOKUP(Table6[[#This Row],[Affected Feeder ]],'Basic Data'!$A:$A,'Basic Data'!$B:$B),"")</f>
        <v>PWEPL</v>
      </c>
      <c r="I466" s="79" t="str">
        <f>IFERROR(_xlfn.XLOOKUP(Table6[[#This Row],[Affected Feeder ]],'Basic Data'!$A:$A,'Basic Data'!$C:$C),"")</f>
        <v>MSEDCL</v>
      </c>
      <c r="J466" s="295">
        <f>IFERROR(_xlfn.XLOOKUP(Table6[[#This Row],[Affected Feeder ]],'Basic Data'!$A:$A,'Basic Data'!$E:$E),"")</f>
        <v>2.2727272727272728E-2</v>
      </c>
      <c r="K466" s="296" t="s">
        <v>810</v>
      </c>
      <c r="L466" s="297">
        <v>0.63402777777777775</v>
      </c>
      <c r="M466" s="297">
        <v>0.63402777777777775</v>
      </c>
      <c r="N466" s="297">
        <v>0.74513888888888891</v>
      </c>
      <c r="O466" s="19">
        <f>(Table6[[#This Row],[Work Start TimeStamp]]-Table6[[#This Row],[Fault Start TimeStamp]])*24</f>
        <v>0</v>
      </c>
      <c r="P466" s="19">
        <f>(Table6[[#This Row],[Fault Clearance time]]-Table6[[#This Row],[Fault Start TimeStamp]])*24</f>
        <v>2.6666666666666679</v>
      </c>
      <c r="Q466" s="19">
        <f>(Table6[[#This Row],[Fault Clearance time]]-Table6[[#This Row],[Fault Start TimeStamp]])*24</f>
        <v>2.6666666666666679</v>
      </c>
      <c r="R466" s="79" t="s">
        <v>812</v>
      </c>
      <c r="S466" s="79" t="s">
        <v>339</v>
      </c>
      <c r="T466" s="298">
        <f>IFERROR(Table6[[#This Row],[Breakdown Time]]*Table6[[#This Row],[Plant Equivalent Weightage]],"")</f>
        <v>6.0606060606060635E-2</v>
      </c>
      <c r="U466" s="79" t="s">
        <v>421</v>
      </c>
      <c r="W466" s="79">
        <v>1443</v>
      </c>
    </row>
    <row r="467" spans="1:23">
      <c r="A467" s="79">
        <f t="shared" si="7"/>
        <v>466</v>
      </c>
      <c r="B467" s="79">
        <f>YEAR(Table6[[#This Row],[Date]])+IF(MONTH(Table6[[#This Row],[Date]])&gt;=4,1,0)</f>
        <v>2026</v>
      </c>
      <c r="C467" s="79">
        <f>YEAR(Table6[[#This Row],[Date]])</f>
        <v>2025</v>
      </c>
      <c r="D467" s="79" t="s">
        <v>344</v>
      </c>
      <c r="E467" s="284">
        <f>Table6[[#This Row],[Date]]-DAY(Table6[[#This Row],[Date]])+1</f>
        <v>45778</v>
      </c>
      <c r="F467" s="285">
        <v>45791</v>
      </c>
      <c r="G467" s="79" t="s">
        <v>107</v>
      </c>
      <c r="H467" s="79" t="str">
        <f>IFERROR(_xlfn.XLOOKUP(Table6[[#This Row],[Affected Feeder ]],'Basic Data'!$A:$A,'Basic Data'!$B:$B),"")</f>
        <v>PWEPL</v>
      </c>
      <c r="I467" s="79" t="str">
        <f>IFERROR(_xlfn.XLOOKUP(Table6[[#This Row],[Affected Feeder ]],'Basic Data'!$A:$A,'Basic Data'!$C:$C),"")</f>
        <v>MSEDCL</v>
      </c>
      <c r="J467" s="295">
        <f>IFERROR(_xlfn.XLOOKUP(Table6[[#This Row],[Affected Feeder ]],'Basic Data'!$A:$A,'Basic Data'!$E:$E),"")</f>
        <v>2.2727272727272728E-2</v>
      </c>
      <c r="K467" s="296" t="s">
        <v>171</v>
      </c>
      <c r="L467" s="297">
        <v>0.74513888888888891</v>
      </c>
      <c r="M467" s="297">
        <v>0.74513888888888891</v>
      </c>
      <c r="N467" s="297">
        <v>0.75902777777777775</v>
      </c>
      <c r="O467" s="19">
        <f>(Table6[[#This Row],[Work Start TimeStamp]]-Table6[[#This Row],[Fault Start TimeStamp]])*24</f>
        <v>0</v>
      </c>
      <c r="P467" s="19">
        <f>(Table6[[#This Row],[Fault Clearance time]]-Table6[[#This Row],[Fault Start TimeStamp]])*24</f>
        <v>0.33333333333333215</v>
      </c>
      <c r="Q467" s="19">
        <f>(Table6[[#This Row],[Fault Clearance time]]-Table6[[#This Row],[Fault Start TimeStamp]])*24</f>
        <v>0.33333333333333215</v>
      </c>
      <c r="R467" s="79" t="s">
        <v>353</v>
      </c>
      <c r="S467" s="79" t="s">
        <v>339</v>
      </c>
      <c r="T467" s="298">
        <f>IFERROR(Table6[[#This Row],[Breakdown Time]]*Table6[[#This Row],[Plant Equivalent Weightage]],"")</f>
        <v>7.5757575757575491E-3</v>
      </c>
      <c r="U467" s="79" t="s">
        <v>421</v>
      </c>
      <c r="W467" s="79">
        <v>46</v>
      </c>
    </row>
    <row r="468" spans="1:23">
      <c r="A468" s="79">
        <f t="shared" si="7"/>
        <v>467</v>
      </c>
      <c r="B468" s="79">
        <f>YEAR(Table6[[#This Row],[Date]])+IF(MONTH(Table6[[#This Row],[Date]])&gt;=4,1,0)</f>
        <v>2026</v>
      </c>
      <c r="C468" s="79">
        <f>YEAR(Table6[[#This Row],[Date]])</f>
        <v>2025</v>
      </c>
      <c r="D468" s="79" t="s">
        <v>344</v>
      </c>
      <c r="E468" s="284">
        <f>Table6[[#This Row],[Date]]-DAY(Table6[[#This Row],[Date]])+1</f>
        <v>45778</v>
      </c>
      <c r="F468" s="285">
        <v>45791</v>
      </c>
      <c r="G468" s="79" t="s">
        <v>108</v>
      </c>
      <c r="H468" s="79" t="str">
        <f>IFERROR(_xlfn.XLOOKUP(Table6[[#This Row],[Affected Feeder ]],'Basic Data'!$A:$A,'Basic Data'!$B:$B),"")</f>
        <v>PWEPL</v>
      </c>
      <c r="I468" s="79" t="str">
        <f>IFERROR(_xlfn.XLOOKUP(Table6[[#This Row],[Affected Feeder ]],'Basic Data'!$A:$A,'Basic Data'!$C:$C),"")</f>
        <v>MSEDCL</v>
      </c>
      <c r="J468" s="295">
        <f>IFERROR(_xlfn.XLOOKUP(Table6[[#This Row],[Affected Feeder ]],'Basic Data'!$A:$A,'Basic Data'!$E:$E),"")</f>
        <v>2.2727272727272728E-2</v>
      </c>
      <c r="K468" s="296" t="s">
        <v>811</v>
      </c>
      <c r="L468" s="297">
        <v>0.63402777777777775</v>
      </c>
      <c r="M468" s="297">
        <v>0.63402777777777775</v>
      </c>
      <c r="N468" s="297">
        <v>0.74513888888888891</v>
      </c>
      <c r="O468" s="19">
        <f>(Table6[[#This Row],[Work Start TimeStamp]]-Table6[[#This Row],[Fault Start TimeStamp]])*24</f>
        <v>0</v>
      </c>
      <c r="P468" s="19">
        <f>(Table6[[#This Row],[Fault Clearance time]]-Table6[[#This Row],[Fault Start TimeStamp]])*24</f>
        <v>2.6666666666666679</v>
      </c>
      <c r="Q468" s="19">
        <f>(Table6[[#This Row],[Fault Clearance time]]-Table6[[#This Row],[Fault Start TimeStamp]])*24</f>
        <v>2.6666666666666679</v>
      </c>
      <c r="R468" s="79" t="s">
        <v>812</v>
      </c>
      <c r="S468" s="79" t="s">
        <v>339</v>
      </c>
      <c r="T468" s="298">
        <f>IFERROR(Table6[[#This Row],[Breakdown Time]]*Table6[[#This Row],[Plant Equivalent Weightage]],"")</f>
        <v>6.0606060606060635E-2</v>
      </c>
      <c r="U468" s="79" t="s">
        <v>421</v>
      </c>
      <c r="W468" s="79">
        <v>1445</v>
      </c>
    </row>
    <row r="469" spans="1:23">
      <c r="A469" s="79">
        <f t="shared" si="7"/>
        <v>468</v>
      </c>
      <c r="B469" s="79">
        <f>YEAR(Table6[[#This Row],[Date]])+IF(MONTH(Table6[[#This Row],[Date]])&gt;=4,1,0)</f>
        <v>2026</v>
      </c>
      <c r="C469" s="79">
        <f>YEAR(Table6[[#This Row],[Date]])</f>
        <v>2025</v>
      </c>
      <c r="D469" s="79" t="s">
        <v>344</v>
      </c>
      <c r="E469" s="284">
        <f>Table6[[#This Row],[Date]]-DAY(Table6[[#This Row],[Date]])+1</f>
        <v>45778</v>
      </c>
      <c r="F469" s="285">
        <v>45791</v>
      </c>
      <c r="G469" s="79" t="s">
        <v>108</v>
      </c>
      <c r="H469" s="79" t="str">
        <f>IFERROR(_xlfn.XLOOKUP(Table6[[#This Row],[Affected Feeder ]],'Basic Data'!$A:$A,'Basic Data'!$B:$B),"")</f>
        <v>PWEPL</v>
      </c>
      <c r="I469" s="79" t="str">
        <f>IFERROR(_xlfn.XLOOKUP(Table6[[#This Row],[Affected Feeder ]],'Basic Data'!$A:$A,'Basic Data'!$C:$C),"")</f>
        <v>MSEDCL</v>
      </c>
      <c r="J469" s="295">
        <f>IFERROR(_xlfn.XLOOKUP(Table6[[#This Row],[Affected Feeder ]],'Basic Data'!$A:$A,'Basic Data'!$E:$E),"")</f>
        <v>2.2727272727272728E-2</v>
      </c>
      <c r="K469" s="296" t="s">
        <v>171</v>
      </c>
      <c r="L469" s="297">
        <v>0.74513888888888891</v>
      </c>
      <c r="M469" s="297">
        <v>0.74513888888888891</v>
      </c>
      <c r="N469" s="297">
        <v>0.7583333333333333</v>
      </c>
      <c r="O469" s="19">
        <f>(Table6[[#This Row],[Work Start TimeStamp]]-Table6[[#This Row],[Fault Start TimeStamp]])*24</f>
        <v>0</v>
      </c>
      <c r="P469" s="19">
        <f>(Table6[[#This Row],[Fault Clearance time]]-Table6[[#This Row],[Fault Start TimeStamp]])*24</f>
        <v>0.31666666666666554</v>
      </c>
      <c r="Q469" s="19">
        <f>(Table6[[#This Row],[Fault Clearance time]]-Table6[[#This Row],[Fault Start TimeStamp]])*24</f>
        <v>0.31666666666666554</v>
      </c>
      <c r="R469" s="79" t="s">
        <v>353</v>
      </c>
      <c r="S469" s="79" t="s">
        <v>339</v>
      </c>
      <c r="T469" s="298">
        <f>IFERROR(Table6[[#This Row],[Breakdown Time]]*Table6[[#This Row],[Plant Equivalent Weightage]],"")</f>
        <v>7.1969696969696713E-3</v>
      </c>
      <c r="U469" s="79" t="s">
        <v>421</v>
      </c>
      <c r="W469" s="79">
        <v>44</v>
      </c>
    </row>
    <row r="470" spans="1:23">
      <c r="A470" s="79">
        <f t="shared" si="7"/>
        <v>469</v>
      </c>
      <c r="B470" s="79">
        <f>YEAR(Table6[[#This Row],[Date]])+IF(MONTH(Table6[[#This Row],[Date]])&gt;=4,1,0)</f>
        <v>2026</v>
      </c>
      <c r="C470" s="79">
        <f>YEAR(Table6[[#This Row],[Date]])</f>
        <v>2025</v>
      </c>
      <c r="D470" s="79" t="s">
        <v>344</v>
      </c>
      <c r="E470" s="284">
        <f>Table6[[#This Row],[Date]]-DAY(Table6[[#This Row],[Date]])+1</f>
        <v>45778</v>
      </c>
      <c r="F470" s="285">
        <v>45791</v>
      </c>
      <c r="G470" s="79" t="s">
        <v>406</v>
      </c>
      <c r="H470" s="79" t="str">
        <f>IFERROR(_xlfn.XLOOKUP(Table6[[#This Row],[Affected Feeder ]],'Basic Data'!$A:$A,'Basic Data'!$B:$B),"")</f>
        <v>PWEPL</v>
      </c>
      <c r="I470" s="79" t="str">
        <f>IFERROR(_xlfn.XLOOKUP(Table6[[#This Row],[Affected Feeder ]],'Basic Data'!$A:$A,'Basic Data'!$C:$C),"")</f>
        <v>MSEDCL</v>
      </c>
      <c r="J470" s="295">
        <f>IFERROR(_xlfn.XLOOKUP(Table6[[#This Row],[Affected Feeder ]],'Basic Data'!$A:$A,'Basic Data'!$E:$E),"")</f>
        <v>0.29545454545454541</v>
      </c>
      <c r="K470" s="296" t="s">
        <v>447</v>
      </c>
      <c r="L470" s="297">
        <v>0.59513888888888888</v>
      </c>
      <c r="M470" s="297">
        <v>0.59513888888888888</v>
      </c>
      <c r="N470" s="297">
        <v>0.6333333333333333</v>
      </c>
      <c r="O470" s="19">
        <f>(Table6[[#This Row],[Work Start TimeStamp]]-Table6[[#This Row],[Fault Start TimeStamp]])*24</f>
        <v>0</v>
      </c>
      <c r="P470" s="19">
        <f>(Table6[[#This Row],[Fault Clearance time]]-Table6[[#This Row],[Fault Start TimeStamp]])*24</f>
        <v>0.91666666666666607</v>
      </c>
      <c r="Q470" s="19">
        <f>(Table6[[#This Row],[Fault Clearance time]]-Table6[[#This Row],[Fault Start TimeStamp]])*24</f>
        <v>0.91666666666666607</v>
      </c>
      <c r="R470" s="79" t="s">
        <v>420</v>
      </c>
      <c r="S470" s="79" t="s">
        <v>339</v>
      </c>
      <c r="T470" s="298">
        <f>IFERROR(Table6[[#This Row],[Breakdown Time]]*Table6[[#This Row],[Plant Equivalent Weightage]],"")</f>
        <v>0.27083333333333315</v>
      </c>
      <c r="U470" s="79" t="s">
        <v>421</v>
      </c>
      <c r="W470" s="79">
        <v>3013</v>
      </c>
    </row>
    <row r="471" spans="1:23">
      <c r="A471" s="79">
        <f t="shared" si="7"/>
        <v>470</v>
      </c>
      <c r="B471" s="79">
        <f>YEAR(Table6[[#This Row],[Date]])+IF(MONTH(Table6[[#This Row],[Date]])&gt;=4,1,0)</f>
        <v>2026</v>
      </c>
      <c r="C471" s="79">
        <f>YEAR(Table6[[#This Row],[Date]])</f>
        <v>2025</v>
      </c>
      <c r="D471" s="79" t="s">
        <v>344</v>
      </c>
      <c r="E471" s="284">
        <f>Table6[[#This Row],[Date]]-DAY(Table6[[#This Row],[Date]])+1</f>
        <v>45778</v>
      </c>
      <c r="F471" s="285">
        <v>45791</v>
      </c>
      <c r="G471" s="79" t="s">
        <v>76</v>
      </c>
      <c r="H471" s="79" t="str">
        <f>IFERROR(_xlfn.XLOOKUP(Table6[[#This Row],[Affected Feeder ]],'Basic Data'!$A:$A,'Basic Data'!$B:$B),"")</f>
        <v>PWEPL</v>
      </c>
      <c r="I471" s="79" t="str">
        <f>IFERROR(_xlfn.XLOOKUP(Table6[[#This Row],[Affected Feeder ]],'Basic Data'!$A:$A,'Basic Data'!$C:$C),"")</f>
        <v>MSEDCL</v>
      </c>
      <c r="J471" s="295">
        <f>IFERROR(_xlfn.XLOOKUP(Table6[[#This Row],[Affected Feeder ]],'Basic Data'!$A:$A,'Basic Data'!$E:$E),"")</f>
        <v>2.2727272727272728E-2</v>
      </c>
      <c r="K471" s="296" t="s">
        <v>171</v>
      </c>
      <c r="L471" s="297">
        <v>0.6333333333333333</v>
      </c>
      <c r="M471" s="297">
        <v>0.6333333333333333</v>
      </c>
      <c r="N471" s="297">
        <v>0.64583333333333337</v>
      </c>
      <c r="O471" s="19">
        <f>(Table6[[#This Row],[Work Start TimeStamp]]-Table6[[#This Row],[Fault Start TimeStamp]])*24</f>
        <v>0</v>
      </c>
      <c r="P471" s="19">
        <f>(Table6[[#This Row],[Fault Clearance time]]-Table6[[#This Row],[Fault Start TimeStamp]])*24</f>
        <v>0.3000000000000016</v>
      </c>
      <c r="Q471" s="19">
        <f>(Table6[[#This Row],[Fault Clearance time]]-Table6[[#This Row],[Fault Start TimeStamp]])*24</f>
        <v>0.3000000000000016</v>
      </c>
      <c r="R471" s="79" t="s">
        <v>353</v>
      </c>
      <c r="S471" s="79" t="s">
        <v>339</v>
      </c>
      <c r="T471" s="298">
        <f>IFERROR(Table6[[#This Row],[Breakdown Time]]*Table6[[#This Row],[Plant Equivalent Weightage]],"")</f>
        <v>6.8181818181818543E-3</v>
      </c>
      <c r="U471" s="79" t="s">
        <v>421</v>
      </c>
      <c r="W471" s="79">
        <v>75</v>
      </c>
    </row>
    <row r="472" spans="1:23">
      <c r="A472" s="79">
        <f t="shared" si="7"/>
        <v>471</v>
      </c>
      <c r="B472" s="79">
        <f>YEAR(Table6[[#This Row],[Date]])+IF(MONTH(Table6[[#This Row],[Date]])&gt;=4,1,0)</f>
        <v>2026</v>
      </c>
      <c r="C472" s="79">
        <f>YEAR(Table6[[#This Row],[Date]])</f>
        <v>2025</v>
      </c>
      <c r="D472" s="79" t="s">
        <v>344</v>
      </c>
      <c r="E472" s="284">
        <f>Table6[[#This Row],[Date]]-DAY(Table6[[#This Row],[Date]])+1</f>
        <v>45778</v>
      </c>
      <c r="F472" s="285">
        <v>45791</v>
      </c>
      <c r="G472" s="79" t="s">
        <v>77</v>
      </c>
      <c r="H472" s="79" t="str">
        <f>IFERROR(_xlfn.XLOOKUP(Table6[[#This Row],[Affected Feeder ]],'Basic Data'!$A:$A,'Basic Data'!$B:$B),"")</f>
        <v>PWEPL</v>
      </c>
      <c r="I472" s="79" t="str">
        <f>IFERROR(_xlfn.XLOOKUP(Table6[[#This Row],[Affected Feeder ]],'Basic Data'!$A:$A,'Basic Data'!$C:$C),"")</f>
        <v>MSEDCL</v>
      </c>
      <c r="J472" s="295">
        <f>IFERROR(_xlfn.XLOOKUP(Table6[[#This Row],[Affected Feeder ]],'Basic Data'!$A:$A,'Basic Data'!$E:$E),"")</f>
        <v>2.2727272727272728E-2</v>
      </c>
      <c r="K472" s="296" t="s">
        <v>171</v>
      </c>
      <c r="L472" s="297">
        <v>0.6333333333333333</v>
      </c>
      <c r="M472" s="297">
        <v>0.6333333333333333</v>
      </c>
      <c r="N472" s="297">
        <v>0.64374999999999993</v>
      </c>
      <c r="O472" s="19">
        <f>(Table6[[#This Row],[Work Start TimeStamp]]-Table6[[#This Row],[Fault Start TimeStamp]])*24</f>
        <v>0</v>
      </c>
      <c r="P472" s="19">
        <f>(Table6[[#This Row],[Fault Clearance time]]-Table6[[#This Row],[Fault Start TimeStamp]])*24</f>
        <v>0.24999999999999911</v>
      </c>
      <c r="Q472" s="19">
        <f>(Table6[[#This Row],[Fault Clearance time]]-Table6[[#This Row],[Fault Start TimeStamp]])*24</f>
        <v>0.24999999999999911</v>
      </c>
      <c r="R472" s="79" t="s">
        <v>353</v>
      </c>
      <c r="S472" s="79" t="s">
        <v>339</v>
      </c>
      <c r="T472" s="298">
        <f>IFERROR(Table6[[#This Row],[Breakdown Time]]*Table6[[#This Row],[Plant Equivalent Weightage]],"")</f>
        <v>5.681818181818162E-3</v>
      </c>
      <c r="U472" s="79" t="s">
        <v>421</v>
      </c>
      <c r="W472" s="79">
        <v>63</v>
      </c>
    </row>
    <row r="473" spans="1:23">
      <c r="A473" s="79">
        <f t="shared" si="7"/>
        <v>472</v>
      </c>
      <c r="B473" s="79">
        <f>YEAR(Table6[[#This Row],[Date]])+IF(MONTH(Table6[[#This Row],[Date]])&gt;=4,1,0)</f>
        <v>2026</v>
      </c>
      <c r="C473" s="79">
        <f>YEAR(Table6[[#This Row],[Date]])</f>
        <v>2025</v>
      </c>
      <c r="D473" s="79" t="s">
        <v>344</v>
      </c>
      <c r="E473" s="284">
        <f>Table6[[#This Row],[Date]]-DAY(Table6[[#This Row],[Date]])+1</f>
        <v>45778</v>
      </c>
      <c r="F473" s="285">
        <v>45791</v>
      </c>
      <c r="G473" s="79" t="s">
        <v>78</v>
      </c>
      <c r="H473" s="79" t="str">
        <f>IFERROR(_xlfn.XLOOKUP(Table6[[#This Row],[Affected Feeder ]],'Basic Data'!$A:$A,'Basic Data'!$B:$B),"")</f>
        <v>PWEPL</v>
      </c>
      <c r="I473" s="79" t="str">
        <f>IFERROR(_xlfn.XLOOKUP(Table6[[#This Row],[Affected Feeder ]],'Basic Data'!$A:$A,'Basic Data'!$C:$C),"")</f>
        <v>MSEDCL</v>
      </c>
      <c r="J473" s="295">
        <f>IFERROR(_xlfn.XLOOKUP(Table6[[#This Row],[Affected Feeder ]],'Basic Data'!$A:$A,'Basic Data'!$E:$E),"")</f>
        <v>2.2727272727272728E-2</v>
      </c>
      <c r="K473" s="296" t="s">
        <v>171</v>
      </c>
      <c r="L473" s="297">
        <v>0.6333333333333333</v>
      </c>
      <c r="M473" s="297">
        <v>0.6333333333333333</v>
      </c>
      <c r="N473" s="297">
        <v>0.64583333333333337</v>
      </c>
      <c r="O473" s="19">
        <f>(Table6[[#This Row],[Work Start TimeStamp]]-Table6[[#This Row],[Fault Start TimeStamp]])*24</f>
        <v>0</v>
      </c>
      <c r="P473" s="19">
        <f>(Table6[[#This Row],[Fault Clearance time]]-Table6[[#This Row],[Fault Start TimeStamp]])*24</f>
        <v>0.3000000000000016</v>
      </c>
      <c r="Q473" s="19">
        <f>(Table6[[#This Row],[Fault Clearance time]]-Table6[[#This Row],[Fault Start TimeStamp]])*24</f>
        <v>0.3000000000000016</v>
      </c>
      <c r="R473" s="79" t="s">
        <v>353</v>
      </c>
      <c r="S473" s="79" t="s">
        <v>339</v>
      </c>
      <c r="T473" s="298">
        <f>IFERROR(Table6[[#This Row],[Breakdown Time]]*Table6[[#This Row],[Plant Equivalent Weightage]],"")</f>
        <v>6.8181818181818543E-3</v>
      </c>
      <c r="U473" s="79" t="s">
        <v>421</v>
      </c>
      <c r="W473" s="79">
        <v>75</v>
      </c>
    </row>
    <row r="474" spans="1:23">
      <c r="A474" s="79">
        <f t="shared" si="7"/>
        <v>473</v>
      </c>
      <c r="B474" s="79">
        <f>YEAR(Table6[[#This Row],[Date]])+IF(MONTH(Table6[[#This Row],[Date]])&gt;=4,1,0)</f>
        <v>2026</v>
      </c>
      <c r="C474" s="79">
        <f>YEAR(Table6[[#This Row],[Date]])</f>
        <v>2025</v>
      </c>
      <c r="D474" s="79" t="s">
        <v>344</v>
      </c>
      <c r="E474" s="284">
        <f>Table6[[#This Row],[Date]]-DAY(Table6[[#This Row],[Date]])+1</f>
        <v>45778</v>
      </c>
      <c r="F474" s="285">
        <v>45791</v>
      </c>
      <c r="G474" s="79" t="s">
        <v>82</v>
      </c>
      <c r="H474" s="79" t="str">
        <f>IFERROR(_xlfn.XLOOKUP(Table6[[#This Row],[Affected Feeder ]],'Basic Data'!$A:$A,'Basic Data'!$B:$B),"")</f>
        <v>PWEPL</v>
      </c>
      <c r="I474" s="79" t="str">
        <f>IFERROR(_xlfn.XLOOKUP(Table6[[#This Row],[Affected Feeder ]],'Basic Data'!$A:$A,'Basic Data'!$C:$C),"")</f>
        <v>MSEDCL</v>
      </c>
      <c r="J474" s="295">
        <f>IFERROR(_xlfn.XLOOKUP(Table6[[#This Row],[Affected Feeder ]],'Basic Data'!$A:$A,'Basic Data'!$E:$E),"")</f>
        <v>2.2727272727272728E-2</v>
      </c>
      <c r="K474" s="296" t="s">
        <v>171</v>
      </c>
      <c r="L474" s="297">
        <v>0.6333333333333333</v>
      </c>
      <c r="M474" s="297">
        <v>0.6333333333333333</v>
      </c>
      <c r="N474" s="297">
        <v>0.64583333333333337</v>
      </c>
      <c r="O474" s="19">
        <f>(Table6[[#This Row],[Work Start TimeStamp]]-Table6[[#This Row],[Fault Start TimeStamp]])*24</f>
        <v>0</v>
      </c>
      <c r="P474" s="19">
        <f>(Table6[[#This Row],[Fault Clearance time]]-Table6[[#This Row],[Fault Start TimeStamp]])*24</f>
        <v>0.3000000000000016</v>
      </c>
      <c r="Q474" s="19">
        <f>(Table6[[#This Row],[Fault Clearance time]]-Table6[[#This Row],[Fault Start TimeStamp]])*24</f>
        <v>0.3000000000000016</v>
      </c>
      <c r="R474" s="79" t="s">
        <v>353</v>
      </c>
      <c r="S474" s="79" t="s">
        <v>339</v>
      </c>
      <c r="T474" s="298">
        <f>IFERROR(Table6[[#This Row],[Breakdown Time]]*Table6[[#This Row],[Plant Equivalent Weightage]],"")</f>
        <v>6.8181818181818543E-3</v>
      </c>
      <c r="U474" s="79" t="s">
        <v>421</v>
      </c>
      <c r="W474" s="79">
        <v>75</v>
      </c>
    </row>
    <row r="475" spans="1:23">
      <c r="A475" s="79">
        <f t="shared" si="7"/>
        <v>474</v>
      </c>
      <c r="B475" s="79">
        <f>YEAR(Table6[[#This Row],[Date]])+IF(MONTH(Table6[[#This Row],[Date]])&gt;=4,1,0)</f>
        <v>2026</v>
      </c>
      <c r="C475" s="79">
        <f>YEAR(Table6[[#This Row],[Date]])</f>
        <v>2025</v>
      </c>
      <c r="D475" s="79" t="s">
        <v>344</v>
      </c>
      <c r="E475" s="284">
        <f>Table6[[#This Row],[Date]]-DAY(Table6[[#This Row],[Date]])+1</f>
        <v>45778</v>
      </c>
      <c r="F475" s="285">
        <v>45791</v>
      </c>
      <c r="G475" s="79" t="s">
        <v>93</v>
      </c>
      <c r="H475" s="79" t="str">
        <f>IFERROR(_xlfn.XLOOKUP(Table6[[#This Row],[Affected Feeder ]],'Basic Data'!$A:$A,'Basic Data'!$B:$B),"")</f>
        <v>PWEPL</v>
      </c>
      <c r="I475" s="79" t="str">
        <f>IFERROR(_xlfn.XLOOKUP(Table6[[#This Row],[Affected Feeder ]],'Basic Data'!$A:$A,'Basic Data'!$C:$C),"")</f>
        <v>MSEDCL</v>
      </c>
      <c r="J475" s="295">
        <f>IFERROR(_xlfn.XLOOKUP(Table6[[#This Row],[Affected Feeder ]],'Basic Data'!$A:$A,'Basic Data'!$E:$E),"")</f>
        <v>2.2727272727272728E-2</v>
      </c>
      <c r="K475" s="296" t="s">
        <v>171</v>
      </c>
      <c r="L475" s="297">
        <v>0.6333333333333333</v>
      </c>
      <c r="M475" s="297">
        <v>0.6333333333333333</v>
      </c>
      <c r="N475" s="297">
        <v>0.64583333333333337</v>
      </c>
      <c r="O475" s="19">
        <f>(Table6[[#This Row],[Work Start TimeStamp]]-Table6[[#This Row],[Fault Start TimeStamp]])*24</f>
        <v>0</v>
      </c>
      <c r="P475" s="19">
        <f>(Table6[[#This Row],[Fault Clearance time]]-Table6[[#This Row],[Fault Start TimeStamp]])*24</f>
        <v>0.3000000000000016</v>
      </c>
      <c r="Q475" s="19">
        <f>(Table6[[#This Row],[Fault Clearance time]]-Table6[[#This Row],[Fault Start TimeStamp]])*24</f>
        <v>0.3000000000000016</v>
      </c>
      <c r="R475" s="79" t="s">
        <v>353</v>
      </c>
      <c r="S475" s="79" t="s">
        <v>339</v>
      </c>
      <c r="T475" s="298">
        <f>IFERROR(Table6[[#This Row],[Breakdown Time]]*Table6[[#This Row],[Plant Equivalent Weightage]],"")</f>
        <v>6.8181818181818543E-3</v>
      </c>
      <c r="U475" s="79" t="s">
        <v>421</v>
      </c>
      <c r="W475" s="79">
        <v>75</v>
      </c>
    </row>
    <row r="476" spans="1:23">
      <c r="A476" s="79">
        <f t="shared" si="7"/>
        <v>475</v>
      </c>
      <c r="B476" s="79">
        <f>YEAR(Table6[[#This Row],[Date]])+IF(MONTH(Table6[[#This Row],[Date]])&gt;=4,1,0)</f>
        <v>2026</v>
      </c>
      <c r="C476" s="79">
        <f>YEAR(Table6[[#This Row],[Date]])</f>
        <v>2025</v>
      </c>
      <c r="D476" s="79" t="s">
        <v>344</v>
      </c>
      <c r="E476" s="284">
        <f>Table6[[#This Row],[Date]]-DAY(Table6[[#This Row],[Date]])+1</f>
        <v>45778</v>
      </c>
      <c r="F476" s="285">
        <v>45791</v>
      </c>
      <c r="G476" s="79" t="s">
        <v>102</v>
      </c>
      <c r="H476" s="79" t="str">
        <f>IFERROR(_xlfn.XLOOKUP(Table6[[#This Row],[Affected Feeder ]],'Basic Data'!$A:$A,'Basic Data'!$B:$B),"")</f>
        <v>PWEPL</v>
      </c>
      <c r="I476" s="79" t="str">
        <f>IFERROR(_xlfn.XLOOKUP(Table6[[#This Row],[Affected Feeder ]],'Basic Data'!$A:$A,'Basic Data'!$C:$C),"")</f>
        <v>MSEDCL</v>
      </c>
      <c r="J476" s="295">
        <f>IFERROR(_xlfn.XLOOKUP(Table6[[#This Row],[Affected Feeder ]],'Basic Data'!$A:$A,'Basic Data'!$E:$E),"")</f>
        <v>2.2727272727272728E-2</v>
      </c>
      <c r="K476" s="296" t="s">
        <v>171</v>
      </c>
      <c r="L476" s="297">
        <v>0.6333333333333333</v>
      </c>
      <c r="M476" s="297">
        <v>0.6333333333333333</v>
      </c>
      <c r="N476" s="297">
        <v>0.64513888888888882</v>
      </c>
      <c r="O476" s="19">
        <f>(Table6[[#This Row],[Work Start TimeStamp]]-Table6[[#This Row],[Fault Start TimeStamp]])*24</f>
        <v>0</v>
      </c>
      <c r="P476" s="19">
        <f>(Table6[[#This Row],[Fault Clearance time]]-Table6[[#This Row],[Fault Start TimeStamp]])*24</f>
        <v>0.28333333333333233</v>
      </c>
      <c r="Q476" s="19">
        <f>(Table6[[#This Row],[Fault Clearance time]]-Table6[[#This Row],[Fault Start TimeStamp]])*24</f>
        <v>0.28333333333333233</v>
      </c>
      <c r="R476" s="79" t="s">
        <v>353</v>
      </c>
      <c r="S476" s="79" t="s">
        <v>339</v>
      </c>
      <c r="T476" s="298">
        <f>IFERROR(Table6[[#This Row],[Breakdown Time]]*Table6[[#This Row],[Plant Equivalent Weightage]],"")</f>
        <v>6.4393939393939167E-3</v>
      </c>
      <c r="U476" s="79" t="s">
        <v>421</v>
      </c>
      <c r="W476" s="79">
        <v>71</v>
      </c>
    </row>
    <row r="477" spans="1:23">
      <c r="A477" s="79">
        <f t="shared" si="7"/>
        <v>476</v>
      </c>
      <c r="B477" s="79">
        <f>YEAR(Table6[[#This Row],[Date]])+IF(MONTH(Table6[[#This Row],[Date]])&gt;=4,1,0)</f>
        <v>2026</v>
      </c>
      <c r="C477" s="79">
        <f>YEAR(Table6[[#This Row],[Date]])</f>
        <v>2025</v>
      </c>
      <c r="D477" s="79" t="s">
        <v>344</v>
      </c>
      <c r="E477" s="284">
        <f>Table6[[#This Row],[Date]]-DAY(Table6[[#This Row],[Date]])+1</f>
        <v>45778</v>
      </c>
      <c r="F477" s="285">
        <v>45791</v>
      </c>
      <c r="G477" s="79" t="s">
        <v>119</v>
      </c>
      <c r="H477" s="79" t="str">
        <f>IFERROR(_xlfn.XLOOKUP(Table6[[#This Row],[Affected Feeder ]],'Basic Data'!$A:$A,'Basic Data'!$B:$B),"")</f>
        <v>PWEPL</v>
      </c>
      <c r="I477" s="79" t="str">
        <f>IFERROR(_xlfn.XLOOKUP(Table6[[#This Row],[Affected Feeder ]],'Basic Data'!$A:$A,'Basic Data'!$C:$C),"")</f>
        <v>MSEDCL</v>
      </c>
      <c r="J477" s="295">
        <f>IFERROR(_xlfn.XLOOKUP(Table6[[#This Row],[Affected Feeder ]],'Basic Data'!$A:$A,'Basic Data'!$E:$E),"")</f>
        <v>2.2727272727272728E-2</v>
      </c>
      <c r="K477" s="296" t="s">
        <v>171</v>
      </c>
      <c r="L477" s="297">
        <v>0.6333333333333333</v>
      </c>
      <c r="M477" s="297">
        <v>0.6333333333333333</v>
      </c>
      <c r="N477" s="297">
        <v>0.64166666666666672</v>
      </c>
      <c r="O477" s="19">
        <f>(Table6[[#This Row],[Work Start TimeStamp]]-Table6[[#This Row],[Fault Start TimeStamp]])*24</f>
        <v>0</v>
      </c>
      <c r="P477" s="19">
        <f>(Table6[[#This Row],[Fault Clearance time]]-Table6[[#This Row],[Fault Start TimeStamp]])*24</f>
        <v>0.20000000000000195</v>
      </c>
      <c r="Q477" s="19">
        <f>(Table6[[#This Row],[Fault Clearance time]]-Table6[[#This Row],[Fault Start TimeStamp]])*24</f>
        <v>0.20000000000000195</v>
      </c>
      <c r="R477" s="79" t="s">
        <v>353</v>
      </c>
      <c r="S477" s="79" t="s">
        <v>339</v>
      </c>
      <c r="T477" s="298">
        <f>IFERROR(Table6[[#This Row],[Breakdown Time]]*Table6[[#This Row],[Plant Equivalent Weightage]],"")</f>
        <v>4.5454545454545903E-3</v>
      </c>
      <c r="U477" s="79" t="s">
        <v>421</v>
      </c>
      <c r="W477" s="79">
        <v>50</v>
      </c>
    </row>
    <row r="478" spans="1:23">
      <c r="A478" s="79">
        <f t="shared" si="7"/>
        <v>477</v>
      </c>
      <c r="B478" s="79">
        <f>YEAR(Table6[[#This Row],[Date]])+IF(MONTH(Table6[[#This Row],[Date]])&gt;=4,1,0)</f>
        <v>2026</v>
      </c>
      <c r="C478" s="79">
        <f>YEAR(Table6[[#This Row],[Date]])</f>
        <v>2025</v>
      </c>
      <c r="D478" s="79" t="s">
        <v>344</v>
      </c>
      <c r="E478" s="284">
        <f>Table6[[#This Row],[Date]]-DAY(Table6[[#This Row],[Date]])+1</f>
        <v>45778</v>
      </c>
      <c r="F478" s="285">
        <v>45791</v>
      </c>
      <c r="G478" s="79" t="s">
        <v>103</v>
      </c>
      <c r="H478" s="79" t="str">
        <f>IFERROR(_xlfn.XLOOKUP(Table6[[#This Row],[Affected Feeder ]],'Basic Data'!$A:$A,'Basic Data'!$B:$B),"")</f>
        <v>PWEPL</v>
      </c>
      <c r="I478" s="79" t="str">
        <f>IFERROR(_xlfn.XLOOKUP(Table6[[#This Row],[Affected Feeder ]],'Basic Data'!$A:$A,'Basic Data'!$C:$C),"")</f>
        <v>MSEDCL</v>
      </c>
      <c r="J478" s="295">
        <f>IFERROR(_xlfn.XLOOKUP(Table6[[#This Row],[Affected Feeder ]],'Basic Data'!$A:$A,'Basic Data'!$E:$E),"")</f>
        <v>2.2727272727272728E-2</v>
      </c>
      <c r="K478" s="296" t="s">
        <v>171</v>
      </c>
      <c r="L478" s="297">
        <v>0.6333333333333333</v>
      </c>
      <c r="M478" s="297">
        <v>0.6333333333333333</v>
      </c>
      <c r="N478" s="297">
        <v>0.64374999999999993</v>
      </c>
      <c r="O478" s="19">
        <f>(Table6[[#This Row],[Work Start TimeStamp]]-Table6[[#This Row],[Fault Start TimeStamp]])*24</f>
        <v>0</v>
      </c>
      <c r="P478" s="19">
        <f>(Table6[[#This Row],[Fault Clearance time]]-Table6[[#This Row],[Fault Start TimeStamp]])*24</f>
        <v>0.24999999999999911</v>
      </c>
      <c r="Q478" s="19">
        <f>(Table6[[#This Row],[Fault Clearance time]]-Table6[[#This Row],[Fault Start TimeStamp]])*24</f>
        <v>0.24999999999999911</v>
      </c>
      <c r="R478" s="79" t="s">
        <v>353</v>
      </c>
      <c r="S478" s="79" t="s">
        <v>339</v>
      </c>
      <c r="T478" s="298">
        <f>IFERROR(Table6[[#This Row],[Breakdown Time]]*Table6[[#This Row],[Plant Equivalent Weightage]],"")</f>
        <v>5.681818181818162E-3</v>
      </c>
      <c r="U478" s="79" t="s">
        <v>421</v>
      </c>
      <c r="W478" s="79">
        <v>63</v>
      </c>
    </row>
    <row r="479" spans="1:23">
      <c r="A479" s="79">
        <f t="shared" si="7"/>
        <v>478</v>
      </c>
      <c r="B479" s="79">
        <f>YEAR(Table6[[#This Row],[Date]])+IF(MONTH(Table6[[#This Row],[Date]])&gt;=4,1,0)</f>
        <v>2026</v>
      </c>
      <c r="C479" s="79">
        <f>YEAR(Table6[[#This Row],[Date]])</f>
        <v>2025</v>
      </c>
      <c r="D479" s="79" t="s">
        <v>344</v>
      </c>
      <c r="E479" s="284">
        <f>Table6[[#This Row],[Date]]-DAY(Table6[[#This Row],[Date]])+1</f>
        <v>45778</v>
      </c>
      <c r="F479" s="285">
        <v>45791</v>
      </c>
      <c r="G479" s="79" t="s">
        <v>105</v>
      </c>
      <c r="H479" s="79" t="str">
        <f>IFERROR(_xlfn.XLOOKUP(Table6[[#This Row],[Affected Feeder ]],'Basic Data'!$A:$A,'Basic Data'!$B:$B),"")</f>
        <v>PWEPL</v>
      </c>
      <c r="I479" s="79" t="str">
        <f>IFERROR(_xlfn.XLOOKUP(Table6[[#This Row],[Affected Feeder ]],'Basic Data'!$A:$A,'Basic Data'!$C:$C),"")</f>
        <v>MSEDCL</v>
      </c>
      <c r="J479" s="295">
        <f>IFERROR(_xlfn.XLOOKUP(Table6[[#This Row],[Affected Feeder ]],'Basic Data'!$A:$A,'Basic Data'!$E:$E),"")</f>
        <v>2.2727272727272728E-2</v>
      </c>
      <c r="K479" s="296" t="s">
        <v>171</v>
      </c>
      <c r="L479" s="297">
        <v>0.6333333333333333</v>
      </c>
      <c r="M479" s="297">
        <v>0.6333333333333333</v>
      </c>
      <c r="N479" s="297">
        <v>0.6430555555555556</v>
      </c>
      <c r="O479" s="19">
        <f>(Table6[[#This Row],[Work Start TimeStamp]]-Table6[[#This Row],[Fault Start TimeStamp]])*24</f>
        <v>0</v>
      </c>
      <c r="P479" s="19">
        <f>(Table6[[#This Row],[Fault Clearance time]]-Table6[[#This Row],[Fault Start TimeStamp]])*24</f>
        <v>0.23333333333333517</v>
      </c>
      <c r="Q479" s="19">
        <f>(Table6[[#This Row],[Fault Clearance time]]-Table6[[#This Row],[Fault Start TimeStamp]])*24</f>
        <v>0.23333333333333517</v>
      </c>
      <c r="R479" s="79" t="s">
        <v>353</v>
      </c>
      <c r="S479" s="79" t="s">
        <v>339</v>
      </c>
      <c r="T479" s="298">
        <f>IFERROR(Table6[[#This Row],[Breakdown Time]]*Table6[[#This Row],[Plant Equivalent Weightage]],"")</f>
        <v>5.303030303030345E-3</v>
      </c>
      <c r="U479" s="79" t="s">
        <v>421</v>
      </c>
      <c r="W479" s="79">
        <v>58</v>
      </c>
    </row>
    <row r="480" spans="1:23">
      <c r="A480" s="79">
        <f t="shared" si="7"/>
        <v>479</v>
      </c>
      <c r="B480" s="79">
        <f>YEAR(Table6[[#This Row],[Date]])+IF(MONTH(Table6[[#This Row],[Date]])&gt;=4,1,0)</f>
        <v>2026</v>
      </c>
      <c r="C480" s="79">
        <f>YEAR(Table6[[#This Row],[Date]])</f>
        <v>2025</v>
      </c>
      <c r="D480" s="79" t="s">
        <v>344</v>
      </c>
      <c r="E480" s="284">
        <f>Table6[[#This Row],[Date]]-DAY(Table6[[#This Row],[Date]])+1</f>
        <v>45778</v>
      </c>
      <c r="F480" s="285">
        <v>45791</v>
      </c>
      <c r="G480" s="79" t="s">
        <v>115</v>
      </c>
      <c r="H480" s="79" t="str">
        <f>IFERROR(_xlfn.XLOOKUP(Table6[[#This Row],[Affected Feeder ]],'Basic Data'!$A:$A,'Basic Data'!$B:$B),"")</f>
        <v>PWEPL</v>
      </c>
      <c r="I480" s="79" t="str">
        <f>IFERROR(_xlfn.XLOOKUP(Table6[[#This Row],[Affected Feeder ]],'Basic Data'!$A:$A,'Basic Data'!$C:$C),"")</f>
        <v>MSEDCL</v>
      </c>
      <c r="J480" s="295">
        <f>IFERROR(_xlfn.XLOOKUP(Table6[[#This Row],[Affected Feeder ]],'Basic Data'!$A:$A,'Basic Data'!$E:$E),"")</f>
        <v>2.2727272727272728E-2</v>
      </c>
      <c r="K480" s="296" t="s">
        <v>171</v>
      </c>
      <c r="L480" s="297">
        <v>0.6333333333333333</v>
      </c>
      <c r="M480" s="297">
        <v>0.6333333333333333</v>
      </c>
      <c r="N480" s="297">
        <v>0.64166666666666672</v>
      </c>
      <c r="O480" s="19">
        <f>(Table6[[#This Row],[Work Start TimeStamp]]-Table6[[#This Row],[Fault Start TimeStamp]])*24</f>
        <v>0</v>
      </c>
      <c r="P480" s="19">
        <f>(Table6[[#This Row],[Fault Clearance time]]-Table6[[#This Row],[Fault Start TimeStamp]])*24</f>
        <v>0.20000000000000195</v>
      </c>
      <c r="Q480" s="19">
        <f>(Table6[[#This Row],[Fault Clearance time]]-Table6[[#This Row],[Fault Start TimeStamp]])*24</f>
        <v>0.20000000000000195</v>
      </c>
      <c r="R480" s="79" t="s">
        <v>353</v>
      </c>
      <c r="S480" s="79" t="s">
        <v>339</v>
      </c>
      <c r="T480" s="298">
        <f>IFERROR(Table6[[#This Row],[Breakdown Time]]*Table6[[#This Row],[Plant Equivalent Weightage]],"")</f>
        <v>4.5454545454545903E-3</v>
      </c>
      <c r="U480" s="79" t="s">
        <v>421</v>
      </c>
      <c r="W480" s="79">
        <v>50</v>
      </c>
    </row>
    <row r="481" spans="1:23">
      <c r="A481" s="79">
        <f t="shared" si="7"/>
        <v>480</v>
      </c>
      <c r="B481" s="79">
        <f>YEAR(Table6[[#This Row],[Date]])+IF(MONTH(Table6[[#This Row],[Date]])&gt;=4,1,0)</f>
        <v>2026</v>
      </c>
      <c r="C481" s="79">
        <f>YEAR(Table6[[#This Row],[Date]])</f>
        <v>2025</v>
      </c>
      <c r="D481" s="79" t="s">
        <v>344</v>
      </c>
      <c r="E481" s="284">
        <f>Table6[[#This Row],[Date]]-DAY(Table6[[#This Row],[Date]])+1</f>
        <v>45778</v>
      </c>
      <c r="F481" s="285">
        <v>45791</v>
      </c>
      <c r="G481" s="79" t="s">
        <v>116</v>
      </c>
      <c r="H481" s="79" t="str">
        <f>IFERROR(_xlfn.XLOOKUP(Table6[[#This Row],[Affected Feeder ]],'Basic Data'!$A:$A,'Basic Data'!$B:$B),"")</f>
        <v>PWEPL</v>
      </c>
      <c r="I481" s="79" t="str">
        <f>IFERROR(_xlfn.XLOOKUP(Table6[[#This Row],[Affected Feeder ]],'Basic Data'!$A:$A,'Basic Data'!$C:$C),"")</f>
        <v>MSEDCL</v>
      </c>
      <c r="J481" s="295">
        <f>IFERROR(_xlfn.XLOOKUP(Table6[[#This Row],[Affected Feeder ]],'Basic Data'!$A:$A,'Basic Data'!$E:$E),"")</f>
        <v>2.2727272727272728E-2</v>
      </c>
      <c r="K481" s="296" t="s">
        <v>171</v>
      </c>
      <c r="L481" s="297">
        <v>0.6333333333333333</v>
      </c>
      <c r="M481" s="297">
        <v>0.6333333333333333</v>
      </c>
      <c r="N481" s="297">
        <v>0.6430555555555556</v>
      </c>
      <c r="O481" s="19">
        <f>(Table6[[#This Row],[Work Start TimeStamp]]-Table6[[#This Row],[Fault Start TimeStamp]])*24</f>
        <v>0</v>
      </c>
      <c r="P481" s="19">
        <f>(Table6[[#This Row],[Fault Clearance time]]-Table6[[#This Row],[Fault Start TimeStamp]])*24</f>
        <v>0.23333333333333517</v>
      </c>
      <c r="Q481" s="19">
        <f>(Table6[[#This Row],[Fault Clearance time]]-Table6[[#This Row],[Fault Start TimeStamp]])*24</f>
        <v>0.23333333333333517</v>
      </c>
      <c r="R481" s="79" t="s">
        <v>353</v>
      </c>
      <c r="S481" s="79" t="s">
        <v>339</v>
      </c>
      <c r="T481" s="298">
        <f>IFERROR(Table6[[#This Row],[Breakdown Time]]*Table6[[#This Row],[Plant Equivalent Weightage]],"")</f>
        <v>5.303030303030345E-3</v>
      </c>
      <c r="U481" s="79" t="s">
        <v>421</v>
      </c>
      <c r="W481" s="79">
        <v>58</v>
      </c>
    </row>
    <row r="482" spans="1:23">
      <c r="A482" s="79">
        <f t="shared" si="7"/>
        <v>481</v>
      </c>
      <c r="B482" s="79">
        <f>YEAR(Table6[[#This Row],[Date]])+IF(MONTH(Table6[[#This Row],[Date]])&gt;=4,1,0)</f>
        <v>2026</v>
      </c>
      <c r="C482" s="79">
        <f>YEAR(Table6[[#This Row],[Date]])</f>
        <v>2025</v>
      </c>
      <c r="D482" s="79" t="s">
        <v>344</v>
      </c>
      <c r="E482" s="284">
        <f>Table6[[#This Row],[Date]]-DAY(Table6[[#This Row],[Date]])+1</f>
        <v>45778</v>
      </c>
      <c r="F482" s="285">
        <v>45791</v>
      </c>
      <c r="G482" s="79" t="s">
        <v>117</v>
      </c>
      <c r="H482" s="79" t="str">
        <f>IFERROR(_xlfn.XLOOKUP(Table6[[#This Row],[Affected Feeder ]],'Basic Data'!$A:$A,'Basic Data'!$B:$B),"")</f>
        <v>PWEPL</v>
      </c>
      <c r="I482" s="79" t="str">
        <f>IFERROR(_xlfn.XLOOKUP(Table6[[#This Row],[Affected Feeder ]],'Basic Data'!$A:$A,'Basic Data'!$C:$C),"")</f>
        <v>MSEDCL</v>
      </c>
      <c r="J482" s="295">
        <f>IFERROR(_xlfn.XLOOKUP(Table6[[#This Row],[Affected Feeder ]],'Basic Data'!$A:$A,'Basic Data'!$E:$E),"")</f>
        <v>2.2727272727272728E-2</v>
      </c>
      <c r="K482" s="296" t="s">
        <v>171</v>
      </c>
      <c r="L482" s="297">
        <v>0.6333333333333333</v>
      </c>
      <c r="M482" s="297">
        <v>0.6333333333333333</v>
      </c>
      <c r="N482" s="297">
        <v>0.64722222222222225</v>
      </c>
      <c r="O482" s="19">
        <f>(Table6[[#This Row],[Work Start TimeStamp]]-Table6[[#This Row],[Fault Start TimeStamp]])*24</f>
        <v>0</v>
      </c>
      <c r="P482" s="19">
        <f>(Table6[[#This Row],[Fault Clearance time]]-Table6[[#This Row],[Fault Start TimeStamp]])*24</f>
        <v>0.33333333333333481</v>
      </c>
      <c r="Q482" s="19">
        <f>(Table6[[#This Row],[Fault Clearance time]]-Table6[[#This Row],[Fault Start TimeStamp]])*24</f>
        <v>0.33333333333333481</v>
      </c>
      <c r="R482" s="79" t="s">
        <v>353</v>
      </c>
      <c r="S482" s="79" t="s">
        <v>339</v>
      </c>
      <c r="T482" s="298">
        <f>IFERROR(Table6[[#This Row],[Breakdown Time]]*Table6[[#This Row],[Plant Equivalent Weightage]],"")</f>
        <v>7.5757575757576098E-3</v>
      </c>
      <c r="U482" s="79" t="s">
        <v>421</v>
      </c>
      <c r="W482" s="79">
        <v>84</v>
      </c>
    </row>
    <row r="483" spans="1:23">
      <c r="A483" s="79">
        <f t="shared" si="7"/>
        <v>482</v>
      </c>
      <c r="B483" s="79">
        <f>YEAR(Table6[[#This Row],[Date]])+IF(MONTH(Table6[[#This Row],[Date]])&gt;=4,1,0)</f>
        <v>2026</v>
      </c>
      <c r="C483" s="79">
        <f>YEAR(Table6[[#This Row],[Date]])</f>
        <v>2025</v>
      </c>
      <c r="D483" s="79" t="s">
        <v>344</v>
      </c>
      <c r="E483" s="284">
        <f>Table6[[#This Row],[Date]]-DAY(Table6[[#This Row],[Date]])+1</f>
        <v>45778</v>
      </c>
      <c r="F483" s="285">
        <v>45791</v>
      </c>
      <c r="G483" s="79" t="s">
        <v>118</v>
      </c>
      <c r="H483" s="79" t="str">
        <f>IFERROR(_xlfn.XLOOKUP(Table6[[#This Row],[Affected Feeder ]],'Basic Data'!$A:$A,'Basic Data'!$B:$B),"")</f>
        <v>PWEPL</v>
      </c>
      <c r="I483" s="79" t="str">
        <f>IFERROR(_xlfn.XLOOKUP(Table6[[#This Row],[Affected Feeder ]],'Basic Data'!$A:$A,'Basic Data'!$C:$C),"")</f>
        <v>MSEDCL</v>
      </c>
      <c r="J483" s="295">
        <f>IFERROR(_xlfn.XLOOKUP(Table6[[#This Row],[Affected Feeder ]],'Basic Data'!$A:$A,'Basic Data'!$E:$E),"")</f>
        <v>2.2727272727272728E-2</v>
      </c>
      <c r="K483" s="296" t="s">
        <v>171</v>
      </c>
      <c r="L483" s="297">
        <v>0.6333333333333333</v>
      </c>
      <c r="M483" s="297">
        <v>0.6333333333333333</v>
      </c>
      <c r="N483" s="297">
        <v>0.64652777777777781</v>
      </c>
      <c r="O483" s="19">
        <f>(Table6[[#This Row],[Work Start TimeStamp]]-Table6[[#This Row],[Fault Start TimeStamp]])*24</f>
        <v>0</v>
      </c>
      <c r="P483" s="19">
        <f>(Table6[[#This Row],[Fault Clearance time]]-Table6[[#This Row],[Fault Start TimeStamp]])*24</f>
        <v>0.31666666666666821</v>
      </c>
      <c r="Q483" s="19">
        <f>(Table6[[#This Row],[Fault Clearance time]]-Table6[[#This Row],[Fault Start TimeStamp]])*24</f>
        <v>0.31666666666666821</v>
      </c>
      <c r="R483" s="79" t="s">
        <v>353</v>
      </c>
      <c r="S483" s="79" t="s">
        <v>339</v>
      </c>
      <c r="T483" s="298">
        <f>IFERROR(Table6[[#This Row],[Breakdown Time]]*Table6[[#This Row],[Plant Equivalent Weightage]],"")</f>
        <v>7.196969696969732E-3</v>
      </c>
      <c r="U483" s="79" t="s">
        <v>421</v>
      </c>
      <c r="W483" s="79">
        <v>80</v>
      </c>
    </row>
    <row r="484" spans="1:23">
      <c r="A484" s="79">
        <f t="shared" si="7"/>
        <v>483</v>
      </c>
      <c r="B484" s="79">
        <f>YEAR(Table6[[#This Row],[Date]])+IF(MONTH(Table6[[#This Row],[Date]])&gt;=4,1,0)</f>
        <v>2026</v>
      </c>
      <c r="C484" s="79">
        <f>YEAR(Table6[[#This Row],[Date]])</f>
        <v>2025</v>
      </c>
      <c r="D484" s="79" t="s">
        <v>344</v>
      </c>
      <c r="E484" s="284">
        <f>Table6[[#This Row],[Date]]-DAY(Table6[[#This Row],[Date]])+1</f>
        <v>45778</v>
      </c>
      <c r="F484" s="285">
        <v>45792</v>
      </c>
      <c r="G484" s="79" t="s">
        <v>405</v>
      </c>
      <c r="H484" s="79" t="str">
        <f>IFERROR(_xlfn.XLOOKUP(Table6[[#This Row],[Affected Feeder ]],'Basic Data'!$A:$A,'Basic Data'!$B:$B),"")</f>
        <v>PWEPL</v>
      </c>
      <c r="I484" s="79" t="str">
        <f>IFERROR(_xlfn.XLOOKUP(Table6[[#This Row],[Affected Feeder ]],'Basic Data'!$A:$A,'Basic Data'!$C:$C),"")</f>
        <v>MSEDCL</v>
      </c>
      <c r="J484" s="295">
        <f>IFERROR(_xlfn.XLOOKUP(Table6[[#This Row],[Affected Feeder ]],'Basic Data'!$A:$A,'Basic Data'!$E:$E),"")</f>
        <v>0.20454545454545453</v>
      </c>
      <c r="K484" s="296" t="s">
        <v>813</v>
      </c>
      <c r="L484" s="297">
        <v>0.3527777777777778</v>
      </c>
      <c r="M484" s="297">
        <v>0.3527777777777778</v>
      </c>
      <c r="N484" s="297">
        <v>0.6381944444444444</v>
      </c>
      <c r="O484" s="19">
        <f>(Table6[[#This Row],[Work Start TimeStamp]]-Table6[[#This Row],[Fault Start TimeStamp]])*24</f>
        <v>0</v>
      </c>
      <c r="P484" s="19">
        <f>(Table6[[#This Row],[Fault Clearance time]]-Table6[[#This Row],[Fault Start TimeStamp]])*24</f>
        <v>6.8499999999999979</v>
      </c>
      <c r="Q484" s="19">
        <f>(Table6[[#This Row],[Fault Clearance time]]-Table6[[#This Row],[Fault Start TimeStamp]])*24</f>
        <v>6.8499999999999979</v>
      </c>
      <c r="R484" s="79" t="s">
        <v>814</v>
      </c>
      <c r="S484" s="79" t="s">
        <v>339</v>
      </c>
      <c r="T484" s="298">
        <f>IFERROR(Table6[[#This Row],[Breakdown Time]]*Table6[[#This Row],[Plant Equivalent Weightage]],"")</f>
        <v>1.4011363636363632</v>
      </c>
      <c r="U484" s="79" t="s">
        <v>416</v>
      </c>
      <c r="W484" s="79">
        <v>1376</v>
      </c>
    </row>
    <row r="485" spans="1:23">
      <c r="A485" s="79">
        <f t="shared" si="7"/>
        <v>484</v>
      </c>
      <c r="B485" s="79">
        <f>YEAR(Table6[[#This Row],[Date]])+IF(MONTH(Table6[[#This Row],[Date]])&gt;=4,1,0)</f>
        <v>2026</v>
      </c>
      <c r="C485" s="79">
        <f>YEAR(Table6[[#This Row],[Date]])</f>
        <v>2025</v>
      </c>
      <c r="D485" s="79" t="s">
        <v>344</v>
      </c>
      <c r="E485" s="284">
        <f>Table6[[#This Row],[Date]]-DAY(Table6[[#This Row],[Date]])+1</f>
        <v>45778</v>
      </c>
      <c r="F485" s="285">
        <v>45792</v>
      </c>
      <c r="G485" s="79" t="s">
        <v>109</v>
      </c>
      <c r="H485" s="79" t="str">
        <f>IFERROR(_xlfn.XLOOKUP(Table6[[#This Row],[Affected Feeder ]],'Basic Data'!$A:$A,'Basic Data'!$B:$B),"")</f>
        <v>PWEPL</v>
      </c>
      <c r="I485" s="79" t="str">
        <f>IFERROR(_xlfn.XLOOKUP(Table6[[#This Row],[Affected Feeder ]],'Basic Data'!$A:$A,'Basic Data'!$C:$C),"")</f>
        <v>MSEDCL</v>
      </c>
      <c r="J485" s="295">
        <f>IFERROR(_xlfn.XLOOKUP(Table6[[#This Row],[Affected Feeder ]],'Basic Data'!$A:$A,'Basic Data'!$E:$E),"")</f>
        <v>2.2727272727272728E-2</v>
      </c>
      <c r="K485" s="296" t="s">
        <v>171</v>
      </c>
      <c r="L485" s="297">
        <v>0.6381944444444444</v>
      </c>
      <c r="M485" s="297">
        <v>0.6381944444444444</v>
      </c>
      <c r="N485" s="297">
        <v>0.64861111111111114</v>
      </c>
      <c r="O485" s="19">
        <f>(Table6[[#This Row],[Work Start TimeStamp]]-Table6[[#This Row],[Fault Start TimeStamp]])*24</f>
        <v>0</v>
      </c>
      <c r="P485" s="19">
        <f>(Table6[[#This Row],[Fault Clearance time]]-Table6[[#This Row],[Fault Start TimeStamp]])*24</f>
        <v>0.25000000000000178</v>
      </c>
      <c r="Q485" s="19">
        <f>(Table6[[#This Row],[Fault Clearance time]]-Table6[[#This Row],[Fault Start TimeStamp]])*24</f>
        <v>0.25000000000000178</v>
      </c>
      <c r="R485" s="79" t="s">
        <v>353</v>
      </c>
      <c r="S485" s="79" t="s">
        <v>339</v>
      </c>
      <c r="T485" s="298">
        <f>IFERROR(Table6[[#This Row],[Breakdown Time]]*Table6[[#This Row],[Plant Equivalent Weightage]],"")</f>
        <v>5.6818181818182227E-3</v>
      </c>
      <c r="U485" s="79" t="s">
        <v>416</v>
      </c>
      <c r="W485" s="79">
        <v>5</v>
      </c>
    </row>
    <row r="486" spans="1:23">
      <c r="A486" s="79">
        <f t="shared" si="7"/>
        <v>485</v>
      </c>
      <c r="B486" s="79">
        <f>YEAR(Table6[[#This Row],[Date]])+IF(MONTH(Table6[[#This Row],[Date]])&gt;=4,1,0)</f>
        <v>2026</v>
      </c>
      <c r="C486" s="79">
        <f>YEAR(Table6[[#This Row],[Date]])</f>
        <v>2025</v>
      </c>
      <c r="D486" s="79" t="s">
        <v>344</v>
      </c>
      <c r="E486" s="284">
        <f>Table6[[#This Row],[Date]]-DAY(Table6[[#This Row],[Date]])+1</f>
        <v>45778</v>
      </c>
      <c r="F486" s="285">
        <v>45792</v>
      </c>
      <c r="G486" s="79" t="s">
        <v>111</v>
      </c>
      <c r="H486" s="79" t="str">
        <f>IFERROR(_xlfn.XLOOKUP(Table6[[#This Row],[Affected Feeder ]],'Basic Data'!$A:$A,'Basic Data'!$B:$B),"")</f>
        <v>PWEPL</v>
      </c>
      <c r="I486" s="79" t="str">
        <f>IFERROR(_xlfn.XLOOKUP(Table6[[#This Row],[Affected Feeder ]],'Basic Data'!$A:$A,'Basic Data'!$C:$C),"")</f>
        <v>MSEDCL</v>
      </c>
      <c r="J486" s="295">
        <f>IFERROR(_xlfn.XLOOKUP(Table6[[#This Row],[Affected Feeder ]],'Basic Data'!$A:$A,'Basic Data'!$E:$E),"")</f>
        <v>2.2727272727272728E-2</v>
      </c>
      <c r="K486" s="296" t="s">
        <v>171</v>
      </c>
      <c r="L486" s="297">
        <v>0.6381944444444444</v>
      </c>
      <c r="M486" s="297">
        <v>0.6381944444444444</v>
      </c>
      <c r="N486" s="297">
        <v>0.64861111111111114</v>
      </c>
      <c r="O486" s="19">
        <f>(Table6[[#This Row],[Work Start TimeStamp]]-Table6[[#This Row],[Fault Start TimeStamp]])*24</f>
        <v>0</v>
      </c>
      <c r="P486" s="19">
        <f>(Table6[[#This Row],[Fault Clearance time]]-Table6[[#This Row],[Fault Start TimeStamp]])*24</f>
        <v>0.25000000000000178</v>
      </c>
      <c r="Q486" s="19">
        <f>(Table6[[#This Row],[Fault Clearance time]]-Table6[[#This Row],[Fault Start TimeStamp]])*24</f>
        <v>0.25000000000000178</v>
      </c>
      <c r="R486" s="79" t="s">
        <v>353</v>
      </c>
      <c r="S486" s="79" t="s">
        <v>339</v>
      </c>
      <c r="T486" s="298">
        <f>IFERROR(Table6[[#This Row],[Breakdown Time]]*Table6[[#This Row],[Plant Equivalent Weightage]],"")</f>
        <v>5.6818181818182227E-3</v>
      </c>
      <c r="U486" s="79" t="s">
        <v>416</v>
      </c>
      <c r="W486" s="79">
        <v>5</v>
      </c>
    </row>
    <row r="487" spans="1:23">
      <c r="A487" s="79">
        <f t="shared" si="7"/>
        <v>486</v>
      </c>
      <c r="B487" s="79">
        <f>YEAR(Table6[[#This Row],[Date]])+IF(MONTH(Table6[[#This Row],[Date]])&gt;=4,1,0)</f>
        <v>2026</v>
      </c>
      <c r="C487" s="79">
        <f>YEAR(Table6[[#This Row],[Date]])</f>
        <v>2025</v>
      </c>
      <c r="D487" s="79" t="s">
        <v>344</v>
      </c>
      <c r="E487" s="284">
        <f>Table6[[#This Row],[Date]]-DAY(Table6[[#This Row],[Date]])+1</f>
        <v>45778</v>
      </c>
      <c r="F487" s="285">
        <v>45792</v>
      </c>
      <c r="G487" s="79" t="s">
        <v>112</v>
      </c>
      <c r="H487" s="79" t="str">
        <f>IFERROR(_xlfn.XLOOKUP(Table6[[#This Row],[Affected Feeder ]],'Basic Data'!$A:$A,'Basic Data'!$B:$B),"")</f>
        <v>PWEPL</v>
      </c>
      <c r="I487" s="79" t="str">
        <f>IFERROR(_xlfn.XLOOKUP(Table6[[#This Row],[Affected Feeder ]],'Basic Data'!$A:$A,'Basic Data'!$C:$C),"")</f>
        <v>MSEDCL</v>
      </c>
      <c r="J487" s="295">
        <f>IFERROR(_xlfn.XLOOKUP(Table6[[#This Row],[Affected Feeder ]],'Basic Data'!$A:$A,'Basic Data'!$E:$E),"")</f>
        <v>2.2727272727272728E-2</v>
      </c>
      <c r="K487" s="296" t="s">
        <v>171</v>
      </c>
      <c r="L487" s="297">
        <v>0.6381944444444444</v>
      </c>
      <c r="M487" s="297">
        <v>0.6381944444444444</v>
      </c>
      <c r="N487" s="297">
        <v>0.6479166666666667</v>
      </c>
      <c r="O487" s="19">
        <f>(Table6[[#This Row],[Work Start TimeStamp]]-Table6[[#This Row],[Fault Start TimeStamp]])*24</f>
        <v>0</v>
      </c>
      <c r="P487" s="19">
        <f>(Table6[[#This Row],[Fault Clearance time]]-Table6[[#This Row],[Fault Start TimeStamp]])*24</f>
        <v>0.23333333333333517</v>
      </c>
      <c r="Q487" s="19">
        <f>(Table6[[#This Row],[Fault Clearance time]]-Table6[[#This Row],[Fault Start TimeStamp]])*24</f>
        <v>0.23333333333333517</v>
      </c>
      <c r="R487" s="79" t="s">
        <v>353</v>
      </c>
      <c r="S487" s="79" t="s">
        <v>339</v>
      </c>
      <c r="T487" s="298">
        <f>IFERROR(Table6[[#This Row],[Breakdown Time]]*Table6[[#This Row],[Plant Equivalent Weightage]],"")</f>
        <v>5.303030303030345E-3</v>
      </c>
      <c r="U487" s="79" t="s">
        <v>416</v>
      </c>
      <c r="W487" s="79">
        <v>5</v>
      </c>
    </row>
    <row r="488" spans="1:23">
      <c r="A488" s="79">
        <f t="shared" si="7"/>
        <v>487</v>
      </c>
      <c r="B488" s="79">
        <f>YEAR(Table6[[#This Row],[Date]])+IF(MONTH(Table6[[#This Row],[Date]])&gt;=4,1,0)</f>
        <v>2026</v>
      </c>
      <c r="C488" s="79">
        <f>YEAR(Table6[[#This Row],[Date]])</f>
        <v>2025</v>
      </c>
      <c r="D488" s="79" t="s">
        <v>344</v>
      </c>
      <c r="E488" s="284">
        <f>Table6[[#This Row],[Date]]-DAY(Table6[[#This Row],[Date]])+1</f>
        <v>45778</v>
      </c>
      <c r="F488" s="285">
        <v>45792</v>
      </c>
      <c r="G488" s="79" t="s">
        <v>113</v>
      </c>
      <c r="H488" s="79" t="str">
        <f>IFERROR(_xlfn.XLOOKUP(Table6[[#This Row],[Affected Feeder ]],'Basic Data'!$A:$A,'Basic Data'!$B:$B),"")</f>
        <v>PWEPL</v>
      </c>
      <c r="I488" s="79" t="str">
        <f>IFERROR(_xlfn.XLOOKUP(Table6[[#This Row],[Affected Feeder ]],'Basic Data'!$A:$A,'Basic Data'!$C:$C),"")</f>
        <v>MSEDCL</v>
      </c>
      <c r="J488" s="295">
        <f>IFERROR(_xlfn.XLOOKUP(Table6[[#This Row],[Affected Feeder ]],'Basic Data'!$A:$A,'Basic Data'!$E:$E),"")</f>
        <v>2.2727272727272728E-2</v>
      </c>
      <c r="K488" s="296" t="s">
        <v>171</v>
      </c>
      <c r="L488" s="297">
        <v>0.6381944444444444</v>
      </c>
      <c r="M488" s="297">
        <v>0.6381944444444444</v>
      </c>
      <c r="N488" s="297">
        <v>0.64861111111111114</v>
      </c>
      <c r="O488" s="19">
        <f>(Table6[[#This Row],[Work Start TimeStamp]]-Table6[[#This Row],[Fault Start TimeStamp]])*24</f>
        <v>0</v>
      </c>
      <c r="P488" s="19">
        <f>(Table6[[#This Row],[Fault Clearance time]]-Table6[[#This Row],[Fault Start TimeStamp]])*24</f>
        <v>0.25000000000000178</v>
      </c>
      <c r="Q488" s="19">
        <f>(Table6[[#This Row],[Fault Clearance time]]-Table6[[#This Row],[Fault Start TimeStamp]])*24</f>
        <v>0.25000000000000178</v>
      </c>
      <c r="R488" s="79" t="s">
        <v>353</v>
      </c>
      <c r="S488" s="79" t="s">
        <v>339</v>
      </c>
      <c r="T488" s="298">
        <f>IFERROR(Table6[[#This Row],[Breakdown Time]]*Table6[[#This Row],[Plant Equivalent Weightage]],"")</f>
        <v>5.6818181818182227E-3</v>
      </c>
      <c r="U488" s="79" t="s">
        <v>416</v>
      </c>
      <c r="W488" s="79">
        <v>5</v>
      </c>
    </row>
    <row r="489" spans="1:23">
      <c r="A489" s="79">
        <f t="shared" si="7"/>
        <v>488</v>
      </c>
      <c r="B489" s="79">
        <f>YEAR(Table6[[#This Row],[Date]])+IF(MONTH(Table6[[#This Row],[Date]])&gt;=4,1,0)</f>
        <v>2026</v>
      </c>
      <c r="C489" s="79">
        <f>YEAR(Table6[[#This Row],[Date]])</f>
        <v>2025</v>
      </c>
      <c r="D489" s="79" t="s">
        <v>344</v>
      </c>
      <c r="E489" s="284">
        <f>Table6[[#This Row],[Date]]-DAY(Table6[[#This Row],[Date]])+1</f>
        <v>45778</v>
      </c>
      <c r="F489" s="285">
        <v>45792</v>
      </c>
      <c r="G489" s="79" t="s">
        <v>114</v>
      </c>
      <c r="H489" s="79" t="str">
        <f>IFERROR(_xlfn.XLOOKUP(Table6[[#This Row],[Affected Feeder ]],'Basic Data'!$A:$A,'Basic Data'!$B:$B),"")</f>
        <v>PWEPL</v>
      </c>
      <c r="I489" s="79" t="str">
        <f>IFERROR(_xlfn.XLOOKUP(Table6[[#This Row],[Affected Feeder ]],'Basic Data'!$A:$A,'Basic Data'!$C:$C),"")</f>
        <v>MSEDCL</v>
      </c>
      <c r="J489" s="295">
        <f>IFERROR(_xlfn.XLOOKUP(Table6[[#This Row],[Affected Feeder ]],'Basic Data'!$A:$A,'Basic Data'!$E:$E),"")</f>
        <v>2.2727272727272728E-2</v>
      </c>
      <c r="K489" s="296" t="s">
        <v>171</v>
      </c>
      <c r="L489" s="297">
        <v>0.6381944444444444</v>
      </c>
      <c r="M489" s="297">
        <v>0.6381944444444444</v>
      </c>
      <c r="N489" s="297">
        <v>0.6479166666666667</v>
      </c>
      <c r="O489" s="19">
        <f>(Table6[[#This Row],[Work Start TimeStamp]]-Table6[[#This Row],[Fault Start TimeStamp]])*24</f>
        <v>0</v>
      </c>
      <c r="P489" s="19">
        <f>(Table6[[#This Row],[Fault Clearance time]]-Table6[[#This Row],[Fault Start TimeStamp]])*24</f>
        <v>0.23333333333333517</v>
      </c>
      <c r="Q489" s="19">
        <f>(Table6[[#This Row],[Fault Clearance time]]-Table6[[#This Row],[Fault Start TimeStamp]])*24</f>
        <v>0.23333333333333517</v>
      </c>
      <c r="R489" s="79" t="s">
        <v>353</v>
      </c>
      <c r="S489" s="79" t="s">
        <v>339</v>
      </c>
      <c r="T489" s="298">
        <f>IFERROR(Table6[[#This Row],[Breakdown Time]]*Table6[[#This Row],[Plant Equivalent Weightage]],"")</f>
        <v>5.303030303030345E-3</v>
      </c>
      <c r="U489" s="79" t="s">
        <v>416</v>
      </c>
      <c r="W489" s="79">
        <v>5</v>
      </c>
    </row>
    <row r="490" spans="1:23">
      <c r="A490" s="79">
        <f t="shared" si="7"/>
        <v>489</v>
      </c>
      <c r="B490" s="79">
        <f>YEAR(Table6[[#This Row],[Date]])+IF(MONTH(Table6[[#This Row],[Date]])&gt;=4,1,0)</f>
        <v>2026</v>
      </c>
      <c r="C490" s="79">
        <f>YEAR(Table6[[#This Row],[Date]])</f>
        <v>2025</v>
      </c>
      <c r="D490" s="79" t="s">
        <v>344</v>
      </c>
      <c r="E490" s="284">
        <f>Table6[[#This Row],[Date]]-DAY(Table6[[#This Row],[Date]])+1</f>
        <v>45778</v>
      </c>
      <c r="F490" s="285">
        <v>45792</v>
      </c>
      <c r="G490" s="79" t="s">
        <v>80</v>
      </c>
      <c r="H490" s="79" t="str">
        <f>IFERROR(_xlfn.XLOOKUP(Table6[[#This Row],[Affected Feeder ]],'Basic Data'!$A:$A,'Basic Data'!$B:$B),"")</f>
        <v>PWEPL</v>
      </c>
      <c r="I490" s="79" t="str">
        <f>IFERROR(_xlfn.XLOOKUP(Table6[[#This Row],[Affected Feeder ]],'Basic Data'!$A:$A,'Basic Data'!$C:$C),"")</f>
        <v>MSEDCL</v>
      </c>
      <c r="J490" s="295">
        <f>IFERROR(_xlfn.XLOOKUP(Table6[[#This Row],[Affected Feeder ]],'Basic Data'!$A:$A,'Basic Data'!$E:$E),"")</f>
        <v>2.2727272727272728E-2</v>
      </c>
      <c r="K490" s="296" t="s">
        <v>171</v>
      </c>
      <c r="L490" s="297">
        <v>0.6381944444444444</v>
      </c>
      <c r="M490" s="297">
        <v>0.6381944444444444</v>
      </c>
      <c r="N490" s="297">
        <v>0.6479166666666667</v>
      </c>
      <c r="O490" s="19">
        <f>(Table6[[#This Row],[Work Start TimeStamp]]-Table6[[#This Row],[Fault Start TimeStamp]])*24</f>
        <v>0</v>
      </c>
      <c r="P490" s="19">
        <f>(Table6[[#This Row],[Fault Clearance time]]-Table6[[#This Row],[Fault Start TimeStamp]])*24</f>
        <v>0.23333333333333517</v>
      </c>
      <c r="Q490" s="19">
        <f>(Table6[[#This Row],[Fault Clearance time]]-Table6[[#This Row],[Fault Start TimeStamp]])*24</f>
        <v>0.23333333333333517</v>
      </c>
      <c r="R490" s="79" t="s">
        <v>353</v>
      </c>
      <c r="S490" s="79" t="s">
        <v>339</v>
      </c>
      <c r="T490" s="298">
        <f>IFERROR(Table6[[#This Row],[Breakdown Time]]*Table6[[#This Row],[Plant Equivalent Weightage]],"")</f>
        <v>5.303030303030345E-3</v>
      </c>
      <c r="U490" s="79" t="s">
        <v>416</v>
      </c>
      <c r="W490" s="79">
        <v>5</v>
      </c>
    </row>
    <row r="491" spans="1:23">
      <c r="A491" s="79">
        <f t="shared" si="7"/>
        <v>490</v>
      </c>
      <c r="B491" s="79">
        <f>YEAR(Table6[[#This Row],[Date]])+IF(MONTH(Table6[[#This Row],[Date]])&gt;=4,1,0)</f>
        <v>2026</v>
      </c>
      <c r="C491" s="79">
        <f>YEAR(Table6[[#This Row],[Date]])</f>
        <v>2025</v>
      </c>
      <c r="D491" s="79" t="s">
        <v>344</v>
      </c>
      <c r="E491" s="284">
        <f>Table6[[#This Row],[Date]]-DAY(Table6[[#This Row],[Date]])+1</f>
        <v>45778</v>
      </c>
      <c r="F491" s="285">
        <v>45792</v>
      </c>
      <c r="G491" s="79" t="s">
        <v>81</v>
      </c>
      <c r="H491" s="79" t="str">
        <f>IFERROR(_xlfn.XLOOKUP(Table6[[#This Row],[Affected Feeder ]],'Basic Data'!$A:$A,'Basic Data'!$B:$B),"")</f>
        <v>PWEPL</v>
      </c>
      <c r="I491" s="79" t="str">
        <f>IFERROR(_xlfn.XLOOKUP(Table6[[#This Row],[Affected Feeder ]],'Basic Data'!$A:$A,'Basic Data'!$C:$C),"")</f>
        <v>MSEDCL</v>
      </c>
      <c r="J491" s="295">
        <f>IFERROR(_xlfn.XLOOKUP(Table6[[#This Row],[Affected Feeder ]],'Basic Data'!$A:$A,'Basic Data'!$E:$E),"")</f>
        <v>2.2727272727272728E-2</v>
      </c>
      <c r="K491" s="296" t="s">
        <v>171</v>
      </c>
      <c r="L491" s="297">
        <v>0.6381944444444444</v>
      </c>
      <c r="M491" s="297">
        <v>0.6381944444444444</v>
      </c>
      <c r="N491" s="297">
        <v>0.64513888888888882</v>
      </c>
      <c r="O491" s="19">
        <f>(Table6[[#This Row],[Work Start TimeStamp]]-Table6[[#This Row],[Fault Start TimeStamp]])*24</f>
        <v>0</v>
      </c>
      <c r="P491" s="19">
        <f>(Table6[[#This Row],[Fault Clearance time]]-Table6[[#This Row],[Fault Start TimeStamp]])*24</f>
        <v>0.16666666666666607</v>
      </c>
      <c r="Q491" s="19">
        <f>(Table6[[#This Row],[Fault Clearance time]]-Table6[[#This Row],[Fault Start TimeStamp]])*24</f>
        <v>0.16666666666666607</v>
      </c>
      <c r="R491" s="79" t="s">
        <v>353</v>
      </c>
      <c r="S491" s="79" t="s">
        <v>339</v>
      </c>
      <c r="T491" s="298">
        <f>IFERROR(Table6[[#This Row],[Breakdown Time]]*Table6[[#This Row],[Plant Equivalent Weightage]],"")</f>
        <v>3.7878787878787745E-3</v>
      </c>
      <c r="U491" s="79" t="s">
        <v>416</v>
      </c>
      <c r="W491" s="79">
        <v>3.7</v>
      </c>
    </row>
    <row r="492" spans="1:23">
      <c r="A492" s="79">
        <f t="shared" si="7"/>
        <v>491</v>
      </c>
      <c r="B492" s="79">
        <f>YEAR(Table6[[#This Row],[Date]])+IF(MONTH(Table6[[#This Row],[Date]])&gt;=4,1,0)</f>
        <v>2026</v>
      </c>
      <c r="C492" s="79">
        <f>YEAR(Table6[[#This Row],[Date]])</f>
        <v>2025</v>
      </c>
      <c r="D492" s="79" t="s">
        <v>344</v>
      </c>
      <c r="E492" s="284">
        <f>Table6[[#This Row],[Date]]-DAY(Table6[[#This Row],[Date]])+1</f>
        <v>45778</v>
      </c>
      <c r="F492" s="285">
        <v>45792</v>
      </c>
      <c r="G492" s="79" t="s">
        <v>107</v>
      </c>
      <c r="H492" s="79" t="str">
        <f>IFERROR(_xlfn.XLOOKUP(Table6[[#This Row],[Affected Feeder ]],'Basic Data'!$A:$A,'Basic Data'!$B:$B),"")</f>
        <v>PWEPL</v>
      </c>
      <c r="I492" s="79" t="str">
        <f>IFERROR(_xlfn.XLOOKUP(Table6[[#This Row],[Affected Feeder ]],'Basic Data'!$A:$A,'Basic Data'!$C:$C),"")</f>
        <v>MSEDCL</v>
      </c>
      <c r="J492" s="295">
        <f>IFERROR(_xlfn.XLOOKUP(Table6[[#This Row],[Affected Feeder ]],'Basic Data'!$A:$A,'Basic Data'!$E:$E),"")</f>
        <v>2.2727272727272728E-2</v>
      </c>
      <c r="K492" s="296" t="s">
        <v>171</v>
      </c>
      <c r="L492" s="297">
        <v>0.6381944444444444</v>
      </c>
      <c r="M492" s="297">
        <v>0.6381944444444444</v>
      </c>
      <c r="N492" s="297">
        <v>0.64444444444444449</v>
      </c>
      <c r="O492" s="19">
        <f>(Table6[[#This Row],[Work Start TimeStamp]]-Table6[[#This Row],[Fault Start TimeStamp]])*24</f>
        <v>0</v>
      </c>
      <c r="P492" s="19">
        <f>(Table6[[#This Row],[Fault Clearance time]]-Table6[[#This Row],[Fault Start TimeStamp]])*24</f>
        <v>0.15000000000000213</v>
      </c>
      <c r="Q492" s="19">
        <f>(Table6[[#This Row],[Fault Clearance time]]-Table6[[#This Row],[Fault Start TimeStamp]])*24</f>
        <v>0.15000000000000213</v>
      </c>
      <c r="R492" s="79" t="s">
        <v>353</v>
      </c>
      <c r="S492" s="79" t="s">
        <v>339</v>
      </c>
      <c r="T492" s="298">
        <f>IFERROR(Table6[[#This Row],[Breakdown Time]]*Table6[[#This Row],[Plant Equivalent Weightage]],"")</f>
        <v>3.4090909090909575E-3</v>
      </c>
      <c r="U492" s="79" t="s">
        <v>416</v>
      </c>
      <c r="W492" s="79">
        <v>3.3</v>
      </c>
    </row>
    <row r="493" spans="1:23">
      <c r="A493" s="79">
        <f t="shared" si="7"/>
        <v>492</v>
      </c>
      <c r="B493" s="79">
        <f>YEAR(Table6[[#This Row],[Date]])+IF(MONTH(Table6[[#This Row],[Date]])&gt;=4,1,0)</f>
        <v>2026</v>
      </c>
      <c r="C493" s="79">
        <f>YEAR(Table6[[#This Row],[Date]])</f>
        <v>2025</v>
      </c>
      <c r="D493" s="79" t="s">
        <v>344</v>
      </c>
      <c r="E493" s="284">
        <f>Table6[[#This Row],[Date]]-DAY(Table6[[#This Row],[Date]])+1</f>
        <v>45778</v>
      </c>
      <c r="F493" s="285">
        <v>45792</v>
      </c>
      <c r="G493" s="79" t="s">
        <v>108</v>
      </c>
      <c r="H493" s="79" t="str">
        <f>IFERROR(_xlfn.XLOOKUP(Table6[[#This Row],[Affected Feeder ]],'Basic Data'!$A:$A,'Basic Data'!$B:$B),"")</f>
        <v>PWEPL</v>
      </c>
      <c r="I493" s="79" t="str">
        <f>IFERROR(_xlfn.XLOOKUP(Table6[[#This Row],[Affected Feeder ]],'Basic Data'!$A:$A,'Basic Data'!$C:$C),"")</f>
        <v>MSEDCL</v>
      </c>
      <c r="J493" s="295">
        <f>IFERROR(_xlfn.XLOOKUP(Table6[[#This Row],[Affected Feeder ]],'Basic Data'!$A:$A,'Basic Data'!$E:$E),"")</f>
        <v>2.2727272727272728E-2</v>
      </c>
      <c r="K493" s="296" t="s">
        <v>171</v>
      </c>
      <c r="L493" s="297">
        <v>0.6381944444444444</v>
      </c>
      <c r="M493" s="297">
        <v>0.6381944444444444</v>
      </c>
      <c r="N493" s="297">
        <v>0.65138888888888891</v>
      </c>
      <c r="O493" s="19">
        <f>(Table6[[#This Row],[Work Start TimeStamp]]-Table6[[#This Row],[Fault Start TimeStamp]])*24</f>
        <v>0</v>
      </c>
      <c r="P493" s="19">
        <f>(Table6[[#This Row],[Fault Clearance time]]-Table6[[#This Row],[Fault Start TimeStamp]])*24</f>
        <v>0.31666666666666821</v>
      </c>
      <c r="Q493" s="19">
        <f>(Table6[[#This Row],[Fault Clearance time]]-Table6[[#This Row],[Fault Start TimeStamp]])*24</f>
        <v>0.31666666666666821</v>
      </c>
      <c r="R493" s="79" t="s">
        <v>353</v>
      </c>
      <c r="S493" s="79" t="s">
        <v>339</v>
      </c>
      <c r="T493" s="298">
        <f>IFERROR(Table6[[#This Row],[Breakdown Time]]*Table6[[#This Row],[Plant Equivalent Weightage]],"")</f>
        <v>7.196969696969732E-3</v>
      </c>
      <c r="U493" s="79" t="s">
        <v>416</v>
      </c>
      <c r="W493" s="79">
        <v>7</v>
      </c>
    </row>
    <row r="494" spans="1:23">
      <c r="A494" s="79">
        <f t="shared" si="7"/>
        <v>493</v>
      </c>
      <c r="B494" s="79">
        <f>YEAR(Table6[[#This Row],[Date]])+IF(MONTH(Table6[[#This Row],[Date]])&gt;=4,1,0)</f>
        <v>2026</v>
      </c>
      <c r="C494" s="79">
        <f>YEAR(Table6[[#This Row],[Date]])</f>
        <v>2025</v>
      </c>
      <c r="D494" s="79" t="s">
        <v>344</v>
      </c>
      <c r="E494" s="284">
        <f>Table6[[#This Row],[Date]]-DAY(Table6[[#This Row],[Date]])+1</f>
        <v>45778</v>
      </c>
      <c r="F494" s="285">
        <v>45792</v>
      </c>
      <c r="G494" s="79" t="s">
        <v>406</v>
      </c>
      <c r="H494" s="79" t="str">
        <f>IFERROR(_xlfn.XLOOKUP(Table6[[#This Row],[Affected Feeder ]],'Basic Data'!$A:$A,'Basic Data'!$B:$B),"")</f>
        <v>PWEPL</v>
      </c>
      <c r="I494" s="79" t="str">
        <f>IFERROR(_xlfn.XLOOKUP(Table6[[#This Row],[Affected Feeder ]],'Basic Data'!$A:$A,'Basic Data'!$C:$C),"")</f>
        <v>MSEDCL</v>
      </c>
      <c r="J494" s="295">
        <f>IFERROR(_xlfn.XLOOKUP(Table6[[#This Row],[Affected Feeder ]],'Basic Data'!$A:$A,'Basic Data'!$E:$E),"")</f>
        <v>0.29545454545454541</v>
      </c>
      <c r="K494" s="296" t="s">
        <v>813</v>
      </c>
      <c r="L494" s="297">
        <v>0.3527777777777778</v>
      </c>
      <c r="M494" s="297">
        <v>0.3527777777777778</v>
      </c>
      <c r="N494" s="297">
        <v>0.6381944444444444</v>
      </c>
      <c r="O494" s="19">
        <f>(Table6[[#This Row],[Work Start TimeStamp]]-Table6[[#This Row],[Fault Start TimeStamp]])*24</f>
        <v>0</v>
      </c>
      <c r="P494" s="19">
        <f>(Table6[[#This Row],[Fault Clearance time]]-Table6[[#This Row],[Fault Start TimeStamp]])*24</f>
        <v>6.8499999999999979</v>
      </c>
      <c r="Q494" s="19">
        <f>(Table6[[#This Row],[Fault Clearance time]]-Table6[[#This Row],[Fault Start TimeStamp]])*24</f>
        <v>6.8499999999999979</v>
      </c>
      <c r="R494" s="79" t="s">
        <v>814</v>
      </c>
      <c r="S494" s="79" t="s">
        <v>339</v>
      </c>
      <c r="T494" s="298">
        <f>IFERROR(Table6[[#This Row],[Breakdown Time]]*Table6[[#This Row],[Plant Equivalent Weightage]],"")</f>
        <v>2.0238636363636355</v>
      </c>
      <c r="U494" s="79" t="s">
        <v>416</v>
      </c>
      <c r="W494" s="79">
        <v>2249</v>
      </c>
    </row>
    <row r="495" spans="1:23">
      <c r="A495" s="79">
        <f t="shared" si="7"/>
        <v>494</v>
      </c>
      <c r="B495" s="79">
        <f>YEAR(Table6[[#This Row],[Date]])+IF(MONTH(Table6[[#This Row],[Date]])&gt;=4,1,0)</f>
        <v>2026</v>
      </c>
      <c r="C495" s="79">
        <f>YEAR(Table6[[#This Row],[Date]])</f>
        <v>2025</v>
      </c>
      <c r="D495" s="79" t="s">
        <v>344</v>
      </c>
      <c r="E495" s="284">
        <f>Table6[[#This Row],[Date]]-DAY(Table6[[#This Row],[Date]])+1</f>
        <v>45778</v>
      </c>
      <c r="F495" s="285">
        <v>45792</v>
      </c>
      <c r="G495" s="79" t="s">
        <v>76</v>
      </c>
      <c r="H495" s="79" t="str">
        <f>IFERROR(_xlfn.XLOOKUP(Table6[[#This Row],[Affected Feeder ]],'Basic Data'!$A:$A,'Basic Data'!$B:$B),"")</f>
        <v>PWEPL</v>
      </c>
      <c r="I495" s="79" t="str">
        <f>IFERROR(_xlfn.XLOOKUP(Table6[[#This Row],[Affected Feeder ]],'Basic Data'!$A:$A,'Basic Data'!$C:$C),"")</f>
        <v>MSEDCL</v>
      </c>
      <c r="J495" s="295">
        <f>IFERROR(_xlfn.XLOOKUP(Table6[[#This Row],[Affected Feeder ]],'Basic Data'!$A:$A,'Basic Data'!$E:$E),"")</f>
        <v>2.2727272727272728E-2</v>
      </c>
      <c r="K495" s="296" t="s">
        <v>171</v>
      </c>
      <c r="L495" s="297">
        <v>0.6381944444444444</v>
      </c>
      <c r="M495" s="297">
        <v>0.6381944444444444</v>
      </c>
      <c r="N495" s="297">
        <v>0.6479166666666667</v>
      </c>
      <c r="O495" s="19">
        <f>(Table6[[#This Row],[Work Start TimeStamp]]-Table6[[#This Row],[Fault Start TimeStamp]])*24</f>
        <v>0</v>
      </c>
      <c r="P495" s="19">
        <f>(Table6[[#This Row],[Fault Clearance time]]-Table6[[#This Row],[Fault Start TimeStamp]])*24</f>
        <v>0.23333333333333517</v>
      </c>
      <c r="Q495" s="19">
        <f>(Table6[[#This Row],[Fault Clearance time]]-Table6[[#This Row],[Fault Start TimeStamp]])*24</f>
        <v>0.23333333333333517</v>
      </c>
      <c r="R495" s="79" t="s">
        <v>353</v>
      </c>
      <c r="S495" s="79" t="s">
        <v>339</v>
      </c>
      <c r="T495" s="298">
        <f>IFERROR(Table6[[#This Row],[Breakdown Time]]*Table6[[#This Row],[Plant Equivalent Weightage]],"")</f>
        <v>5.303030303030345E-3</v>
      </c>
      <c r="U495" s="79" t="s">
        <v>416</v>
      </c>
      <c r="W495" s="79">
        <v>5.9</v>
      </c>
    </row>
    <row r="496" spans="1:23">
      <c r="A496" s="79">
        <f t="shared" si="7"/>
        <v>495</v>
      </c>
      <c r="B496" s="79">
        <f>YEAR(Table6[[#This Row],[Date]])+IF(MONTH(Table6[[#This Row],[Date]])&gt;=4,1,0)</f>
        <v>2026</v>
      </c>
      <c r="C496" s="79">
        <f>YEAR(Table6[[#This Row],[Date]])</f>
        <v>2025</v>
      </c>
      <c r="D496" s="79" t="s">
        <v>344</v>
      </c>
      <c r="E496" s="284">
        <f>Table6[[#This Row],[Date]]-DAY(Table6[[#This Row],[Date]])+1</f>
        <v>45778</v>
      </c>
      <c r="F496" s="285">
        <v>45792</v>
      </c>
      <c r="G496" s="79" t="s">
        <v>77</v>
      </c>
      <c r="H496" s="79" t="str">
        <f>IFERROR(_xlfn.XLOOKUP(Table6[[#This Row],[Affected Feeder ]],'Basic Data'!$A:$A,'Basic Data'!$B:$B),"")</f>
        <v>PWEPL</v>
      </c>
      <c r="I496" s="79" t="str">
        <f>IFERROR(_xlfn.XLOOKUP(Table6[[#This Row],[Affected Feeder ]],'Basic Data'!$A:$A,'Basic Data'!$C:$C),"")</f>
        <v>MSEDCL</v>
      </c>
      <c r="J496" s="295">
        <f>IFERROR(_xlfn.XLOOKUP(Table6[[#This Row],[Affected Feeder ]],'Basic Data'!$A:$A,'Basic Data'!$E:$E),"")</f>
        <v>2.2727272727272728E-2</v>
      </c>
      <c r="K496" s="296" t="s">
        <v>171</v>
      </c>
      <c r="L496" s="297">
        <v>0.6381944444444444</v>
      </c>
      <c r="M496" s="297">
        <v>0.6381944444444444</v>
      </c>
      <c r="N496" s="297">
        <v>0.64513888888888882</v>
      </c>
      <c r="O496" s="19">
        <f>(Table6[[#This Row],[Work Start TimeStamp]]-Table6[[#This Row],[Fault Start TimeStamp]])*24</f>
        <v>0</v>
      </c>
      <c r="P496" s="19">
        <f>(Table6[[#This Row],[Fault Clearance time]]-Table6[[#This Row],[Fault Start TimeStamp]])*24</f>
        <v>0.16666666666666607</v>
      </c>
      <c r="Q496" s="19">
        <f>(Table6[[#This Row],[Fault Clearance time]]-Table6[[#This Row],[Fault Start TimeStamp]])*24</f>
        <v>0.16666666666666607</v>
      </c>
      <c r="R496" s="79" t="s">
        <v>353</v>
      </c>
      <c r="S496" s="79" t="s">
        <v>339</v>
      </c>
      <c r="T496" s="298">
        <f>IFERROR(Table6[[#This Row],[Breakdown Time]]*Table6[[#This Row],[Plant Equivalent Weightage]],"")</f>
        <v>3.7878787878787745E-3</v>
      </c>
      <c r="U496" s="79" t="s">
        <v>416</v>
      </c>
      <c r="W496" s="79">
        <v>4</v>
      </c>
    </row>
    <row r="497" spans="1:23">
      <c r="A497" s="79">
        <f t="shared" si="7"/>
        <v>496</v>
      </c>
      <c r="B497" s="79">
        <f>YEAR(Table6[[#This Row],[Date]])+IF(MONTH(Table6[[#This Row],[Date]])&gt;=4,1,0)</f>
        <v>2026</v>
      </c>
      <c r="C497" s="79">
        <f>YEAR(Table6[[#This Row],[Date]])</f>
        <v>2025</v>
      </c>
      <c r="D497" s="79" t="s">
        <v>344</v>
      </c>
      <c r="E497" s="284">
        <f>Table6[[#This Row],[Date]]-DAY(Table6[[#This Row],[Date]])+1</f>
        <v>45778</v>
      </c>
      <c r="F497" s="285">
        <v>45792</v>
      </c>
      <c r="G497" s="79" t="s">
        <v>78</v>
      </c>
      <c r="H497" s="79" t="str">
        <f>IFERROR(_xlfn.XLOOKUP(Table6[[#This Row],[Affected Feeder ]],'Basic Data'!$A:$A,'Basic Data'!$B:$B),"")</f>
        <v>PWEPL</v>
      </c>
      <c r="I497" s="79" t="str">
        <f>IFERROR(_xlfn.XLOOKUP(Table6[[#This Row],[Affected Feeder ]],'Basic Data'!$A:$A,'Basic Data'!$C:$C),"")</f>
        <v>MSEDCL</v>
      </c>
      <c r="J497" s="295">
        <f>IFERROR(_xlfn.XLOOKUP(Table6[[#This Row],[Affected Feeder ]],'Basic Data'!$A:$A,'Basic Data'!$E:$E),"")</f>
        <v>2.2727272727272728E-2</v>
      </c>
      <c r="K497" s="296" t="s">
        <v>171</v>
      </c>
      <c r="L497" s="297">
        <v>0.6381944444444444</v>
      </c>
      <c r="M497" s="297">
        <v>0.6381944444444444</v>
      </c>
      <c r="N497" s="297">
        <v>0.6479166666666667</v>
      </c>
      <c r="O497" s="19">
        <f>(Table6[[#This Row],[Work Start TimeStamp]]-Table6[[#This Row],[Fault Start TimeStamp]])*24</f>
        <v>0</v>
      </c>
      <c r="P497" s="19">
        <f>(Table6[[#This Row],[Fault Clearance time]]-Table6[[#This Row],[Fault Start TimeStamp]])*24</f>
        <v>0.23333333333333517</v>
      </c>
      <c r="Q497" s="19">
        <f>(Table6[[#This Row],[Fault Clearance time]]-Table6[[#This Row],[Fault Start TimeStamp]])*24</f>
        <v>0.23333333333333517</v>
      </c>
      <c r="R497" s="79" t="s">
        <v>353</v>
      </c>
      <c r="S497" s="79" t="s">
        <v>339</v>
      </c>
      <c r="T497" s="298">
        <f>IFERROR(Table6[[#This Row],[Breakdown Time]]*Table6[[#This Row],[Plant Equivalent Weightage]],"")</f>
        <v>5.303030303030345E-3</v>
      </c>
      <c r="U497" s="79" t="s">
        <v>416</v>
      </c>
      <c r="W497" s="79">
        <v>5.9</v>
      </c>
    </row>
    <row r="498" spans="1:23">
      <c r="A498" s="79">
        <f t="shared" si="7"/>
        <v>497</v>
      </c>
      <c r="B498" s="79">
        <f>YEAR(Table6[[#This Row],[Date]])+IF(MONTH(Table6[[#This Row],[Date]])&gt;=4,1,0)</f>
        <v>2026</v>
      </c>
      <c r="C498" s="79">
        <f>YEAR(Table6[[#This Row],[Date]])</f>
        <v>2025</v>
      </c>
      <c r="D498" s="79" t="s">
        <v>344</v>
      </c>
      <c r="E498" s="284">
        <f>Table6[[#This Row],[Date]]-DAY(Table6[[#This Row],[Date]])+1</f>
        <v>45778</v>
      </c>
      <c r="F498" s="285">
        <v>45792</v>
      </c>
      <c r="G498" s="79" t="s">
        <v>82</v>
      </c>
      <c r="H498" s="79" t="str">
        <f>IFERROR(_xlfn.XLOOKUP(Table6[[#This Row],[Affected Feeder ]],'Basic Data'!$A:$A,'Basic Data'!$B:$B),"")</f>
        <v>PWEPL</v>
      </c>
      <c r="I498" s="79" t="str">
        <f>IFERROR(_xlfn.XLOOKUP(Table6[[#This Row],[Affected Feeder ]],'Basic Data'!$A:$A,'Basic Data'!$C:$C),"")</f>
        <v>MSEDCL</v>
      </c>
      <c r="J498" s="295">
        <f>IFERROR(_xlfn.XLOOKUP(Table6[[#This Row],[Affected Feeder ]],'Basic Data'!$A:$A,'Basic Data'!$E:$E),"")</f>
        <v>2.2727272727272728E-2</v>
      </c>
      <c r="K498" s="296" t="s">
        <v>171</v>
      </c>
      <c r="L498" s="297">
        <v>0.6381944444444444</v>
      </c>
      <c r="M498" s="297">
        <v>0.6381944444444444</v>
      </c>
      <c r="N498" s="297">
        <v>0.6479166666666667</v>
      </c>
      <c r="O498" s="19">
        <f>(Table6[[#This Row],[Work Start TimeStamp]]-Table6[[#This Row],[Fault Start TimeStamp]])*24</f>
        <v>0</v>
      </c>
      <c r="P498" s="19">
        <f>(Table6[[#This Row],[Fault Clearance time]]-Table6[[#This Row],[Fault Start TimeStamp]])*24</f>
        <v>0.23333333333333517</v>
      </c>
      <c r="Q498" s="19">
        <f>(Table6[[#This Row],[Fault Clearance time]]-Table6[[#This Row],[Fault Start TimeStamp]])*24</f>
        <v>0.23333333333333517</v>
      </c>
      <c r="R498" s="79" t="s">
        <v>353</v>
      </c>
      <c r="S498" s="79" t="s">
        <v>339</v>
      </c>
      <c r="T498" s="298">
        <f>IFERROR(Table6[[#This Row],[Breakdown Time]]*Table6[[#This Row],[Plant Equivalent Weightage]],"")</f>
        <v>5.303030303030345E-3</v>
      </c>
      <c r="U498" s="79" t="s">
        <v>416</v>
      </c>
      <c r="W498" s="79">
        <v>5.9</v>
      </c>
    </row>
    <row r="499" spans="1:23">
      <c r="A499" s="79">
        <f t="shared" si="7"/>
        <v>498</v>
      </c>
      <c r="B499" s="79">
        <f>YEAR(Table6[[#This Row],[Date]])+IF(MONTH(Table6[[#This Row],[Date]])&gt;=4,1,0)</f>
        <v>2026</v>
      </c>
      <c r="C499" s="79">
        <f>YEAR(Table6[[#This Row],[Date]])</f>
        <v>2025</v>
      </c>
      <c r="D499" s="79" t="s">
        <v>344</v>
      </c>
      <c r="E499" s="284">
        <f>Table6[[#This Row],[Date]]-DAY(Table6[[#This Row],[Date]])+1</f>
        <v>45778</v>
      </c>
      <c r="F499" s="285">
        <v>45792</v>
      </c>
      <c r="G499" s="79" t="s">
        <v>93</v>
      </c>
      <c r="H499" s="79" t="str">
        <f>IFERROR(_xlfn.XLOOKUP(Table6[[#This Row],[Affected Feeder ]],'Basic Data'!$A:$A,'Basic Data'!$B:$B),"")</f>
        <v>PWEPL</v>
      </c>
      <c r="I499" s="79" t="str">
        <f>IFERROR(_xlfn.XLOOKUP(Table6[[#This Row],[Affected Feeder ]],'Basic Data'!$A:$A,'Basic Data'!$C:$C),"")</f>
        <v>MSEDCL</v>
      </c>
      <c r="J499" s="295">
        <f>IFERROR(_xlfn.XLOOKUP(Table6[[#This Row],[Affected Feeder ]],'Basic Data'!$A:$A,'Basic Data'!$E:$E),"")</f>
        <v>2.2727272727272728E-2</v>
      </c>
      <c r="K499" s="296" t="s">
        <v>171</v>
      </c>
      <c r="L499" s="297">
        <v>0.6381944444444444</v>
      </c>
      <c r="M499" s="297">
        <v>0.6381944444444444</v>
      </c>
      <c r="N499" s="297">
        <v>0.65208333333333335</v>
      </c>
      <c r="O499" s="19">
        <f>(Table6[[#This Row],[Work Start TimeStamp]]-Table6[[#This Row],[Fault Start TimeStamp]])*24</f>
        <v>0</v>
      </c>
      <c r="P499" s="19">
        <f>(Table6[[#This Row],[Fault Clearance time]]-Table6[[#This Row],[Fault Start TimeStamp]])*24</f>
        <v>0.33333333333333481</v>
      </c>
      <c r="Q499" s="19">
        <f>(Table6[[#This Row],[Fault Clearance time]]-Table6[[#This Row],[Fault Start TimeStamp]])*24</f>
        <v>0.33333333333333481</v>
      </c>
      <c r="R499" s="79" t="s">
        <v>353</v>
      </c>
      <c r="S499" s="79" t="s">
        <v>339</v>
      </c>
      <c r="T499" s="298">
        <f>IFERROR(Table6[[#This Row],[Breakdown Time]]*Table6[[#This Row],[Plant Equivalent Weightage]],"")</f>
        <v>7.5757575757576098E-3</v>
      </c>
      <c r="U499" s="79" t="s">
        <v>416</v>
      </c>
      <c r="W499" s="79">
        <v>8</v>
      </c>
    </row>
    <row r="500" spans="1:23">
      <c r="A500" s="79">
        <f t="shared" si="7"/>
        <v>499</v>
      </c>
      <c r="B500" s="79">
        <f>YEAR(Table6[[#This Row],[Date]])+IF(MONTH(Table6[[#This Row],[Date]])&gt;=4,1,0)</f>
        <v>2026</v>
      </c>
      <c r="C500" s="79">
        <f>YEAR(Table6[[#This Row],[Date]])</f>
        <v>2025</v>
      </c>
      <c r="D500" s="79" t="s">
        <v>344</v>
      </c>
      <c r="E500" s="284">
        <f>Table6[[#This Row],[Date]]-DAY(Table6[[#This Row],[Date]])+1</f>
        <v>45778</v>
      </c>
      <c r="F500" s="285">
        <v>45792</v>
      </c>
      <c r="G500" s="79" t="s">
        <v>102</v>
      </c>
      <c r="H500" s="79" t="str">
        <f>IFERROR(_xlfn.XLOOKUP(Table6[[#This Row],[Affected Feeder ]],'Basic Data'!$A:$A,'Basic Data'!$B:$B),"")</f>
        <v>PWEPL</v>
      </c>
      <c r="I500" s="79" t="str">
        <f>IFERROR(_xlfn.XLOOKUP(Table6[[#This Row],[Affected Feeder ]],'Basic Data'!$A:$A,'Basic Data'!$C:$C),"")</f>
        <v>MSEDCL</v>
      </c>
      <c r="J500" s="295">
        <f>IFERROR(_xlfn.XLOOKUP(Table6[[#This Row],[Affected Feeder ]],'Basic Data'!$A:$A,'Basic Data'!$E:$E),"")</f>
        <v>2.2727272727272728E-2</v>
      </c>
      <c r="K500" s="296" t="s">
        <v>171</v>
      </c>
      <c r="L500" s="297">
        <v>0.6381944444444444</v>
      </c>
      <c r="M500" s="297">
        <v>0.6381944444444444</v>
      </c>
      <c r="N500" s="297">
        <v>0.64444444444444449</v>
      </c>
      <c r="O500" s="19">
        <f>(Table6[[#This Row],[Work Start TimeStamp]]-Table6[[#This Row],[Fault Start TimeStamp]])*24</f>
        <v>0</v>
      </c>
      <c r="P500" s="19">
        <f>(Table6[[#This Row],[Fault Clearance time]]-Table6[[#This Row],[Fault Start TimeStamp]])*24</f>
        <v>0.15000000000000213</v>
      </c>
      <c r="Q500" s="19">
        <f>(Table6[[#This Row],[Fault Clearance time]]-Table6[[#This Row],[Fault Start TimeStamp]])*24</f>
        <v>0.15000000000000213</v>
      </c>
      <c r="R500" s="79" t="s">
        <v>353</v>
      </c>
      <c r="S500" s="79" t="s">
        <v>339</v>
      </c>
      <c r="T500" s="298">
        <f>IFERROR(Table6[[#This Row],[Breakdown Time]]*Table6[[#This Row],[Plant Equivalent Weightage]],"")</f>
        <v>3.4090909090909575E-3</v>
      </c>
      <c r="U500" s="79" t="s">
        <v>416</v>
      </c>
      <c r="W500" s="79">
        <v>3.8</v>
      </c>
    </row>
    <row r="501" spans="1:23">
      <c r="A501" s="79">
        <f t="shared" si="7"/>
        <v>500</v>
      </c>
      <c r="B501" s="79">
        <f>YEAR(Table6[[#This Row],[Date]])+IF(MONTH(Table6[[#This Row],[Date]])&gt;=4,1,0)</f>
        <v>2026</v>
      </c>
      <c r="C501" s="79">
        <f>YEAR(Table6[[#This Row],[Date]])</f>
        <v>2025</v>
      </c>
      <c r="D501" s="79" t="s">
        <v>344</v>
      </c>
      <c r="E501" s="284">
        <f>Table6[[#This Row],[Date]]-DAY(Table6[[#This Row],[Date]])+1</f>
        <v>45778</v>
      </c>
      <c r="F501" s="285">
        <v>45792</v>
      </c>
      <c r="G501" s="79" t="s">
        <v>119</v>
      </c>
      <c r="H501" s="79" t="str">
        <f>IFERROR(_xlfn.XLOOKUP(Table6[[#This Row],[Affected Feeder ]],'Basic Data'!$A:$A,'Basic Data'!$B:$B),"")</f>
        <v>PWEPL</v>
      </c>
      <c r="I501" s="79" t="str">
        <f>IFERROR(_xlfn.XLOOKUP(Table6[[#This Row],[Affected Feeder ]],'Basic Data'!$A:$A,'Basic Data'!$C:$C),"")</f>
        <v>MSEDCL</v>
      </c>
      <c r="J501" s="295">
        <f>IFERROR(_xlfn.XLOOKUP(Table6[[#This Row],[Affected Feeder ]],'Basic Data'!$A:$A,'Basic Data'!$E:$E),"")</f>
        <v>2.2727272727272728E-2</v>
      </c>
      <c r="K501" s="296" t="s">
        <v>171</v>
      </c>
      <c r="L501" s="297">
        <v>0.6381944444444444</v>
      </c>
      <c r="M501" s="297">
        <v>0.6381944444444444</v>
      </c>
      <c r="N501" s="297">
        <v>0.64861111111111114</v>
      </c>
      <c r="O501" s="19">
        <f>(Table6[[#This Row],[Work Start TimeStamp]]-Table6[[#This Row],[Fault Start TimeStamp]])*24</f>
        <v>0</v>
      </c>
      <c r="P501" s="19">
        <f>(Table6[[#This Row],[Fault Clearance time]]-Table6[[#This Row],[Fault Start TimeStamp]])*24</f>
        <v>0.25000000000000178</v>
      </c>
      <c r="Q501" s="19">
        <f>(Table6[[#This Row],[Fault Clearance time]]-Table6[[#This Row],[Fault Start TimeStamp]])*24</f>
        <v>0.25000000000000178</v>
      </c>
      <c r="R501" s="79" t="s">
        <v>353</v>
      </c>
      <c r="S501" s="79" t="s">
        <v>339</v>
      </c>
      <c r="T501" s="298">
        <f>IFERROR(Table6[[#This Row],[Breakdown Time]]*Table6[[#This Row],[Plant Equivalent Weightage]],"")</f>
        <v>5.6818181818182227E-3</v>
      </c>
      <c r="U501" s="79" t="s">
        <v>416</v>
      </c>
      <c r="W501" s="79">
        <v>6</v>
      </c>
    </row>
    <row r="502" spans="1:23">
      <c r="A502" s="79">
        <f t="shared" si="7"/>
        <v>501</v>
      </c>
      <c r="B502" s="79">
        <f>YEAR(Table6[[#This Row],[Date]])+IF(MONTH(Table6[[#This Row],[Date]])&gt;=4,1,0)</f>
        <v>2026</v>
      </c>
      <c r="C502" s="79">
        <f>YEAR(Table6[[#This Row],[Date]])</f>
        <v>2025</v>
      </c>
      <c r="D502" s="79" t="s">
        <v>344</v>
      </c>
      <c r="E502" s="284">
        <f>Table6[[#This Row],[Date]]-DAY(Table6[[#This Row],[Date]])+1</f>
        <v>45778</v>
      </c>
      <c r="F502" s="285">
        <v>45792</v>
      </c>
      <c r="G502" s="79" t="s">
        <v>103</v>
      </c>
      <c r="H502" s="79" t="str">
        <f>IFERROR(_xlfn.XLOOKUP(Table6[[#This Row],[Affected Feeder ]],'Basic Data'!$A:$A,'Basic Data'!$B:$B),"")</f>
        <v>PWEPL</v>
      </c>
      <c r="I502" s="79" t="str">
        <f>IFERROR(_xlfn.XLOOKUP(Table6[[#This Row],[Affected Feeder ]],'Basic Data'!$A:$A,'Basic Data'!$C:$C),"")</f>
        <v>MSEDCL</v>
      </c>
      <c r="J502" s="295">
        <f>IFERROR(_xlfn.XLOOKUP(Table6[[#This Row],[Affected Feeder ]],'Basic Data'!$A:$A,'Basic Data'!$E:$E),"")</f>
        <v>2.2727272727272728E-2</v>
      </c>
      <c r="K502" s="296" t="s">
        <v>171</v>
      </c>
      <c r="L502" s="297">
        <v>0.6381944444444444</v>
      </c>
      <c r="M502" s="297">
        <v>0.6381944444444444</v>
      </c>
      <c r="N502" s="297">
        <v>0.65208333333333335</v>
      </c>
      <c r="O502" s="19">
        <f>(Table6[[#This Row],[Work Start TimeStamp]]-Table6[[#This Row],[Fault Start TimeStamp]])*24</f>
        <v>0</v>
      </c>
      <c r="P502" s="19">
        <f>(Table6[[#This Row],[Fault Clearance time]]-Table6[[#This Row],[Fault Start TimeStamp]])*24</f>
        <v>0.33333333333333481</v>
      </c>
      <c r="Q502" s="19">
        <f>(Table6[[#This Row],[Fault Clearance time]]-Table6[[#This Row],[Fault Start TimeStamp]])*24</f>
        <v>0.33333333333333481</v>
      </c>
      <c r="R502" s="79" t="s">
        <v>353</v>
      </c>
      <c r="S502" s="79" t="s">
        <v>339</v>
      </c>
      <c r="T502" s="298">
        <f>IFERROR(Table6[[#This Row],[Breakdown Time]]*Table6[[#This Row],[Plant Equivalent Weightage]],"")</f>
        <v>7.5757575757576098E-3</v>
      </c>
      <c r="U502" s="79" t="s">
        <v>416</v>
      </c>
      <c r="W502" s="79">
        <v>8</v>
      </c>
    </row>
    <row r="503" spans="1:23">
      <c r="A503" s="79">
        <f t="shared" si="7"/>
        <v>502</v>
      </c>
      <c r="B503" s="79">
        <f>YEAR(Table6[[#This Row],[Date]])+IF(MONTH(Table6[[#This Row],[Date]])&gt;=4,1,0)</f>
        <v>2026</v>
      </c>
      <c r="C503" s="79">
        <f>YEAR(Table6[[#This Row],[Date]])</f>
        <v>2025</v>
      </c>
      <c r="D503" s="79" t="s">
        <v>344</v>
      </c>
      <c r="E503" s="284">
        <f>Table6[[#This Row],[Date]]-DAY(Table6[[#This Row],[Date]])+1</f>
        <v>45778</v>
      </c>
      <c r="F503" s="285">
        <v>45792</v>
      </c>
      <c r="G503" s="79" t="s">
        <v>105</v>
      </c>
      <c r="H503" s="79" t="str">
        <f>IFERROR(_xlfn.XLOOKUP(Table6[[#This Row],[Affected Feeder ]],'Basic Data'!$A:$A,'Basic Data'!$B:$B),"")</f>
        <v>PWEPL</v>
      </c>
      <c r="I503" s="79" t="str">
        <f>IFERROR(_xlfn.XLOOKUP(Table6[[#This Row],[Affected Feeder ]],'Basic Data'!$A:$A,'Basic Data'!$C:$C),"")</f>
        <v>MSEDCL</v>
      </c>
      <c r="J503" s="295">
        <f>IFERROR(_xlfn.XLOOKUP(Table6[[#This Row],[Affected Feeder ]],'Basic Data'!$A:$A,'Basic Data'!$E:$E),"")</f>
        <v>2.2727272727272728E-2</v>
      </c>
      <c r="K503" s="296" t="s">
        <v>171</v>
      </c>
      <c r="L503" s="297">
        <v>0.6381944444444444</v>
      </c>
      <c r="M503" s="297">
        <v>0.6381944444444444</v>
      </c>
      <c r="N503" s="297">
        <v>0.65</v>
      </c>
      <c r="O503" s="19">
        <f>(Table6[[#This Row],[Work Start TimeStamp]]-Table6[[#This Row],[Fault Start TimeStamp]])*24</f>
        <v>0</v>
      </c>
      <c r="P503" s="19">
        <f>(Table6[[#This Row],[Fault Clearance time]]-Table6[[#This Row],[Fault Start TimeStamp]])*24</f>
        <v>0.28333333333333499</v>
      </c>
      <c r="Q503" s="19">
        <f>(Table6[[#This Row],[Fault Clearance time]]-Table6[[#This Row],[Fault Start TimeStamp]])*24</f>
        <v>0.28333333333333499</v>
      </c>
      <c r="R503" s="79" t="s">
        <v>353</v>
      </c>
      <c r="S503" s="79" t="s">
        <v>339</v>
      </c>
      <c r="T503" s="298">
        <f>IFERROR(Table6[[#This Row],[Breakdown Time]]*Table6[[#This Row],[Plant Equivalent Weightage]],"")</f>
        <v>6.4393939393939774E-3</v>
      </c>
      <c r="U503" s="79" t="s">
        <v>416</v>
      </c>
      <c r="W503" s="79">
        <v>7</v>
      </c>
    </row>
    <row r="504" spans="1:23">
      <c r="A504" s="79">
        <f t="shared" si="7"/>
        <v>503</v>
      </c>
      <c r="B504" s="79">
        <f>YEAR(Table6[[#This Row],[Date]])+IF(MONTH(Table6[[#This Row],[Date]])&gt;=4,1,0)</f>
        <v>2026</v>
      </c>
      <c r="C504" s="79">
        <f>YEAR(Table6[[#This Row],[Date]])</f>
        <v>2025</v>
      </c>
      <c r="D504" s="79" t="s">
        <v>344</v>
      </c>
      <c r="E504" s="284">
        <f>Table6[[#This Row],[Date]]-DAY(Table6[[#This Row],[Date]])+1</f>
        <v>45778</v>
      </c>
      <c r="F504" s="285">
        <v>45792</v>
      </c>
      <c r="G504" s="79" t="s">
        <v>115</v>
      </c>
      <c r="H504" s="79" t="str">
        <f>IFERROR(_xlfn.XLOOKUP(Table6[[#This Row],[Affected Feeder ]],'Basic Data'!$A:$A,'Basic Data'!$B:$B),"")</f>
        <v>PWEPL</v>
      </c>
      <c r="I504" s="79" t="str">
        <f>IFERROR(_xlfn.XLOOKUP(Table6[[#This Row],[Affected Feeder ]],'Basic Data'!$A:$A,'Basic Data'!$C:$C),"")</f>
        <v>MSEDCL</v>
      </c>
      <c r="J504" s="295">
        <f>IFERROR(_xlfn.XLOOKUP(Table6[[#This Row],[Affected Feeder ]],'Basic Data'!$A:$A,'Basic Data'!$E:$E),"")</f>
        <v>2.2727272727272728E-2</v>
      </c>
      <c r="K504" s="296" t="s">
        <v>171</v>
      </c>
      <c r="L504" s="297">
        <v>0.6381944444444444</v>
      </c>
      <c r="M504" s="297">
        <v>0.6381944444444444</v>
      </c>
      <c r="N504" s="297">
        <v>0.64722222222222225</v>
      </c>
      <c r="O504" s="19">
        <f>(Table6[[#This Row],[Work Start TimeStamp]]-Table6[[#This Row],[Fault Start TimeStamp]])*24</f>
        <v>0</v>
      </c>
      <c r="P504" s="19">
        <f>(Table6[[#This Row],[Fault Clearance time]]-Table6[[#This Row],[Fault Start TimeStamp]])*24</f>
        <v>0.21666666666666856</v>
      </c>
      <c r="Q504" s="19">
        <f>(Table6[[#This Row],[Fault Clearance time]]-Table6[[#This Row],[Fault Start TimeStamp]])*24</f>
        <v>0.21666666666666856</v>
      </c>
      <c r="R504" s="79" t="s">
        <v>353</v>
      </c>
      <c r="S504" s="79" t="s">
        <v>339</v>
      </c>
      <c r="T504" s="298">
        <f>IFERROR(Table6[[#This Row],[Breakdown Time]]*Table6[[#This Row],[Plant Equivalent Weightage]],"")</f>
        <v>4.9242424242424672E-3</v>
      </c>
      <c r="U504" s="79" t="s">
        <v>416</v>
      </c>
      <c r="W504" s="79">
        <v>5.4</v>
      </c>
    </row>
    <row r="505" spans="1:23">
      <c r="A505" s="79">
        <f t="shared" si="7"/>
        <v>504</v>
      </c>
      <c r="B505" s="79">
        <f>YEAR(Table6[[#This Row],[Date]])+IF(MONTH(Table6[[#This Row],[Date]])&gt;=4,1,0)</f>
        <v>2026</v>
      </c>
      <c r="C505" s="79">
        <f>YEAR(Table6[[#This Row],[Date]])</f>
        <v>2025</v>
      </c>
      <c r="D505" s="79" t="s">
        <v>344</v>
      </c>
      <c r="E505" s="284">
        <f>Table6[[#This Row],[Date]]-DAY(Table6[[#This Row],[Date]])+1</f>
        <v>45778</v>
      </c>
      <c r="F505" s="285">
        <v>45792</v>
      </c>
      <c r="G505" s="79" t="s">
        <v>116</v>
      </c>
      <c r="H505" s="79" t="str">
        <f>IFERROR(_xlfn.XLOOKUP(Table6[[#This Row],[Affected Feeder ]],'Basic Data'!$A:$A,'Basic Data'!$B:$B),"")</f>
        <v>PWEPL</v>
      </c>
      <c r="I505" s="79" t="str">
        <f>IFERROR(_xlfn.XLOOKUP(Table6[[#This Row],[Affected Feeder ]],'Basic Data'!$A:$A,'Basic Data'!$C:$C),"")</f>
        <v>MSEDCL</v>
      </c>
      <c r="J505" s="295">
        <f>IFERROR(_xlfn.XLOOKUP(Table6[[#This Row],[Affected Feeder ]],'Basic Data'!$A:$A,'Basic Data'!$E:$E),"")</f>
        <v>2.2727272727272728E-2</v>
      </c>
      <c r="K505" s="296" t="s">
        <v>171</v>
      </c>
      <c r="L505" s="297">
        <v>0.6381944444444444</v>
      </c>
      <c r="M505" s="297">
        <v>0.6381944444444444</v>
      </c>
      <c r="N505" s="297">
        <v>0.64722222222222225</v>
      </c>
      <c r="O505" s="19">
        <f>(Table6[[#This Row],[Work Start TimeStamp]]-Table6[[#This Row],[Fault Start TimeStamp]])*24</f>
        <v>0</v>
      </c>
      <c r="P505" s="19">
        <f>(Table6[[#This Row],[Fault Clearance time]]-Table6[[#This Row],[Fault Start TimeStamp]])*24</f>
        <v>0.21666666666666856</v>
      </c>
      <c r="Q505" s="19">
        <f>(Table6[[#This Row],[Fault Clearance time]]-Table6[[#This Row],[Fault Start TimeStamp]])*24</f>
        <v>0.21666666666666856</v>
      </c>
      <c r="R505" s="79" t="s">
        <v>353</v>
      </c>
      <c r="S505" s="79" t="s">
        <v>339</v>
      </c>
      <c r="T505" s="298">
        <f>IFERROR(Table6[[#This Row],[Breakdown Time]]*Table6[[#This Row],[Plant Equivalent Weightage]],"")</f>
        <v>4.9242424242424672E-3</v>
      </c>
      <c r="U505" s="79" t="s">
        <v>416</v>
      </c>
      <c r="W505" s="79">
        <v>5.4</v>
      </c>
    </row>
    <row r="506" spans="1:23">
      <c r="A506" s="79">
        <f t="shared" si="7"/>
        <v>505</v>
      </c>
      <c r="B506" s="79">
        <f>YEAR(Table6[[#This Row],[Date]])+IF(MONTH(Table6[[#This Row],[Date]])&gt;=4,1,0)</f>
        <v>2026</v>
      </c>
      <c r="C506" s="79">
        <f>YEAR(Table6[[#This Row],[Date]])</f>
        <v>2025</v>
      </c>
      <c r="D506" s="79" t="s">
        <v>344</v>
      </c>
      <c r="E506" s="284">
        <f>Table6[[#This Row],[Date]]-DAY(Table6[[#This Row],[Date]])+1</f>
        <v>45778</v>
      </c>
      <c r="F506" s="285">
        <v>45792</v>
      </c>
      <c r="G506" s="79" t="s">
        <v>117</v>
      </c>
      <c r="H506" s="79" t="str">
        <f>IFERROR(_xlfn.XLOOKUP(Table6[[#This Row],[Affected Feeder ]],'Basic Data'!$A:$A,'Basic Data'!$B:$B),"")</f>
        <v>PWEPL</v>
      </c>
      <c r="I506" s="79" t="str">
        <f>IFERROR(_xlfn.XLOOKUP(Table6[[#This Row],[Affected Feeder ]],'Basic Data'!$A:$A,'Basic Data'!$C:$C),"")</f>
        <v>MSEDCL</v>
      </c>
      <c r="J506" s="295">
        <f>IFERROR(_xlfn.XLOOKUP(Table6[[#This Row],[Affected Feeder ]],'Basic Data'!$A:$A,'Basic Data'!$E:$E),"")</f>
        <v>2.2727272727272728E-2</v>
      </c>
      <c r="K506" s="296" t="s">
        <v>171</v>
      </c>
      <c r="L506" s="297">
        <v>0.6381944444444444</v>
      </c>
      <c r="M506" s="297">
        <v>0.6381944444444444</v>
      </c>
      <c r="N506" s="297">
        <v>0.65208333333333335</v>
      </c>
      <c r="O506" s="19">
        <f>(Table6[[#This Row],[Work Start TimeStamp]]-Table6[[#This Row],[Fault Start TimeStamp]])*24</f>
        <v>0</v>
      </c>
      <c r="P506" s="19">
        <f>(Table6[[#This Row],[Fault Clearance time]]-Table6[[#This Row],[Fault Start TimeStamp]])*24</f>
        <v>0.33333333333333481</v>
      </c>
      <c r="Q506" s="19">
        <f>(Table6[[#This Row],[Fault Clearance time]]-Table6[[#This Row],[Fault Start TimeStamp]])*24</f>
        <v>0.33333333333333481</v>
      </c>
      <c r="R506" s="79" t="s">
        <v>353</v>
      </c>
      <c r="S506" s="79" t="s">
        <v>339</v>
      </c>
      <c r="T506" s="298">
        <f>IFERROR(Table6[[#This Row],[Breakdown Time]]*Table6[[#This Row],[Plant Equivalent Weightage]],"")</f>
        <v>7.5757575757576098E-3</v>
      </c>
      <c r="U506" s="79" t="s">
        <v>416</v>
      </c>
      <c r="W506" s="79">
        <v>8</v>
      </c>
    </row>
    <row r="507" spans="1:23">
      <c r="A507" s="79">
        <f t="shared" si="7"/>
        <v>506</v>
      </c>
      <c r="B507" s="79">
        <f>YEAR(Table6[[#This Row],[Date]])+IF(MONTH(Table6[[#This Row],[Date]])&gt;=4,1,0)</f>
        <v>2026</v>
      </c>
      <c r="C507" s="79">
        <f>YEAR(Table6[[#This Row],[Date]])</f>
        <v>2025</v>
      </c>
      <c r="D507" s="79" t="s">
        <v>344</v>
      </c>
      <c r="E507" s="284">
        <f>Table6[[#This Row],[Date]]-DAY(Table6[[#This Row],[Date]])+1</f>
        <v>45778</v>
      </c>
      <c r="F507" s="285">
        <v>45792</v>
      </c>
      <c r="G507" s="79" t="s">
        <v>118</v>
      </c>
      <c r="H507" s="79" t="str">
        <f>IFERROR(_xlfn.XLOOKUP(Table6[[#This Row],[Affected Feeder ]],'Basic Data'!$A:$A,'Basic Data'!$B:$B),"")</f>
        <v>PWEPL</v>
      </c>
      <c r="I507" s="79" t="str">
        <f>IFERROR(_xlfn.XLOOKUP(Table6[[#This Row],[Affected Feeder ]],'Basic Data'!$A:$A,'Basic Data'!$C:$C),"")</f>
        <v>MSEDCL</v>
      </c>
      <c r="J507" s="295">
        <f>IFERROR(_xlfn.XLOOKUP(Table6[[#This Row],[Affected Feeder ]],'Basic Data'!$A:$A,'Basic Data'!$E:$E),"")</f>
        <v>2.2727272727272728E-2</v>
      </c>
      <c r="K507" s="296" t="s">
        <v>171</v>
      </c>
      <c r="L507" s="297">
        <v>0.6381944444444444</v>
      </c>
      <c r="M507" s="297">
        <v>0.6381944444444444</v>
      </c>
      <c r="N507" s="297">
        <v>0.63888888888888895</v>
      </c>
      <c r="O507" s="19">
        <f>(Table6[[#This Row],[Work Start TimeStamp]]-Table6[[#This Row],[Fault Start TimeStamp]])*24</f>
        <v>0</v>
      </c>
      <c r="P507" s="19">
        <f>(Table6[[#This Row],[Fault Clearance time]]-Table6[[#This Row],[Fault Start TimeStamp]])*24</f>
        <v>1.6666666666669272E-2</v>
      </c>
      <c r="Q507" s="19">
        <f>(Table6[[#This Row],[Fault Clearance time]]-Table6[[#This Row],[Fault Start TimeStamp]])*24</f>
        <v>1.6666666666669272E-2</v>
      </c>
      <c r="R507" s="79" t="s">
        <v>353</v>
      </c>
      <c r="S507" s="79" t="s">
        <v>339</v>
      </c>
      <c r="T507" s="298">
        <f>IFERROR(Table6[[#This Row],[Breakdown Time]]*Table6[[#This Row],[Plant Equivalent Weightage]],"")</f>
        <v>3.7878787878793798E-4</v>
      </c>
      <c r="U507" s="79" t="s">
        <v>416</v>
      </c>
      <c r="W507" s="79">
        <v>0.4</v>
      </c>
    </row>
    <row r="508" spans="1:23">
      <c r="A508" s="79">
        <f t="shared" si="7"/>
        <v>507</v>
      </c>
      <c r="B508" s="79">
        <f>YEAR(Table6[[#This Row],[Date]])+IF(MONTH(Table6[[#This Row],[Date]])&gt;=4,1,0)</f>
        <v>2026</v>
      </c>
      <c r="C508" s="79">
        <f>YEAR(Table6[[#This Row],[Date]])</f>
        <v>2025</v>
      </c>
      <c r="D508" s="79" t="s">
        <v>344</v>
      </c>
      <c r="E508" s="284">
        <f>Table6[[#This Row],[Date]]-DAY(Table6[[#This Row],[Date]])+1</f>
        <v>45778</v>
      </c>
      <c r="F508" s="285">
        <v>45793</v>
      </c>
      <c r="G508" s="79" t="s">
        <v>399</v>
      </c>
      <c r="H508" s="79" t="str">
        <f>IFERROR(_xlfn.XLOOKUP(Table6[[#This Row],[Affected Feeder ]],'Basic Data'!$A:$A,'Basic Data'!$B:$B),"")</f>
        <v>PWEPL</v>
      </c>
      <c r="I508" s="79" t="str">
        <f>IFERROR(_xlfn.XLOOKUP(Table6[[#This Row],[Affected Feeder ]],'Basic Data'!$A:$A,'Basic Data'!$C:$C),"")</f>
        <v>MSEDCL</v>
      </c>
      <c r="J508" s="295">
        <f>IFERROR(_xlfn.XLOOKUP(Table6[[#This Row],[Affected Feeder ]],'Basic Data'!$A:$A,'Basic Data'!$E:$E),"")</f>
        <v>0.22727272727272727</v>
      </c>
      <c r="K508" s="296" t="s">
        <v>815</v>
      </c>
      <c r="L508" s="297">
        <v>0.41319444444444442</v>
      </c>
      <c r="M508" s="297">
        <v>0.41319444444444442</v>
      </c>
      <c r="N508" s="297">
        <v>0.65208333333333335</v>
      </c>
      <c r="O508" s="19">
        <f>(Table6[[#This Row],[Work Start TimeStamp]]-Table6[[#This Row],[Fault Start TimeStamp]])*24</f>
        <v>0</v>
      </c>
      <c r="P508" s="19">
        <f>(Table6[[#This Row],[Fault Clearance time]]-Table6[[#This Row],[Fault Start TimeStamp]])*24</f>
        <v>5.7333333333333343</v>
      </c>
      <c r="Q508" s="19">
        <f>(Table6[[#This Row],[Fault Clearance time]]-Table6[[#This Row],[Fault Start TimeStamp]])*24</f>
        <v>5.7333333333333343</v>
      </c>
      <c r="R508" s="79" t="s">
        <v>816</v>
      </c>
      <c r="S508" s="79" t="s">
        <v>339</v>
      </c>
      <c r="T508" s="298">
        <f>IFERROR(Table6[[#This Row],[Breakdown Time]]*Table6[[#This Row],[Plant Equivalent Weightage]],"")</f>
        <v>1.3030303030303032</v>
      </c>
      <c r="U508" s="79" t="s">
        <v>416</v>
      </c>
      <c r="W508" s="79">
        <v>102</v>
      </c>
    </row>
    <row r="509" spans="1:23">
      <c r="A509" s="79">
        <f t="shared" si="7"/>
        <v>508</v>
      </c>
      <c r="B509" s="79">
        <f>YEAR(Table6[[#This Row],[Date]])+IF(MONTH(Table6[[#This Row],[Date]])&gt;=4,1,0)</f>
        <v>2026</v>
      </c>
      <c r="C509" s="79">
        <f>YEAR(Table6[[#This Row],[Date]])</f>
        <v>2025</v>
      </c>
      <c r="D509" s="79" t="s">
        <v>344</v>
      </c>
      <c r="E509" s="284">
        <f>Table6[[#This Row],[Date]]-DAY(Table6[[#This Row],[Date]])+1</f>
        <v>45778</v>
      </c>
      <c r="F509" s="285">
        <v>45793</v>
      </c>
      <c r="G509" s="79" t="s">
        <v>84</v>
      </c>
      <c r="H509" s="79" t="str">
        <f>IFERROR(_xlfn.XLOOKUP(Table6[[#This Row],[Affected Feeder ]],'Basic Data'!$A:$A,'Basic Data'!$B:$B),"")</f>
        <v>PWEPL</v>
      </c>
      <c r="I509" s="79" t="str">
        <f>IFERROR(_xlfn.XLOOKUP(Table6[[#This Row],[Affected Feeder ]],'Basic Data'!$A:$A,'Basic Data'!$C:$C),"")</f>
        <v>MSEDCL</v>
      </c>
      <c r="J509" s="295">
        <f>IFERROR(_xlfn.XLOOKUP(Table6[[#This Row],[Affected Feeder ]],'Basic Data'!$A:$A,'Basic Data'!$E:$E),"")</f>
        <v>2.2727272727272728E-2</v>
      </c>
      <c r="K509" s="296" t="s">
        <v>171</v>
      </c>
      <c r="L509" s="297">
        <v>0.65208333333333335</v>
      </c>
      <c r="M509" s="297">
        <v>0.65208333333333335</v>
      </c>
      <c r="N509" s="297">
        <v>0.65763888888888888</v>
      </c>
      <c r="O509" s="19">
        <f>(Table6[[#This Row],[Work Start TimeStamp]]-Table6[[#This Row],[Fault Start TimeStamp]])*24</f>
        <v>0</v>
      </c>
      <c r="P509" s="19">
        <f>(Table6[[#This Row],[Fault Clearance time]]-Table6[[#This Row],[Fault Start TimeStamp]])*24</f>
        <v>0.13333333333333286</v>
      </c>
      <c r="Q509" s="19">
        <f>(Table6[[#This Row],[Fault Clearance time]]-Table6[[#This Row],[Fault Start TimeStamp]])*24</f>
        <v>0.13333333333333286</v>
      </c>
      <c r="R509" s="79" t="s">
        <v>353</v>
      </c>
      <c r="S509" s="79" t="s">
        <v>339</v>
      </c>
      <c r="T509" s="298">
        <f>IFERROR(Table6[[#This Row],[Breakdown Time]]*Table6[[#This Row],[Plant Equivalent Weightage]],"")</f>
        <v>3.0303030303030195E-3</v>
      </c>
      <c r="U509" s="79" t="s">
        <v>416</v>
      </c>
      <c r="W509" s="79">
        <v>0.2</v>
      </c>
    </row>
    <row r="510" spans="1:23">
      <c r="A510" s="79">
        <f t="shared" si="7"/>
        <v>509</v>
      </c>
      <c r="B510" s="79">
        <f>YEAR(Table6[[#This Row],[Date]])+IF(MONTH(Table6[[#This Row],[Date]])&gt;=4,1,0)</f>
        <v>2026</v>
      </c>
      <c r="C510" s="79">
        <f>YEAR(Table6[[#This Row],[Date]])</f>
        <v>2025</v>
      </c>
      <c r="D510" s="79" t="s">
        <v>344</v>
      </c>
      <c r="E510" s="284">
        <f>Table6[[#This Row],[Date]]-DAY(Table6[[#This Row],[Date]])+1</f>
        <v>45778</v>
      </c>
      <c r="F510" s="285">
        <v>45793</v>
      </c>
      <c r="G510" s="79" t="s">
        <v>85</v>
      </c>
      <c r="H510" s="79" t="str">
        <f>IFERROR(_xlfn.XLOOKUP(Table6[[#This Row],[Affected Feeder ]],'Basic Data'!$A:$A,'Basic Data'!$B:$B),"")</f>
        <v>PWEPL</v>
      </c>
      <c r="I510" s="79" t="str">
        <f>IFERROR(_xlfn.XLOOKUP(Table6[[#This Row],[Affected Feeder ]],'Basic Data'!$A:$A,'Basic Data'!$C:$C),"")</f>
        <v>MSEDCL</v>
      </c>
      <c r="J510" s="295">
        <f>IFERROR(_xlfn.XLOOKUP(Table6[[#This Row],[Affected Feeder ]],'Basic Data'!$A:$A,'Basic Data'!$E:$E),"")</f>
        <v>2.2727272727272728E-2</v>
      </c>
      <c r="K510" s="296" t="s">
        <v>171</v>
      </c>
      <c r="L510" s="297">
        <v>0.65208333333333335</v>
      </c>
      <c r="M510" s="297">
        <v>0.65208333333333335</v>
      </c>
      <c r="N510" s="297">
        <v>0.65555555555555556</v>
      </c>
      <c r="O510" s="19">
        <f>(Table6[[#This Row],[Work Start TimeStamp]]-Table6[[#This Row],[Fault Start TimeStamp]])*24</f>
        <v>0</v>
      </c>
      <c r="P510" s="19">
        <f>(Table6[[#This Row],[Fault Clearance time]]-Table6[[#This Row],[Fault Start TimeStamp]])*24</f>
        <v>8.3333333333333037E-2</v>
      </c>
      <c r="Q510" s="19">
        <f>(Table6[[#This Row],[Fault Clearance time]]-Table6[[#This Row],[Fault Start TimeStamp]])*24</f>
        <v>8.3333333333333037E-2</v>
      </c>
      <c r="R510" s="79" t="s">
        <v>353</v>
      </c>
      <c r="S510" s="79" t="s">
        <v>339</v>
      </c>
      <c r="T510" s="298">
        <f>IFERROR(Table6[[#This Row],[Breakdown Time]]*Table6[[#This Row],[Plant Equivalent Weightage]],"")</f>
        <v>1.8939393939393873E-3</v>
      </c>
      <c r="U510" s="79" t="s">
        <v>416</v>
      </c>
      <c r="W510" s="79">
        <v>0.1</v>
      </c>
    </row>
    <row r="511" spans="1:23">
      <c r="A511" s="79">
        <f t="shared" si="7"/>
        <v>510</v>
      </c>
      <c r="B511" s="79">
        <f>YEAR(Table6[[#This Row],[Date]])+IF(MONTH(Table6[[#This Row],[Date]])&gt;=4,1,0)</f>
        <v>2026</v>
      </c>
      <c r="C511" s="79">
        <f>YEAR(Table6[[#This Row],[Date]])</f>
        <v>2025</v>
      </c>
      <c r="D511" s="79" t="s">
        <v>344</v>
      </c>
      <c r="E511" s="284">
        <f>Table6[[#This Row],[Date]]-DAY(Table6[[#This Row],[Date]])+1</f>
        <v>45778</v>
      </c>
      <c r="F511" s="285">
        <v>45793</v>
      </c>
      <c r="G511" s="79" t="s">
        <v>86</v>
      </c>
      <c r="H511" s="79" t="str">
        <f>IFERROR(_xlfn.XLOOKUP(Table6[[#This Row],[Affected Feeder ]],'Basic Data'!$A:$A,'Basic Data'!$B:$B),"")</f>
        <v>PWEPL</v>
      </c>
      <c r="I511" s="79" t="str">
        <f>IFERROR(_xlfn.XLOOKUP(Table6[[#This Row],[Affected Feeder ]],'Basic Data'!$A:$A,'Basic Data'!$C:$C),"")</f>
        <v>MSEDCL</v>
      </c>
      <c r="J511" s="295">
        <f>IFERROR(_xlfn.XLOOKUP(Table6[[#This Row],[Affected Feeder ]],'Basic Data'!$A:$A,'Basic Data'!$E:$E),"")</f>
        <v>2.2727272727272728E-2</v>
      </c>
      <c r="K511" s="296" t="s">
        <v>171</v>
      </c>
      <c r="L511" s="297">
        <v>0.65208333333333335</v>
      </c>
      <c r="M511" s="297">
        <v>0.65208333333333335</v>
      </c>
      <c r="N511" s="297">
        <v>0.65763888888888888</v>
      </c>
      <c r="O511" s="19">
        <f>(Table6[[#This Row],[Work Start TimeStamp]]-Table6[[#This Row],[Fault Start TimeStamp]])*24</f>
        <v>0</v>
      </c>
      <c r="P511" s="19">
        <f>(Table6[[#This Row],[Fault Clearance time]]-Table6[[#This Row],[Fault Start TimeStamp]])*24</f>
        <v>0.13333333333333286</v>
      </c>
      <c r="Q511" s="19">
        <f>(Table6[[#This Row],[Fault Clearance time]]-Table6[[#This Row],[Fault Start TimeStamp]])*24</f>
        <v>0.13333333333333286</v>
      </c>
      <c r="R511" s="79" t="s">
        <v>353</v>
      </c>
      <c r="S511" s="79" t="s">
        <v>339</v>
      </c>
      <c r="T511" s="298">
        <f>IFERROR(Table6[[#This Row],[Breakdown Time]]*Table6[[#This Row],[Plant Equivalent Weightage]],"")</f>
        <v>3.0303030303030195E-3</v>
      </c>
      <c r="U511" s="79" t="s">
        <v>416</v>
      </c>
      <c r="W511" s="79">
        <v>0.2</v>
      </c>
    </row>
    <row r="512" spans="1:23">
      <c r="A512" s="79">
        <f t="shared" si="7"/>
        <v>511</v>
      </c>
      <c r="B512" s="79">
        <f>YEAR(Table6[[#This Row],[Date]])+IF(MONTH(Table6[[#This Row],[Date]])&gt;=4,1,0)</f>
        <v>2026</v>
      </c>
      <c r="C512" s="79">
        <f>YEAR(Table6[[#This Row],[Date]])</f>
        <v>2025</v>
      </c>
      <c r="D512" s="79" t="s">
        <v>344</v>
      </c>
      <c r="E512" s="284">
        <f>Table6[[#This Row],[Date]]-DAY(Table6[[#This Row],[Date]])+1</f>
        <v>45778</v>
      </c>
      <c r="F512" s="285">
        <v>45793</v>
      </c>
      <c r="G512" s="79" t="s">
        <v>87</v>
      </c>
      <c r="H512" s="79" t="str">
        <f>IFERROR(_xlfn.XLOOKUP(Table6[[#This Row],[Affected Feeder ]],'Basic Data'!$A:$A,'Basic Data'!$B:$B),"")</f>
        <v>PWEPL</v>
      </c>
      <c r="I512" s="79" t="str">
        <f>IFERROR(_xlfn.XLOOKUP(Table6[[#This Row],[Affected Feeder ]],'Basic Data'!$A:$A,'Basic Data'!$C:$C),"")</f>
        <v>MSEDCL</v>
      </c>
      <c r="J512" s="295">
        <f>IFERROR(_xlfn.XLOOKUP(Table6[[#This Row],[Affected Feeder ]],'Basic Data'!$A:$A,'Basic Data'!$E:$E),"")</f>
        <v>2.2727272727272728E-2</v>
      </c>
      <c r="K512" s="296" t="s">
        <v>171</v>
      </c>
      <c r="L512" s="297">
        <v>0.65208333333333335</v>
      </c>
      <c r="M512" s="297">
        <v>0.65208333333333335</v>
      </c>
      <c r="N512" s="297">
        <v>0.65694444444444444</v>
      </c>
      <c r="O512" s="19">
        <f>(Table6[[#This Row],[Work Start TimeStamp]]-Table6[[#This Row],[Fault Start TimeStamp]])*24</f>
        <v>0</v>
      </c>
      <c r="P512" s="19">
        <f>(Table6[[#This Row],[Fault Clearance time]]-Table6[[#This Row],[Fault Start TimeStamp]])*24</f>
        <v>0.11666666666666625</v>
      </c>
      <c r="Q512" s="19">
        <f>(Table6[[#This Row],[Fault Clearance time]]-Table6[[#This Row],[Fault Start TimeStamp]])*24</f>
        <v>0.11666666666666625</v>
      </c>
      <c r="R512" s="79" t="s">
        <v>353</v>
      </c>
      <c r="S512" s="79" t="s">
        <v>339</v>
      </c>
      <c r="T512" s="298">
        <f>IFERROR(Table6[[#This Row],[Breakdown Time]]*Table6[[#This Row],[Plant Equivalent Weightage]],"")</f>
        <v>2.6515151515151421E-3</v>
      </c>
      <c r="U512" s="79" t="s">
        <v>416</v>
      </c>
      <c r="W512" s="79">
        <v>0.2</v>
      </c>
    </row>
    <row r="513" spans="1:23">
      <c r="A513" s="79">
        <f t="shared" si="7"/>
        <v>512</v>
      </c>
      <c r="B513" s="79">
        <f>YEAR(Table6[[#This Row],[Date]])+IF(MONTH(Table6[[#This Row],[Date]])&gt;=4,1,0)</f>
        <v>2026</v>
      </c>
      <c r="C513" s="79">
        <f>YEAR(Table6[[#This Row],[Date]])</f>
        <v>2025</v>
      </c>
      <c r="D513" s="79" t="s">
        <v>344</v>
      </c>
      <c r="E513" s="284">
        <f>Table6[[#This Row],[Date]]-DAY(Table6[[#This Row],[Date]])+1</f>
        <v>45778</v>
      </c>
      <c r="F513" s="285">
        <v>45793</v>
      </c>
      <c r="G513" s="79" t="s">
        <v>88</v>
      </c>
      <c r="H513" s="79" t="str">
        <f>IFERROR(_xlfn.XLOOKUP(Table6[[#This Row],[Affected Feeder ]],'Basic Data'!$A:$A,'Basic Data'!$B:$B),"")</f>
        <v>PWEPL</v>
      </c>
      <c r="I513" s="79" t="str">
        <f>IFERROR(_xlfn.XLOOKUP(Table6[[#This Row],[Affected Feeder ]],'Basic Data'!$A:$A,'Basic Data'!$C:$C),"")</f>
        <v>MSEDCL</v>
      </c>
      <c r="J513" s="295">
        <f>IFERROR(_xlfn.XLOOKUP(Table6[[#This Row],[Affected Feeder ]],'Basic Data'!$A:$A,'Basic Data'!$E:$E),"")</f>
        <v>2.2727272727272728E-2</v>
      </c>
      <c r="K513" s="296" t="s">
        <v>171</v>
      </c>
      <c r="L513" s="297">
        <v>0.65208333333333335</v>
      </c>
      <c r="M513" s="297">
        <v>0.65208333333333335</v>
      </c>
      <c r="N513" s="297">
        <v>0.65902777777777777</v>
      </c>
      <c r="O513" s="19">
        <f>(Table6[[#This Row],[Work Start TimeStamp]]-Table6[[#This Row],[Fault Start TimeStamp]])*24</f>
        <v>0</v>
      </c>
      <c r="P513" s="19">
        <f>(Table6[[#This Row],[Fault Clearance time]]-Table6[[#This Row],[Fault Start TimeStamp]])*24</f>
        <v>0.16666666666666607</v>
      </c>
      <c r="Q513" s="19">
        <f>(Table6[[#This Row],[Fault Clearance time]]-Table6[[#This Row],[Fault Start TimeStamp]])*24</f>
        <v>0.16666666666666607</v>
      </c>
      <c r="R513" s="79" t="s">
        <v>353</v>
      </c>
      <c r="S513" s="79" t="s">
        <v>339</v>
      </c>
      <c r="T513" s="298">
        <f>IFERROR(Table6[[#This Row],[Breakdown Time]]*Table6[[#This Row],[Plant Equivalent Weightage]],"")</f>
        <v>3.7878787878787745E-3</v>
      </c>
      <c r="U513" s="79" t="s">
        <v>416</v>
      </c>
      <c r="W513" s="79">
        <v>0.3</v>
      </c>
    </row>
    <row r="514" spans="1:23">
      <c r="A514" s="79">
        <f t="shared" si="7"/>
        <v>513</v>
      </c>
      <c r="B514" s="79">
        <f>YEAR(Table6[[#This Row],[Date]])+IF(MONTH(Table6[[#This Row],[Date]])&gt;=4,1,0)</f>
        <v>2026</v>
      </c>
      <c r="C514" s="79">
        <f>YEAR(Table6[[#This Row],[Date]])</f>
        <v>2025</v>
      </c>
      <c r="D514" s="79" t="s">
        <v>344</v>
      </c>
      <c r="E514" s="284">
        <f>Table6[[#This Row],[Date]]-DAY(Table6[[#This Row],[Date]])+1</f>
        <v>45778</v>
      </c>
      <c r="F514" s="285">
        <v>45793</v>
      </c>
      <c r="G514" s="79" t="s">
        <v>83</v>
      </c>
      <c r="H514" s="79" t="str">
        <f>IFERROR(_xlfn.XLOOKUP(Table6[[#This Row],[Affected Feeder ]],'Basic Data'!$A:$A,'Basic Data'!$B:$B),"")</f>
        <v>PWEPL</v>
      </c>
      <c r="I514" s="79" t="str">
        <f>IFERROR(_xlfn.XLOOKUP(Table6[[#This Row],[Affected Feeder ]],'Basic Data'!$A:$A,'Basic Data'!$C:$C),"")</f>
        <v>MSEDCL</v>
      </c>
      <c r="J514" s="295">
        <f>IFERROR(_xlfn.XLOOKUP(Table6[[#This Row],[Affected Feeder ]],'Basic Data'!$A:$A,'Basic Data'!$E:$E),"")</f>
        <v>2.2727272727272728E-2</v>
      </c>
      <c r="K514" s="296" t="s">
        <v>171</v>
      </c>
      <c r="L514" s="297">
        <v>0.65208333333333335</v>
      </c>
      <c r="M514" s="297">
        <v>0.65208333333333335</v>
      </c>
      <c r="N514" s="297">
        <v>0.65694444444444444</v>
      </c>
      <c r="O514" s="19">
        <f>(Table6[[#This Row],[Work Start TimeStamp]]-Table6[[#This Row],[Fault Start TimeStamp]])*24</f>
        <v>0</v>
      </c>
      <c r="P514" s="19">
        <f>(Table6[[#This Row],[Fault Clearance time]]-Table6[[#This Row],[Fault Start TimeStamp]])*24</f>
        <v>0.11666666666666625</v>
      </c>
      <c r="Q514" s="19">
        <f>(Table6[[#This Row],[Fault Clearance time]]-Table6[[#This Row],[Fault Start TimeStamp]])*24</f>
        <v>0.11666666666666625</v>
      </c>
      <c r="R514" s="79" t="s">
        <v>353</v>
      </c>
      <c r="S514" s="79" t="s">
        <v>339</v>
      </c>
      <c r="T514" s="298">
        <f>IFERROR(Table6[[#This Row],[Breakdown Time]]*Table6[[#This Row],[Plant Equivalent Weightage]],"")</f>
        <v>2.6515151515151421E-3</v>
      </c>
      <c r="U514" s="79" t="s">
        <v>416</v>
      </c>
      <c r="W514" s="79">
        <v>0.2</v>
      </c>
    </row>
    <row r="515" spans="1:23">
      <c r="A515" s="79">
        <f t="shared" si="7"/>
        <v>514</v>
      </c>
      <c r="B515" s="79">
        <f>YEAR(Table6[[#This Row],[Date]])+IF(MONTH(Table6[[#This Row],[Date]])&gt;=4,1,0)</f>
        <v>2026</v>
      </c>
      <c r="C515" s="79">
        <f>YEAR(Table6[[#This Row],[Date]])</f>
        <v>2025</v>
      </c>
      <c r="D515" s="79" t="s">
        <v>344</v>
      </c>
      <c r="E515" s="284">
        <f>Table6[[#This Row],[Date]]-DAY(Table6[[#This Row],[Date]])+1</f>
        <v>45778</v>
      </c>
      <c r="F515" s="285">
        <v>45793</v>
      </c>
      <c r="G515" s="79" t="s">
        <v>98</v>
      </c>
      <c r="H515" s="79" t="str">
        <f>IFERROR(_xlfn.XLOOKUP(Table6[[#This Row],[Affected Feeder ]],'Basic Data'!$A:$A,'Basic Data'!$B:$B),"")</f>
        <v>PWEPL</v>
      </c>
      <c r="I515" s="79" t="str">
        <f>IFERROR(_xlfn.XLOOKUP(Table6[[#This Row],[Affected Feeder ]],'Basic Data'!$A:$A,'Basic Data'!$C:$C),"")</f>
        <v>MSEDCL</v>
      </c>
      <c r="J515" s="295">
        <f>IFERROR(_xlfn.XLOOKUP(Table6[[#This Row],[Affected Feeder ]],'Basic Data'!$A:$A,'Basic Data'!$E:$E),"")</f>
        <v>2.2727272727272728E-2</v>
      </c>
      <c r="K515" s="296" t="s">
        <v>171</v>
      </c>
      <c r="L515" s="297">
        <v>0.65208333333333335</v>
      </c>
      <c r="M515" s="297">
        <v>0.65208333333333335</v>
      </c>
      <c r="N515" s="297">
        <v>0.66597222222222219</v>
      </c>
      <c r="O515" s="19">
        <f>(Table6[[#This Row],[Work Start TimeStamp]]-Table6[[#This Row],[Fault Start TimeStamp]])*24</f>
        <v>0</v>
      </c>
      <c r="P515" s="19">
        <f>(Table6[[#This Row],[Fault Clearance time]]-Table6[[#This Row],[Fault Start TimeStamp]])*24</f>
        <v>0.33333333333333215</v>
      </c>
      <c r="Q515" s="19">
        <f>(Table6[[#This Row],[Fault Clearance time]]-Table6[[#This Row],[Fault Start TimeStamp]])*24</f>
        <v>0.33333333333333215</v>
      </c>
      <c r="R515" s="79" t="s">
        <v>353</v>
      </c>
      <c r="S515" s="79" t="s">
        <v>339</v>
      </c>
      <c r="T515" s="298">
        <f>IFERROR(Table6[[#This Row],[Breakdown Time]]*Table6[[#This Row],[Plant Equivalent Weightage]],"")</f>
        <v>7.5757575757575491E-3</v>
      </c>
      <c r="U515" s="79" t="s">
        <v>416</v>
      </c>
      <c r="W515" s="79">
        <v>0.6</v>
      </c>
    </row>
    <row r="516" spans="1:23">
      <c r="A516" s="79">
        <f t="shared" ref="A516:A579" si="8">A515+1</f>
        <v>515</v>
      </c>
      <c r="B516" s="79">
        <f>YEAR(Table6[[#This Row],[Date]])+IF(MONTH(Table6[[#This Row],[Date]])&gt;=4,1,0)</f>
        <v>2026</v>
      </c>
      <c r="C516" s="79">
        <f>YEAR(Table6[[#This Row],[Date]])</f>
        <v>2025</v>
      </c>
      <c r="D516" s="79" t="s">
        <v>344</v>
      </c>
      <c r="E516" s="284">
        <f>Table6[[#This Row],[Date]]-DAY(Table6[[#This Row],[Date]])+1</f>
        <v>45778</v>
      </c>
      <c r="F516" s="285">
        <v>45793</v>
      </c>
      <c r="G516" s="79" t="s">
        <v>99</v>
      </c>
      <c r="H516" s="79" t="str">
        <f>IFERROR(_xlfn.XLOOKUP(Table6[[#This Row],[Affected Feeder ]],'Basic Data'!$A:$A,'Basic Data'!$B:$B),"")</f>
        <v>PWEPL</v>
      </c>
      <c r="I516" s="79" t="str">
        <f>IFERROR(_xlfn.XLOOKUP(Table6[[#This Row],[Affected Feeder ]],'Basic Data'!$A:$A,'Basic Data'!$C:$C),"")</f>
        <v>MSEDCL</v>
      </c>
      <c r="J516" s="295">
        <f>IFERROR(_xlfn.XLOOKUP(Table6[[#This Row],[Affected Feeder ]],'Basic Data'!$A:$A,'Basic Data'!$E:$E),"")</f>
        <v>2.2727272727272728E-2</v>
      </c>
      <c r="K516" s="296" t="s">
        <v>171</v>
      </c>
      <c r="L516" s="297">
        <v>0.65208333333333335</v>
      </c>
      <c r="M516" s="297">
        <v>0.65208333333333335</v>
      </c>
      <c r="N516" s="297">
        <v>0.66597222222222219</v>
      </c>
      <c r="O516" s="19">
        <f>(Table6[[#This Row],[Work Start TimeStamp]]-Table6[[#This Row],[Fault Start TimeStamp]])*24</f>
        <v>0</v>
      </c>
      <c r="P516" s="19">
        <f>(Table6[[#This Row],[Fault Clearance time]]-Table6[[#This Row],[Fault Start TimeStamp]])*24</f>
        <v>0.33333333333333215</v>
      </c>
      <c r="Q516" s="19">
        <f>(Table6[[#This Row],[Fault Clearance time]]-Table6[[#This Row],[Fault Start TimeStamp]])*24</f>
        <v>0.33333333333333215</v>
      </c>
      <c r="R516" s="79" t="s">
        <v>353</v>
      </c>
      <c r="S516" s="79" t="s">
        <v>339</v>
      </c>
      <c r="T516" s="298">
        <f>IFERROR(Table6[[#This Row],[Breakdown Time]]*Table6[[#This Row],[Plant Equivalent Weightage]],"")</f>
        <v>7.5757575757575491E-3</v>
      </c>
      <c r="U516" s="79" t="s">
        <v>416</v>
      </c>
      <c r="W516" s="79">
        <v>0.6</v>
      </c>
    </row>
    <row r="517" spans="1:23">
      <c r="A517" s="79">
        <f t="shared" si="8"/>
        <v>516</v>
      </c>
      <c r="B517" s="79">
        <f>YEAR(Table6[[#This Row],[Date]])+IF(MONTH(Table6[[#This Row],[Date]])&gt;=4,1,0)</f>
        <v>2026</v>
      </c>
      <c r="C517" s="79">
        <f>YEAR(Table6[[#This Row],[Date]])</f>
        <v>2025</v>
      </c>
      <c r="D517" s="79" t="s">
        <v>344</v>
      </c>
      <c r="E517" s="284">
        <f>Table6[[#This Row],[Date]]-DAY(Table6[[#This Row],[Date]])+1</f>
        <v>45778</v>
      </c>
      <c r="F517" s="285">
        <v>45793</v>
      </c>
      <c r="G517" s="79" t="s">
        <v>100</v>
      </c>
      <c r="H517" s="79" t="str">
        <f>IFERROR(_xlfn.XLOOKUP(Table6[[#This Row],[Affected Feeder ]],'Basic Data'!$A:$A,'Basic Data'!$B:$B),"")</f>
        <v>PWEPL</v>
      </c>
      <c r="I517" s="79" t="str">
        <f>IFERROR(_xlfn.XLOOKUP(Table6[[#This Row],[Affected Feeder ]],'Basic Data'!$A:$A,'Basic Data'!$C:$C),"")</f>
        <v>MSEDCL</v>
      </c>
      <c r="J517" s="295">
        <f>IFERROR(_xlfn.XLOOKUP(Table6[[#This Row],[Affected Feeder ]],'Basic Data'!$A:$A,'Basic Data'!$E:$E),"")</f>
        <v>2.2727272727272728E-2</v>
      </c>
      <c r="K517" s="296" t="s">
        <v>171</v>
      </c>
      <c r="L517" s="297">
        <v>0.65208333333333335</v>
      </c>
      <c r="M517" s="297">
        <v>0.65208333333333335</v>
      </c>
      <c r="N517" s="297">
        <v>0.66597222222222219</v>
      </c>
      <c r="O517" s="19">
        <f>(Table6[[#This Row],[Work Start TimeStamp]]-Table6[[#This Row],[Fault Start TimeStamp]])*24</f>
        <v>0</v>
      </c>
      <c r="P517" s="19">
        <f>(Table6[[#This Row],[Fault Clearance time]]-Table6[[#This Row],[Fault Start TimeStamp]])*24</f>
        <v>0.33333333333333215</v>
      </c>
      <c r="Q517" s="19">
        <f>(Table6[[#This Row],[Fault Clearance time]]-Table6[[#This Row],[Fault Start TimeStamp]])*24</f>
        <v>0.33333333333333215</v>
      </c>
      <c r="R517" s="79" t="s">
        <v>353</v>
      </c>
      <c r="S517" s="79" t="s">
        <v>339</v>
      </c>
      <c r="T517" s="298">
        <f>IFERROR(Table6[[#This Row],[Breakdown Time]]*Table6[[#This Row],[Plant Equivalent Weightage]],"")</f>
        <v>7.5757575757575491E-3</v>
      </c>
      <c r="U517" s="79" t="s">
        <v>416</v>
      </c>
      <c r="W517" s="79">
        <v>0.6</v>
      </c>
    </row>
    <row r="518" spans="1:23">
      <c r="A518" s="79">
        <f t="shared" si="8"/>
        <v>517</v>
      </c>
      <c r="B518" s="79">
        <f>YEAR(Table6[[#This Row],[Date]])+IF(MONTH(Table6[[#This Row],[Date]])&gt;=4,1,0)</f>
        <v>2026</v>
      </c>
      <c r="C518" s="79">
        <f>YEAR(Table6[[#This Row],[Date]])</f>
        <v>2025</v>
      </c>
      <c r="D518" s="79" t="s">
        <v>344</v>
      </c>
      <c r="E518" s="284">
        <f>Table6[[#This Row],[Date]]-DAY(Table6[[#This Row],[Date]])+1</f>
        <v>45778</v>
      </c>
      <c r="F518" s="285">
        <v>45793</v>
      </c>
      <c r="G518" s="79" t="s">
        <v>101</v>
      </c>
      <c r="H518" s="79" t="str">
        <f>IFERROR(_xlfn.XLOOKUP(Table6[[#This Row],[Affected Feeder ]],'Basic Data'!$A:$A,'Basic Data'!$B:$B),"")</f>
        <v>PWEPL</v>
      </c>
      <c r="I518" s="79" t="str">
        <f>IFERROR(_xlfn.XLOOKUP(Table6[[#This Row],[Affected Feeder ]],'Basic Data'!$A:$A,'Basic Data'!$C:$C),"")</f>
        <v>MSEDCL</v>
      </c>
      <c r="J518" s="295">
        <f>IFERROR(_xlfn.XLOOKUP(Table6[[#This Row],[Affected Feeder ]],'Basic Data'!$A:$A,'Basic Data'!$E:$E),"")</f>
        <v>2.2727272727272728E-2</v>
      </c>
      <c r="K518" s="296" t="s">
        <v>171</v>
      </c>
      <c r="L518" s="297">
        <v>0.65208333333333335</v>
      </c>
      <c r="M518" s="297">
        <v>0.65208333333333335</v>
      </c>
      <c r="N518" s="297">
        <v>0.66597222222222219</v>
      </c>
      <c r="O518" s="19">
        <f>(Table6[[#This Row],[Work Start TimeStamp]]-Table6[[#This Row],[Fault Start TimeStamp]])*24</f>
        <v>0</v>
      </c>
      <c r="P518" s="19">
        <f>(Table6[[#This Row],[Fault Clearance time]]-Table6[[#This Row],[Fault Start TimeStamp]])*24</f>
        <v>0.33333333333333215</v>
      </c>
      <c r="Q518" s="19">
        <f>(Table6[[#This Row],[Fault Clearance time]]-Table6[[#This Row],[Fault Start TimeStamp]])*24</f>
        <v>0.33333333333333215</v>
      </c>
      <c r="R518" s="79" t="s">
        <v>353</v>
      </c>
      <c r="S518" s="79" t="s">
        <v>339</v>
      </c>
      <c r="T518" s="298">
        <f>IFERROR(Table6[[#This Row],[Breakdown Time]]*Table6[[#This Row],[Plant Equivalent Weightage]],"")</f>
        <v>7.5757575757575491E-3</v>
      </c>
      <c r="U518" s="79" t="s">
        <v>416</v>
      </c>
      <c r="W518" s="79">
        <v>0.6</v>
      </c>
    </row>
    <row r="519" spans="1:23">
      <c r="A519" s="79">
        <f t="shared" si="8"/>
        <v>518</v>
      </c>
      <c r="B519" s="79">
        <f>YEAR(Table6[[#This Row],[Date]])+IF(MONTH(Table6[[#This Row],[Date]])&gt;=4,1,0)</f>
        <v>2026</v>
      </c>
      <c r="C519" s="79">
        <f>YEAR(Table6[[#This Row],[Date]])</f>
        <v>2025</v>
      </c>
      <c r="D519" s="79" t="s">
        <v>344</v>
      </c>
      <c r="E519" s="284">
        <f>Table6[[#This Row],[Date]]-DAY(Table6[[#This Row],[Date]])+1</f>
        <v>45778</v>
      </c>
      <c r="F519" s="285">
        <v>45793</v>
      </c>
      <c r="G519" s="79" t="s">
        <v>404</v>
      </c>
      <c r="H519" s="79" t="str">
        <f>IFERROR(_xlfn.XLOOKUP(Table6[[#This Row],[Affected Feeder ]],'Basic Data'!$A:$A,'Basic Data'!$B:$B),"")</f>
        <v>PWEPL</v>
      </c>
      <c r="I519" s="79" t="str">
        <f>IFERROR(_xlfn.XLOOKUP(Table6[[#This Row],[Affected Feeder ]],'Basic Data'!$A:$A,'Basic Data'!$C:$C),"")</f>
        <v>MSEDCL</v>
      </c>
      <c r="J519" s="295">
        <f>IFERROR(_xlfn.XLOOKUP(Table6[[#This Row],[Affected Feeder ]],'Basic Data'!$A:$A,'Basic Data'!$E:$E),"")</f>
        <v>0.27272727272727276</v>
      </c>
      <c r="K519" s="296" t="s">
        <v>815</v>
      </c>
      <c r="L519" s="297">
        <v>0.41319444444444442</v>
      </c>
      <c r="M519" s="297">
        <v>0.41319444444444442</v>
      </c>
      <c r="N519" s="297">
        <v>0.65208333333333335</v>
      </c>
      <c r="O519" s="19">
        <f>(Table6[[#This Row],[Work Start TimeStamp]]-Table6[[#This Row],[Fault Start TimeStamp]])*24</f>
        <v>0</v>
      </c>
      <c r="P519" s="19">
        <f>(Table6[[#This Row],[Fault Clearance time]]-Table6[[#This Row],[Fault Start TimeStamp]])*24</f>
        <v>5.7333333333333343</v>
      </c>
      <c r="Q519" s="19">
        <f>(Table6[[#This Row],[Fault Clearance time]]-Table6[[#This Row],[Fault Start TimeStamp]])*24</f>
        <v>5.7333333333333343</v>
      </c>
      <c r="R519" s="79" t="s">
        <v>816</v>
      </c>
      <c r="S519" s="79" t="s">
        <v>339</v>
      </c>
      <c r="T519" s="298">
        <f>IFERROR(Table6[[#This Row],[Breakdown Time]]*Table6[[#This Row],[Plant Equivalent Weightage]],"")</f>
        <v>1.5636363636363642</v>
      </c>
      <c r="U519" s="79" t="s">
        <v>416</v>
      </c>
      <c r="W519" s="79">
        <v>133</v>
      </c>
    </row>
    <row r="520" spans="1:23">
      <c r="A520" s="79">
        <f t="shared" si="8"/>
        <v>519</v>
      </c>
      <c r="B520" s="79">
        <f>YEAR(Table6[[#This Row],[Date]])+IF(MONTH(Table6[[#This Row],[Date]])&gt;=4,1,0)</f>
        <v>2026</v>
      </c>
      <c r="C520" s="79">
        <f>YEAR(Table6[[#This Row],[Date]])</f>
        <v>2025</v>
      </c>
      <c r="D520" s="79" t="s">
        <v>344</v>
      </c>
      <c r="E520" s="284">
        <f>Table6[[#This Row],[Date]]-DAY(Table6[[#This Row],[Date]])+1</f>
        <v>45778</v>
      </c>
      <c r="F520" s="285">
        <v>45793</v>
      </c>
      <c r="G520" s="79" t="s">
        <v>89</v>
      </c>
      <c r="H520" s="79" t="str">
        <f>IFERROR(_xlfn.XLOOKUP(Table6[[#This Row],[Affected Feeder ]],'Basic Data'!$A:$A,'Basic Data'!$B:$B),"")</f>
        <v>PWEPL</v>
      </c>
      <c r="I520" s="79" t="str">
        <f>IFERROR(_xlfn.XLOOKUP(Table6[[#This Row],[Affected Feeder ]],'Basic Data'!$A:$A,'Basic Data'!$C:$C),"")</f>
        <v>MSEDCL</v>
      </c>
      <c r="J520" s="295">
        <f>IFERROR(_xlfn.XLOOKUP(Table6[[#This Row],[Affected Feeder ]],'Basic Data'!$A:$A,'Basic Data'!$E:$E),"")</f>
        <v>2.2727272727272728E-2</v>
      </c>
      <c r="K520" s="296" t="s">
        <v>171</v>
      </c>
      <c r="L520" s="297">
        <v>0.65208333333333335</v>
      </c>
      <c r="M520" s="297">
        <v>0.65208333333333335</v>
      </c>
      <c r="N520" s="297">
        <v>0.65694444444444444</v>
      </c>
      <c r="O520" s="19">
        <f>(Table6[[#This Row],[Work Start TimeStamp]]-Table6[[#This Row],[Fault Start TimeStamp]])*24</f>
        <v>0</v>
      </c>
      <c r="P520" s="19">
        <f>(Table6[[#This Row],[Fault Clearance time]]-Table6[[#This Row],[Fault Start TimeStamp]])*24</f>
        <v>0.11666666666666625</v>
      </c>
      <c r="Q520" s="19">
        <f>(Table6[[#This Row],[Fault Clearance time]]-Table6[[#This Row],[Fault Start TimeStamp]])*24</f>
        <v>0.11666666666666625</v>
      </c>
      <c r="R520" s="79" t="s">
        <v>353</v>
      </c>
      <c r="S520" s="79" t="s">
        <v>339</v>
      </c>
      <c r="T520" s="298">
        <f>IFERROR(Table6[[#This Row],[Breakdown Time]]*Table6[[#This Row],[Plant Equivalent Weightage]],"")</f>
        <v>2.6515151515151421E-3</v>
      </c>
      <c r="U520" s="79" t="s">
        <v>416</v>
      </c>
      <c r="W520" s="79">
        <v>0.2</v>
      </c>
    </row>
    <row r="521" spans="1:23">
      <c r="A521" s="79">
        <f t="shared" si="8"/>
        <v>520</v>
      </c>
      <c r="B521" s="79">
        <f>YEAR(Table6[[#This Row],[Date]])+IF(MONTH(Table6[[#This Row],[Date]])&gt;=4,1,0)</f>
        <v>2026</v>
      </c>
      <c r="C521" s="79">
        <f>YEAR(Table6[[#This Row],[Date]])</f>
        <v>2025</v>
      </c>
      <c r="D521" s="79" t="s">
        <v>344</v>
      </c>
      <c r="E521" s="284">
        <f>Table6[[#This Row],[Date]]-DAY(Table6[[#This Row],[Date]])+1</f>
        <v>45778</v>
      </c>
      <c r="F521" s="285">
        <v>45793</v>
      </c>
      <c r="G521" s="79" t="s">
        <v>90</v>
      </c>
      <c r="H521" s="79" t="str">
        <f>IFERROR(_xlfn.XLOOKUP(Table6[[#This Row],[Affected Feeder ]],'Basic Data'!$A:$A,'Basic Data'!$B:$B),"")</f>
        <v>PWEPL</v>
      </c>
      <c r="I521" s="79" t="str">
        <f>IFERROR(_xlfn.XLOOKUP(Table6[[#This Row],[Affected Feeder ]],'Basic Data'!$A:$A,'Basic Data'!$C:$C),"")</f>
        <v>MSEDCL</v>
      </c>
      <c r="J521" s="295">
        <f>IFERROR(_xlfn.XLOOKUP(Table6[[#This Row],[Affected Feeder ]],'Basic Data'!$A:$A,'Basic Data'!$E:$E),"")</f>
        <v>2.2727272727272728E-2</v>
      </c>
      <c r="K521" s="296" t="s">
        <v>171</v>
      </c>
      <c r="L521" s="297">
        <v>0.65208333333333335</v>
      </c>
      <c r="M521" s="297">
        <v>0.65208333333333335</v>
      </c>
      <c r="N521" s="297">
        <v>0.65694444444444444</v>
      </c>
      <c r="O521" s="19">
        <f>(Table6[[#This Row],[Work Start TimeStamp]]-Table6[[#This Row],[Fault Start TimeStamp]])*24</f>
        <v>0</v>
      </c>
      <c r="P521" s="19">
        <f>(Table6[[#This Row],[Fault Clearance time]]-Table6[[#This Row],[Fault Start TimeStamp]])*24</f>
        <v>0.11666666666666625</v>
      </c>
      <c r="Q521" s="19">
        <f>(Table6[[#This Row],[Fault Clearance time]]-Table6[[#This Row],[Fault Start TimeStamp]])*24</f>
        <v>0.11666666666666625</v>
      </c>
      <c r="R521" s="79" t="s">
        <v>353</v>
      </c>
      <c r="S521" s="79" t="s">
        <v>339</v>
      </c>
      <c r="T521" s="298">
        <f>IFERROR(Table6[[#This Row],[Breakdown Time]]*Table6[[#This Row],[Plant Equivalent Weightage]],"")</f>
        <v>2.6515151515151421E-3</v>
      </c>
      <c r="U521" s="79" t="s">
        <v>416</v>
      </c>
      <c r="W521" s="79">
        <v>0.2</v>
      </c>
    </row>
    <row r="522" spans="1:23">
      <c r="A522" s="79">
        <f t="shared" si="8"/>
        <v>521</v>
      </c>
      <c r="B522" s="79">
        <f>YEAR(Table6[[#This Row],[Date]])+IF(MONTH(Table6[[#This Row],[Date]])&gt;=4,1,0)</f>
        <v>2026</v>
      </c>
      <c r="C522" s="79">
        <f>YEAR(Table6[[#This Row],[Date]])</f>
        <v>2025</v>
      </c>
      <c r="D522" s="79" t="s">
        <v>344</v>
      </c>
      <c r="E522" s="284">
        <f>Table6[[#This Row],[Date]]-DAY(Table6[[#This Row],[Date]])+1</f>
        <v>45778</v>
      </c>
      <c r="F522" s="285">
        <v>45793</v>
      </c>
      <c r="G522" s="79" t="s">
        <v>91</v>
      </c>
      <c r="H522" s="79" t="str">
        <f>IFERROR(_xlfn.XLOOKUP(Table6[[#This Row],[Affected Feeder ]],'Basic Data'!$A:$A,'Basic Data'!$B:$B),"")</f>
        <v>PWEPL</v>
      </c>
      <c r="I522" s="79" t="str">
        <f>IFERROR(_xlfn.XLOOKUP(Table6[[#This Row],[Affected Feeder ]],'Basic Data'!$A:$A,'Basic Data'!$C:$C),"")</f>
        <v>MSEDCL</v>
      </c>
      <c r="J522" s="295">
        <f>IFERROR(_xlfn.XLOOKUP(Table6[[#This Row],[Affected Feeder ]],'Basic Data'!$A:$A,'Basic Data'!$E:$E),"")</f>
        <v>2.2727272727272728E-2</v>
      </c>
      <c r="K522" s="296" t="s">
        <v>171</v>
      </c>
      <c r="L522" s="297">
        <v>0.65208333333333335</v>
      </c>
      <c r="M522" s="297">
        <v>0.65208333333333335</v>
      </c>
      <c r="N522" s="297">
        <v>0.65694444444444444</v>
      </c>
      <c r="O522" s="19">
        <f>(Table6[[#This Row],[Work Start TimeStamp]]-Table6[[#This Row],[Fault Start TimeStamp]])*24</f>
        <v>0</v>
      </c>
      <c r="P522" s="19">
        <f>(Table6[[#This Row],[Fault Clearance time]]-Table6[[#This Row],[Fault Start TimeStamp]])*24</f>
        <v>0.11666666666666625</v>
      </c>
      <c r="Q522" s="19">
        <f>(Table6[[#This Row],[Fault Clearance time]]-Table6[[#This Row],[Fault Start TimeStamp]])*24</f>
        <v>0.11666666666666625</v>
      </c>
      <c r="R522" s="79" t="s">
        <v>353</v>
      </c>
      <c r="S522" s="79" t="s">
        <v>339</v>
      </c>
      <c r="T522" s="298">
        <f>IFERROR(Table6[[#This Row],[Breakdown Time]]*Table6[[#This Row],[Plant Equivalent Weightage]],"")</f>
        <v>2.6515151515151421E-3</v>
      </c>
      <c r="U522" s="79" t="s">
        <v>416</v>
      </c>
      <c r="W522" s="79">
        <v>0.2</v>
      </c>
    </row>
    <row r="523" spans="1:23">
      <c r="A523" s="79">
        <f t="shared" si="8"/>
        <v>522</v>
      </c>
      <c r="B523" s="79">
        <f>YEAR(Table6[[#This Row],[Date]])+IF(MONTH(Table6[[#This Row],[Date]])&gt;=4,1,0)</f>
        <v>2026</v>
      </c>
      <c r="C523" s="79">
        <f>YEAR(Table6[[#This Row],[Date]])</f>
        <v>2025</v>
      </c>
      <c r="D523" s="79" t="s">
        <v>344</v>
      </c>
      <c r="E523" s="284">
        <f>Table6[[#This Row],[Date]]-DAY(Table6[[#This Row],[Date]])+1</f>
        <v>45778</v>
      </c>
      <c r="F523" s="285">
        <v>45793</v>
      </c>
      <c r="G523" s="79" t="s">
        <v>92</v>
      </c>
      <c r="H523" s="79" t="str">
        <f>IFERROR(_xlfn.XLOOKUP(Table6[[#This Row],[Affected Feeder ]],'Basic Data'!$A:$A,'Basic Data'!$B:$B),"")</f>
        <v>PWEPL</v>
      </c>
      <c r="I523" s="79" t="str">
        <f>IFERROR(_xlfn.XLOOKUP(Table6[[#This Row],[Affected Feeder ]],'Basic Data'!$A:$A,'Basic Data'!$C:$C),"")</f>
        <v>MSEDCL</v>
      </c>
      <c r="J523" s="295">
        <f>IFERROR(_xlfn.XLOOKUP(Table6[[#This Row],[Affected Feeder ]],'Basic Data'!$A:$A,'Basic Data'!$E:$E),"")</f>
        <v>2.2727272727272728E-2</v>
      </c>
      <c r="K523" s="296" t="s">
        <v>171</v>
      </c>
      <c r="L523" s="297">
        <v>0.65208333333333335</v>
      </c>
      <c r="M523" s="297">
        <v>0.65208333333333335</v>
      </c>
      <c r="N523" s="297">
        <v>0.65694444444444444</v>
      </c>
      <c r="O523" s="19">
        <f>(Table6[[#This Row],[Work Start TimeStamp]]-Table6[[#This Row],[Fault Start TimeStamp]])*24</f>
        <v>0</v>
      </c>
      <c r="P523" s="19">
        <f>(Table6[[#This Row],[Fault Clearance time]]-Table6[[#This Row],[Fault Start TimeStamp]])*24</f>
        <v>0.11666666666666625</v>
      </c>
      <c r="Q523" s="19">
        <f>(Table6[[#This Row],[Fault Clearance time]]-Table6[[#This Row],[Fault Start TimeStamp]])*24</f>
        <v>0.11666666666666625</v>
      </c>
      <c r="R523" s="79" t="s">
        <v>353</v>
      </c>
      <c r="S523" s="79" t="s">
        <v>339</v>
      </c>
      <c r="T523" s="298">
        <f>IFERROR(Table6[[#This Row],[Breakdown Time]]*Table6[[#This Row],[Plant Equivalent Weightage]],"")</f>
        <v>2.6515151515151421E-3</v>
      </c>
      <c r="U523" s="79" t="s">
        <v>416</v>
      </c>
      <c r="W523" s="79">
        <v>0.2</v>
      </c>
    </row>
    <row r="524" spans="1:23">
      <c r="A524" s="79">
        <f t="shared" si="8"/>
        <v>523</v>
      </c>
      <c r="B524" s="79">
        <f>YEAR(Table6[[#This Row],[Date]])+IF(MONTH(Table6[[#This Row],[Date]])&gt;=4,1,0)</f>
        <v>2026</v>
      </c>
      <c r="C524" s="79">
        <f>YEAR(Table6[[#This Row],[Date]])</f>
        <v>2025</v>
      </c>
      <c r="D524" s="79" t="s">
        <v>344</v>
      </c>
      <c r="E524" s="284">
        <f>Table6[[#This Row],[Date]]-DAY(Table6[[#This Row],[Date]])+1</f>
        <v>45778</v>
      </c>
      <c r="F524" s="285">
        <v>45793</v>
      </c>
      <c r="G524" s="79" t="s">
        <v>94</v>
      </c>
      <c r="H524" s="79" t="str">
        <f>IFERROR(_xlfn.XLOOKUP(Table6[[#This Row],[Affected Feeder ]],'Basic Data'!$A:$A,'Basic Data'!$B:$B),"")</f>
        <v>PWEPL</v>
      </c>
      <c r="I524" s="79" t="str">
        <f>IFERROR(_xlfn.XLOOKUP(Table6[[#This Row],[Affected Feeder ]],'Basic Data'!$A:$A,'Basic Data'!$C:$C),"")</f>
        <v>MSEDCL</v>
      </c>
      <c r="J524" s="295">
        <f>IFERROR(_xlfn.XLOOKUP(Table6[[#This Row],[Affected Feeder ]],'Basic Data'!$A:$A,'Basic Data'!$E:$E),"")</f>
        <v>2.2727272727272728E-2</v>
      </c>
      <c r="K524" s="296" t="s">
        <v>171</v>
      </c>
      <c r="L524" s="297">
        <v>0.65208333333333335</v>
      </c>
      <c r="M524" s="297">
        <v>0.65208333333333335</v>
      </c>
      <c r="N524" s="297">
        <v>0.65833333333333333</v>
      </c>
      <c r="O524" s="19">
        <f>(Table6[[#This Row],[Work Start TimeStamp]]-Table6[[#This Row],[Fault Start TimeStamp]])*24</f>
        <v>0</v>
      </c>
      <c r="P524" s="19">
        <f>(Table6[[#This Row],[Fault Clearance time]]-Table6[[#This Row],[Fault Start TimeStamp]])*24</f>
        <v>0.14999999999999947</v>
      </c>
      <c r="Q524" s="19">
        <f>(Table6[[#This Row],[Fault Clearance time]]-Table6[[#This Row],[Fault Start TimeStamp]])*24</f>
        <v>0.14999999999999947</v>
      </c>
      <c r="R524" s="79" t="s">
        <v>353</v>
      </c>
      <c r="S524" s="79" t="s">
        <v>339</v>
      </c>
      <c r="T524" s="298">
        <f>IFERROR(Table6[[#This Row],[Breakdown Time]]*Table6[[#This Row],[Plant Equivalent Weightage]],"")</f>
        <v>3.4090909090908972E-3</v>
      </c>
      <c r="U524" s="79" t="s">
        <v>416</v>
      </c>
      <c r="W524" s="79">
        <v>0.3</v>
      </c>
    </row>
    <row r="525" spans="1:23">
      <c r="A525" s="79">
        <f t="shared" si="8"/>
        <v>524</v>
      </c>
      <c r="B525" s="79">
        <f>YEAR(Table6[[#This Row],[Date]])+IF(MONTH(Table6[[#This Row],[Date]])&gt;=4,1,0)</f>
        <v>2026</v>
      </c>
      <c r="C525" s="79">
        <f>YEAR(Table6[[#This Row],[Date]])</f>
        <v>2025</v>
      </c>
      <c r="D525" s="79" t="s">
        <v>344</v>
      </c>
      <c r="E525" s="284">
        <f>Table6[[#This Row],[Date]]-DAY(Table6[[#This Row],[Date]])+1</f>
        <v>45778</v>
      </c>
      <c r="F525" s="285">
        <v>45793</v>
      </c>
      <c r="G525" s="79" t="s">
        <v>95</v>
      </c>
      <c r="H525" s="79" t="str">
        <f>IFERROR(_xlfn.XLOOKUP(Table6[[#This Row],[Affected Feeder ]],'Basic Data'!$A:$A,'Basic Data'!$B:$B),"")</f>
        <v>PWEPL</v>
      </c>
      <c r="I525" s="79" t="str">
        <f>IFERROR(_xlfn.XLOOKUP(Table6[[#This Row],[Affected Feeder ]],'Basic Data'!$A:$A,'Basic Data'!$C:$C),"")</f>
        <v>MSEDCL</v>
      </c>
      <c r="J525" s="295">
        <f>IFERROR(_xlfn.XLOOKUP(Table6[[#This Row],[Affected Feeder ]],'Basic Data'!$A:$A,'Basic Data'!$E:$E),"")</f>
        <v>2.2727272727272728E-2</v>
      </c>
      <c r="K525" s="296" t="s">
        <v>171</v>
      </c>
      <c r="L525" s="297">
        <v>0.65208333333333335</v>
      </c>
      <c r="M525" s="297">
        <v>0.65208333333333335</v>
      </c>
      <c r="N525" s="297">
        <v>0.65694444444444444</v>
      </c>
      <c r="O525" s="19">
        <f>(Table6[[#This Row],[Work Start TimeStamp]]-Table6[[#This Row],[Fault Start TimeStamp]])*24</f>
        <v>0</v>
      </c>
      <c r="P525" s="19">
        <f>(Table6[[#This Row],[Fault Clearance time]]-Table6[[#This Row],[Fault Start TimeStamp]])*24</f>
        <v>0.11666666666666625</v>
      </c>
      <c r="Q525" s="19">
        <f>(Table6[[#This Row],[Fault Clearance time]]-Table6[[#This Row],[Fault Start TimeStamp]])*24</f>
        <v>0.11666666666666625</v>
      </c>
      <c r="R525" s="79" t="s">
        <v>353</v>
      </c>
      <c r="S525" s="79" t="s">
        <v>339</v>
      </c>
      <c r="T525" s="298">
        <f>IFERROR(Table6[[#This Row],[Breakdown Time]]*Table6[[#This Row],[Plant Equivalent Weightage]],"")</f>
        <v>2.6515151515151421E-3</v>
      </c>
      <c r="U525" s="79" t="s">
        <v>416</v>
      </c>
      <c r="W525" s="79">
        <v>0.2</v>
      </c>
    </row>
    <row r="526" spans="1:23">
      <c r="A526" s="79">
        <f t="shared" si="8"/>
        <v>525</v>
      </c>
      <c r="B526" s="79">
        <f>YEAR(Table6[[#This Row],[Date]])+IF(MONTH(Table6[[#This Row],[Date]])&gt;=4,1,0)</f>
        <v>2026</v>
      </c>
      <c r="C526" s="79">
        <f>YEAR(Table6[[#This Row],[Date]])</f>
        <v>2025</v>
      </c>
      <c r="D526" s="79" t="s">
        <v>344</v>
      </c>
      <c r="E526" s="284">
        <f>Table6[[#This Row],[Date]]-DAY(Table6[[#This Row],[Date]])+1</f>
        <v>45778</v>
      </c>
      <c r="F526" s="285">
        <v>45793</v>
      </c>
      <c r="G526" s="79" t="s">
        <v>106</v>
      </c>
      <c r="H526" s="79" t="str">
        <f>IFERROR(_xlfn.XLOOKUP(Table6[[#This Row],[Affected Feeder ]],'Basic Data'!$A:$A,'Basic Data'!$B:$B),"")</f>
        <v>PWEPL</v>
      </c>
      <c r="I526" s="79" t="str">
        <f>IFERROR(_xlfn.XLOOKUP(Table6[[#This Row],[Affected Feeder ]],'Basic Data'!$A:$A,'Basic Data'!$C:$C),"")</f>
        <v>MSEDCL</v>
      </c>
      <c r="J526" s="295">
        <f>IFERROR(_xlfn.XLOOKUP(Table6[[#This Row],[Affected Feeder ]],'Basic Data'!$A:$A,'Basic Data'!$E:$E),"")</f>
        <v>2.2727272727272728E-2</v>
      </c>
      <c r="K526" s="296" t="s">
        <v>171</v>
      </c>
      <c r="L526" s="297">
        <v>0.65208333333333335</v>
      </c>
      <c r="M526" s="297">
        <v>0.65208333333333335</v>
      </c>
      <c r="N526" s="297">
        <v>0.65694444444444444</v>
      </c>
      <c r="O526" s="19">
        <f>(Table6[[#This Row],[Work Start TimeStamp]]-Table6[[#This Row],[Fault Start TimeStamp]])*24</f>
        <v>0</v>
      </c>
      <c r="P526" s="19">
        <f>(Table6[[#This Row],[Fault Clearance time]]-Table6[[#This Row],[Fault Start TimeStamp]])*24</f>
        <v>0.11666666666666625</v>
      </c>
      <c r="Q526" s="19">
        <f>(Table6[[#This Row],[Fault Clearance time]]-Table6[[#This Row],[Fault Start TimeStamp]])*24</f>
        <v>0.11666666666666625</v>
      </c>
      <c r="R526" s="79" t="s">
        <v>353</v>
      </c>
      <c r="S526" s="79" t="s">
        <v>339</v>
      </c>
      <c r="T526" s="298">
        <f>IFERROR(Table6[[#This Row],[Breakdown Time]]*Table6[[#This Row],[Plant Equivalent Weightage]],"")</f>
        <v>2.6515151515151421E-3</v>
      </c>
      <c r="U526" s="79" t="s">
        <v>416</v>
      </c>
      <c r="W526" s="79">
        <v>0.2</v>
      </c>
    </row>
    <row r="527" spans="1:23">
      <c r="A527" s="79">
        <f t="shared" si="8"/>
        <v>526</v>
      </c>
      <c r="B527" s="79">
        <f>YEAR(Table6[[#This Row],[Date]])+IF(MONTH(Table6[[#This Row],[Date]])&gt;=4,1,0)</f>
        <v>2026</v>
      </c>
      <c r="C527" s="79">
        <f>YEAR(Table6[[#This Row],[Date]])</f>
        <v>2025</v>
      </c>
      <c r="D527" s="79" t="s">
        <v>344</v>
      </c>
      <c r="E527" s="284">
        <f>Table6[[#This Row],[Date]]-DAY(Table6[[#This Row],[Date]])+1</f>
        <v>45778</v>
      </c>
      <c r="F527" s="285">
        <v>45793</v>
      </c>
      <c r="G527" s="79" t="s">
        <v>79</v>
      </c>
      <c r="H527" s="79" t="str">
        <f>IFERROR(_xlfn.XLOOKUP(Table6[[#This Row],[Affected Feeder ]],'Basic Data'!$A:$A,'Basic Data'!$B:$B),"")</f>
        <v>PWEPL</v>
      </c>
      <c r="I527" s="79" t="str">
        <f>IFERROR(_xlfn.XLOOKUP(Table6[[#This Row],[Affected Feeder ]],'Basic Data'!$A:$A,'Basic Data'!$C:$C),"")</f>
        <v>MSEDCL</v>
      </c>
      <c r="J527" s="295">
        <f>IFERROR(_xlfn.XLOOKUP(Table6[[#This Row],[Affected Feeder ]],'Basic Data'!$A:$A,'Basic Data'!$E:$E),"")</f>
        <v>2.2727272727272728E-2</v>
      </c>
      <c r="K527" s="296" t="s">
        <v>171</v>
      </c>
      <c r="L527" s="297">
        <v>0.65208333333333335</v>
      </c>
      <c r="M527" s="297">
        <v>0.65208333333333335</v>
      </c>
      <c r="N527" s="297">
        <v>0.66527777777777775</v>
      </c>
      <c r="O527" s="19">
        <f>(Table6[[#This Row],[Work Start TimeStamp]]-Table6[[#This Row],[Fault Start TimeStamp]])*24</f>
        <v>0</v>
      </c>
      <c r="P527" s="19">
        <f>(Table6[[#This Row],[Fault Clearance time]]-Table6[[#This Row],[Fault Start TimeStamp]])*24</f>
        <v>0.31666666666666554</v>
      </c>
      <c r="Q527" s="19">
        <f>(Table6[[#This Row],[Fault Clearance time]]-Table6[[#This Row],[Fault Start TimeStamp]])*24</f>
        <v>0.31666666666666554</v>
      </c>
      <c r="R527" s="79" t="s">
        <v>353</v>
      </c>
      <c r="S527" s="79" t="s">
        <v>339</v>
      </c>
      <c r="T527" s="298">
        <f>IFERROR(Table6[[#This Row],[Breakdown Time]]*Table6[[#This Row],[Plant Equivalent Weightage]],"")</f>
        <v>7.1969696969696713E-3</v>
      </c>
      <c r="U527" s="79" t="s">
        <v>416</v>
      </c>
      <c r="W527" s="79">
        <v>0.6</v>
      </c>
    </row>
    <row r="528" spans="1:23">
      <c r="A528" s="79">
        <f t="shared" si="8"/>
        <v>527</v>
      </c>
      <c r="B528" s="79">
        <f>YEAR(Table6[[#This Row],[Date]])+IF(MONTH(Table6[[#This Row],[Date]])&gt;=4,1,0)</f>
        <v>2026</v>
      </c>
      <c r="C528" s="79">
        <f>YEAR(Table6[[#This Row],[Date]])</f>
        <v>2025</v>
      </c>
      <c r="D528" s="79" t="s">
        <v>344</v>
      </c>
      <c r="E528" s="284">
        <f>Table6[[#This Row],[Date]]-DAY(Table6[[#This Row],[Date]])+1</f>
        <v>45778</v>
      </c>
      <c r="F528" s="285">
        <v>45793</v>
      </c>
      <c r="G528" s="79" t="s">
        <v>96</v>
      </c>
      <c r="H528" s="79" t="str">
        <f>IFERROR(_xlfn.XLOOKUP(Table6[[#This Row],[Affected Feeder ]],'Basic Data'!$A:$A,'Basic Data'!$B:$B),"")</f>
        <v>PWEPL</v>
      </c>
      <c r="I528" s="79" t="str">
        <f>IFERROR(_xlfn.XLOOKUP(Table6[[#This Row],[Affected Feeder ]],'Basic Data'!$A:$A,'Basic Data'!$C:$C),"")</f>
        <v>MSEDCL</v>
      </c>
      <c r="J528" s="295">
        <f>IFERROR(_xlfn.XLOOKUP(Table6[[#This Row],[Affected Feeder ]],'Basic Data'!$A:$A,'Basic Data'!$E:$E),"")</f>
        <v>2.2727272727272728E-2</v>
      </c>
      <c r="K528" s="296" t="s">
        <v>171</v>
      </c>
      <c r="L528" s="297">
        <v>0.65208333333333335</v>
      </c>
      <c r="M528" s="297">
        <v>0.65208333333333335</v>
      </c>
      <c r="N528" s="297">
        <v>0.66527777777777775</v>
      </c>
      <c r="O528" s="19">
        <f>(Table6[[#This Row],[Work Start TimeStamp]]-Table6[[#This Row],[Fault Start TimeStamp]])*24</f>
        <v>0</v>
      </c>
      <c r="P528" s="19">
        <f>(Table6[[#This Row],[Fault Clearance time]]-Table6[[#This Row],[Fault Start TimeStamp]])*24</f>
        <v>0.31666666666666554</v>
      </c>
      <c r="Q528" s="19">
        <f>(Table6[[#This Row],[Fault Clearance time]]-Table6[[#This Row],[Fault Start TimeStamp]])*24</f>
        <v>0.31666666666666554</v>
      </c>
      <c r="R528" s="79" t="s">
        <v>353</v>
      </c>
      <c r="S528" s="79" t="s">
        <v>339</v>
      </c>
      <c r="T528" s="298">
        <f>IFERROR(Table6[[#This Row],[Breakdown Time]]*Table6[[#This Row],[Plant Equivalent Weightage]],"")</f>
        <v>7.1969696969696713E-3</v>
      </c>
      <c r="U528" s="79" t="s">
        <v>416</v>
      </c>
      <c r="W528" s="79">
        <v>0.6</v>
      </c>
    </row>
    <row r="529" spans="1:23">
      <c r="A529" s="79">
        <f t="shared" si="8"/>
        <v>528</v>
      </c>
      <c r="B529" s="79">
        <f>YEAR(Table6[[#This Row],[Date]])+IF(MONTH(Table6[[#This Row],[Date]])&gt;=4,1,0)</f>
        <v>2026</v>
      </c>
      <c r="C529" s="79">
        <f>YEAR(Table6[[#This Row],[Date]])</f>
        <v>2025</v>
      </c>
      <c r="D529" s="79" t="s">
        <v>344</v>
      </c>
      <c r="E529" s="284">
        <f>Table6[[#This Row],[Date]]-DAY(Table6[[#This Row],[Date]])+1</f>
        <v>45778</v>
      </c>
      <c r="F529" s="285">
        <v>45793</v>
      </c>
      <c r="G529" s="79" t="s">
        <v>97</v>
      </c>
      <c r="H529" s="79" t="str">
        <f>IFERROR(_xlfn.XLOOKUP(Table6[[#This Row],[Affected Feeder ]],'Basic Data'!$A:$A,'Basic Data'!$B:$B),"")</f>
        <v>PWEPL</v>
      </c>
      <c r="I529" s="79" t="str">
        <f>IFERROR(_xlfn.XLOOKUP(Table6[[#This Row],[Affected Feeder ]],'Basic Data'!$A:$A,'Basic Data'!$C:$C),"")</f>
        <v>MSEDCL</v>
      </c>
      <c r="J529" s="295">
        <f>IFERROR(_xlfn.XLOOKUP(Table6[[#This Row],[Affected Feeder ]],'Basic Data'!$A:$A,'Basic Data'!$E:$E),"")</f>
        <v>2.2727272727272728E-2</v>
      </c>
      <c r="K529" s="296" t="s">
        <v>171</v>
      </c>
      <c r="L529" s="297">
        <v>0.65208333333333335</v>
      </c>
      <c r="M529" s="297">
        <v>0.65208333333333335</v>
      </c>
      <c r="N529" s="297">
        <v>0.66527777777777775</v>
      </c>
      <c r="O529" s="19">
        <f>(Table6[[#This Row],[Work Start TimeStamp]]-Table6[[#This Row],[Fault Start TimeStamp]])*24</f>
        <v>0</v>
      </c>
      <c r="P529" s="19">
        <f>(Table6[[#This Row],[Fault Clearance time]]-Table6[[#This Row],[Fault Start TimeStamp]])*24</f>
        <v>0.31666666666666554</v>
      </c>
      <c r="Q529" s="19">
        <f>(Table6[[#This Row],[Fault Clearance time]]-Table6[[#This Row],[Fault Start TimeStamp]])*24</f>
        <v>0.31666666666666554</v>
      </c>
      <c r="R529" s="79" t="s">
        <v>353</v>
      </c>
      <c r="S529" s="79" t="s">
        <v>339</v>
      </c>
      <c r="T529" s="298">
        <f>IFERROR(Table6[[#This Row],[Breakdown Time]]*Table6[[#This Row],[Plant Equivalent Weightage]],"")</f>
        <v>7.1969696969696713E-3</v>
      </c>
      <c r="U529" s="79" t="s">
        <v>416</v>
      </c>
      <c r="W529" s="79">
        <v>0.6</v>
      </c>
    </row>
    <row r="530" spans="1:23">
      <c r="A530" s="79">
        <f t="shared" si="8"/>
        <v>529</v>
      </c>
      <c r="B530" s="79">
        <f>YEAR(Table6[[#This Row],[Date]])+IF(MONTH(Table6[[#This Row],[Date]])&gt;=4,1,0)</f>
        <v>2026</v>
      </c>
      <c r="C530" s="79">
        <f>YEAR(Table6[[#This Row],[Date]])</f>
        <v>2025</v>
      </c>
      <c r="D530" s="79" t="s">
        <v>344</v>
      </c>
      <c r="E530" s="284">
        <f>Table6[[#This Row],[Date]]-DAY(Table6[[#This Row],[Date]])+1</f>
        <v>45778</v>
      </c>
      <c r="F530" s="285">
        <v>45793</v>
      </c>
      <c r="G530" s="79" t="s">
        <v>104</v>
      </c>
      <c r="H530" s="79" t="str">
        <f>IFERROR(_xlfn.XLOOKUP(Table6[[#This Row],[Affected Feeder ]],'Basic Data'!$A:$A,'Basic Data'!$B:$B),"")</f>
        <v>PWEPL</v>
      </c>
      <c r="I530" s="79" t="str">
        <f>IFERROR(_xlfn.XLOOKUP(Table6[[#This Row],[Affected Feeder ]],'Basic Data'!$A:$A,'Basic Data'!$C:$C),"")</f>
        <v>MSEDCL</v>
      </c>
      <c r="J530" s="295">
        <f>IFERROR(_xlfn.XLOOKUP(Table6[[#This Row],[Affected Feeder ]],'Basic Data'!$A:$A,'Basic Data'!$E:$E),"")</f>
        <v>2.2727272727272728E-2</v>
      </c>
      <c r="K530" s="296" t="s">
        <v>171</v>
      </c>
      <c r="L530" s="297">
        <v>0.65208333333333335</v>
      </c>
      <c r="M530" s="297">
        <v>0.65208333333333335</v>
      </c>
      <c r="N530" s="297">
        <v>0.66527777777777775</v>
      </c>
      <c r="O530" s="19">
        <f>(Table6[[#This Row],[Work Start TimeStamp]]-Table6[[#This Row],[Fault Start TimeStamp]])*24</f>
        <v>0</v>
      </c>
      <c r="P530" s="19">
        <f>(Table6[[#This Row],[Fault Clearance time]]-Table6[[#This Row],[Fault Start TimeStamp]])*24</f>
        <v>0.31666666666666554</v>
      </c>
      <c r="Q530" s="19">
        <f>(Table6[[#This Row],[Fault Clearance time]]-Table6[[#This Row],[Fault Start TimeStamp]])*24</f>
        <v>0.31666666666666554</v>
      </c>
      <c r="R530" s="79" t="s">
        <v>353</v>
      </c>
      <c r="S530" s="79" t="s">
        <v>339</v>
      </c>
      <c r="T530" s="298">
        <f>IFERROR(Table6[[#This Row],[Breakdown Time]]*Table6[[#This Row],[Plant Equivalent Weightage]],"")</f>
        <v>7.1969696969696713E-3</v>
      </c>
      <c r="U530" s="79" t="s">
        <v>416</v>
      </c>
      <c r="W530" s="79">
        <v>0.6</v>
      </c>
    </row>
    <row r="531" spans="1:23">
      <c r="A531" s="79">
        <f t="shared" si="8"/>
        <v>530</v>
      </c>
      <c r="B531" s="79">
        <f>YEAR(Table6[[#This Row],[Date]])+IF(MONTH(Table6[[#This Row],[Date]])&gt;=4,1,0)</f>
        <v>2026</v>
      </c>
      <c r="C531" s="79">
        <f>YEAR(Table6[[#This Row],[Date]])</f>
        <v>2025</v>
      </c>
      <c r="D531" s="79" t="s">
        <v>344</v>
      </c>
      <c r="E531" s="284">
        <f>Table6[[#This Row],[Date]]-DAY(Table6[[#This Row],[Date]])+1</f>
        <v>45778</v>
      </c>
      <c r="F531" s="285">
        <v>45793</v>
      </c>
      <c r="G531" s="79" t="s">
        <v>110</v>
      </c>
      <c r="H531" s="79" t="str">
        <f>IFERROR(_xlfn.XLOOKUP(Table6[[#This Row],[Affected Feeder ]],'Basic Data'!$A:$A,'Basic Data'!$B:$B),"")</f>
        <v>PWEPL</v>
      </c>
      <c r="I531" s="79" t="str">
        <f>IFERROR(_xlfn.XLOOKUP(Table6[[#This Row],[Affected Feeder ]],'Basic Data'!$A:$A,'Basic Data'!$C:$C),"")</f>
        <v>MSEDCL</v>
      </c>
      <c r="J531" s="295">
        <f>IFERROR(_xlfn.XLOOKUP(Table6[[#This Row],[Affected Feeder ]],'Basic Data'!$A:$A,'Basic Data'!$E:$E),"")</f>
        <v>2.2727272727272728E-2</v>
      </c>
      <c r="K531" s="296" t="s">
        <v>171</v>
      </c>
      <c r="L531" s="297">
        <v>0.65208333333333335</v>
      </c>
      <c r="M531" s="297">
        <v>0.65208333333333335</v>
      </c>
      <c r="N531" s="297">
        <v>0.66527777777777775</v>
      </c>
      <c r="O531" s="19">
        <f>(Table6[[#This Row],[Work Start TimeStamp]]-Table6[[#This Row],[Fault Start TimeStamp]])*24</f>
        <v>0</v>
      </c>
      <c r="P531" s="19">
        <f>(Table6[[#This Row],[Fault Clearance time]]-Table6[[#This Row],[Fault Start TimeStamp]])*24</f>
        <v>0.31666666666666554</v>
      </c>
      <c r="Q531" s="19">
        <f>(Table6[[#This Row],[Fault Clearance time]]-Table6[[#This Row],[Fault Start TimeStamp]])*24</f>
        <v>0.31666666666666554</v>
      </c>
      <c r="R531" s="79" t="s">
        <v>353</v>
      </c>
      <c r="S531" s="79" t="s">
        <v>339</v>
      </c>
      <c r="T531" s="298">
        <f>IFERROR(Table6[[#This Row],[Breakdown Time]]*Table6[[#This Row],[Plant Equivalent Weightage]],"")</f>
        <v>7.1969696969696713E-3</v>
      </c>
      <c r="U531" s="79" t="s">
        <v>416</v>
      </c>
      <c r="W531" s="79">
        <v>0.6</v>
      </c>
    </row>
    <row r="532" spans="1:23">
      <c r="A532" s="79">
        <f t="shared" si="8"/>
        <v>531</v>
      </c>
      <c r="B532" s="79">
        <f>YEAR(Table6[[#This Row],[Date]])+IF(MONTH(Table6[[#This Row],[Date]])&gt;=4,1,0)</f>
        <v>2026</v>
      </c>
      <c r="C532" s="79">
        <f>YEAR(Table6[[#This Row],[Date]])</f>
        <v>2025</v>
      </c>
      <c r="D532" s="79" t="s">
        <v>344</v>
      </c>
      <c r="E532" s="284">
        <f>Table6[[#This Row],[Date]]-DAY(Table6[[#This Row],[Date]])+1</f>
        <v>45778</v>
      </c>
      <c r="F532" s="285">
        <v>45793</v>
      </c>
      <c r="G532" s="79" t="s">
        <v>405</v>
      </c>
      <c r="H532" s="79" t="str">
        <f>IFERROR(_xlfn.XLOOKUP(Table6[[#This Row],[Affected Feeder ]],'Basic Data'!$A:$A,'Basic Data'!$B:$B),"")</f>
        <v>PWEPL</v>
      </c>
      <c r="I532" s="79" t="str">
        <f>IFERROR(_xlfn.XLOOKUP(Table6[[#This Row],[Affected Feeder ]],'Basic Data'!$A:$A,'Basic Data'!$C:$C),"")</f>
        <v>MSEDCL</v>
      </c>
      <c r="J532" s="295">
        <f>IFERROR(_xlfn.XLOOKUP(Table6[[#This Row],[Affected Feeder ]],'Basic Data'!$A:$A,'Basic Data'!$E:$E),"")</f>
        <v>0.20454545454545453</v>
      </c>
      <c r="K532" s="296" t="s">
        <v>815</v>
      </c>
      <c r="L532" s="297">
        <v>0.40972222222222227</v>
      </c>
      <c r="M532" s="297">
        <v>0.40972222222222227</v>
      </c>
      <c r="N532" s="297">
        <v>0.65972222222222221</v>
      </c>
      <c r="O532" s="19">
        <f>(Table6[[#This Row],[Work Start TimeStamp]]-Table6[[#This Row],[Fault Start TimeStamp]])*24</f>
        <v>0</v>
      </c>
      <c r="P532" s="19">
        <f>(Table6[[#This Row],[Fault Clearance time]]-Table6[[#This Row],[Fault Start TimeStamp]])*24</f>
        <v>5.9999999999999982</v>
      </c>
      <c r="Q532" s="19">
        <f>(Table6[[#This Row],[Fault Clearance time]]-Table6[[#This Row],[Fault Start TimeStamp]])*24</f>
        <v>5.9999999999999982</v>
      </c>
      <c r="R532" s="79" t="s">
        <v>816</v>
      </c>
      <c r="S532" s="79" t="s">
        <v>339</v>
      </c>
      <c r="T532" s="298">
        <f>IFERROR(Table6[[#This Row],[Breakdown Time]]*Table6[[#This Row],[Plant Equivalent Weightage]],"")</f>
        <v>1.2272727272727268</v>
      </c>
      <c r="U532" s="79" t="s">
        <v>416</v>
      </c>
      <c r="W532" s="79">
        <v>144</v>
      </c>
    </row>
    <row r="533" spans="1:23">
      <c r="A533" s="79">
        <f t="shared" si="8"/>
        <v>532</v>
      </c>
      <c r="B533" s="79">
        <f>YEAR(Table6[[#This Row],[Date]])+IF(MONTH(Table6[[#This Row],[Date]])&gt;=4,1,0)</f>
        <v>2026</v>
      </c>
      <c r="C533" s="79">
        <f>YEAR(Table6[[#This Row],[Date]])</f>
        <v>2025</v>
      </c>
      <c r="D533" s="79" t="s">
        <v>344</v>
      </c>
      <c r="E533" s="284">
        <f>Table6[[#This Row],[Date]]-DAY(Table6[[#This Row],[Date]])+1</f>
        <v>45778</v>
      </c>
      <c r="F533" s="285">
        <v>45793</v>
      </c>
      <c r="G533" s="79" t="s">
        <v>109</v>
      </c>
      <c r="H533" s="79" t="str">
        <f>IFERROR(_xlfn.XLOOKUP(Table6[[#This Row],[Affected Feeder ]],'Basic Data'!$A:$A,'Basic Data'!$B:$B),"")</f>
        <v>PWEPL</v>
      </c>
      <c r="I533" s="79" t="str">
        <f>IFERROR(_xlfn.XLOOKUP(Table6[[#This Row],[Affected Feeder ]],'Basic Data'!$A:$A,'Basic Data'!$C:$C),"")</f>
        <v>MSEDCL</v>
      </c>
      <c r="J533" s="295">
        <f>IFERROR(_xlfn.XLOOKUP(Table6[[#This Row],[Affected Feeder ]],'Basic Data'!$A:$A,'Basic Data'!$E:$E),"")</f>
        <v>2.2727272727272728E-2</v>
      </c>
      <c r="K533" s="296" t="s">
        <v>171</v>
      </c>
      <c r="L533" s="297">
        <v>0.65972222222222221</v>
      </c>
      <c r="M533" s="297">
        <v>0.65972222222222221</v>
      </c>
      <c r="N533" s="297">
        <v>0.66805555555555562</v>
      </c>
      <c r="O533" s="19">
        <f>(Table6[[#This Row],[Work Start TimeStamp]]-Table6[[#This Row],[Fault Start TimeStamp]])*24</f>
        <v>0</v>
      </c>
      <c r="P533" s="19">
        <f>(Table6[[#This Row],[Fault Clearance time]]-Table6[[#This Row],[Fault Start TimeStamp]])*24</f>
        <v>0.20000000000000195</v>
      </c>
      <c r="Q533" s="19">
        <f>(Table6[[#This Row],[Fault Clearance time]]-Table6[[#This Row],[Fault Start TimeStamp]])*24</f>
        <v>0.20000000000000195</v>
      </c>
      <c r="R533" s="79" t="s">
        <v>353</v>
      </c>
      <c r="S533" s="79" t="s">
        <v>339</v>
      </c>
      <c r="T533" s="298">
        <f>IFERROR(Table6[[#This Row],[Breakdown Time]]*Table6[[#This Row],[Plant Equivalent Weightage]],"")</f>
        <v>4.5454545454545903E-3</v>
      </c>
      <c r="U533" s="79" t="s">
        <v>416</v>
      </c>
      <c r="W533" s="79">
        <v>0.5</v>
      </c>
    </row>
    <row r="534" spans="1:23">
      <c r="A534" s="79">
        <f t="shared" si="8"/>
        <v>533</v>
      </c>
      <c r="B534" s="79">
        <f>YEAR(Table6[[#This Row],[Date]])+IF(MONTH(Table6[[#This Row],[Date]])&gt;=4,1,0)</f>
        <v>2026</v>
      </c>
      <c r="C534" s="79">
        <f>YEAR(Table6[[#This Row],[Date]])</f>
        <v>2025</v>
      </c>
      <c r="D534" s="79" t="s">
        <v>344</v>
      </c>
      <c r="E534" s="284">
        <f>Table6[[#This Row],[Date]]-DAY(Table6[[#This Row],[Date]])+1</f>
        <v>45778</v>
      </c>
      <c r="F534" s="285">
        <v>45793</v>
      </c>
      <c r="G534" s="79" t="s">
        <v>111</v>
      </c>
      <c r="H534" s="79" t="str">
        <f>IFERROR(_xlfn.XLOOKUP(Table6[[#This Row],[Affected Feeder ]],'Basic Data'!$A:$A,'Basic Data'!$B:$B),"")</f>
        <v>PWEPL</v>
      </c>
      <c r="I534" s="79" t="str">
        <f>IFERROR(_xlfn.XLOOKUP(Table6[[#This Row],[Affected Feeder ]],'Basic Data'!$A:$A,'Basic Data'!$C:$C),"")</f>
        <v>MSEDCL</v>
      </c>
      <c r="J534" s="295">
        <f>IFERROR(_xlfn.XLOOKUP(Table6[[#This Row],[Affected Feeder ]],'Basic Data'!$A:$A,'Basic Data'!$E:$E),"")</f>
        <v>2.2727272727272728E-2</v>
      </c>
      <c r="K534" s="296" t="s">
        <v>171</v>
      </c>
      <c r="L534" s="297">
        <v>0.65972222222222221</v>
      </c>
      <c r="M534" s="297">
        <v>0.65972222222222221</v>
      </c>
      <c r="N534" s="297">
        <v>0.67222222222222217</v>
      </c>
      <c r="O534" s="19">
        <f>(Table6[[#This Row],[Work Start TimeStamp]]-Table6[[#This Row],[Fault Start TimeStamp]])*24</f>
        <v>0</v>
      </c>
      <c r="P534" s="19">
        <f>(Table6[[#This Row],[Fault Clearance time]]-Table6[[#This Row],[Fault Start TimeStamp]])*24</f>
        <v>0.29999999999999893</v>
      </c>
      <c r="Q534" s="19">
        <f>(Table6[[#This Row],[Fault Clearance time]]-Table6[[#This Row],[Fault Start TimeStamp]])*24</f>
        <v>0.29999999999999893</v>
      </c>
      <c r="R534" s="79" t="s">
        <v>353</v>
      </c>
      <c r="S534" s="79" t="s">
        <v>339</v>
      </c>
      <c r="T534" s="298">
        <f>IFERROR(Table6[[#This Row],[Breakdown Time]]*Table6[[#This Row],[Plant Equivalent Weightage]],"")</f>
        <v>6.8181818181817944E-3</v>
      </c>
      <c r="U534" s="79" t="s">
        <v>416</v>
      </c>
      <c r="W534" s="79">
        <v>0.8</v>
      </c>
    </row>
    <row r="535" spans="1:23">
      <c r="A535" s="79">
        <f t="shared" si="8"/>
        <v>534</v>
      </c>
      <c r="B535" s="79">
        <f>YEAR(Table6[[#This Row],[Date]])+IF(MONTH(Table6[[#This Row],[Date]])&gt;=4,1,0)</f>
        <v>2026</v>
      </c>
      <c r="C535" s="79">
        <f>YEAR(Table6[[#This Row],[Date]])</f>
        <v>2025</v>
      </c>
      <c r="D535" s="79" t="s">
        <v>344</v>
      </c>
      <c r="E535" s="284">
        <f>Table6[[#This Row],[Date]]-DAY(Table6[[#This Row],[Date]])+1</f>
        <v>45778</v>
      </c>
      <c r="F535" s="285">
        <v>45793</v>
      </c>
      <c r="G535" s="79" t="s">
        <v>112</v>
      </c>
      <c r="H535" s="79" t="str">
        <f>IFERROR(_xlfn.XLOOKUP(Table6[[#This Row],[Affected Feeder ]],'Basic Data'!$A:$A,'Basic Data'!$B:$B),"")</f>
        <v>PWEPL</v>
      </c>
      <c r="I535" s="79" t="str">
        <f>IFERROR(_xlfn.XLOOKUP(Table6[[#This Row],[Affected Feeder ]],'Basic Data'!$A:$A,'Basic Data'!$C:$C),"")</f>
        <v>MSEDCL</v>
      </c>
      <c r="J535" s="295">
        <f>IFERROR(_xlfn.XLOOKUP(Table6[[#This Row],[Affected Feeder ]],'Basic Data'!$A:$A,'Basic Data'!$E:$E),"")</f>
        <v>2.2727272727272728E-2</v>
      </c>
      <c r="K535" s="296" t="s">
        <v>171</v>
      </c>
      <c r="L535" s="297">
        <v>0.65972222222222221</v>
      </c>
      <c r="M535" s="297">
        <v>0.65972222222222221</v>
      </c>
      <c r="N535" s="297">
        <v>0.67152777777777783</v>
      </c>
      <c r="O535" s="19">
        <f>(Table6[[#This Row],[Work Start TimeStamp]]-Table6[[#This Row],[Fault Start TimeStamp]])*24</f>
        <v>0</v>
      </c>
      <c r="P535" s="19">
        <f>(Table6[[#This Row],[Fault Clearance time]]-Table6[[#This Row],[Fault Start TimeStamp]])*24</f>
        <v>0.28333333333333499</v>
      </c>
      <c r="Q535" s="19">
        <f>(Table6[[#This Row],[Fault Clearance time]]-Table6[[#This Row],[Fault Start TimeStamp]])*24</f>
        <v>0.28333333333333499</v>
      </c>
      <c r="R535" s="79" t="s">
        <v>353</v>
      </c>
      <c r="S535" s="79" t="s">
        <v>339</v>
      </c>
      <c r="T535" s="298">
        <f>IFERROR(Table6[[#This Row],[Breakdown Time]]*Table6[[#This Row],[Plant Equivalent Weightage]],"")</f>
        <v>6.4393939393939774E-3</v>
      </c>
      <c r="U535" s="79" t="s">
        <v>416</v>
      </c>
      <c r="W535" s="79">
        <v>0.7</v>
      </c>
    </row>
    <row r="536" spans="1:23">
      <c r="A536" s="79">
        <f t="shared" si="8"/>
        <v>535</v>
      </c>
      <c r="B536" s="79">
        <f>YEAR(Table6[[#This Row],[Date]])+IF(MONTH(Table6[[#This Row],[Date]])&gt;=4,1,0)</f>
        <v>2026</v>
      </c>
      <c r="C536" s="79">
        <f>YEAR(Table6[[#This Row],[Date]])</f>
        <v>2025</v>
      </c>
      <c r="D536" s="79" t="s">
        <v>344</v>
      </c>
      <c r="E536" s="284">
        <f>Table6[[#This Row],[Date]]-DAY(Table6[[#This Row],[Date]])+1</f>
        <v>45778</v>
      </c>
      <c r="F536" s="285">
        <v>45793</v>
      </c>
      <c r="G536" s="79" t="s">
        <v>113</v>
      </c>
      <c r="H536" s="79" t="str">
        <f>IFERROR(_xlfn.XLOOKUP(Table6[[#This Row],[Affected Feeder ]],'Basic Data'!$A:$A,'Basic Data'!$B:$B),"")</f>
        <v>PWEPL</v>
      </c>
      <c r="I536" s="79" t="str">
        <f>IFERROR(_xlfn.XLOOKUP(Table6[[#This Row],[Affected Feeder ]],'Basic Data'!$A:$A,'Basic Data'!$C:$C),"")</f>
        <v>MSEDCL</v>
      </c>
      <c r="J536" s="295">
        <f>IFERROR(_xlfn.XLOOKUP(Table6[[#This Row],[Affected Feeder ]],'Basic Data'!$A:$A,'Basic Data'!$E:$E),"")</f>
        <v>2.2727272727272728E-2</v>
      </c>
      <c r="K536" s="296" t="s">
        <v>171</v>
      </c>
      <c r="L536" s="297">
        <v>0.65972222222222221</v>
      </c>
      <c r="M536" s="297">
        <v>0.65972222222222221</v>
      </c>
      <c r="N536" s="297">
        <v>0.66666666666666663</v>
      </c>
      <c r="O536" s="19">
        <f>(Table6[[#This Row],[Work Start TimeStamp]]-Table6[[#This Row],[Fault Start TimeStamp]])*24</f>
        <v>0</v>
      </c>
      <c r="P536" s="19">
        <f>(Table6[[#This Row],[Fault Clearance time]]-Table6[[#This Row],[Fault Start TimeStamp]])*24</f>
        <v>0.16666666666666607</v>
      </c>
      <c r="Q536" s="19">
        <f>(Table6[[#This Row],[Fault Clearance time]]-Table6[[#This Row],[Fault Start TimeStamp]])*24</f>
        <v>0.16666666666666607</v>
      </c>
      <c r="R536" s="79" t="s">
        <v>353</v>
      </c>
      <c r="S536" s="79" t="s">
        <v>339</v>
      </c>
      <c r="T536" s="298">
        <f>IFERROR(Table6[[#This Row],[Breakdown Time]]*Table6[[#This Row],[Plant Equivalent Weightage]],"")</f>
        <v>3.7878787878787745E-3</v>
      </c>
      <c r="U536" s="79" t="s">
        <v>416</v>
      </c>
      <c r="W536" s="79">
        <v>0.4</v>
      </c>
    </row>
    <row r="537" spans="1:23">
      <c r="A537" s="79">
        <f t="shared" si="8"/>
        <v>536</v>
      </c>
      <c r="B537" s="79">
        <f>YEAR(Table6[[#This Row],[Date]])+IF(MONTH(Table6[[#This Row],[Date]])&gt;=4,1,0)</f>
        <v>2026</v>
      </c>
      <c r="C537" s="79">
        <f>YEAR(Table6[[#This Row],[Date]])</f>
        <v>2025</v>
      </c>
      <c r="D537" s="79" t="s">
        <v>344</v>
      </c>
      <c r="E537" s="284">
        <f>Table6[[#This Row],[Date]]-DAY(Table6[[#This Row],[Date]])+1</f>
        <v>45778</v>
      </c>
      <c r="F537" s="285">
        <v>45793</v>
      </c>
      <c r="G537" s="79" t="s">
        <v>114</v>
      </c>
      <c r="H537" s="79" t="str">
        <f>IFERROR(_xlfn.XLOOKUP(Table6[[#This Row],[Affected Feeder ]],'Basic Data'!$A:$A,'Basic Data'!$B:$B),"")</f>
        <v>PWEPL</v>
      </c>
      <c r="I537" s="79" t="str">
        <f>IFERROR(_xlfn.XLOOKUP(Table6[[#This Row],[Affected Feeder ]],'Basic Data'!$A:$A,'Basic Data'!$C:$C),"")</f>
        <v>MSEDCL</v>
      </c>
      <c r="J537" s="295">
        <f>IFERROR(_xlfn.XLOOKUP(Table6[[#This Row],[Affected Feeder ]],'Basic Data'!$A:$A,'Basic Data'!$E:$E),"")</f>
        <v>2.2727272727272728E-2</v>
      </c>
      <c r="K537" s="296" t="s">
        <v>171</v>
      </c>
      <c r="L537" s="297">
        <v>0.65972222222222221</v>
      </c>
      <c r="M537" s="297">
        <v>0.65972222222222221</v>
      </c>
      <c r="N537" s="297">
        <v>0.67152777777777783</v>
      </c>
      <c r="O537" s="19">
        <f>(Table6[[#This Row],[Work Start TimeStamp]]-Table6[[#This Row],[Fault Start TimeStamp]])*24</f>
        <v>0</v>
      </c>
      <c r="P537" s="19">
        <f>(Table6[[#This Row],[Fault Clearance time]]-Table6[[#This Row],[Fault Start TimeStamp]])*24</f>
        <v>0.28333333333333499</v>
      </c>
      <c r="Q537" s="19">
        <f>(Table6[[#This Row],[Fault Clearance time]]-Table6[[#This Row],[Fault Start TimeStamp]])*24</f>
        <v>0.28333333333333499</v>
      </c>
      <c r="R537" s="79" t="s">
        <v>353</v>
      </c>
      <c r="S537" s="79" t="s">
        <v>339</v>
      </c>
      <c r="T537" s="298">
        <f>IFERROR(Table6[[#This Row],[Breakdown Time]]*Table6[[#This Row],[Plant Equivalent Weightage]],"")</f>
        <v>6.4393939393939774E-3</v>
      </c>
      <c r="U537" s="79" t="s">
        <v>416</v>
      </c>
      <c r="W537" s="79">
        <v>0.7</v>
      </c>
    </row>
    <row r="538" spans="1:23">
      <c r="A538" s="79">
        <f t="shared" si="8"/>
        <v>537</v>
      </c>
      <c r="B538" s="79">
        <f>YEAR(Table6[[#This Row],[Date]])+IF(MONTH(Table6[[#This Row],[Date]])&gt;=4,1,0)</f>
        <v>2026</v>
      </c>
      <c r="C538" s="79">
        <f>YEAR(Table6[[#This Row],[Date]])</f>
        <v>2025</v>
      </c>
      <c r="D538" s="79" t="s">
        <v>344</v>
      </c>
      <c r="E538" s="284">
        <f>Table6[[#This Row],[Date]]-DAY(Table6[[#This Row],[Date]])+1</f>
        <v>45778</v>
      </c>
      <c r="F538" s="285">
        <v>45793</v>
      </c>
      <c r="G538" s="79" t="s">
        <v>80</v>
      </c>
      <c r="H538" s="79" t="str">
        <f>IFERROR(_xlfn.XLOOKUP(Table6[[#This Row],[Affected Feeder ]],'Basic Data'!$A:$A,'Basic Data'!$B:$B),"")</f>
        <v>PWEPL</v>
      </c>
      <c r="I538" s="79" t="str">
        <f>IFERROR(_xlfn.XLOOKUP(Table6[[#This Row],[Affected Feeder ]],'Basic Data'!$A:$A,'Basic Data'!$C:$C),"")</f>
        <v>MSEDCL</v>
      </c>
      <c r="J538" s="295">
        <f>IFERROR(_xlfn.XLOOKUP(Table6[[#This Row],[Affected Feeder ]],'Basic Data'!$A:$A,'Basic Data'!$E:$E),"")</f>
        <v>2.2727272727272728E-2</v>
      </c>
      <c r="K538" s="296" t="s">
        <v>171</v>
      </c>
      <c r="L538" s="297">
        <v>0.65972222222222221</v>
      </c>
      <c r="M538" s="297">
        <v>0.65972222222222221</v>
      </c>
      <c r="N538" s="297">
        <v>0.67152777777777783</v>
      </c>
      <c r="O538" s="19">
        <f>(Table6[[#This Row],[Work Start TimeStamp]]-Table6[[#This Row],[Fault Start TimeStamp]])*24</f>
        <v>0</v>
      </c>
      <c r="P538" s="19">
        <f>(Table6[[#This Row],[Fault Clearance time]]-Table6[[#This Row],[Fault Start TimeStamp]])*24</f>
        <v>0.28333333333333499</v>
      </c>
      <c r="Q538" s="19">
        <f>(Table6[[#This Row],[Fault Clearance time]]-Table6[[#This Row],[Fault Start TimeStamp]])*24</f>
        <v>0.28333333333333499</v>
      </c>
      <c r="R538" s="79" t="s">
        <v>353</v>
      </c>
      <c r="S538" s="79" t="s">
        <v>339</v>
      </c>
      <c r="T538" s="298">
        <f>IFERROR(Table6[[#This Row],[Breakdown Time]]*Table6[[#This Row],[Plant Equivalent Weightage]],"")</f>
        <v>6.4393939393939774E-3</v>
      </c>
      <c r="U538" s="79" t="s">
        <v>416</v>
      </c>
      <c r="W538" s="79">
        <v>0.7</v>
      </c>
    </row>
    <row r="539" spans="1:23">
      <c r="A539" s="79">
        <f t="shared" si="8"/>
        <v>538</v>
      </c>
      <c r="B539" s="79">
        <f>YEAR(Table6[[#This Row],[Date]])+IF(MONTH(Table6[[#This Row],[Date]])&gt;=4,1,0)</f>
        <v>2026</v>
      </c>
      <c r="C539" s="79">
        <f>YEAR(Table6[[#This Row],[Date]])</f>
        <v>2025</v>
      </c>
      <c r="D539" s="79" t="s">
        <v>344</v>
      </c>
      <c r="E539" s="284">
        <f>Table6[[#This Row],[Date]]-DAY(Table6[[#This Row],[Date]])+1</f>
        <v>45778</v>
      </c>
      <c r="F539" s="285">
        <v>45793</v>
      </c>
      <c r="G539" s="79" t="s">
        <v>81</v>
      </c>
      <c r="H539" s="79" t="str">
        <f>IFERROR(_xlfn.XLOOKUP(Table6[[#This Row],[Affected Feeder ]],'Basic Data'!$A:$A,'Basic Data'!$B:$B),"")</f>
        <v>PWEPL</v>
      </c>
      <c r="I539" s="79" t="str">
        <f>IFERROR(_xlfn.XLOOKUP(Table6[[#This Row],[Affected Feeder ]],'Basic Data'!$A:$A,'Basic Data'!$C:$C),"")</f>
        <v>MSEDCL</v>
      </c>
      <c r="J539" s="295">
        <f>IFERROR(_xlfn.XLOOKUP(Table6[[#This Row],[Affected Feeder ]],'Basic Data'!$A:$A,'Basic Data'!$E:$E),"")</f>
        <v>2.2727272727272728E-2</v>
      </c>
      <c r="K539" s="296" t="s">
        <v>171</v>
      </c>
      <c r="L539" s="297">
        <v>0.65972222222222221</v>
      </c>
      <c r="M539" s="297">
        <v>0.65972222222222221</v>
      </c>
      <c r="N539" s="297">
        <v>0.67152777777777783</v>
      </c>
      <c r="O539" s="19">
        <f>(Table6[[#This Row],[Work Start TimeStamp]]-Table6[[#This Row],[Fault Start TimeStamp]])*24</f>
        <v>0</v>
      </c>
      <c r="P539" s="19">
        <f>(Table6[[#This Row],[Fault Clearance time]]-Table6[[#This Row],[Fault Start TimeStamp]])*24</f>
        <v>0.28333333333333499</v>
      </c>
      <c r="Q539" s="19">
        <f>(Table6[[#This Row],[Fault Clearance time]]-Table6[[#This Row],[Fault Start TimeStamp]])*24</f>
        <v>0.28333333333333499</v>
      </c>
      <c r="R539" s="79" t="s">
        <v>353</v>
      </c>
      <c r="S539" s="79" t="s">
        <v>339</v>
      </c>
      <c r="T539" s="298">
        <f>IFERROR(Table6[[#This Row],[Breakdown Time]]*Table6[[#This Row],[Plant Equivalent Weightage]],"")</f>
        <v>6.4393939393939774E-3</v>
      </c>
      <c r="U539" s="79" t="s">
        <v>416</v>
      </c>
      <c r="W539" s="79">
        <v>0.7</v>
      </c>
    </row>
    <row r="540" spans="1:23">
      <c r="A540" s="79">
        <f t="shared" si="8"/>
        <v>539</v>
      </c>
      <c r="B540" s="79">
        <f>YEAR(Table6[[#This Row],[Date]])+IF(MONTH(Table6[[#This Row],[Date]])&gt;=4,1,0)</f>
        <v>2026</v>
      </c>
      <c r="C540" s="79">
        <f>YEAR(Table6[[#This Row],[Date]])</f>
        <v>2025</v>
      </c>
      <c r="D540" s="79" t="s">
        <v>344</v>
      </c>
      <c r="E540" s="284">
        <f>Table6[[#This Row],[Date]]-DAY(Table6[[#This Row],[Date]])+1</f>
        <v>45778</v>
      </c>
      <c r="F540" s="285">
        <v>45793</v>
      </c>
      <c r="G540" s="79" t="s">
        <v>107</v>
      </c>
      <c r="H540" s="79" t="str">
        <f>IFERROR(_xlfn.XLOOKUP(Table6[[#This Row],[Affected Feeder ]],'Basic Data'!$A:$A,'Basic Data'!$B:$B),"")</f>
        <v>PWEPL</v>
      </c>
      <c r="I540" s="79" t="str">
        <f>IFERROR(_xlfn.XLOOKUP(Table6[[#This Row],[Affected Feeder ]],'Basic Data'!$A:$A,'Basic Data'!$C:$C),"")</f>
        <v>MSEDCL</v>
      </c>
      <c r="J540" s="295">
        <f>IFERROR(_xlfn.XLOOKUP(Table6[[#This Row],[Affected Feeder ]],'Basic Data'!$A:$A,'Basic Data'!$E:$E),"")</f>
        <v>2.2727272727272728E-2</v>
      </c>
      <c r="K540" s="296" t="s">
        <v>171</v>
      </c>
      <c r="L540" s="297">
        <v>0.65972222222222221</v>
      </c>
      <c r="M540" s="297">
        <v>0.65972222222222221</v>
      </c>
      <c r="N540" s="297">
        <v>0.67361111111111116</v>
      </c>
      <c r="O540" s="19">
        <f>(Table6[[#This Row],[Work Start TimeStamp]]-Table6[[#This Row],[Fault Start TimeStamp]])*24</f>
        <v>0</v>
      </c>
      <c r="P540" s="19">
        <f>(Table6[[#This Row],[Fault Clearance time]]-Table6[[#This Row],[Fault Start TimeStamp]])*24</f>
        <v>0.33333333333333481</v>
      </c>
      <c r="Q540" s="19">
        <f>(Table6[[#This Row],[Fault Clearance time]]-Table6[[#This Row],[Fault Start TimeStamp]])*24</f>
        <v>0.33333333333333481</v>
      </c>
      <c r="R540" s="79" t="s">
        <v>353</v>
      </c>
      <c r="S540" s="79" t="s">
        <v>339</v>
      </c>
      <c r="T540" s="298">
        <f>IFERROR(Table6[[#This Row],[Breakdown Time]]*Table6[[#This Row],[Plant Equivalent Weightage]],"")</f>
        <v>7.5757575757576098E-3</v>
      </c>
      <c r="U540" s="79" t="s">
        <v>416</v>
      </c>
      <c r="W540" s="79">
        <v>0.9</v>
      </c>
    </row>
    <row r="541" spans="1:23">
      <c r="A541" s="79">
        <f t="shared" si="8"/>
        <v>540</v>
      </c>
      <c r="B541" s="79">
        <f>YEAR(Table6[[#This Row],[Date]])+IF(MONTH(Table6[[#This Row],[Date]])&gt;=4,1,0)</f>
        <v>2026</v>
      </c>
      <c r="C541" s="79">
        <f>YEAR(Table6[[#This Row],[Date]])</f>
        <v>2025</v>
      </c>
      <c r="D541" s="79" t="s">
        <v>344</v>
      </c>
      <c r="E541" s="284">
        <f>Table6[[#This Row],[Date]]-DAY(Table6[[#This Row],[Date]])+1</f>
        <v>45778</v>
      </c>
      <c r="F541" s="285">
        <v>45793</v>
      </c>
      <c r="G541" s="79" t="s">
        <v>108</v>
      </c>
      <c r="H541" s="79" t="str">
        <f>IFERROR(_xlfn.XLOOKUP(Table6[[#This Row],[Affected Feeder ]],'Basic Data'!$A:$A,'Basic Data'!$B:$B),"")</f>
        <v>PWEPL</v>
      </c>
      <c r="I541" s="79" t="str">
        <f>IFERROR(_xlfn.XLOOKUP(Table6[[#This Row],[Affected Feeder ]],'Basic Data'!$A:$A,'Basic Data'!$C:$C),"")</f>
        <v>MSEDCL</v>
      </c>
      <c r="J541" s="295">
        <f>IFERROR(_xlfn.XLOOKUP(Table6[[#This Row],[Affected Feeder ]],'Basic Data'!$A:$A,'Basic Data'!$E:$E),"")</f>
        <v>2.2727272727272728E-2</v>
      </c>
      <c r="K541" s="296" t="s">
        <v>171</v>
      </c>
      <c r="L541" s="297">
        <v>0.65972222222222221</v>
      </c>
      <c r="M541" s="297">
        <v>0.65972222222222221</v>
      </c>
      <c r="N541" s="297">
        <v>0.67152777777777783</v>
      </c>
      <c r="O541" s="19">
        <f>(Table6[[#This Row],[Work Start TimeStamp]]-Table6[[#This Row],[Fault Start TimeStamp]])*24</f>
        <v>0</v>
      </c>
      <c r="P541" s="19">
        <f>(Table6[[#This Row],[Fault Clearance time]]-Table6[[#This Row],[Fault Start TimeStamp]])*24</f>
        <v>0.28333333333333499</v>
      </c>
      <c r="Q541" s="19">
        <f>(Table6[[#This Row],[Fault Clearance time]]-Table6[[#This Row],[Fault Start TimeStamp]])*24</f>
        <v>0.28333333333333499</v>
      </c>
      <c r="R541" s="79" t="s">
        <v>353</v>
      </c>
      <c r="S541" s="79" t="s">
        <v>339</v>
      </c>
      <c r="T541" s="298">
        <f>IFERROR(Table6[[#This Row],[Breakdown Time]]*Table6[[#This Row],[Plant Equivalent Weightage]],"")</f>
        <v>6.4393939393939774E-3</v>
      </c>
      <c r="U541" s="79" t="s">
        <v>416</v>
      </c>
      <c r="W541" s="79">
        <v>0.7</v>
      </c>
    </row>
    <row r="542" spans="1:23">
      <c r="A542" s="79">
        <f t="shared" si="8"/>
        <v>541</v>
      </c>
      <c r="B542" s="79">
        <f>YEAR(Table6[[#This Row],[Date]])+IF(MONTH(Table6[[#This Row],[Date]])&gt;=4,1,0)</f>
        <v>2026</v>
      </c>
      <c r="C542" s="79">
        <f>YEAR(Table6[[#This Row],[Date]])</f>
        <v>2025</v>
      </c>
      <c r="D542" s="79" t="s">
        <v>344</v>
      </c>
      <c r="E542" s="284">
        <f>Table6[[#This Row],[Date]]-DAY(Table6[[#This Row],[Date]])+1</f>
        <v>45778</v>
      </c>
      <c r="F542" s="285">
        <v>45793</v>
      </c>
      <c r="G542" s="79" t="s">
        <v>406</v>
      </c>
      <c r="H542" s="79" t="str">
        <f>IFERROR(_xlfn.XLOOKUP(Table6[[#This Row],[Affected Feeder ]],'Basic Data'!$A:$A,'Basic Data'!$B:$B),"")</f>
        <v>PWEPL</v>
      </c>
      <c r="I542" s="79" t="str">
        <f>IFERROR(_xlfn.XLOOKUP(Table6[[#This Row],[Affected Feeder ]],'Basic Data'!$A:$A,'Basic Data'!$C:$C),"")</f>
        <v>MSEDCL</v>
      </c>
      <c r="J542" s="295">
        <f>IFERROR(_xlfn.XLOOKUP(Table6[[#This Row],[Affected Feeder ]],'Basic Data'!$A:$A,'Basic Data'!$E:$E),"")</f>
        <v>0.29545454545454541</v>
      </c>
      <c r="K542" s="296" t="s">
        <v>815</v>
      </c>
      <c r="L542" s="297">
        <v>0.40972222222222227</v>
      </c>
      <c r="M542" s="297">
        <v>0.40972222222222227</v>
      </c>
      <c r="N542" s="297">
        <v>0.65972222222222221</v>
      </c>
      <c r="O542" s="19">
        <f>(Table6[[#This Row],[Work Start TimeStamp]]-Table6[[#This Row],[Fault Start TimeStamp]])*24</f>
        <v>0</v>
      </c>
      <c r="P542" s="19">
        <f>(Table6[[#This Row],[Fault Clearance time]]-Table6[[#This Row],[Fault Start TimeStamp]])*24</f>
        <v>5.9999999999999982</v>
      </c>
      <c r="Q542" s="19">
        <f>(Table6[[#This Row],[Fault Clearance time]]-Table6[[#This Row],[Fault Start TimeStamp]])*24</f>
        <v>5.9999999999999982</v>
      </c>
      <c r="R542" s="79" t="s">
        <v>816</v>
      </c>
      <c r="S542" s="79" t="s">
        <v>339</v>
      </c>
      <c r="T542" s="298">
        <f>IFERROR(Table6[[#This Row],[Breakdown Time]]*Table6[[#This Row],[Plant Equivalent Weightage]],"")</f>
        <v>1.772727272727272</v>
      </c>
      <c r="U542" s="79" t="s">
        <v>416</v>
      </c>
      <c r="W542" s="79">
        <v>151</v>
      </c>
    </row>
    <row r="543" spans="1:23">
      <c r="A543" s="79">
        <f t="shared" si="8"/>
        <v>542</v>
      </c>
      <c r="B543" s="79">
        <f>YEAR(Table6[[#This Row],[Date]])+IF(MONTH(Table6[[#This Row],[Date]])&gt;=4,1,0)</f>
        <v>2026</v>
      </c>
      <c r="C543" s="79">
        <f>YEAR(Table6[[#This Row],[Date]])</f>
        <v>2025</v>
      </c>
      <c r="D543" s="79" t="s">
        <v>344</v>
      </c>
      <c r="E543" s="284">
        <f>Table6[[#This Row],[Date]]-DAY(Table6[[#This Row],[Date]])+1</f>
        <v>45778</v>
      </c>
      <c r="F543" s="285">
        <v>45793</v>
      </c>
      <c r="G543" s="79" t="s">
        <v>76</v>
      </c>
      <c r="H543" s="79" t="str">
        <f>IFERROR(_xlfn.XLOOKUP(Table6[[#This Row],[Affected Feeder ]],'Basic Data'!$A:$A,'Basic Data'!$B:$B),"")</f>
        <v>PWEPL</v>
      </c>
      <c r="I543" s="79" t="str">
        <f>IFERROR(_xlfn.XLOOKUP(Table6[[#This Row],[Affected Feeder ]],'Basic Data'!$A:$A,'Basic Data'!$C:$C),"")</f>
        <v>MSEDCL</v>
      </c>
      <c r="J543" s="295">
        <f>IFERROR(_xlfn.XLOOKUP(Table6[[#This Row],[Affected Feeder ]],'Basic Data'!$A:$A,'Basic Data'!$E:$E),"")</f>
        <v>2.2727272727272728E-2</v>
      </c>
      <c r="K543" s="296" t="s">
        <v>171</v>
      </c>
      <c r="L543" s="297">
        <v>0.65972222222222221</v>
      </c>
      <c r="M543" s="297">
        <v>0.65972222222222221</v>
      </c>
      <c r="N543" s="297">
        <v>0.67013888888888884</v>
      </c>
      <c r="O543" s="19">
        <f>(Table6[[#This Row],[Work Start TimeStamp]]-Table6[[#This Row],[Fault Start TimeStamp]])*24</f>
        <v>0</v>
      </c>
      <c r="P543" s="19">
        <f>(Table6[[#This Row],[Fault Clearance time]]-Table6[[#This Row],[Fault Start TimeStamp]])*24</f>
        <v>0.24999999999999911</v>
      </c>
      <c r="Q543" s="19">
        <f>(Table6[[#This Row],[Fault Clearance time]]-Table6[[#This Row],[Fault Start TimeStamp]])*24</f>
        <v>0.24999999999999911</v>
      </c>
      <c r="R543" s="79" t="s">
        <v>353</v>
      </c>
      <c r="S543" s="79" t="s">
        <v>339</v>
      </c>
      <c r="T543" s="298">
        <f>IFERROR(Table6[[#This Row],[Breakdown Time]]*Table6[[#This Row],[Plant Equivalent Weightage]],"")</f>
        <v>5.681818181818162E-3</v>
      </c>
      <c r="U543" s="79" t="s">
        <v>416</v>
      </c>
      <c r="W543" s="79">
        <v>0.5</v>
      </c>
    </row>
    <row r="544" spans="1:23">
      <c r="A544" s="79">
        <f t="shared" si="8"/>
        <v>543</v>
      </c>
      <c r="B544" s="79">
        <f>YEAR(Table6[[#This Row],[Date]])+IF(MONTH(Table6[[#This Row],[Date]])&gt;=4,1,0)</f>
        <v>2026</v>
      </c>
      <c r="C544" s="79">
        <f>YEAR(Table6[[#This Row],[Date]])</f>
        <v>2025</v>
      </c>
      <c r="D544" s="79" t="s">
        <v>344</v>
      </c>
      <c r="E544" s="284">
        <f>Table6[[#This Row],[Date]]-DAY(Table6[[#This Row],[Date]])+1</f>
        <v>45778</v>
      </c>
      <c r="F544" s="285">
        <v>45793</v>
      </c>
      <c r="G544" s="79" t="s">
        <v>77</v>
      </c>
      <c r="H544" s="79" t="str">
        <f>IFERROR(_xlfn.XLOOKUP(Table6[[#This Row],[Affected Feeder ]],'Basic Data'!$A:$A,'Basic Data'!$B:$B),"")</f>
        <v>PWEPL</v>
      </c>
      <c r="I544" s="79" t="str">
        <f>IFERROR(_xlfn.XLOOKUP(Table6[[#This Row],[Affected Feeder ]],'Basic Data'!$A:$A,'Basic Data'!$C:$C),"")</f>
        <v>MSEDCL</v>
      </c>
      <c r="J544" s="295">
        <f>IFERROR(_xlfn.XLOOKUP(Table6[[#This Row],[Affected Feeder ]],'Basic Data'!$A:$A,'Basic Data'!$E:$E),"")</f>
        <v>2.2727272727272728E-2</v>
      </c>
      <c r="K544" s="296" t="s">
        <v>171</v>
      </c>
      <c r="L544" s="297">
        <v>0.65972222222222221</v>
      </c>
      <c r="M544" s="297">
        <v>0.65972222222222221</v>
      </c>
      <c r="N544" s="297">
        <v>0.66041666666666665</v>
      </c>
      <c r="O544" s="19">
        <f>(Table6[[#This Row],[Work Start TimeStamp]]-Table6[[#This Row],[Fault Start TimeStamp]])*24</f>
        <v>0</v>
      </c>
      <c r="P544" s="19">
        <f>(Table6[[#This Row],[Fault Clearance time]]-Table6[[#This Row],[Fault Start TimeStamp]])*24</f>
        <v>1.6666666666666607E-2</v>
      </c>
      <c r="Q544" s="19">
        <f>(Table6[[#This Row],[Fault Clearance time]]-Table6[[#This Row],[Fault Start TimeStamp]])*24</f>
        <v>1.6666666666666607E-2</v>
      </c>
      <c r="R544" s="79" t="s">
        <v>353</v>
      </c>
      <c r="S544" s="79" t="s">
        <v>339</v>
      </c>
      <c r="T544" s="298">
        <f>IFERROR(Table6[[#This Row],[Breakdown Time]]*Table6[[#This Row],[Plant Equivalent Weightage]],"")</f>
        <v>3.7878787878787743E-4</v>
      </c>
      <c r="U544" s="79" t="s">
        <v>416</v>
      </c>
      <c r="W544" s="79">
        <v>0</v>
      </c>
    </row>
    <row r="545" spans="1:23">
      <c r="A545" s="79">
        <f t="shared" si="8"/>
        <v>544</v>
      </c>
      <c r="B545" s="79">
        <f>YEAR(Table6[[#This Row],[Date]])+IF(MONTH(Table6[[#This Row],[Date]])&gt;=4,1,0)</f>
        <v>2026</v>
      </c>
      <c r="C545" s="79">
        <f>YEAR(Table6[[#This Row],[Date]])</f>
        <v>2025</v>
      </c>
      <c r="D545" s="79" t="s">
        <v>344</v>
      </c>
      <c r="E545" s="284">
        <f>Table6[[#This Row],[Date]]-DAY(Table6[[#This Row],[Date]])+1</f>
        <v>45778</v>
      </c>
      <c r="F545" s="285">
        <v>45793</v>
      </c>
      <c r="G545" s="79" t="s">
        <v>78</v>
      </c>
      <c r="H545" s="79" t="str">
        <f>IFERROR(_xlfn.XLOOKUP(Table6[[#This Row],[Affected Feeder ]],'Basic Data'!$A:$A,'Basic Data'!$B:$B),"")</f>
        <v>PWEPL</v>
      </c>
      <c r="I545" s="79" t="str">
        <f>IFERROR(_xlfn.XLOOKUP(Table6[[#This Row],[Affected Feeder ]],'Basic Data'!$A:$A,'Basic Data'!$C:$C),"")</f>
        <v>MSEDCL</v>
      </c>
      <c r="J545" s="295">
        <f>IFERROR(_xlfn.XLOOKUP(Table6[[#This Row],[Affected Feeder ]],'Basic Data'!$A:$A,'Basic Data'!$E:$E),"")</f>
        <v>2.2727272727272728E-2</v>
      </c>
      <c r="K545" s="296" t="s">
        <v>171</v>
      </c>
      <c r="L545" s="297">
        <v>0.65972222222222221</v>
      </c>
      <c r="M545" s="297">
        <v>0.65972222222222221</v>
      </c>
      <c r="N545" s="297">
        <v>0.6694444444444444</v>
      </c>
      <c r="O545" s="19">
        <f>(Table6[[#This Row],[Work Start TimeStamp]]-Table6[[#This Row],[Fault Start TimeStamp]])*24</f>
        <v>0</v>
      </c>
      <c r="P545" s="19">
        <f>(Table6[[#This Row],[Fault Clearance time]]-Table6[[#This Row],[Fault Start TimeStamp]])*24</f>
        <v>0.2333333333333325</v>
      </c>
      <c r="Q545" s="19">
        <f>(Table6[[#This Row],[Fault Clearance time]]-Table6[[#This Row],[Fault Start TimeStamp]])*24</f>
        <v>0.2333333333333325</v>
      </c>
      <c r="R545" s="79" t="s">
        <v>353</v>
      </c>
      <c r="S545" s="79" t="s">
        <v>339</v>
      </c>
      <c r="T545" s="298">
        <f>IFERROR(Table6[[#This Row],[Breakdown Time]]*Table6[[#This Row],[Plant Equivalent Weightage]],"")</f>
        <v>5.3030303030302843E-3</v>
      </c>
      <c r="U545" s="79" t="s">
        <v>416</v>
      </c>
      <c r="W545" s="79">
        <v>0.45</v>
      </c>
    </row>
    <row r="546" spans="1:23">
      <c r="A546" s="79">
        <f t="shared" si="8"/>
        <v>545</v>
      </c>
      <c r="B546" s="79">
        <f>YEAR(Table6[[#This Row],[Date]])+IF(MONTH(Table6[[#This Row],[Date]])&gt;=4,1,0)</f>
        <v>2026</v>
      </c>
      <c r="C546" s="79">
        <f>YEAR(Table6[[#This Row],[Date]])</f>
        <v>2025</v>
      </c>
      <c r="D546" s="79" t="s">
        <v>344</v>
      </c>
      <c r="E546" s="284">
        <f>Table6[[#This Row],[Date]]-DAY(Table6[[#This Row],[Date]])+1</f>
        <v>45778</v>
      </c>
      <c r="F546" s="285">
        <v>45793</v>
      </c>
      <c r="G546" s="79" t="s">
        <v>82</v>
      </c>
      <c r="H546" s="79" t="str">
        <f>IFERROR(_xlfn.XLOOKUP(Table6[[#This Row],[Affected Feeder ]],'Basic Data'!$A:$A,'Basic Data'!$B:$B),"")</f>
        <v>PWEPL</v>
      </c>
      <c r="I546" s="79" t="str">
        <f>IFERROR(_xlfn.XLOOKUP(Table6[[#This Row],[Affected Feeder ]],'Basic Data'!$A:$A,'Basic Data'!$C:$C),"")</f>
        <v>MSEDCL</v>
      </c>
      <c r="J546" s="295">
        <f>IFERROR(_xlfn.XLOOKUP(Table6[[#This Row],[Affected Feeder ]],'Basic Data'!$A:$A,'Basic Data'!$E:$E),"")</f>
        <v>2.2727272727272728E-2</v>
      </c>
      <c r="K546" s="296" t="s">
        <v>171</v>
      </c>
      <c r="L546" s="297">
        <v>0.65972222222222221</v>
      </c>
      <c r="M546" s="297">
        <v>0.65972222222222221</v>
      </c>
      <c r="N546" s="297">
        <v>0.6694444444444444</v>
      </c>
      <c r="O546" s="19">
        <f>(Table6[[#This Row],[Work Start TimeStamp]]-Table6[[#This Row],[Fault Start TimeStamp]])*24</f>
        <v>0</v>
      </c>
      <c r="P546" s="19">
        <f>(Table6[[#This Row],[Fault Clearance time]]-Table6[[#This Row],[Fault Start TimeStamp]])*24</f>
        <v>0.2333333333333325</v>
      </c>
      <c r="Q546" s="19">
        <f>(Table6[[#This Row],[Fault Clearance time]]-Table6[[#This Row],[Fault Start TimeStamp]])*24</f>
        <v>0.2333333333333325</v>
      </c>
      <c r="R546" s="79" t="s">
        <v>353</v>
      </c>
      <c r="S546" s="79" t="s">
        <v>339</v>
      </c>
      <c r="T546" s="298">
        <f>IFERROR(Table6[[#This Row],[Breakdown Time]]*Table6[[#This Row],[Plant Equivalent Weightage]],"")</f>
        <v>5.3030303030302843E-3</v>
      </c>
      <c r="U546" s="79" t="s">
        <v>416</v>
      </c>
      <c r="W546" s="79">
        <v>0.45</v>
      </c>
    </row>
    <row r="547" spans="1:23">
      <c r="A547" s="79">
        <f t="shared" si="8"/>
        <v>546</v>
      </c>
      <c r="B547" s="79">
        <f>YEAR(Table6[[#This Row],[Date]])+IF(MONTH(Table6[[#This Row],[Date]])&gt;=4,1,0)</f>
        <v>2026</v>
      </c>
      <c r="C547" s="79">
        <f>YEAR(Table6[[#This Row],[Date]])</f>
        <v>2025</v>
      </c>
      <c r="D547" s="79" t="s">
        <v>344</v>
      </c>
      <c r="E547" s="284">
        <f>Table6[[#This Row],[Date]]-DAY(Table6[[#This Row],[Date]])+1</f>
        <v>45778</v>
      </c>
      <c r="F547" s="285">
        <v>45793</v>
      </c>
      <c r="G547" s="79" t="s">
        <v>93</v>
      </c>
      <c r="H547" s="79" t="str">
        <f>IFERROR(_xlfn.XLOOKUP(Table6[[#This Row],[Affected Feeder ]],'Basic Data'!$A:$A,'Basic Data'!$B:$B),"")</f>
        <v>PWEPL</v>
      </c>
      <c r="I547" s="79" t="str">
        <f>IFERROR(_xlfn.XLOOKUP(Table6[[#This Row],[Affected Feeder ]],'Basic Data'!$A:$A,'Basic Data'!$C:$C),"")</f>
        <v>MSEDCL</v>
      </c>
      <c r="J547" s="295">
        <f>IFERROR(_xlfn.XLOOKUP(Table6[[#This Row],[Affected Feeder ]],'Basic Data'!$A:$A,'Basic Data'!$E:$E),"")</f>
        <v>2.2727272727272728E-2</v>
      </c>
      <c r="K547" s="296" t="s">
        <v>171</v>
      </c>
      <c r="L547" s="297">
        <v>0.65972222222222221</v>
      </c>
      <c r="M547" s="297">
        <v>0.65972222222222221</v>
      </c>
      <c r="N547" s="297">
        <v>0.66666666666666663</v>
      </c>
      <c r="O547" s="19">
        <f>(Table6[[#This Row],[Work Start TimeStamp]]-Table6[[#This Row],[Fault Start TimeStamp]])*24</f>
        <v>0</v>
      </c>
      <c r="P547" s="19">
        <f>(Table6[[#This Row],[Fault Clearance time]]-Table6[[#This Row],[Fault Start TimeStamp]])*24</f>
        <v>0.16666666666666607</v>
      </c>
      <c r="Q547" s="19">
        <f>(Table6[[#This Row],[Fault Clearance time]]-Table6[[#This Row],[Fault Start TimeStamp]])*24</f>
        <v>0.16666666666666607</v>
      </c>
      <c r="R547" s="79" t="s">
        <v>353</v>
      </c>
      <c r="S547" s="79" t="s">
        <v>339</v>
      </c>
      <c r="T547" s="298">
        <f>IFERROR(Table6[[#This Row],[Breakdown Time]]*Table6[[#This Row],[Plant Equivalent Weightage]],"")</f>
        <v>3.7878787878787745E-3</v>
      </c>
      <c r="U547" s="79" t="s">
        <v>416</v>
      </c>
      <c r="W547" s="79">
        <v>0.3</v>
      </c>
    </row>
    <row r="548" spans="1:23">
      <c r="A548" s="79">
        <f t="shared" si="8"/>
        <v>547</v>
      </c>
      <c r="B548" s="79">
        <f>YEAR(Table6[[#This Row],[Date]])+IF(MONTH(Table6[[#This Row],[Date]])&gt;=4,1,0)</f>
        <v>2026</v>
      </c>
      <c r="C548" s="79">
        <f>YEAR(Table6[[#This Row],[Date]])</f>
        <v>2025</v>
      </c>
      <c r="D548" s="79" t="s">
        <v>344</v>
      </c>
      <c r="E548" s="284">
        <f>Table6[[#This Row],[Date]]-DAY(Table6[[#This Row],[Date]])+1</f>
        <v>45778</v>
      </c>
      <c r="F548" s="285">
        <v>45793</v>
      </c>
      <c r="G548" s="79" t="s">
        <v>102</v>
      </c>
      <c r="H548" s="79" t="str">
        <f>IFERROR(_xlfn.XLOOKUP(Table6[[#This Row],[Affected Feeder ]],'Basic Data'!$A:$A,'Basic Data'!$B:$B),"")</f>
        <v>PWEPL</v>
      </c>
      <c r="I548" s="79" t="str">
        <f>IFERROR(_xlfn.XLOOKUP(Table6[[#This Row],[Affected Feeder ]],'Basic Data'!$A:$A,'Basic Data'!$C:$C),"")</f>
        <v>MSEDCL</v>
      </c>
      <c r="J548" s="295">
        <f>IFERROR(_xlfn.XLOOKUP(Table6[[#This Row],[Affected Feeder ]],'Basic Data'!$A:$A,'Basic Data'!$E:$E),"")</f>
        <v>2.2727272727272728E-2</v>
      </c>
      <c r="K548" s="296" t="s">
        <v>171</v>
      </c>
      <c r="L548" s="297">
        <v>0.65972222222222221</v>
      </c>
      <c r="M548" s="297">
        <v>0.65972222222222221</v>
      </c>
      <c r="N548" s="297">
        <v>0.6694444444444444</v>
      </c>
      <c r="O548" s="19">
        <f>(Table6[[#This Row],[Work Start TimeStamp]]-Table6[[#This Row],[Fault Start TimeStamp]])*24</f>
        <v>0</v>
      </c>
      <c r="P548" s="19">
        <f>(Table6[[#This Row],[Fault Clearance time]]-Table6[[#This Row],[Fault Start TimeStamp]])*24</f>
        <v>0.2333333333333325</v>
      </c>
      <c r="Q548" s="19">
        <f>(Table6[[#This Row],[Fault Clearance time]]-Table6[[#This Row],[Fault Start TimeStamp]])*24</f>
        <v>0.2333333333333325</v>
      </c>
      <c r="R548" s="79" t="s">
        <v>353</v>
      </c>
      <c r="S548" s="79" t="s">
        <v>339</v>
      </c>
      <c r="T548" s="298">
        <f>IFERROR(Table6[[#This Row],[Breakdown Time]]*Table6[[#This Row],[Plant Equivalent Weightage]],"")</f>
        <v>5.3030303030302843E-3</v>
      </c>
      <c r="U548" s="79" t="s">
        <v>416</v>
      </c>
      <c r="W548" s="79">
        <v>0.45</v>
      </c>
    </row>
    <row r="549" spans="1:23">
      <c r="A549" s="79">
        <f t="shared" si="8"/>
        <v>548</v>
      </c>
      <c r="B549" s="79">
        <f>YEAR(Table6[[#This Row],[Date]])+IF(MONTH(Table6[[#This Row],[Date]])&gt;=4,1,0)</f>
        <v>2026</v>
      </c>
      <c r="C549" s="79">
        <f>YEAR(Table6[[#This Row],[Date]])</f>
        <v>2025</v>
      </c>
      <c r="D549" s="79" t="s">
        <v>344</v>
      </c>
      <c r="E549" s="284">
        <f>Table6[[#This Row],[Date]]-DAY(Table6[[#This Row],[Date]])+1</f>
        <v>45778</v>
      </c>
      <c r="F549" s="285">
        <v>45793</v>
      </c>
      <c r="G549" s="79" t="s">
        <v>119</v>
      </c>
      <c r="H549" s="79" t="str">
        <f>IFERROR(_xlfn.XLOOKUP(Table6[[#This Row],[Affected Feeder ]],'Basic Data'!$A:$A,'Basic Data'!$B:$B),"")</f>
        <v>PWEPL</v>
      </c>
      <c r="I549" s="79" t="str">
        <f>IFERROR(_xlfn.XLOOKUP(Table6[[#This Row],[Affected Feeder ]],'Basic Data'!$A:$A,'Basic Data'!$C:$C),"")</f>
        <v>MSEDCL</v>
      </c>
      <c r="J549" s="295">
        <f>IFERROR(_xlfn.XLOOKUP(Table6[[#This Row],[Affected Feeder ]],'Basic Data'!$A:$A,'Basic Data'!$E:$E),"")</f>
        <v>2.2727272727272728E-2</v>
      </c>
      <c r="K549" s="296" t="s">
        <v>171</v>
      </c>
      <c r="L549" s="297">
        <v>0.65972222222222221</v>
      </c>
      <c r="M549" s="297">
        <v>0.65972222222222221</v>
      </c>
      <c r="N549" s="297">
        <v>0.66736111111111107</v>
      </c>
      <c r="O549" s="19">
        <f>(Table6[[#This Row],[Work Start TimeStamp]]-Table6[[#This Row],[Fault Start TimeStamp]])*24</f>
        <v>0</v>
      </c>
      <c r="P549" s="19">
        <f>(Table6[[#This Row],[Fault Clearance time]]-Table6[[#This Row],[Fault Start TimeStamp]])*24</f>
        <v>0.18333333333333268</v>
      </c>
      <c r="Q549" s="19">
        <f>(Table6[[#This Row],[Fault Clearance time]]-Table6[[#This Row],[Fault Start TimeStamp]])*24</f>
        <v>0.18333333333333268</v>
      </c>
      <c r="R549" s="79" t="s">
        <v>353</v>
      </c>
      <c r="S549" s="79" t="s">
        <v>339</v>
      </c>
      <c r="T549" s="298">
        <f>IFERROR(Table6[[#This Row],[Breakdown Time]]*Table6[[#This Row],[Plant Equivalent Weightage]],"")</f>
        <v>4.1666666666666519E-3</v>
      </c>
      <c r="U549" s="79" t="s">
        <v>416</v>
      </c>
      <c r="W549" s="79">
        <v>0.35</v>
      </c>
    </row>
    <row r="550" spans="1:23">
      <c r="A550" s="79">
        <f t="shared" si="8"/>
        <v>549</v>
      </c>
      <c r="B550" s="79">
        <f>YEAR(Table6[[#This Row],[Date]])+IF(MONTH(Table6[[#This Row],[Date]])&gt;=4,1,0)</f>
        <v>2026</v>
      </c>
      <c r="C550" s="79">
        <f>YEAR(Table6[[#This Row],[Date]])</f>
        <v>2025</v>
      </c>
      <c r="D550" s="79" t="s">
        <v>344</v>
      </c>
      <c r="E550" s="284">
        <f>Table6[[#This Row],[Date]]-DAY(Table6[[#This Row],[Date]])+1</f>
        <v>45778</v>
      </c>
      <c r="F550" s="285">
        <v>45793</v>
      </c>
      <c r="G550" s="79" t="s">
        <v>103</v>
      </c>
      <c r="H550" s="79" t="str">
        <f>IFERROR(_xlfn.XLOOKUP(Table6[[#This Row],[Affected Feeder ]],'Basic Data'!$A:$A,'Basic Data'!$B:$B),"")</f>
        <v>PWEPL</v>
      </c>
      <c r="I550" s="79" t="str">
        <f>IFERROR(_xlfn.XLOOKUP(Table6[[#This Row],[Affected Feeder ]],'Basic Data'!$A:$A,'Basic Data'!$C:$C),"")</f>
        <v>MSEDCL</v>
      </c>
      <c r="J550" s="295">
        <f>IFERROR(_xlfn.XLOOKUP(Table6[[#This Row],[Affected Feeder ]],'Basic Data'!$A:$A,'Basic Data'!$E:$E),"")</f>
        <v>2.2727272727272728E-2</v>
      </c>
      <c r="K550" s="296" t="s">
        <v>171</v>
      </c>
      <c r="L550" s="297">
        <v>0.65972222222222221</v>
      </c>
      <c r="M550" s="297">
        <v>0.65972222222222221</v>
      </c>
      <c r="N550" s="297">
        <v>0.6694444444444444</v>
      </c>
      <c r="O550" s="19">
        <f>(Table6[[#This Row],[Work Start TimeStamp]]-Table6[[#This Row],[Fault Start TimeStamp]])*24</f>
        <v>0</v>
      </c>
      <c r="P550" s="19">
        <f>(Table6[[#This Row],[Fault Clearance time]]-Table6[[#This Row],[Fault Start TimeStamp]])*24</f>
        <v>0.2333333333333325</v>
      </c>
      <c r="Q550" s="19">
        <f>(Table6[[#This Row],[Fault Clearance time]]-Table6[[#This Row],[Fault Start TimeStamp]])*24</f>
        <v>0.2333333333333325</v>
      </c>
      <c r="R550" s="79" t="s">
        <v>353</v>
      </c>
      <c r="S550" s="79" t="s">
        <v>339</v>
      </c>
      <c r="T550" s="298">
        <f>IFERROR(Table6[[#This Row],[Breakdown Time]]*Table6[[#This Row],[Plant Equivalent Weightage]],"")</f>
        <v>5.3030303030302843E-3</v>
      </c>
      <c r="U550" s="79" t="s">
        <v>416</v>
      </c>
      <c r="W550" s="79">
        <v>0.45</v>
      </c>
    </row>
    <row r="551" spans="1:23">
      <c r="A551" s="79">
        <f t="shared" si="8"/>
        <v>550</v>
      </c>
      <c r="B551" s="79">
        <f>YEAR(Table6[[#This Row],[Date]])+IF(MONTH(Table6[[#This Row],[Date]])&gt;=4,1,0)</f>
        <v>2026</v>
      </c>
      <c r="C551" s="79">
        <f>YEAR(Table6[[#This Row],[Date]])</f>
        <v>2025</v>
      </c>
      <c r="D551" s="79" t="s">
        <v>344</v>
      </c>
      <c r="E551" s="284">
        <f>Table6[[#This Row],[Date]]-DAY(Table6[[#This Row],[Date]])+1</f>
        <v>45778</v>
      </c>
      <c r="F551" s="285">
        <v>45793</v>
      </c>
      <c r="G551" s="79" t="s">
        <v>105</v>
      </c>
      <c r="H551" s="79" t="str">
        <f>IFERROR(_xlfn.XLOOKUP(Table6[[#This Row],[Affected Feeder ]],'Basic Data'!$A:$A,'Basic Data'!$B:$B),"")</f>
        <v>PWEPL</v>
      </c>
      <c r="I551" s="79" t="str">
        <f>IFERROR(_xlfn.XLOOKUP(Table6[[#This Row],[Affected Feeder ]],'Basic Data'!$A:$A,'Basic Data'!$C:$C),"")</f>
        <v>MSEDCL</v>
      </c>
      <c r="J551" s="295">
        <f>IFERROR(_xlfn.XLOOKUP(Table6[[#This Row],[Affected Feeder ]],'Basic Data'!$A:$A,'Basic Data'!$E:$E),"")</f>
        <v>2.2727272727272728E-2</v>
      </c>
      <c r="K551" s="296" t="s">
        <v>171</v>
      </c>
      <c r="L551" s="297">
        <v>0.65972222222222221</v>
      </c>
      <c r="M551" s="297">
        <v>0.65972222222222221</v>
      </c>
      <c r="N551" s="297">
        <v>0.66666666666666663</v>
      </c>
      <c r="O551" s="19">
        <f>(Table6[[#This Row],[Work Start TimeStamp]]-Table6[[#This Row],[Fault Start TimeStamp]])*24</f>
        <v>0</v>
      </c>
      <c r="P551" s="19">
        <f>(Table6[[#This Row],[Fault Clearance time]]-Table6[[#This Row],[Fault Start TimeStamp]])*24</f>
        <v>0.16666666666666607</v>
      </c>
      <c r="Q551" s="19">
        <f>(Table6[[#This Row],[Fault Clearance time]]-Table6[[#This Row],[Fault Start TimeStamp]])*24</f>
        <v>0.16666666666666607</v>
      </c>
      <c r="R551" s="79" t="s">
        <v>353</v>
      </c>
      <c r="S551" s="79" t="s">
        <v>339</v>
      </c>
      <c r="T551" s="298">
        <f>IFERROR(Table6[[#This Row],[Breakdown Time]]*Table6[[#This Row],[Plant Equivalent Weightage]],"")</f>
        <v>3.7878787878787745E-3</v>
      </c>
      <c r="U551" s="79" t="s">
        <v>416</v>
      </c>
      <c r="W551" s="79">
        <v>0.3</v>
      </c>
    </row>
    <row r="552" spans="1:23">
      <c r="A552" s="79">
        <f t="shared" si="8"/>
        <v>551</v>
      </c>
      <c r="B552" s="79">
        <f>YEAR(Table6[[#This Row],[Date]])+IF(MONTH(Table6[[#This Row],[Date]])&gt;=4,1,0)</f>
        <v>2026</v>
      </c>
      <c r="C552" s="79">
        <f>YEAR(Table6[[#This Row],[Date]])</f>
        <v>2025</v>
      </c>
      <c r="D552" s="79" t="s">
        <v>344</v>
      </c>
      <c r="E552" s="284">
        <f>Table6[[#This Row],[Date]]-DAY(Table6[[#This Row],[Date]])+1</f>
        <v>45778</v>
      </c>
      <c r="F552" s="285">
        <v>45793</v>
      </c>
      <c r="G552" s="79" t="s">
        <v>115</v>
      </c>
      <c r="H552" s="79" t="str">
        <f>IFERROR(_xlfn.XLOOKUP(Table6[[#This Row],[Affected Feeder ]],'Basic Data'!$A:$A,'Basic Data'!$B:$B),"")</f>
        <v>PWEPL</v>
      </c>
      <c r="I552" s="79" t="str">
        <f>IFERROR(_xlfn.XLOOKUP(Table6[[#This Row],[Affected Feeder ]],'Basic Data'!$A:$A,'Basic Data'!$C:$C),"")</f>
        <v>MSEDCL</v>
      </c>
      <c r="J552" s="295">
        <f>IFERROR(_xlfn.XLOOKUP(Table6[[#This Row],[Affected Feeder ]],'Basic Data'!$A:$A,'Basic Data'!$E:$E),"")</f>
        <v>2.2727272727272728E-2</v>
      </c>
      <c r="K552" s="296" t="s">
        <v>171</v>
      </c>
      <c r="L552" s="297">
        <v>0.65972222222222221</v>
      </c>
      <c r="M552" s="297">
        <v>0.65972222222222221</v>
      </c>
      <c r="N552" s="297">
        <v>0.66666666666666663</v>
      </c>
      <c r="O552" s="19">
        <f>(Table6[[#This Row],[Work Start TimeStamp]]-Table6[[#This Row],[Fault Start TimeStamp]])*24</f>
        <v>0</v>
      </c>
      <c r="P552" s="19">
        <f>(Table6[[#This Row],[Fault Clearance time]]-Table6[[#This Row],[Fault Start TimeStamp]])*24</f>
        <v>0.16666666666666607</v>
      </c>
      <c r="Q552" s="19">
        <f>(Table6[[#This Row],[Fault Clearance time]]-Table6[[#This Row],[Fault Start TimeStamp]])*24</f>
        <v>0.16666666666666607</v>
      </c>
      <c r="R552" s="79" t="s">
        <v>353</v>
      </c>
      <c r="S552" s="79" t="s">
        <v>339</v>
      </c>
      <c r="T552" s="298">
        <f>IFERROR(Table6[[#This Row],[Breakdown Time]]*Table6[[#This Row],[Plant Equivalent Weightage]],"")</f>
        <v>3.7878787878787745E-3</v>
      </c>
      <c r="U552" s="79" t="s">
        <v>416</v>
      </c>
      <c r="W552" s="79">
        <v>0.3</v>
      </c>
    </row>
    <row r="553" spans="1:23">
      <c r="A553" s="79">
        <f t="shared" si="8"/>
        <v>552</v>
      </c>
      <c r="B553" s="79">
        <f>YEAR(Table6[[#This Row],[Date]])+IF(MONTH(Table6[[#This Row],[Date]])&gt;=4,1,0)</f>
        <v>2026</v>
      </c>
      <c r="C553" s="79">
        <f>YEAR(Table6[[#This Row],[Date]])</f>
        <v>2025</v>
      </c>
      <c r="D553" s="79" t="s">
        <v>344</v>
      </c>
      <c r="E553" s="284">
        <f>Table6[[#This Row],[Date]]-DAY(Table6[[#This Row],[Date]])+1</f>
        <v>45778</v>
      </c>
      <c r="F553" s="285">
        <v>45793</v>
      </c>
      <c r="G553" s="79" t="s">
        <v>116</v>
      </c>
      <c r="H553" s="79" t="str">
        <f>IFERROR(_xlfn.XLOOKUP(Table6[[#This Row],[Affected Feeder ]],'Basic Data'!$A:$A,'Basic Data'!$B:$B),"")</f>
        <v>PWEPL</v>
      </c>
      <c r="I553" s="79" t="str">
        <f>IFERROR(_xlfn.XLOOKUP(Table6[[#This Row],[Affected Feeder ]],'Basic Data'!$A:$A,'Basic Data'!$C:$C),"")</f>
        <v>MSEDCL</v>
      </c>
      <c r="J553" s="295">
        <f>IFERROR(_xlfn.XLOOKUP(Table6[[#This Row],[Affected Feeder ]],'Basic Data'!$A:$A,'Basic Data'!$E:$E),"")</f>
        <v>2.2727272727272728E-2</v>
      </c>
      <c r="K553" s="296" t="s">
        <v>171</v>
      </c>
      <c r="L553" s="297">
        <v>0.65972222222222221</v>
      </c>
      <c r="M553" s="297">
        <v>0.65972222222222221</v>
      </c>
      <c r="N553" s="297">
        <v>0.66666666666666663</v>
      </c>
      <c r="O553" s="19">
        <f>(Table6[[#This Row],[Work Start TimeStamp]]-Table6[[#This Row],[Fault Start TimeStamp]])*24</f>
        <v>0</v>
      </c>
      <c r="P553" s="19">
        <f>(Table6[[#This Row],[Fault Clearance time]]-Table6[[#This Row],[Fault Start TimeStamp]])*24</f>
        <v>0.16666666666666607</v>
      </c>
      <c r="Q553" s="19">
        <f>(Table6[[#This Row],[Fault Clearance time]]-Table6[[#This Row],[Fault Start TimeStamp]])*24</f>
        <v>0.16666666666666607</v>
      </c>
      <c r="R553" s="79" t="s">
        <v>353</v>
      </c>
      <c r="S553" s="79" t="s">
        <v>339</v>
      </c>
      <c r="T553" s="298">
        <f>IFERROR(Table6[[#This Row],[Breakdown Time]]*Table6[[#This Row],[Plant Equivalent Weightage]],"")</f>
        <v>3.7878787878787745E-3</v>
      </c>
      <c r="U553" s="79" t="s">
        <v>416</v>
      </c>
      <c r="W553" s="79">
        <v>0.3</v>
      </c>
    </row>
    <row r="554" spans="1:23">
      <c r="A554" s="79">
        <f t="shared" si="8"/>
        <v>553</v>
      </c>
      <c r="B554" s="79">
        <f>YEAR(Table6[[#This Row],[Date]])+IF(MONTH(Table6[[#This Row],[Date]])&gt;=4,1,0)</f>
        <v>2026</v>
      </c>
      <c r="C554" s="79">
        <f>YEAR(Table6[[#This Row],[Date]])</f>
        <v>2025</v>
      </c>
      <c r="D554" s="79" t="s">
        <v>344</v>
      </c>
      <c r="E554" s="284">
        <f>Table6[[#This Row],[Date]]-DAY(Table6[[#This Row],[Date]])+1</f>
        <v>45778</v>
      </c>
      <c r="F554" s="285">
        <v>45793</v>
      </c>
      <c r="G554" s="79" t="s">
        <v>117</v>
      </c>
      <c r="H554" s="79" t="str">
        <f>IFERROR(_xlfn.XLOOKUP(Table6[[#This Row],[Affected Feeder ]],'Basic Data'!$A:$A,'Basic Data'!$B:$B),"")</f>
        <v>PWEPL</v>
      </c>
      <c r="I554" s="79" t="str">
        <f>IFERROR(_xlfn.XLOOKUP(Table6[[#This Row],[Affected Feeder ]],'Basic Data'!$A:$A,'Basic Data'!$C:$C),"")</f>
        <v>MSEDCL</v>
      </c>
      <c r="J554" s="295">
        <f>IFERROR(_xlfn.XLOOKUP(Table6[[#This Row],[Affected Feeder ]],'Basic Data'!$A:$A,'Basic Data'!$E:$E),"")</f>
        <v>2.2727272727272728E-2</v>
      </c>
      <c r="K554" s="296" t="s">
        <v>171</v>
      </c>
      <c r="L554" s="297">
        <v>0.65972222222222221</v>
      </c>
      <c r="M554" s="297">
        <v>0.65972222222222221</v>
      </c>
      <c r="N554" s="297">
        <v>0.66875000000000007</v>
      </c>
      <c r="O554" s="19">
        <f>(Table6[[#This Row],[Work Start TimeStamp]]-Table6[[#This Row],[Fault Start TimeStamp]])*24</f>
        <v>0</v>
      </c>
      <c r="P554" s="19">
        <f>(Table6[[#This Row],[Fault Clearance time]]-Table6[[#This Row],[Fault Start TimeStamp]])*24</f>
        <v>0.21666666666666856</v>
      </c>
      <c r="Q554" s="19">
        <f>(Table6[[#This Row],[Fault Clearance time]]-Table6[[#This Row],[Fault Start TimeStamp]])*24</f>
        <v>0.21666666666666856</v>
      </c>
      <c r="R554" s="79" t="s">
        <v>353</v>
      </c>
      <c r="S554" s="79" t="s">
        <v>339</v>
      </c>
      <c r="T554" s="298">
        <f>IFERROR(Table6[[#This Row],[Breakdown Time]]*Table6[[#This Row],[Plant Equivalent Weightage]],"")</f>
        <v>4.9242424242424672E-3</v>
      </c>
      <c r="U554" s="79" t="s">
        <v>416</v>
      </c>
      <c r="W554" s="79">
        <v>0.4</v>
      </c>
    </row>
    <row r="555" spans="1:23">
      <c r="A555" s="79">
        <f t="shared" si="8"/>
        <v>554</v>
      </c>
      <c r="B555" s="79">
        <f>YEAR(Table6[[#This Row],[Date]])+IF(MONTH(Table6[[#This Row],[Date]])&gt;=4,1,0)</f>
        <v>2026</v>
      </c>
      <c r="C555" s="79">
        <f>YEAR(Table6[[#This Row],[Date]])</f>
        <v>2025</v>
      </c>
      <c r="D555" s="79" t="s">
        <v>344</v>
      </c>
      <c r="E555" s="284">
        <f>Table6[[#This Row],[Date]]-DAY(Table6[[#This Row],[Date]])+1</f>
        <v>45778</v>
      </c>
      <c r="F555" s="285">
        <v>45793</v>
      </c>
      <c r="G555" s="79" t="s">
        <v>118</v>
      </c>
      <c r="H555" s="79" t="str">
        <f>IFERROR(_xlfn.XLOOKUP(Table6[[#This Row],[Affected Feeder ]],'Basic Data'!$A:$A,'Basic Data'!$B:$B),"")</f>
        <v>PWEPL</v>
      </c>
      <c r="I555" s="79" t="str">
        <f>IFERROR(_xlfn.XLOOKUP(Table6[[#This Row],[Affected Feeder ]],'Basic Data'!$A:$A,'Basic Data'!$C:$C),"")</f>
        <v>MSEDCL</v>
      </c>
      <c r="J555" s="295">
        <f>IFERROR(_xlfn.XLOOKUP(Table6[[#This Row],[Affected Feeder ]],'Basic Data'!$A:$A,'Basic Data'!$E:$E),"")</f>
        <v>2.2727272727272728E-2</v>
      </c>
      <c r="K555" s="296" t="s">
        <v>171</v>
      </c>
      <c r="L555" s="297">
        <v>0.65972222222222221</v>
      </c>
      <c r="M555" s="297">
        <v>0.65972222222222221</v>
      </c>
      <c r="N555" s="297">
        <v>0.66666666666666663</v>
      </c>
      <c r="O555" s="19">
        <f>(Table6[[#This Row],[Work Start TimeStamp]]-Table6[[#This Row],[Fault Start TimeStamp]])*24</f>
        <v>0</v>
      </c>
      <c r="P555" s="19">
        <f>(Table6[[#This Row],[Fault Clearance time]]-Table6[[#This Row],[Fault Start TimeStamp]])*24</f>
        <v>0.16666666666666607</v>
      </c>
      <c r="Q555" s="19">
        <f>(Table6[[#This Row],[Fault Clearance time]]-Table6[[#This Row],[Fault Start TimeStamp]])*24</f>
        <v>0.16666666666666607</v>
      </c>
      <c r="R555" s="79" t="s">
        <v>353</v>
      </c>
      <c r="S555" s="79" t="s">
        <v>339</v>
      </c>
      <c r="T555" s="298">
        <f>IFERROR(Table6[[#This Row],[Breakdown Time]]*Table6[[#This Row],[Plant Equivalent Weightage]],"")</f>
        <v>3.7878787878787745E-3</v>
      </c>
      <c r="U555" s="79" t="s">
        <v>416</v>
      </c>
      <c r="W555" s="79">
        <v>0.3</v>
      </c>
    </row>
    <row r="556" spans="1:23">
      <c r="A556" s="79">
        <f t="shared" si="8"/>
        <v>555</v>
      </c>
      <c r="B556" s="79">
        <f>YEAR(Table6[[#This Row],[Date]])+IF(MONTH(Table6[[#This Row],[Date]])&gt;=4,1,0)</f>
        <v>2026</v>
      </c>
      <c r="C556" s="79">
        <f>YEAR(Table6[[#This Row],[Date]])</f>
        <v>2025</v>
      </c>
      <c r="D556" s="79" t="s">
        <v>344</v>
      </c>
      <c r="E556" s="284">
        <f>Table6[[#This Row],[Date]]-DAY(Table6[[#This Row],[Date]])+1</f>
        <v>45778</v>
      </c>
      <c r="F556" s="285">
        <v>45794</v>
      </c>
      <c r="G556" s="79" t="s">
        <v>87</v>
      </c>
      <c r="H556" s="79" t="str">
        <f>IFERROR(_xlfn.XLOOKUP(Table6[[#This Row],[Affected Feeder ]],'Basic Data'!$A:$A,'Basic Data'!$B:$B),"")</f>
        <v>PWEPL</v>
      </c>
      <c r="I556" s="79" t="str">
        <f>IFERROR(_xlfn.XLOOKUP(Table6[[#This Row],[Affected Feeder ]],'Basic Data'!$A:$A,'Basic Data'!$C:$C),"")</f>
        <v>MSEDCL</v>
      </c>
      <c r="J556" s="295">
        <f>IFERROR(_xlfn.XLOOKUP(Table6[[#This Row],[Affected Feeder ]],'Basic Data'!$A:$A,'Basic Data'!$E:$E),"")</f>
        <v>2.2727272727272728E-2</v>
      </c>
      <c r="K556" s="296" t="s">
        <v>817</v>
      </c>
      <c r="L556" s="297">
        <v>0.49305555555555558</v>
      </c>
      <c r="M556" s="297">
        <v>0.49305555555555558</v>
      </c>
      <c r="N556" s="297">
        <v>0.50624999999999998</v>
      </c>
      <c r="O556" s="19">
        <f>(Table6[[#This Row],[Work Start TimeStamp]]-Table6[[#This Row],[Fault Start TimeStamp]])*24</f>
        <v>0</v>
      </c>
      <c r="P556" s="19">
        <f>(Table6[[#This Row],[Fault Clearance time]]-Table6[[#This Row],[Fault Start TimeStamp]])*24</f>
        <v>0.31666666666666554</v>
      </c>
      <c r="Q556" s="19">
        <f>(Table6[[#This Row],[Fault Clearance time]]-Table6[[#This Row],[Fault Start TimeStamp]])*24</f>
        <v>0.31666666666666554</v>
      </c>
      <c r="R556" s="79" t="s">
        <v>818</v>
      </c>
      <c r="S556" s="79" t="s">
        <v>339</v>
      </c>
      <c r="T556" s="298">
        <f>IFERROR(Table6[[#This Row],[Breakdown Time]]*Table6[[#This Row],[Plant Equivalent Weightage]],"")</f>
        <v>7.1969696969696713E-3</v>
      </c>
      <c r="U556" s="79" t="s">
        <v>416</v>
      </c>
      <c r="W556" s="79">
        <v>48</v>
      </c>
    </row>
    <row r="557" spans="1:23">
      <c r="A557" s="79">
        <f t="shared" si="8"/>
        <v>556</v>
      </c>
      <c r="B557" s="79">
        <f>YEAR(Table6[[#This Row],[Date]])+IF(MONTH(Table6[[#This Row],[Date]])&gt;=4,1,0)</f>
        <v>2026</v>
      </c>
      <c r="C557" s="79">
        <f>YEAR(Table6[[#This Row],[Date]])</f>
        <v>2025</v>
      </c>
      <c r="D557" s="79" t="s">
        <v>344</v>
      </c>
      <c r="E557" s="284">
        <f>Table6[[#This Row],[Date]]-DAY(Table6[[#This Row],[Date]])+1</f>
        <v>45778</v>
      </c>
      <c r="F557" s="285">
        <v>45794</v>
      </c>
      <c r="G557" s="79" t="s">
        <v>87</v>
      </c>
      <c r="H557" s="79" t="str">
        <f>IFERROR(_xlfn.XLOOKUP(Table6[[#This Row],[Affected Feeder ]],'Basic Data'!$A:$A,'Basic Data'!$B:$B),"")</f>
        <v>PWEPL</v>
      </c>
      <c r="I557" s="79" t="str">
        <f>IFERROR(_xlfn.XLOOKUP(Table6[[#This Row],[Affected Feeder ]],'Basic Data'!$A:$A,'Basic Data'!$C:$C),"")</f>
        <v>MSEDCL</v>
      </c>
      <c r="J557" s="295">
        <f>IFERROR(_xlfn.XLOOKUP(Table6[[#This Row],[Affected Feeder ]],'Basic Data'!$A:$A,'Basic Data'!$E:$E),"")</f>
        <v>2.2727272727272728E-2</v>
      </c>
      <c r="K557" s="296" t="s">
        <v>171</v>
      </c>
      <c r="L557" s="297">
        <v>0.50624999999999998</v>
      </c>
      <c r="M557" s="297">
        <v>0.50624999999999998</v>
      </c>
      <c r="N557" s="297">
        <v>0.5131944444444444</v>
      </c>
      <c r="O557" s="19">
        <f>(Table6[[#This Row],[Work Start TimeStamp]]-Table6[[#This Row],[Fault Start TimeStamp]])*24</f>
        <v>0</v>
      </c>
      <c r="P557" s="19">
        <f>(Table6[[#This Row],[Fault Clearance time]]-Table6[[#This Row],[Fault Start TimeStamp]])*24</f>
        <v>0.16666666666666607</v>
      </c>
      <c r="Q557" s="19">
        <f>(Table6[[#This Row],[Fault Clearance time]]-Table6[[#This Row],[Fault Start TimeStamp]])*24</f>
        <v>0.16666666666666607</v>
      </c>
      <c r="R557" s="79" t="s">
        <v>353</v>
      </c>
      <c r="S557" s="79" t="s">
        <v>339</v>
      </c>
      <c r="T557" s="298">
        <f>IFERROR(Table6[[#This Row],[Breakdown Time]]*Table6[[#This Row],[Plant Equivalent Weightage]],"")</f>
        <v>3.7878787878787745E-3</v>
      </c>
      <c r="U557" s="79" t="s">
        <v>416</v>
      </c>
      <c r="W557" s="79">
        <v>52</v>
      </c>
    </row>
    <row r="558" spans="1:23">
      <c r="A558" s="79">
        <f t="shared" si="8"/>
        <v>557</v>
      </c>
      <c r="B558" s="79">
        <f>YEAR(Table6[[#This Row],[Date]])+IF(MONTH(Table6[[#This Row],[Date]])&gt;=4,1,0)</f>
        <v>2026</v>
      </c>
      <c r="C558" s="79">
        <f>YEAR(Table6[[#This Row],[Date]])</f>
        <v>2025</v>
      </c>
      <c r="D558" s="79" t="s">
        <v>344</v>
      </c>
      <c r="E558" s="284">
        <f>Table6[[#This Row],[Date]]-DAY(Table6[[#This Row],[Date]])+1</f>
        <v>45778</v>
      </c>
      <c r="F558" s="285">
        <v>45794</v>
      </c>
      <c r="G558" s="79" t="s">
        <v>89</v>
      </c>
      <c r="H558" s="79" t="str">
        <f>IFERROR(_xlfn.XLOOKUP(Table6[[#This Row],[Affected Feeder ]],'Basic Data'!$A:$A,'Basic Data'!$B:$B),"")</f>
        <v>PWEPL</v>
      </c>
      <c r="I558" s="79" t="str">
        <f>IFERROR(_xlfn.XLOOKUP(Table6[[#This Row],[Affected Feeder ]],'Basic Data'!$A:$A,'Basic Data'!$C:$C),"")</f>
        <v>MSEDCL</v>
      </c>
      <c r="J558" s="295">
        <f>IFERROR(_xlfn.XLOOKUP(Table6[[#This Row],[Affected Feeder ]],'Basic Data'!$A:$A,'Basic Data'!$E:$E),"")</f>
        <v>2.2727272727272728E-2</v>
      </c>
      <c r="K558" s="296" t="s">
        <v>819</v>
      </c>
      <c r="L558" s="297">
        <v>0.52222222222222225</v>
      </c>
      <c r="M558" s="297">
        <v>0.52222222222222225</v>
      </c>
      <c r="N558" s="297">
        <v>0.53472222222222221</v>
      </c>
      <c r="O558" s="19">
        <f>(Table6[[#This Row],[Work Start TimeStamp]]-Table6[[#This Row],[Fault Start TimeStamp]])*24</f>
        <v>0</v>
      </c>
      <c r="P558" s="19">
        <f>(Table6[[#This Row],[Fault Clearance time]]-Table6[[#This Row],[Fault Start TimeStamp]])*24</f>
        <v>0.29999999999999893</v>
      </c>
      <c r="Q558" s="19">
        <f>(Table6[[#This Row],[Fault Clearance time]]-Table6[[#This Row],[Fault Start TimeStamp]])*24</f>
        <v>0.29999999999999893</v>
      </c>
      <c r="R558" s="79" t="s">
        <v>818</v>
      </c>
      <c r="S558" s="79" t="s">
        <v>339</v>
      </c>
      <c r="T558" s="298">
        <f>IFERROR(Table6[[#This Row],[Breakdown Time]]*Table6[[#This Row],[Plant Equivalent Weightage]],"")</f>
        <v>6.8181818181817944E-3</v>
      </c>
      <c r="U558" s="79" t="s">
        <v>416</v>
      </c>
      <c r="W558" s="79">
        <v>8.5500000000000007</v>
      </c>
    </row>
    <row r="559" spans="1:23">
      <c r="A559" s="79">
        <f t="shared" si="8"/>
        <v>558</v>
      </c>
      <c r="B559" s="79">
        <f>YEAR(Table6[[#This Row],[Date]])+IF(MONTH(Table6[[#This Row],[Date]])&gt;=4,1,0)</f>
        <v>2026</v>
      </c>
      <c r="C559" s="79">
        <f>YEAR(Table6[[#This Row],[Date]])</f>
        <v>2025</v>
      </c>
      <c r="D559" s="79" t="s">
        <v>344</v>
      </c>
      <c r="E559" s="284">
        <f>Table6[[#This Row],[Date]]-DAY(Table6[[#This Row],[Date]])+1</f>
        <v>45778</v>
      </c>
      <c r="F559" s="285">
        <v>45794</v>
      </c>
      <c r="G559" s="79" t="s">
        <v>89</v>
      </c>
      <c r="H559" s="79" t="str">
        <f>IFERROR(_xlfn.XLOOKUP(Table6[[#This Row],[Affected Feeder ]],'Basic Data'!$A:$A,'Basic Data'!$B:$B),"")</f>
        <v>PWEPL</v>
      </c>
      <c r="I559" s="79" t="str">
        <f>IFERROR(_xlfn.XLOOKUP(Table6[[#This Row],[Affected Feeder ]],'Basic Data'!$A:$A,'Basic Data'!$C:$C),"")</f>
        <v>MSEDCL</v>
      </c>
      <c r="J559" s="295">
        <f>IFERROR(_xlfn.XLOOKUP(Table6[[#This Row],[Affected Feeder ]],'Basic Data'!$A:$A,'Basic Data'!$E:$E),"")</f>
        <v>2.2727272727272728E-2</v>
      </c>
      <c r="K559" s="296" t="s">
        <v>171</v>
      </c>
      <c r="L559" s="297">
        <v>0.53472222222222221</v>
      </c>
      <c r="M559" s="297">
        <v>0.53472222222222221</v>
      </c>
      <c r="N559" s="297">
        <v>0.53749999999999998</v>
      </c>
      <c r="O559" s="19">
        <f>(Table6[[#This Row],[Work Start TimeStamp]]-Table6[[#This Row],[Fault Start TimeStamp]])*24</f>
        <v>0</v>
      </c>
      <c r="P559" s="19">
        <f>(Table6[[#This Row],[Fault Clearance time]]-Table6[[#This Row],[Fault Start TimeStamp]])*24</f>
        <v>6.666666666666643E-2</v>
      </c>
      <c r="Q559" s="19">
        <f>(Table6[[#This Row],[Fault Clearance time]]-Table6[[#This Row],[Fault Start TimeStamp]])*24</f>
        <v>6.666666666666643E-2</v>
      </c>
      <c r="R559" s="79" t="s">
        <v>353</v>
      </c>
      <c r="S559" s="79" t="s">
        <v>339</v>
      </c>
      <c r="T559" s="298">
        <f>IFERROR(Table6[[#This Row],[Breakdown Time]]*Table6[[#This Row],[Plant Equivalent Weightage]],"")</f>
        <v>1.5151515151515097E-3</v>
      </c>
      <c r="U559" s="79" t="s">
        <v>416</v>
      </c>
      <c r="W559" s="79">
        <v>2.44</v>
      </c>
    </row>
    <row r="560" spans="1:23">
      <c r="A560" s="79">
        <f t="shared" si="8"/>
        <v>559</v>
      </c>
      <c r="B560" s="79">
        <f>YEAR(Table6[[#This Row],[Date]])+IF(MONTH(Table6[[#This Row],[Date]])&gt;=4,1,0)</f>
        <v>2026</v>
      </c>
      <c r="C560" s="79">
        <f>YEAR(Table6[[#This Row],[Date]])</f>
        <v>2025</v>
      </c>
      <c r="D560" s="79" t="s">
        <v>344</v>
      </c>
      <c r="E560" s="284">
        <f>Table6[[#This Row],[Date]]-DAY(Table6[[#This Row],[Date]])+1</f>
        <v>45778</v>
      </c>
      <c r="F560" s="285">
        <v>45794</v>
      </c>
      <c r="G560" s="79" t="s">
        <v>88</v>
      </c>
      <c r="H560" s="79" t="str">
        <f>IFERROR(_xlfn.XLOOKUP(Table6[[#This Row],[Affected Feeder ]],'Basic Data'!$A:$A,'Basic Data'!$B:$B),"")</f>
        <v>PWEPL</v>
      </c>
      <c r="I560" s="79" t="str">
        <f>IFERROR(_xlfn.XLOOKUP(Table6[[#This Row],[Affected Feeder ]],'Basic Data'!$A:$A,'Basic Data'!$C:$C),"")</f>
        <v>MSEDCL</v>
      </c>
      <c r="J560" s="295">
        <f>IFERROR(_xlfn.XLOOKUP(Table6[[#This Row],[Affected Feeder ]],'Basic Data'!$A:$A,'Basic Data'!$E:$E),"")</f>
        <v>2.2727272727272728E-2</v>
      </c>
      <c r="K560" s="296" t="s">
        <v>820</v>
      </c>
      <c r="L560" s="297">
        <v>0.59652777777777777</v>
      </c>
      <c r="M560" s="297">
        <v>0.59652777777777777</v>
      </c>
      <c r="N560" s="297">
        <v>0.61527777777777781</v>
      </c>
      <c r="O560" s="19">
        <f>(Table6[[#This Row],[Work Start TimeStamp]]-Table6[[#This Row],[Fault Start TimeStamp]])*24</f>
        <v>0</v>
      </c>
      <c r="P560" s="19">
        <f>(Table6[[#This Row],[Fault Clearance time]]-Table6[[#This Row],[Fault Start TimeStamp]])*24</f>
        <v>0.45000000000000107</v>
      </c>
      <c r="Q560" s="19">
        <f>(Table6[[#This Row],[Fault Clearance time]]-Table6[[#This Row],[Fault Start TimeStamp]])*24</f>
        <v>0.45000000000000107</v>
      </c>
      <c r="R560" s="79" t="s">
        <v>818</v>
      </c>
      <c r="S560" s="79" t="s">
        <v>339</v>
      </c>
      <c r="T560" s="298">
        <f>IFERROR(Table6[[#This Row],[Breakdown Time]]*Table6[[#This Row],[Plant Equivalent Weightage]],"")</f>
        <v>1.0227272727272751E-2</v>
      </c>
      <c r="U560" s="79" t="s">
        <v>416</v>
      </c>
      <c r="W560" s="79">
        <v>173</v>
      </c>
    </row>
    <row r="561" spans="1:23">
      <c r="A561" s="79">
        <f t="shared" si="8"/>
        <v>560</v>
      </c>
      <c r="B561" s="79">
        <f>YEAR(Table6[[#This Row],[Date]])+IF(MONTH(Table6[[#This Row],[Date]])&gt;=4,1,0)</f>
        <v>2026</v>
      </c>
      <c r="C561" s="79">
        <f>YEAR(Table6[[#This Row],[Date]])</f>
        <v>2025</v>
      </c>
      <c r="D561" s="79" t="s">
        <v>344</v>
      </c>
      <c r="E561" s="284">
        <f>Table6[[#This Row],[Date]]-DAY(Table6[[#This Row],[Date]])+1</f>
        <v>45778</v>
      </c>
      <c r="F561" s="285">
        <v>45794</v>
      </c>
      <c r="G561" s="79" t="s">
        <v>88</v>
      </c>
      <c r="H561" s="79" t="str">
        <f>IFERROR(_xlfn.XLOOKUP(Table6[[#This Row],[Affected Feeder ]],'Basic Data'!$A:$A,'Basic Data'!$B:$B),"")</f>
        <v>PWEPL</v>
      </c>
      <c r="I561" s="79" t="str">
        <f>IFERROR(_xlfn.XLOOKUP(Table6[[#This Row],[Affected Feeder ]],'Basic Data'!$A:$A,'Basic Data'!$C:$C),"")</f>
        <v>MSEDCL</v>
      </c>
      <c r="J561" s="295">
        <f>IFERROR(_xlfn.XLOOKUP(Table6[[#This Row],[Affected Feeder ]],'Basic Data'!$A:$A,'Basic Data'!$E:$E),"")</f>
        <v>2.2727272727272728E-2</v>
      </c>
      <c r="K561" s="296" t="s">
        <v>171</v>
      </c>
      <c r="L561" s="297">
        <v>0.61527777777777781</v>
      </c>
      <c r="M561" s="297">
        <v>0.61527777777777781</v>
      </c>
      <c r="N561" s="297">
        <v>0.62777777777777777</v>
      </c>
      <c r="O561" s="19">
        <f>(Table6[[#This Row],[Work Start TimeStamp]]-Table6[[#This Row],[Fault Start TimeStamp]])*24</f>
        <v>0</v>
      </c>
      <c r="P561" s="19">
        <f>(Table6[[#This Row],[Fault Clearance time]]-Table6[[#This Row],[Fault Start TimeStamp]])*24</f>
        <v>0.29999999999999893</v>
      </c>
      <c r="Q561" s="19">
        <f>(Table6[[#This Row],[Fault Clearance time]]-Table6[[#This Row],[Fault Start TimeStamp]])*24</f>
        <v>0.29999999999999893</v>
      </c>
      <c r="R561" s="79" t="s">
        <v>353</v>
      </c>
      <c r="S561" s="79" t="s">
        <v>339</v>
      </c>
      <c r="T561" s="298">
        <f>IFERROR(Table6[[#This Row],[Breakdown Time]]*Table6[[#This Row],[Plant Equivalent Weightage]],"")</f>
        <v>6.8181818181817944E-3</v>
      </c>
      <c r="U561" s="79" t="s">
        <v>416</v>
      </c>
      <c r="W561" s="79">
        <v>87</v>
      </c>
    </row>
    <row r="562" spans="1:23">
      <c r="A562" s="79">
        <f t="shared" si="8"/>
        <v>561</v>
      </c>
      <c r="B562" s="79">
        <f>YEAR(Table6[[#This Row],[Date]])+IF(MONTH(Table6[[#This Row],[Date]])&gt;=4,1,0)</f>
        <v>2026</v>
      </c>
      <c r="C562" s="79">
        <f>YEAR(Table6[[#This Row],[Date]])</f>
        <v>2025</v>
      </c>
      <c r="D562" s="79" t="s">
        <v>344</v>
      </c>
      <c r="E562" s="284">
        <f>Table6[[#This Row],[Date]]-DAY(Table6[[#This Row],[Date]])+1</f>
        <v>45778</v>
      </c>
      <c r="F562" s="285">
        <v>45795</v>
      </c>
      <c r="G562" s="79" t="s">
        <v>399</v>
      </c>
      <c r="H562" s="79" t="str">
        <f>IFERROR(_xlfn.XLOOKUP(Table6[[#This Row],[Affected Feeder ]],'Basic Data'!$A:$A,'Basic Data'!$B:$B),"")</f>
        <v>PWEPL</v>
      </c>
      <c r="I562" s="79" t="str">
        <f>IFERROR(_xlfn.XLOOKUP(Table6[[#This Row],[Affected Feeder ]],'Basic Data'!$A:$A,'Basic Data'!$C:$C),"")</f>
        <v>MSEDCL</v>
      </c>
      <c r="J562" s="295">
        <f>IFERROR(_xlfn.XLOOKUP(Table6[[#This Row],[Affected Feeder ]],'Basic Data'!$A:$A,'Basic Data'!$E:$E),"")</f>
        <v>0.22727272727272727</v>
      </c>
      <c r="K562" s="296" t="s">
        <v>813</v>
      </c>
      <c r="L562" s="297">
        <v>0.41666666666666669</v>
      </c>
      <c r="M562" s="297">
        <v>0.41666666666666669</v>
      </c>
      <c r="N562" s="297">
        <v>0.65972222222222221</v>
      </c>
      <c r="O562" s="19">
        <f>(Table6[[#This Row],[Work Start TimeStamp]]-Table6[[#This Row],[Fault Start TimeStamp]])*24</f>
        <v>0</v>
      </c>
      <c r="P562" s="19">
        <f>(Table6[[#This Row],[Fault Clearance time]]-Table6[[#This Row],[Fault Start TimeStamp]])*24</f>
        <v>5.8333333333333321</v>
      </c>
      <c r="Q562" s="19">
        <f>(Table6[[#This Row],[Fault Clearance time]]-Table6[[#This Row],[Fault Start TimeStamp]])*24</f>
        <v>5.8333333333333321</v>
      </c>
      <c r="R562" s="79" t="s">
        <v>814</v>
      </c>
      <c r="S562" s="79" t="s">
        <v>339</v>
      </c>
      <c r="T562" s="298">
        <f>IFERROR(Table6[[#This Row],[Breakdown Time]]*Table6[[#This Row],[Plant Equivalent Weightage]],"")</f>
        <v>1.3257575757575755</v>
      </c>
      <c r="U562" s="79" t="s">
        <v>416</v>
      </c>
      <c r="W562" s="79">
        <v>1816</v>
      </c>
    </row>
    <row r="563" spans="1:23">
      <c r="A563" s="79">
        <f t="shared" si="8"/>
        <v>562</v>
      </c>
      <c r="B563" s="79">
        <f>YEAR(Table6[[#This Row],[Date]])+IF(MONTH(Table6[[#This Row],[Date]])&gt;=4,1,0)</f>
        <v>2026</v>
      </c>
      <c r="C563" s="79">
        <f>YEAR(Table6[[#This Row],[Date]])</f>
        <v>2025</v>
      </c>
      <c r="D563" s="79" t="s">
        <v>344</v>
      </c>
      <c r="E563" s="284">
        <f>Table6[[#This Row],[Date]]-DAY(Table6[[#This Row],[Date]])+1</f>
        <v>45778</v>
      </c>
      <c r="F563" s="285">
        <v>45795</v>
      </c>
      <c r="G563" s="79" t="s">
        <v>84</v>
      </c>
      <c r="H563" s="79" t="str">
        <f>IFERROR(_xlfn.XLOOKUP(Table6[[#This Row],[Affected Feeder ]],'Basic Data'!$A:$A,'Basic Data'!$B:$B),"")</f>
        <v>PWEPL</v>
      </c>
      <c r="I563" s="79" t="str">
        <f>IFERROR(_xlfn.XLOOKUP(Table6[[#This Row],[Affected Feeder ]],'Basic Data'!$A:$A,'Basic Data'!$C:$C),"")</f>
        <v>MSEDCL</v>
      </c>
      <c r="J563" s="295">
        <f>IFERROR(_xlfn.XLOOKUP(Table6[[#This Row],[Affected Feeder ]],'Basic Data'!$A:$A,'Basic Data'!$E:$E),"")</f>
        <v>2.2727272727272728E-2</v>
      </c>
      <c r="K563" s="296" t="s">
        <v>171</v>
      </c>
      <c r="L563" s="297">
        <v>0.65972222222222221</v>
      </c>
      <c r="M563" s="297">
        <v>0.65972222222222221</v>
      </c>
      <c r="N563" s="297">
        <v>0.67361111111111116</v>
      </c>
      <c r="O563" s="19">
        <f>(Table6[[#This Row],[Work Start TimeStamp]]-Table6[[#This Row],[Fault Start TimeStamp]])*24</f>
        <v>0</v>
      </c>
      <c r="P563" s="19">
        <f>(Table6[[#This Row],[Fault Clearance time]]-Table6[[#This Row],[Fault Start TimeStamp]])*24</f>
        <v>0.33333333333333481</v>
      </c>
      <c r="Q563" s="19">
        <f>(Table6[[#This Row],[Fault Clearance time]]-Table6[[#This Row],[Fault Start TimeStamp]])*24</f>
        <v>0.33333333333333481</v>
      </c>
      <c r="R563" s="79" t="s">
        <v>353</v>
      </c>
      <c r="S563" s="79" t="s">
        <v>339</v>
      </c>
      <c r="T563" s="298">
        <f>IFERROR(Table6[[#This Row],[Breakdown Time]]*Table6[[#This Row],[Plant Equivalent Weightage]],"")</f>
        <v>7.5757575757576098E-3</v>
      </c>
      <c r="U563" s="79" t="s">
        <v>416</v>
      </c>
      <c r="W563" s="79">
        <v>10</v>
      </c>
    </row>
    <row r="564" spans="1:23">
      <c r="A564" s="79">
        <f t="shared" si="8"/>
        <v>563</v>
      </c>
      <c r="B564" s="79">
        <f>YEAR(Table6[[#This Row],[Date]])+IF(MONTH(Table6[[#This Row],[Date]])&gt;=4,1,0)</f>
        <v>2026</v>
      </c>
      <c r="C564" s="79">
        <f>YEAR(Table6[[#This Row],[Date]])</f>
        <v>2025</v>
      </c>
      <c r="D564" s="79" t="s">
        <v>344</v>
      </c>
      <c r="E564" s="284">
        <f>Table6[[#This Row],[Date]]-DAY(Table6[[#This Row],[Date]])+1</f>
        <v>45778</v>
      </c>
      <c r="F564" s="285">
        <v>45795</v>
      </c>
      <c r="G564" s="79" t="s">
        <v>85</v>
      </c>
      <c r="H564" s="79" t="str">
        <f>IFERROR(_xlfn.XLOOKUP(Table6[[#This Row],[Affected Feeder ]],'Basic Data'!$A:$A,'Basic Data'!$B:$B),"")</f>
        <v>PWEPL</v>
      </c>
      <c r="I564" s="79" t="str">
        <f>IFERROR(_xlfn.XLOOKUP(Table6[[#This Row],[Affected Feeder ]],'Basic Data'!$A:$A,'Basic Data'!$C:$C),"")</f>
        <v>MSEDCL</v>
      </c>
      <c r="J564" s="295">
        <f>IFERROR(_xlfn.XLOOKUP(Table6[[#This Row],[Affected Feeder ]],'Basic Data'!$A:$A,'Basic Data'!$E:$E),"")</f>
        <v>2.2727272727272728E-2</v>
      </c>
      <c r="K564" s="296" t="s">
        <v>171</v>
      </c>
      <c r="L564" s="297">
        <v>0.65972222222222221</v>
      </c>
      <c r="M564" s="297">
        <v>0.65972222222222221</v>
      </c>
      <c r="N564" s="297">
        <v>0.67361111111111116</v>
      </c>
      <c r="O564" s="19">
        <f>(Table6[[#This Row],[Work Start TimeStamp]]-Table6[[#This Row],[Fault Start TimeStamp]])*24</f>
        <v>0</v>
      </c>
      <c r="P564" s="19">
        <f>(Table6[[#This Row],[Fault Clearance time]]-Table6[[#This Row],[Fault Start TimeStamp]])*24</f>
        <v>0.33333333333333481</v>
      </c>
      <c r="Q564" s="19">
        <f>(Table6[[#This Row],[Fault Clearance time]]-Table6[[#This Row],[Fault Start TimeStamp]])*24</f>
        <v>0.33333333333333481</v>
      </c>
      <c r="R564" s="79" t="s">
        <v>353</v>
      </c>
      <c r="S564" s="79" t="s">
        <v>339</v>
      </c>
      <c r="T564" s="298">
        <f>IFERROR(Table6[[#This Row],[Breakdown Time]]*Table6[[#This Row],[Plant Equivalent Weightage]],"")</f>
        <v>7.5757575757576098E-3</v>
      </c>
      <c r="U564" s="79" t="s">
        <v>416</v>
      </c>
      <c r="W564" s="79">
        <v>10</v>
      </c>
    </row>
    <row r="565" spans="1:23">
      <c r="A565" s="79">
        <f t="shared" si="8"/>
        <v>564</v>
      </c>
      <c r="B565" s="79">
        <f>YEAR(Table6[[#This Row],[Date]])+IF(MONTH(Table6[[#This Row],[Date]])&gt;=4,1,0)</f>
        <v>2026</v>
      </c>
      <c r="C565" s="79">
        <f>YEAR(Table6[[#This Row],[Date]])</f>
        <v>2025</v>
      </c>
      <c r="D565" s="79" t="s">
        <v>344</v>
      </c>
      <c r="E565" s="284">
        <f>Table6[[#This Row],[Date]]-DAY(Table6[[#This Row],[Date]])+1</f>
        <v>45778</v>
      </c>
      <c r="F565" s="285">
        <v>45795</v>
      </c>
      <c r="G565" s="79" t="s">
        <v>86</v>
      </c>
      <c r="H565" s="79" t="str">
        <f>IFERROR(_xlfn.XLOOKUP(Table6[[#This Row],[Affected Feeder ]],'Basic Data'!$A:$A,'Basic Data'!$B:$B),"")</f>
        <v>PWEPL</v>
      </c>
      <c r="I565" s="79" t="str">
        <f>IFERROR(_xlfn.XLOOKUP(Table6[[#This Row],[Affected Feeder ]],'Basic Data'!$A:$A,'Basic Data'!$C:$C),"")</f>
        <v>MSEDCL</v>
      </c>
      <c r="J565" s="295">
        <f>IFERROR(_xlfn.XLOOKUP(Table6[[#This Row],[Affected Feeder ]],'Basic Data'!$A:$A,'Basic Data'!$E:$E),"")</f>
        <v>2.2727272727272728E-2</v>
      </c>
      <c r="K565" s="296" t="s">
        <v>171</v>
      </c>
      <c r="L565" s="297">
        <v>0.65972222222222221</v>
      </c>
      <c r="M565" s="297">
        <v>0.65972222222222221</v>
      </c>
      <c r="N565" s="297">
        <v>0.67361111111111116</v>
      </c>
      <c r="O565" s="19">
        <f>(Table6[[#This Row],[Work Start TimeStamp]]-Table6[[#This Row],[Fault Start TimeStamp]])*24</f>
        <v>0</v>
      </c>
      <c r="P565" s="19">
        <f>(Table6[[#This Row],[Fault Clearance time]]-Table6[[#This Row],[Fault Start TimeStamp]])*24</f>
        <v>0.33333333333333481</v>
      </c>
      <c r="Q565" s="19">
        <f>(Table6[[#This Row],[Fault Clearance time]]-Table6[[#This Row],[Fault Start TimeStamp]])*24</f>
        <v>0.33333333333333481</v>
      </c>
      <c r="R565" s="79" t="s">
        <v>353</v>
      </c>
      <c r="S565" s="79" t="s">
        <v>339</v>
      </c>
      <c r="T565" s="298">
        <f>IFERROR(Table6[[#This Row],[Breakdown Time]]*Table6[[#This Row],[Plant Equivalent Weightage]],"")</f>
        <v>7.5757575757576098E-3</v>
      </c>
      <c r="U565" s="79" t="s">
        <v>416</v>
      </c>
      <c r="W565" s="79">
        <v>10</v>
      </c>
    </row>
    <row r="566" spans="1:23">
      <c r="A566" s="79">
        <f t="shared" si="8"/>
        <v>565</v>
      </c>
      <c r="B566" s="79">
        <f>YEAR(Table6[[#This Row],[Date]])+IF(MONTH(Table6[[#This Row],[Date]])&gt;=4,1,0)</f>
        <v>2026</v>
      </c>
      <c r="C566" s="79">
        <f>YEAR(Table6[[#This Row],[Date]])</f>
        <v>2025</v>
      </c>
      <c r="D566" s="79" t="s">
        <v>344</v>
      </c>
      <c r="E566" s="284">
        <f>Table6[[#This Row],[Date]]-DAY(Table6[[#This Row],[Date]])+1</f>
        <v>45778</v>
      </c>
      <c r="F566" s="285">
        <v>45795</v>
      </c>
      <c r="G566" s="79" t="s">
        <v>87</v>
      </c>
      <c r="H566" s="79" t="str">
        <f>IFERROR(_xlfn.XLOOKUP(Table6[[#This Row],[Affected Feeder ]],'Basic Data'!$A:$A,'Basic Data'!$B:$B),"")</f>
        <v>PWEPL</v>
      </c>
      <c r="I566" s="79" t="str">
        <f>IFERROR(_xlfn.XLOOKUP(Table6[[#This Row],[Affected Feeder ]],'Basic Data'!$A:$A,'Basic Data'!$C:$C),"")</f>
        <v>MSEDCL</v>
      </c>
      <c r="J566" s="295">
        <f>IFERROR(_xlfn.XLOOKUP(Table6[[#This Row],[Affected Feeder ]],'Basic Data'!$A:$A,'Basic Data'!$E:$E),"")</f>
        <v>2.2727272727272728E-2</v>
      </c>
      <c r="K566" s="296" t="s">
        <v>171</v>
      </c>
      <c r="L566" s="297">
        <v>0.65972222222222221</v>
      </c>
      <c r="M566" s="297">
        <v>0.65972222222222221</v>
      </c>
      <c r="N566" s="297">
        <v>0.67361111111111116</v>
      </c>
      <c r="O566" s="19">
        <f>(Table6[[#This Row],[Work Start TimeStamp]]-Table6[[#This Row],[Fault Start TimeStamp]])*24</f>
        <v>0</v>
      </c>
      <c r="P566" s="19">
        <f>(Table6[[#This Row],[Fault Clearance time]]-Table6[[#This Row],[Fault Start TimeStamp]])*24</f>
        <v>0.33333333333333481</v>
      </c>
      <c r="Q566" s="19">
        <f>(Table6[[#This Row],[Fault Clearance time]]-Table6[[#This Row],[Fault Start TimeStamp]])*24</f>
        <v>0.33333333333333481</v>
      </c>
      <c r="R566" s="79" t="s">
        <v>353</v>
      </c>
      <c r="S566" s="79" t="s">
        <v>339</v>
      </c>
      <c r="T566" s="298">
        <f>IFERROR(Table6[[#This Row],[Breakdown Time]]*Table6[[#This Row],[Plant Equivalent Weightage]],"")</f>
        <v>7.5757575757576098E-3</v>
      </c>
      <c r="U566" s="79" t="s">
        <v>416</v>
      </c>
      <c r="W566" s="79">
        <v>10</v>
      </c>
    </row>
    <row r="567" spans="1:23">
      <c r="A567" s="79">
        <f t="shared" si="8"/>
        <v>566</v>
      </c>
      <c r="B567" s="79">
        <f>YEAR(Table6[[#This Row],[Date]])+IF(MONTH(Table6[[#This Row],[Date]])&gt;=4,1,0)</f>
        <v>2026</v>
      </c>
      <c r="C567" s="79">
        <f>YEAR(Table6[[#This Row],[Date]])</f>
        <v>2025</v>
      </c>
      <c r="D567" s="79" t="s">
        <v>344</v>
      </c>
      <c r="E567" s="284">
        <f>Table6[[#This Row],[Date]]-DAY(Table6[[#This Row],[Date]])+1</f>
        <v>45778</v>
      </c>
      <c r="F567" s="285">
        <v>45795</v>
      </c>
      <c r="G567" s="79" t="s">
        <v>88</v>
      </c>
      <c r="H567" s="79" t="str">
        <f>IFERROR(_xlfn.XLOOKUP(Table6[[#This Row],[Affected Feeder ]],'Basic Data'!$A:$A,'Basic Data'!$B:$B),"")</f>
        <v>PWEPL</v>
      </c>
      <c r="I567" s="79" t="str">
        <f>IFERROR(_xlfn.XLOOKUP(Table6[[#This Row],[Affected Feeder ]],'Basic Data'!$A:$A,'Basic Data'!$C:$C),"")</f>
        <v>MSEDCL</v>
      </c>
      <c r="J567" s="295">
        <f>IFERROR(_xlfn.XLOOKUP(Table6[[#This Row],[Affected Feeder ]],'Basic Data'!$A:$A,'Basic Data'!$E:$E),"")</f>
        <v>2.2727272727272728E-2</v>
      </c>
      <c r="K567" s="296" t="s">
        <v>171</v>
      </c>
      <c r="L567" s="297">
        <v>0.65972222222222221</v>
      </c>
      <c r="M567" s="297">
        <v>0.65972222222222221</v>
      </c>
      <c r="N567" s="297">
        <v>0.67361111111111116</v>
      </c>
      <c r="O567" s="19">
        <f>(Table6[[#This Row],[Work Start TimeStamp]]-Table6[[#This Row],[Fault Start TimeStamp]])*24</f>
        <v>0</v>
      </c>
      <c r="P567" s="19">
        <f>(Table6[[#This Row],[Fault Clearance time]]-Table6[[#This Row],[Fault Start TimeStamp]])*24</f>
        <v>0.33333333333333481</v>
      </c>
      <c r="Q567" s="19">
        <f>(Table6[[#This Row],[Fault Clearance time]]-Table6[[#This Row],[Fault Start TimeStamp]])*24</f>
        <v>0.33333333333333481</v>
      </c>
      <c r="R567" s="79" t="s">
        <v>353</v>
      </c>
      <c r="S567" s="79" t="s">
        <v>339</v>
      </c>
      <c r="T567" s="298">
        <f>IFERROR(Table6[[#This Row],[Breakdown Time]]*Table6[[#This Row],[Plant Equivalent Weightage]],"")</f>
        <v>7.5757575757576098E-3</v>
      </c>
      <c r="U567" s="79" t="s">
        <v>416</v>
      </c>
      <c r="W567" s="79">
        <v>10</v>
      </c>
    </row>
    <row r="568" spans="1:23">
      <c r="A568" s="79">
        <f t="shared" si="8"/>
        <v>567</v>
      </c>
      <c r="B568" s="79">
        <f>YEAR(Table6[[#This Row],[Date]])+IF(MONTH(Table6[[#This Row],[Date]])&gt;=4,1,0)</f>
        <v>2026</v>
      </c>
      <c r="C568" s="79">
        <f>YEAR(Table6[[#This Row],[Date]])</f>
        <v>2025</v>
      </c>
      <c r="D568" s="79" t="s">
        <v>344</v>
      </c>
      <c r="E568" s="284">
        <f>Table6[[#This Row],[Date]]-DAY(Table6[[#This Row],[Date]])+1</f>
        <v>45778</v>
      </c>
      <c r="F568" s="285">
        <v>45795</v>
      </c>
      <c r="G568" s="79" t="s">
        <v>83</v>
      </c>
      <c r="H568" s="79" t="str">
        <f>IFERROR(_xlfn.XLOOKUP(Table6[[#This Row],[Affected Feeder ]],'Basic Data'!$A:$A,'Basic Data'!$B:$B),"")</f>
        <v>PWEPL</v>
      </c>
      <c r="I568" s="79" t="str">
        <f>IFERROR(_xlfn.XLOOKUP(Table6[[#This Row],[Affected Feeder ]],'Basic Data'!$A:$A,'Basic Data'!$C:$C),"")</f>
        <v>MSEDCL</v>
      </c>
      <c r="J568" s="295">
        <f>IFERROR(_xlfn.XLOOKUP(Table6[[#This Row],[Affected Feeder ]],'Basic Data'!$A:$A,'Basic Data'!$E:$E),"")</f>
        <v>2.2727272727272728E-2</v>
      </c>
      <c r="K568" s="296" t="s">
        <v>171</v>
      </c>
      <c r="L568" s="297">
        <v>0.65972222222222221</v>
      </c>
      <c r="M568" s="297">
        <v>0.65972222222222221</v>
      </c>
      <c r="N568" s="297">
        <v>0.67361111111111116</v>
      </c>
      <c r="O568" s="19">
        <f>(Table6[[#This Row],[Work Start TimeStamp]]-Table6[[#This Row],[Fault Start TimeStamp]])*24</f>
        <v>0</v>
      </c>
      <c r="P568" s="19">
        <f>(Table6[[#This Row],[Fault Clearance time]]-Table6[[#This Row],[Fault Start TimeStamp]])*24</f>
        <v>0.33333333333333481</v>
      </c>
      <c r="Q568" s="19">
        <f>(Table6[[#This Row],[Fault Clearance time]]-Table6[[#This Row],[Fault Start TimeStamp]])*24</f>
        <v>0.33333333333333481</v>
      </c>
      <c r="R568" s="79" t="s">
        <v>353</v>
      </c>
      <c r="S568" s="79" t="s">
        <v>339</v>
      </c>
      <c r="T568" s="298">
        <f>IFERROR(Table6[[#This Row],[Breakdown Time]]*Table6[[#This Row],[Plant Equivalent Weightage]],"")</f>
        <v>7.5757575757576098E-3</v>
      </c>
      <c r="U568" s="79" t="s">
        <v>416</v>
      </c>
      <c r="W568" s="79">
        <v>10</v>
      </c>
    </row>
    <row r="569" spans="1:23">
      <c r="A569" s="79">
        <f t="shared" si="8"/>
        <v>568</v>
      </c>
      <c r="B569" s="79">
        <f>YEAR(Table6[[#This Row],[Date]])+IF(MONTH(Table6[[#This Row],[Date]])&gt;=4,1,0)</f>
        <v>2026</v>
      </c>
      <c r="C569" s="79">
        <f>YEAR(Table6[[#This Row],[Date]])</f>
        <v>2025</v>
      </c>
      <c r="D569" s="79" t="s">
        <v>344</v>
      </c>
      <c r="E569" s="284">
        <f>Table6[[#This Row],[Date]]-DAY(Table6[[#This Row],[Date]])+1</f>
        <v>45778</v>
      </c>
      <c r="F569" s="285">
        <v>45795</v>
      </c>
      <c r="G569" s="79" t="s">
        <v>98</v>
      </c>
      <c r="H569" s="79" t="str">
        <f>IFERROR(_xlfn.XLOOKUP(Table6[[#This Row],[Affected Feeder ]],'Basic Data'!$A:$A,'Basic Data'!$B:$B),"")</f>
        <v>PWEPL</v>
      </c>
      <c r="I569" s="79" t="str">
        <f>IFERROR(_xlfn.XLOOKUP(Table6[[#This Row],[Affected Feeder ]],'Basic Data'!$A:$A,'Basic Data'!$C:$C),"")</f>
        <v>MSEDCL</v>
      </c>
      <c r="J569" s="295">
        <f>IFERROR(_xlfn.XLOOKUP(Table6[[#This Row],[Affected Feeder ]],'Basic Data'!$A:$A,'Basic Data'!$E:$E),"")</f>
        <v>2.2727272727272728E-2</v>
      </c>
      <c r="K569" s="296" t="s">
        <v>171</v>
      </c>
      <c r="L569" s="297">
        <v>0.65972222222222221</v>
      </c>
      <c r="M569" s="297">
        <v>0.65972222222222221</v>
      </c>
      <c r="N569" s="297">
        <v>0.67361111111111116</v>
      </c>
      <c r="O569" s="19">
        <f>(Table6[[#This Row],[Work Start TimeStamp]]-Table6[[#This Row],[Fault Start TimeStamp]])*24</f>
        <v>0</v>
      </c>
      <c r="P569" s="19">
        <f>(Table6[[#This Row],[Fault Clearance time]]-Table6[[#This Row],[Fault Start TimeStamp]])*24</f>
        <v>0.33333333333333481</v>
      </c>
      <c r="Q569" s="19">
        <f>(Table6[[#This Row],[Fault Clearance time]]-Table6[[#This Row],[Fault Start TimeStamp]])*24</f>
        <v>0.33333333333333481</v>
      </c>
      <c r="R569" s="79" t="s">
        <v>353</v>
      </c>
      <c r="S569" s="79" t="s">
        <v>339</v>
      </c>
      <c r="T569" s="298">
        <f>IFERROR(Table6[[#This Row],[Breakdown Time]]*Table6[[#This Row],[Plant Equivalent Weightage]],"")</f>
        <v>7.5757575757576098E-3</v>
      </c>
      <c r="U569" s="79" t="s">
        <v>416</v>
      </c>
      <c r="W569" s="79">
        <v>10</v>
      </c>
    </row>
    <row r="570" spans="1:23">
      <c r="A570" s="79">
        <f t="shared" si="8"/>
        <v>569</v>
      </c>
      <c r="B570" s="79">
        <f>YEAR(Table6[[#This Row],[Date]])+IF(MONTH(Table6[[#This Row],[Date]])&gt;=4,1,0)</f>
        <v>2026</v>
      </c>
      <c r="C570" s="79">
        <f>YEAR(Table6[[#This Row],[Date]])</f>
        <v>2025</v>
      </c>
      <c r="D570" s="79" t="s">
        <v>344</v>
      </c>
      <c r="E570" s="284">
        <f>Table6[[#This Row],[Date]]-DAY(Table6[[#This Row],[Date]])+1</f>
        <v>45778</v>
      </c>
      <c r="F570" s="285">
        <v>45795</v>
      </c>
      <c r="G570" s="79" t="s">
        <v>99</v>
      </c>
      <c r="H570" s="79" t="str">
        <f>IFERROR(_xlfn.XLOOKUP(Table6[[#This Row],[Affected Feeder ]],'Basic Data'!$A:$A,'Basic Data'!$B:$B),"")</f>
        <v>PWEPL</v>
      </c>
      <c r="I570" s="79" t="str">
        <f>IFERROR(_xlfn.XLOOKUP(Table6[[#This Row],[Affected Feeder ]],'Basic Data'!$A:$A,'Basic Data'!$C:$C),"")</f>
        <v>MSEDCL</v>
      </c>
      <c r="J570" s="295">
        <f>IFERROR(_xlfn.XLOOKUP(Table6[[#This Row],[Affected Feeder ]],'Basic Data'!$A:$A,'Basic Data'!$E:$E),"")</f>
        <v>2.2727272727272728E-2</v>
      </c>
      <c r="K570" s="296" t="s">
        <v>171</v>
      </c>
      <c r="L570" s="297">
        <v>0.65972222222222221</v>
      </c>
      <c r="M570" s="297">
        <v>0.65972222222222221</v>
      </c>
      <c r="N570" s="297">
        <v>0.67361111111111116</v>
      </c>
      <c r="O570" s="19">
        <f>(Table6[[#This Row],[Work Start TimeStamp]]-Table6[[#This Row],[Fault Start TimeStamp]])*24</f>
        <v>0</v>
      </c>
      <c r="P570" s="19">
        <f>(Table6[[#This Row],[Fault Clearance time]]-Table6[[#This Row],[Fault Start TimeStamp]])*24</f>
        <v>0.33333333333333481</v>
      </c>
      <c r="Q570" s="19">
        <f>(Table6[[#This Row],[Fault Clearance time]]-Table6[[#This Row],[Fault Start TimeStamp]])*24</f>
        <v>0.33333333333333481</v>
      </c>
      <c r="R570" s="79" t="s">
        <v>353</v>
      </c>
      <c r="S570" s="79" t="s">
        <v>339</v>
      </c>
      <c r="T570" s="298">
        <f>IFERROR(Table6[[#This Row],[Breakdown Time]]*Table6[[#This Row],[Plant Equivalent Weightage]],"")</f>
        <v>7.5757575757576098E-3</v>
      </c>
      <c r="U570" s="79" t="s">
        <v>416</v>
      </c>
      <c r="W570" s="79">
        <v>10</v>
      </c>
    </row>
    <row r="571" spans="1:23">
      <c r="A571" s="79">
        <f t="shared" si="8"/>
        <v>570</v>
      </c>
      <c r="B571" s="79">
        <f>YEAR(Table6[[#This Row],[Date]])+IF(MONTH(Table6[[#This Row],[Date]])&gt;=4,1,0)</f>
        <v>2026</v>
      </c>
      <c r="C571" s="79">
        <f>YEAR(Table6[[#This Row],[Date]])</f>
        <v>2025</v>
      </c>
      <c r="D571" s="79" t="s">
        <v>344</v>
      </c>
      <c r="E571" s="284">
        <f>Table6[[#This Row],[Date]]-DAY(Table6[[#This Row],[Date]])+1</f>
        <v>45778</v>
      </c>
      <c r="F571" s="285">
        <v>45795</v>
      </c>
      <c r="G571" s="79" t="s">
        <v>100</v>
      </c>
      <c r="H571" s="79" t="str">
        <f>IFERROR(_xlfn.XLOOKUP(Table6[[#This Row],[Affected Feeder ]],'Basic Data'!$A:$A,'Basic Data'!$B:$B),"")</f>
        <v>PWEPL</v>
      </c>
      <c r="I571" s="79" t="str">
        <f>IFERROR(_xlfn.XLOOKUP(Table6[[#This Row],[Affected Feeder ]],'Basic Data'!$A:$A,'Basic Data'!$C:$C),"")</f>
        <v>MSEDCL</v>
      </c>
      <c r="J571" s="295">
        <f>IFERROR(_xlfn.XLOOKUP(Table6[[#This Row],[Affected Feeder ]],'Basic Data'!$A:$A,'Basic Data'!$E:$E),"")</f>
        <v>2.2727272727272728E-2</v>
      </c>
      <c r="K571" s="296" t="s">
        <v>171</v>
      </c>
      <c r="L571" s="297">
        <v>0.65972222222222221</v>
      </c>
      <c r="M571" s="297">
        <v>0.65972222222222221</v>
      </c>
      <c r="N571" s="297">
        <v>0.67361111111111116</v>
      </c>
      <c r="O571" s="19">
        <f>(Table6[[#This Row],[Work Start TimeStamp]]-Table6[[#This Row],[Fault Start TimeStamp]])*24</f>
        <v>0</v>
      </c>
      <c r="P571" s="19">
        <f>(Table6[[#This Row],[Fault Clearance time]]-Table6[[#This Row],[Fault Start TimeStamp]])*24</f>
        <v>0.33333333333333481</v>
      </c>
      <c r="Q571" s="19">
        <f>(Table6[[#This Row],[Fault Clearance time]]-Table6[[#This Row],[Fault Start TimeStamp]])*24</f>
        <v>0.33333333333333481</v>
      </c>
      <c r="R571" s="79" t="s">
        <v>353</v>
      </c>
      <c r="S571" s="79" t="s">
        <v>339</v>
      </c>
      <c r="T571" s="298">
        <f>IFERROR(Table6[[#This Row],[Breakdown Time]]*Table6[[#This Row],[Plant Equivalent Weightage]],"")</f>
        <v>7.5757575757576098E-3</v>
      </c>
      <c r="U571" s="79" t="s">
        <v>416</v>
      </c>
      <c r="W571" s="79">
        <v>10</v>
      </c>
    </row>
    <row r="572" spans="1:23">
      <c r="A572" s="79">
        <f t="shared" si="8"/>
        <v>571</v>
      </c>
      <c r="B572" s="79">
        <f>YEAR(Table6[[#This Row],[Date]])+IF(MONTH(Table6[[#This Row],[Date]])&gt;=4,1,0)</f>
        <v>2026</v>
      </c>
      <c r="C572" s="79">
        <f>YEAR(Table6[[#This Row],[Date]])</f>
        <v>2025</v>
      </c>
      <c r="D572" s="79" t="s">
        <v>344</v>
      </c>
      <c r="E572" s="284">
        <f>Table6[[#This Row],[Date]]-DAY(Table6[[#This Row],[Date]])+1</f>
        <v>45778</v>
      </c>
      <c r="F572" s="285">
        <v>45795</v>
      </c>
      <c r="G572" s="79" t="s">
        <v>101</v>
      </c>
      <c r="H572" s="79" t="str">
        <f>IFERROR(_xlfn.XLOOKUP(Table6[[#This Row],[Affected Feeder ]],'Basic Data'!$A:$A,'Basic Data'!$B:$B),"")</f>
        <v>PWEPL</v>
      </c>
      <c r="I572" s="79" t="str">
        <f>IFERROR(_xlfn.XLOOKUP(Table6[[#This Row],[Affected Feeder ]],'Basic Data'!$A:$A,'Basic Data'!$C:$C),"")</f>
        <v>MSEDCL</v>
      </c>
      <c r="J572" s="295">
        <f>IFERROR(_xlfn.XLOOKUP(Table6[[#This Row],[Affected Feeder ]],'Basic Data'!$A:$A,'Basic Data'!$E:$E),"")</f>
        <v>2.2727272727272728E-2</v>
      </c>
      <c r="K572" s="296" t="s">
        <v>171</v>
      </c>
      <c r="L572" s="297">
        <v>0.65972222222222221</v>
      </c>
      <c r="M572" s="297">
        <v>0.65972222222222221</v>
      </c>
      <c r="N572" s="297">
        <v>0.67361111111111116</v>
      </c>
      <c r="O572" s="19">
        <f>(Table6[[#This Row],[Work Start TimeStamp]]-Table6[[#This Row],[Fault Start TimeStamp]])*24</f>
        <v>0</v>
      </c>
      <c r="P572" s="19">
        <f>(Table6[[#This Row],[Fault Clearance time]]-Table6[[#This Row],[Fault Start TimeStamp]])*24</f>
        <v>0.33333333333333481</v>
      </c>
      <c r="Q572" s="19">
        <f>(Table6[[#This Row],[Fault Clearance time]]-Table6[[#This Row],[Fault Start TimeStamp]])*24</f>
        <v>0.33333333333333481</v>
      </c>
      <c r="R572" s="79" t="s">
        <v>353</v>
      </c>
      <c r="S572" s="79" t="s">
        <v>339</v>
      </c>
      <c r="T572" s="298">
        <f>IFERROR(Table6[[#This Row],[Breakdown Time]]*Table6[[#This Row],[Plant Equivalent Weightage]],"")</f>
        <v>7.5757575757576098E-3</v>
      </c>
      <c r="U572" s="79" t="s">
        <v>416</v>
      </c>
      <c r="W572" s="79">
        <v>10</v>
      </c>
    </row>
    <row r="573" spans="1:23">
      <c r="A573" s="79">
        <f t="shared" si="8"/>
        <v>572</v>
      </c>
      <c r="B573" s="79">
        <f>YEAR(Table6[[#This Row],[Date]])+IF(MONTH(Table6[[#This Row],[Date]])&gt;=4,1,0)</f>
        <v>2026</v>
      </c>
      <c r="C573" s="79">
        <f>YEAR(Table6[[#This Row],[Date]])</f>
        <v>2025</v>
      </c>
      <c r="D573" s="79" t="s">
        <v>344</v>
      </c>
      <c r="E573" s="284">
        <f>Table6[[#This Row],[Date]]-DAY(Table6[[#This Row],[Date]])+1</f>
        <v>45778</v>
      </c>
      <c r="F573" s="285">
        <v>45795</v>
      </c>
      <c r="G573" s="79" t="s">
        <v>404</v>
      </c>
      <c r="H573" s="79" t="str">
        <f>IFERROR(_xlfn.XLOOKUP(Table6[[#This Row],[Affected Feeder ]],'Basic Data'!$A:$A,'Basic Data'!$B:$B),"")</f>
        <v>PWEPL</v>
      </c>
      <c r="I573" s="79" t="str">
        <f>IFERROR(_xlfn.XLOOKUP(Table6[[#This Row],[Affected Feeder ]],'Basic Data'!$A:$A,'Basic Data'!$C:$C),"")</f>
        <v>MSEDCL</v>
      </c>
      <c r="J573" s="295">
        <f>IFERROR(_xlfn.XLOOKUP(Table6[[#This Row],[Affected Feeder ]],'Basic Data'!$A:$A,'Basic Data'!$E:$E),"")</f>
        <v>0.27272727272727276</v>
      </c>
      <c r="K573" s="296" t="s">
        <v>813</v>
      </c>
      <c r="L573" s="297">
        <v>0.41666666666666669</v>
      </c>
      <c r="M573" s="297">
        <v>0.41666666666666669</v>
      </c>
      <c r="N573" s="297">
        <v>0.65972222222222221</v>
      </c>
      <c r="O573" s="19">
        <f>(Table6[[#This Row],[Work Start TimeStamp]]-Table6[[#This Row],[Fault Start TimeStamp]])*24</f>
        <v>0</v>
      </c>
      <c r="P573" s="19">
        <f>(Table6[[#This Row],[Fault Clearance time]]-Table6[[#This Row],[Fault Start TimeStamp]])*24</f>
        <v>5.8333333333333321</v>
      </c>
      <c r="Q573" s="19">
        <f>(Table6[[#This Row],[Fault Clearance time]]-Table6[[#This Row],[Fault Start TimeStamp]])*24</f>
        <v>5.8333333333333321</v>
      </c>
      <c r="R573" s="79" t="s">
        <v>814</v>
      </c>
      <c r="S573" s="79" t="s">
        <v>339</v>
      </c>
      <c r="T573" s="298">
        <f>IFERROR(Table6[[#This Row],[Breakdown Time]]*Table6[[#This Row],[Plant Equivalent Weightage]],"")</f>
        <v>1.5909090909090908</v>
      </c>
      <c r="U573" s="79" t="s">
        <v>416</v>
      </c>
      <c r="W573" s="79">
        <v>2315</v>
      </c>
    </row>
    <row r="574" spans="1:23">
      <c r="A574" s="79">
        <f t="shared" si="8"/>
        <v>573</v>
      </c>
      <c r="B574" s="79">
        <f>YEAR(Table6[[#This Row],[Date]])+IF(MONTH(Table6[[#This Row],[Date]])&gt;=4,1,0)</f>
        <v>2026</v>
      </c>
      <c r="C574" s="79">
        <f>YEAR(Table6[[#This Row],[Date]])</f>
        <v>2025</v>
      </c>
      <c r="D574" s="79" t="s">
        <v>344</v>
      </c>
      <c r="E574" s="284">
        <f>Table6[[#This Row],[Date]]-DAY(Table6[[#This Row],[Date]])+1</f>
        <v>45778</v>
      </c>
      <c r="F574" s="285">
        <v>45795</v>
      </c>
      <c r="G574" s="79" t="s">
        <v>89</v>
      </c>
      <c r="H574" s="79" t="str">
        <f>IFERROR(_xlfn.XLOOKUP(Table6[[#This Row],[Affected Feeder ]],'Basic Data'!$A:$A,'Basic Data'!$B:$B),"")</f>
        <v>PWEPL</v>
      </c>
      <c r="I574" s="79" t="str">
        <f>IFERROR(_xlfn.XLOOKUP(Table6[[#This Row],[Affected Feeder ]],'Basic Data'!$A:$A,'Basic Data'!$C:$C),"")</f>
        <v>MSEDCL</v>
      </c>
      <c r="J574" s="295">
        <f>IFERROR(_xlfn.XLOOKUP(Table6[[#This Row],[Affected Feeder ]],'Basic Data'!$A:$A,'Basic Data'!$E:$E),"")</f>
        <v>2.2727272727272728E-2</v>
      </c>
      <c r="K574" s="296" t="s">
        <v>171</v>
      </c>
      <c r="L574" s="297">
        <v>0.65972222222222221</v>
      </c>
      <c r="M574" s="297">
        <v>0.65972222222222221</v>
      </c>
      <c r="N574" s="297">
        <v>0.67361111111111116</v>
      </c>
      <c r="O574" s="19">
        <f>(Table6[[#This Row],[Work Start TimeStamp]]-Table6[[#This Row],[Fault Start TimeStamp]])*24</f>
        <v>0</v>
      </c>
      <c r="P574" s="19">
        <f>(Table6[[#This Row],[Fault Clearance time]]-Table6[[#This Row],[Fault Start TimeStamp]])*24</f>
        <v>0.33333333333333481</v>
      </c>
      <c r="Q574" s="19">
        <f>(Table6[[#This Row],[Fault Clearance time]]-Table6[[#This Row],[Fault Start TimeStamp]])*24</f>
        <v>0.33333333333333481</v>
      </c>
      <c r="R574" s="79" t="s">
        <v>353</v>
      </c>
      <c r="S574" s="79" t="s">
        <v>339</v>
      </c>
      <c r="T574" s="298">
        <f>IFERROR(Table6[[#This Row],[Breakdown Time]]*Table6[[#This Row],[Plant Equivalent Weightage]],"")</f>
        <v>7.5757575757576098E-3</v>
      </c>
      <c r="U574" s="79" t="s">
        <v>416</v>
      </c>
      <c r="W574" s="79">
        <v>11</v>
      </c>
    </row>
    <row r="575" spans="1:23">
      <c r="A575" s="79">
        <f t="shared" si="8"/>
        <v>574</v>
      </c>
      <c r="B575" s="79">
        <f>YEAR(Table6[[#This Row],[Date]])+IF(MONTH(Table6[[#This Row],[Date]])&gt;=4,1,0)</f>
        <v>2026</v>
      </c>
      <c r="C575" s="79">
        <f>YEAR(Table6[[#This Row],[Date]])</f>
        <v>2025</v>
      </c>
      <c r="D575" s="79" t="s">
        <v>344</v>
      </c>
      <c r="E575" s="284">
        <f>Table6[[#This Row],[Date]]-DAY(Table6[[#This Row],[Date]])+1</f>
        <v>45778</v>
      </c>
      <c r="F575" s="285">
        <v>45795</v>
      </c>
      <c r="G575" s="79" t="s">
        <v>90</v>
      </c>
      <c r="H575" s="79" t="str">
        <f>IFERROR(_xlfn.XLOOKUP(Table6[[#This Row],[Affected Feeder ]],'Basic Data'!$A:$A,'Basic Data'!$B:$B),"")</f>
        <v>PWEPL</v>
      </c>
      <c r="I575" s="79" t="str">
        <f>IFERROR(_xlfn.XLOOKUP(Table6[[#This Row],[Affected Feeder ]],'Basic Data'!$A:$A,'Basic Data'!$C:$C),"")</f>
        <v>MSEDCL</v>
      </c>
      <c r="J575" s="295">
        <f>IFERROR(_xlfn.XLOOKUP(Table6[[#This Row],[Affected Feeder ]],'Basic Data'!$A:$A,'Basic Data'!$E:$E),"")</f>
        <v>2.2727272727272728E-2</v>
      </c>
      <c r="K575" s="296" t="s">
        <v>171</v>
      </c>
      <c r="L575" s="297">
        <v>0.65972222222222221</v>
      </c>
      <c r="M575" s="297">
        <v>0.65972222222222221</v>
      </c>
      <c r="N575" s="297">
        <v>0.67361111111111116</v>
      </c>
      <c r="O575" s="19">
        <f>(Table6[[#This Row],[Work Start TimeStamp]]-Table6[[#This Row],[Fault Start TimeStamp]])*24</f>
        <v>0</v>
      </c>
      <c r="P575" s="19">
        <f>(Table6[[#This Row],[Fault Clearance time]]-Table6[[#This Row],[Fault Start TimeStamp]])*24</f>
        <v>0.33333333333333481</v>
      </c>
      <c r="Q575" s="19">
        <f>(Table6[[#This Row],[Fault Clearance time]]-Table6[[#This Row],[Fault Start TimeStamp]])*24</f>
        <v>0.33333333333333481</v>
      </c>
      <c r="R575" s="79" t="s">
        <v>353</v>
      </c>
      <c r="S575" s="79" t="s">
        <v>339</v>
      </c>
      <c r="T575" s="298">
        <f>IFERROR(Table6[[#This Row],[Breakdown Time]]*Table6[[#This Row],[Plant Equivalent Weightage]],"")</f>
        <v>7.5757575757576098E-3</v>
      </c>
      <c r="U575" s="79" t="s">
        <v>416</v>
      </c>
      <c r="W575" s="79">
        <v>11</v>
      </c>
    </row>
    <row r="576" spans="1:23">
      <c r="A576" s="79">
        <f t="shared" si="8"/>
        <v>575</v>
      </c>
      <c r="B576" s="79">
        <f>YEAR(Table6[[#This Row],[Date]])+IF(MONTH(Table6[[#This Row],[Date]])&gt;=4,1,0)</f>
        <v>2026</v>
      </c>
      <c r="C576" s="79">
        <f>YEAR(Table6[[#This Row],[Date]])</f>
        <v>2025</v>
      </c>
      <c r="D576" s="79" t="s">
        <v>344</v>
      </c>
      <c r="E576" s="284">
        <f>Table6[[#This Row],[Date]]-DAY(Table6[[#This Row],[Date]])+1</f>
        <v>45778</v>
      </c>
      <c r="F576" s="285">
        <v>45795</v>
      </c>
      <c r="G576" s="79" t="s">
        <v>91</v>
      </c>
      <c r="H576" s="79" t="str">
        <f>IFERROR(_xlfn.XLOOKUP(Table6[[#This Row],[Affected Feeder ]],'Basic Data'!$A:$A,'Basic Data'!$B:$B),"")</f>
        <v>PWEPL</v>
      </c>
      <c r="I576" s="79" t="str">
        <f>IFERROR(_xlfn.XLOOKUP(Table6[[#This Row],[Affected Feeder ]],'Basic Data'!$A:$A,'Basic Data'!$C:$C),"")</f>
        <v>MSEDCL</v>
      </c>
      <c r="J576" s="295">
        <f>IFERROR(_xlfn.XLOOKUP(Table6[[#This Row],[Affected Feeder ]],'Basic Data'!$A:$A,'Basic Data'!$E:$E),"")</f>
        <v>2.2727272727272728E-2</v>
      </c>
      <c r="K576" s="296" t="s">
        <v>171</v>
      </c>
      <c r="L576" s="297">
        <v>0.65972222222222221</v>
      </c>
      <c r="M576" s="297">
        <v>0.65972222222222221</v>
      </c>
      <c r="N576" s="297">
        <v>0.67361111111111116</v>
      </c>
      <c r="O576" s="19">
        <f>(Table6[[#This Row],[Work Start TimeStamp]]-Table6[[#This Row],[Fault Start TimeStamp]])*24</f>
        <v>0</v>
      </c>
      <c r="P576" s="19">
        <f>(Table6[[#This Row],[Fault Clearance time]]-Table6[[#This Row],[Fault Start TimeStamp]])*24</f>
        <v>0.33333333333333481</v>
      </c>
      <c r="Q576" s="19">
        <f>(Table6[[#This Row],[Fault Clearance time]]-Table6[[#This Row],[Fault Start TimeStamp]])*24</f>
        <v>0.33333333333333481</v>
      </c>
      <c r="R576" s="79" t="s">
        <v>353</v>
      </c>
      <c r="S576" s="79" t="s">
        <v>339</v>
      </c>
      <c r="T576" s="298">
        <f>IFERROR(Table6[[#This Row],[Breakdown Time]]*Table6[[#This Row],[Plant Equivalent Weightage]],"")</f>
        <v>7.5757575757576098E-3</v>
      </c>
      <c r="U576" s="79" t="s">
        <v>416</v>
      </c>
      <c r="W576" s="79">
        <v>11</v>
      </c>
    </row>
    <row r="577" spans="1:23">
      <c r="A577" s="79">
        <f t="shared" si="8"/>
        <v>576</v>
      </c>
      <c r="B577" s="79">
        <f>YEAR(Table6[[#This Row],[Date]])+IF(MONTH(Table6[[#This Row],[Date]])&gt;=4,1,0)</f>
        <v>2026</v>
      </c>
      <c r="C577" s="79">
        <f>YEAR(Table6[[#This Row],[Date]])</f>
        <v>2025</v>
      </c>
      <c r="D577" s="79" t="s">
        <v>344</v>
      </c>
      <c r="E577" s="284">
        <f>Table6[[#This Row],[Date]]-DAY(Table6[[#This Row],[Date]])+1</f>
        <v>45778</v>
      </c>
      <c r="F577" s="285">
        <v>45795</v>
      </c>
      <c r="G577" s="79" t="s">
        <v>92</v>
      </c>
      <c r="H577" s="79" t="str">
        <f>IFERROR(_xlfn.XLOOKUP(Table6[[#This Row],[Affected Feeder ]],'Basic Data'!$A:$A,'Basic Data'!$B:$B),"")</f>
        <v>PWEPL</v>
      </c>
      <c r="I577" s="79" t="str">
        <f>IFERROR(_xlfn.XLOOKUP(Table6[[#This Row],[Affected Feeder ]],'Basic Data'!$A:$A,'Basic Data'!$C:$C),"")</f>
        <v>MSEDCL</v>
      </c>
      <c r="J577" s="295">
        <f>IFERROR(_xlfn.XLOOKUP(Table6[[#This Row],[Affected Feeder ]],'Basic Data'!$A:$A,'Basic Data'!$E:$E),"")</f>
        <v>2.2727272727272728E-2</v>
      </c>
      <c r="K577" s="296" t="s">
        <v>171</v>
      </c>
      <c r="L577" s="297">
        <v>0.65972222222222221</v>
      </c>
      <c r="M577" s="297">
        <v>0.65972222222222221</v>
      </c>
      <c r="N577" s="297">
        <v>0.67361111111111116</v>
      </c>
      <c r="O577" s="19">
        <f>(Table6[[#This Row],[Work Start TimeStamp]]-Table6[[#This Row],[Fault Start TimeStamp]])*24</f>
        <v>0</v>
      </c>
      <c r="P577" s="19">
        <f>(Table6[[#This Row],[Fault Clearance time]]-Table6[[#This Row],[Fault Start TimeStamp]])*24</f>
        <v>0.33333333333333481</v>
      </c>
      <c r="Q577" s="19">
        <f>(Table6[[#This Row],[Fault Clearance time]]-Table6[[#This Row],[Fault Start TimeStamp]])*24</f>
        <v>0.33333333333333481</v>
      </c>
      <c r="R577" s="79" t="s">
        <v>353</v>
      </c>
      <c r="S577" s="79" t="s">
        <v>339</v>
      </c>
      <c r="T577" s="298">
        <f>IFERROR(Table6[[#This Row],[Breakdown Time]]*Table6[[#This Row],[Plant Equivalent Weightage]],"")</f>
        <v>7.5757575757576098E-3</v>
      </c>
      <c r="U577" s="79" t="s">
        <v>416</v>
      </c>
      <c r="W577" s="79">
        <v>11</v>
      </c>
    </row>
    <row r="578" spans="1:23">
      <c r="A578" s="79">
        <f t="shared" si="8"/>
        <v>577</v>
      </c>
      <c r="B578" s="79">
        <f>YEAR(Table6[[#This Row],[Date]])+IF(MONTH(Table6[[#This Row],[Date]])&gt;=4,1,0)</f>
        <v>2026</v>
      </c>
      <c r="C578" s="79">
        <f>YEAR(Table6[[#This Row],[Date]])</f>
        <v>2025</v>
      </c>
      <c r="D578" s="79" t="s">
        <v>344</v>
      </c>
      <c r="E578" s="284">
        <f>Table6[[#This Row],[Date]]-DAY(Table6[[#This Row],[Date]])+1</f>
        <v>45778</v>
      </c>
      <c r="F578" s="285">
        <v>45795</v>
      </c>
      <c r="G578" s="79" t="s">
        <v>94</v>
      </c>
      <c r="H578" s="79" t="str">
        <f>IFERROR(_xlfn.XLOOKUP(Table6[[#This Row],[Affected Feeder ]],'Basic Data'!$A:$A,'Basic Data'!$B:$B),"")</f>
        <v>PWEPL</v>
      </c>
      <c r="I578" s="79" t="str">
        <f>IFERROR(_xlfn.XLOOKUP(Table6[[#This Row],[Affected Feeder ]],'Basic Data'!$A:$A,'Basic Data'!$C:$C),"")</f>
        <v>MSEDCL</v>
      </c>
      <c r="J578" s="295">
        <f>IFERROR(_xlfn.XLOOKUP(Table6[[#This Row],[Affected Feeder ]],'Basic Data'!$A:$A,'Basic Data'!$E:$E),"")</f>
        <v>2.2727272727272728E-2</v>
      </c>
      <c r="K578" s="296" t="s">
        <v>171</v>
      </c>
      <c r="L578" s="297">
        <v>0.65972222222222221</v>
      </c>
      <c r="M578" s="297">
        <v>0.65972222222222221</v>
      </c>
      <c r="N578" s="297">
        <v>0.67361111111111116</v>
      </c>
      <c r="O578" s="19">
        <f>(Table6[[#This Row],[Work Start TimeStamp]]-Table6[[#This Row],[Fault Start TimeStamp]])*24</f>
        <v>0</v>
      </c>
      <c r="P578" s="19">
        <f>(Table6[[#This Row],[Fault Clearance time]]-Table6[[#This Row],[Fault Start TimeStamp]])*24</f>
        <v>0.33333333333333481</v>
      </c>
      <c r="Q578" s="19">
        <f>(Table6[[#This Row],[Fault Clearance time]]-Table6[[#This Row],[Fault Start TimeStamp]])*24</f>
        <v>0.33333333333333481</v>
      </c>
      <c r="R578" s="79" t="s">
        <v>353</v>
      </c>
      <c r="S578" s="79" t="s">
        <v>339</v>
      </c>
      <c r="T578" s="298">
        <f>IFERROR(Table6[[#This Row],[Breakdown Time]]*Table6[[#This Row],[Plant Equivalent Weightage]],"")</f>
        <v>7.5757575757576098E-3</v>
      </c>
      <c r="U578" s="79" t="s">
        <v>416</v>
      </c>
      <c r="W578" s="79">
        <v>11</v>
      </c>
    </row>
    <row r="579" spans="1:23">
      <c r="A579" s="79">
        <f t="shared" si="8"/>
        <v>578</v>
      </c>
      <c r="B579" s="79">
        <f>YEAR(Table6[[#This Row],[Date]])+IF(MONTH(Table6[[#This Row],[Date]])&gt;=4,1,0)</f>
        <v>2026</v>
      </c>
      <c r="C579" s="79">
        <f>YEAR(Table6[[#This Row],[Date]])</f>
        <v>2025</v>
      </c>
      <c r="D579" s="79" t="s">
        <v>344</v>
      </c>
      <c r="E579" s="284">
        <f>Table6[[#This Row],[Date]]-DAY(Table6[[#This Row],[Date]])+1</f>
        <v>45778</v>
      </c>
      <c r="F579" s="285">
        <v>45795</v>
      </c>
      <c r="G579" s="79" t="s">
        <v>95</v>
      </c>
      <c r="H579" s="79" t="str">
        <f>IFERROR(_xlfn.XLOOKUP(Table6[[#This Row],[Affected Feeder ]],'Basic Data'!$A:$A,'Basic Data'!$B:$B),"")</f>
        <v>PWEPL</v>
      </c>
      <c r="I579" s="79" t="str">
        <f>IFERROR(_xlfn.XLOOKUP(Table6[[#This Row],[Affected Feeder ]],'Basic Data'!$A:$A,'Basic Data'!$C:$C),"")</f>
        <v>MSEDCL</v>
      </c>
      <c r="J579" s="295">
        <f>IFERROR(_xlfn.XLOOKUP(Table6[[#This Row],[Affected Feeder ]],'Basic Data'!$A:$A,'Basic Data'!$E:$E),"")</f>
        <v>2.2727272727272728E-2</v>
      </c>
      <c r="K579" s="296" t="s">
        <v>171</v>
      </c>
      <c r="L579" s="297">
        <v>0.65972222222222221</v>
      </c>
      <c r="M579" s="297">
        <v>0.65972222222222221</v>
      </c>
      <c r="N579" s="297">
        <v>0.67361111111111116</v>
      </c>
      <c r="O579" s="19">
        <f>(Table6[[#This Row],[Work Start TimeStamp]]-Table6[[#This Row],[Fault Start TimeStamp]])*24</f>
        <v>0</v>
      </c>
      <c r="P579" s="19">
        <f>(Table6[[#This Row],[Fault Clearance time]]-Table6[[#This Row],[Fault Start TimeStamp]])*24</f>
        <v>0.33333333333333481</v>
      </c>
      <c r="Q579" s="19">
        <f>(Table6[[#This Row],[Fault Clearance time]]-Table6[[#This Row],[Fault Start TimeStamp]])*24</f>
        <v>0.33333333333333481</v>
      </c>
      <c r="R579" s="79" t="s">
        <v>353</v>
      </c>
      <c r="S579" s="79" t="s">
        <v>339</v>
      </c>
      <c r="T579" s="298">
        <f>IFERROR(Table6[[#This Row],[Breakdown Time]]*Table6[[#This Row],[Plant Equivalent Weightage]],"")</f>
        <v>7.5757575757576098E-3</v>
      </c>
      <c r="U579" s="79" t="s">
        <v>416</v>
      </c>
      <c r="W579" s="79">
        <v>11</v>
      </c>
    </row>
    <row r="580" spans="1:23">
      <c r="A580" s="79">
        <f t="shared" ref="A580:A643" si="9">A579+1</f>
        <v>579</v>
      </c>
      <c r="B580" s="79">
        <f>YEAR(Table6[[#This Row],[Date]])+IF(MONTH(Table6[[#This Row],[Date]])&gt;=4,1,0)</f>
        <v>2026</v>
      </c>
      <c r="C580" s="79">
        <f>YEAR(Table6[[#This Row],[Date]])</f>
        <v>2025</v>
      </c>
      <c r="D580" s="79" t="s">
        <v>344</v>
      </c>
      <c r="E580" s="284">
        <f>Table6[[#This Row],[Date]]-DAY(Table6[[#This Row],[Date]])+1</f>
        <v>45778</v>
      </c>
      <c r="F580" s="285">
        <v>45795</v>
      </c>
      <c r="G580" s="79" t="s">
        <v>106</v>
      </c>
      <c r="H580" s="79" t="str">
        <f>IFERROR(_xlfn.XLOOKUP(Table6[[#This Row],[Affected Feeder ]],'Basic Data'!$A:$A,'Basic Data'!$B:$B),"")</f>
        <v>PWEPL</v>
      </c>
      <c r="I580" s="79" t="str">
        <f>IFERROR(_xlfn.XLOOKUP(Table6[[#This Row],[Affected Feeder ]],'Basic Data'!$A:$A,'Basic Data'!$C:$C),"")</f>
        <v>MSEDCL</v>
      </c>
      <c r="J580" s="295">
        <f>IFERROR(_xlfn.XLOOKUP(Table6[[#This Row],[Affected Feeder ]],'Basic Data'!$A:$A,'Basic Data'!$E:$E),"")</f>
        <v>2.2727272727272728E-2</v>
      </c>
      <c r="K580" s="296" t="s">
        <v>171</v>
      </c>
      <c r="L580" s="297">
        <v>0.65972222222222221</v>
      </c>
      <c r="M580" s="297">
        <v>0.65972222222222221</v>
      </c>
      <c r="N580" s="297">
        <v>0.67361111111111116</v>
      </c>
      <c r="O580" s="19">
        <f>(Table6[[#This Row],[Work Start TimeStamp]]-Table6[[#This Row],[Fault Start TimeStamp]])*24</f>
        <v>0</v>
      </c>
      <c r="P580" s="19">
        <f>(Table6[[#This Row],[Fault Clearance time]]-Table6[[#This Row],[Fault Start TimeStamp]])*24</f>
        <v>0.33333333333333481</v>
      </c>
      <c r="Q580" s="19">
        <f>(Table6[[#This Row],[Fault Clearance time]]-Table6[[#This Row],[Fault Start TimeStamp]])*24</f>
        <v>0.33333333333333481</v>
      </c>
      <c r="R580" s="79" t="s">
        <v>353</v>
      </c>
      <c r="S580" s="79" t="s">
        <v>339</v>
      </c>
      <c r="T580" s="298">
        <f>IFERROR(Table6[[#This Row],[Breakdown Time]]*Table6[[#This Row],[Plant Equivalent Weightage]],"")</f>
        <v>7.5757575757576098E-3</v>
      </c>
      <c r="U580" s="79" t="s">
        <v>416</v>
      </c>
      <c r="W580" s="79">
        <v>11</v>
      </c>
    </row>
    <row r="581" spans="1:23">
      <c r="A581" s="79">
        <f t="shared" si="9"/>
        <v>580</v>
      </c>
      <c r="B581" s="79">
        <f>YEAR(Table6[[#This Row],[Date]])+IF(MONTH(Table6[[#This Row],[Date]])&gt;=4,1,0)</f>
        <v>2026</v>
      </c>
      <c r="C581" s="79">
        <f>YEAR(Table6[[#This Row],[Date]])</f>
        <v>2025</v>
      </c>
      <c r="D581" s="79" t="s">
        <v>344</v>
      </c>
      <c r="E581" s="284">
        <f>Table6[[#This Row],[Date]]-DAY(Table6[[#This Row],[Date]])+1</f>
        <v>45778</v>
      </c>
      <c r="F581" s="285">
        <v>45795</v>
      </c>
      <c r="G581" s="79" t="s">
        <v>79</v>
      </c>
      <c r="H581" s="79" t="str">
        <f>IFERROR(_xlfn.XLOOKUP(Table6[[#This Row],[Affected Feeder ]],'Basic Data'!$A:$A,'Basic Data'!$B:$B),"")</f>
        <v>PWEPL</v>
      </c>
      <c r="I581" s="79" t="str">
        <f>IFERROR(_xlfn.XLOOKUP(Table6[[#This Row],[Affected Feeder ]],'Basic Data'!$A:$A,'Basic Data'!$C:$C),"")</f>
        <v>MSEDCL</v>
      </c>
      <c r="J581" s="295">
        <f>IFERROR(_xlfn.XLOOKUP(Table6[[#This Row],[Affected Feeder ]],'Basic Data'!$A:$A,'Basic Data'!$E:$E),"")</f>
        <v>2.2727272727272728E-2</v>
      </c>
      <c r="K581" s="296" t="s">
        <v>171</v>
      </c>
      <c r="L581" s="297">
        <v>0.65972222222222221</v>
      </c>
      <c r="M581" s="297">
        <v>0.65972222222222221</v>
      </c>
      <c r="N581" s="297">
        <v>0.67361111111111116</v>
      </c>
      <c r="O581" s="19">
        <f>(Table6[[#This Row],[Work Start TimeStamp]]-Table6[[#This Row],[Fault Start TimeStamp]])*24</f>
        <v>0</v>
      </c>
      <c r="P581" s="19">
        <f>(Table6[[#This Row],[Fault Clearance time]]-Table6[[#This Row],[Fault Start TimeStamp]])*24</f>
        <v>0.33333333333333481</v>
      </c>
      <c r="Q581" s="19">
        <f>(Table6[[#This Row],[Fault Clearance time]]-Table6[[#This Row],[Fault Start TimeStamp]])*24</f>
        <v>0.33333333333333481</v>
      </c>
      <c r="R581" s="79" t="s">
        <v>353</v>
      </c>
      <c r="S581" s="79" t="s">
        <v>339</v>
      </c>
      <c r="T581" s="298">
        <f>IFERROR(Table6[[#This Row],[Breakdown Time]]*Table6[[#This Row],[Plant Equivalent Weightage]],"")</f>
        <v>7.5757575757576098E-3</v>
      </c>
      <c r="U581" s="79" t="s">
        <v>416</v>
      </c>
      <c r="W581" s="79">
        <v>11</v>
      </c>
    </row>
    <row r="582" spans="1:23">
      <c r="A582" s="79">
        <f t="shared" si="9"/>
        <v>581</v>
      </c>
      <c r="B582" s="79">
        <f>YEAR(Table6[[#This Row],[Date]])+IF(MONTH(Table6[[#This Row],[Date]])&gt;=4,1,0)</f>
        <v>2026</v>
      </c>
      <c r="C582" s="79">
        <f>YEAR(Table6[[#This Row],[Date]])</f>
        <v>2025</v>
      </c>
      <c r="D582" s="79" t="s">
        <v>344</v>
      </c>
      <c r="E582" s="284">
        <f>Table6[[#This Row],[Date]]-DAY(Table6[[#This Row],[Date]])+1</f>
        <v>45778</v>
      </c>
      <c r="F582" s="285">
        <v>45795</v>
      </c>
      <c r="G582" s="79" t="s">
        <v>96</v>
      </c>
      <c r="H582" s="79" t="str">
        <f>IFERROR(_xlfn.XLOOKUP(Table6[[#This Row],[Affected Feeder ]],'Basic Data'!$A:$A,'Basic Data'!$B:$B),"")</f>
        <v>PWEPL</v>
      </c>
      <c r="I582" s="79" t="str">
        <f>IFERROR(_xlfn.XLOOKUP(Table6[[#This Row],[Affected Feeder ]],'Basic Data'!$A:$A,'Basic Data'!$C:$C),"")</f>
        <v>MSEDCL</v>
      </c>
      <c r="J582" s="295">
        <f>IFERROR(_xlfn.XLOOKUP(Table6[[#This Row],[Affected Feeder ]],'Basic Data'!$A:$A,'Basic Data'!$E:$E),"")</f>
        <v>2.2727272727272728E-2</v>
      </c>
      <c r="K582" s="296" t="s">
        <v>171</v>
      </c>
      <c r="L582" s="297">
        <v>0.65972222222222221</v>
      </c>
      <c r="M582" s="297">
        <v>0.65972222222222221</v>
      </c>
      <c r="N582" s="297">
        <v>0.67361111111111116</v>
      </c>
      <c r="O582" s="19">
        <f>(Table6[[#This Row],[Work Start TimeStamp]]-Table6[[#This Row],[Fault Start TimeStamp]])*24</f>
        <v>0</v>
      </c>
      <c r="P582" s="19">
        <f>(Table6[[#This Row],[Fault Clearance time]]-Table6[[#This Row],[Fault Start TimeStamp]])*24</f>
        <v>0.33333333333333481</v>
      </c>
      <c r="Q582" s="19">
        <f>(Table6[[#This Row],[Fault Clearance time]]-Table6[[#This Row],[Fault Start TimeStamp]])*24</f>
        <v>0.33333333333333481</v>
      </c>
      <c r="R582" s="79" t="s">
        <v>353</v>
      </c>
      <c r="S582" s="79" t="s">
        <v>339</v>
      </c>
      <c r="T582" s="298">
        <f>IFERROR(Table6[[#This Row],[Breakdown Time]]*Table6[[#This Row],[Plant Equivalent Weightage]],"")</f>
        <v>7.5757575757576098E-3</v>
      </c>
      <c r="U582" s="79" t="s">
        <v>416</v>
      </c>
      <c r="W582" s="79">
        <v>11</v>
      </c>
    </row>
    <row r="583" spans="1:23">
      <c r="A583" s="79">
        <f t="shared" si="9"/>
        <v>582</v>
      </c>
      <c r="B583" s="79">
        <f>YEAR(Table6[[#This Row],[Date]])+IF(MONTH(Table6[[#This Row],[Date]])&gt;=4,1,0)</f>
        <v>2026</v>
      </c>
      <c r="C583" s="79">
        <f>YEAR(Table6[[#This Row],[Date]])</f>
        <v>2025</v>
      </c>
      <c r="D583" s="79" t="s">
        <v>344</v>
      </c>
      <c r="E583" s="284">
        <f>Table6[[#This Row],[Date]]-DAY(Table6[[#This Row],[Date]])+1</f>
        <v>45778</v>
      </c>
      <c r="F583" s="285">
        <v>45795</v>
      </c>
      <c r="G583" s="79" t="s">
        <v>97</v>
      </c>
      <c r="H583" s="79" t="str">
        <f>IFERROR(_xlfn.XLOOKUP(Table6[[#This Row],[Affected Feeder ]],'Basic Data'!$A:$A,'Basic Data'!$B:$B),"")</f>
        <v>PWEPL</v>
      </c>
      <c r="I583" s="79" t="str">
        <f>IFERROR(_xlfn.XLOOKUP(Table6[[#This Row],[Affected Feeder ]],'Basic Data'!$A:$A,'Basic Data'!$C:$C),"")</f>
        <v>MSEDCL</v>
      </c>
      <c r="J583" s="295">
        <f>IFERROR(_xlfn.XLOOKUP(Table6[[#This Row],[Affected Feeder ]],'Basic Data'!$A:$A,'Basic Data'!$E:$E),"")</f>
        <v>2.2727272727272728E-2</v>
      </c>
      <c r="K583" s="296" t="s">
        <v>171</v>
      </c>
      <c r="L583" s="297">
        <v>0.65972222222222221</v>
      </c>
      <c r="M583" s="297">
        <v>0.65972222222222221</v>
      </c>
      <c r="N583" s="297">
        <v>0.67361111111111116</v>
      </c>
      <c r="O583" s="19">
        <f>(Table6[[#This Row],[Work Start TimeStamp]]-Table6[[#This Row],[Fault Start TimeStamp]])*24</f>
        <v>0</v>
      </c>
      <c r="P583" s="19">
        <f>(Table6[[#This Row],[Fault Clearance time]]-Table6[[#This Row],[Fault Start TimeStamp]])*24</f>
        <v>0.33333333333333481</v>
      </c>
      <c r="Q583" s="19">
        <f>(Table6[[#This Row],[Fault Clearance time]]-Table6[[#This Row],[Fault Start TimeStamp]])*24</f>
        <v>0.33333333333333481</v>
      </c>
      <c r="R583" s="79" t="s">
        <v>353</v>
      </c>
      <c r="S583" s="79" t="s">
        <v>339</v>
      </c>
      <c r="T583" s="298">
        <f>IFERROR(Table6[[#This Row],[Breakdown Time]]*Table6[[#This Row],[Plant Equivalent Weightage]],"")</f>
        <v>7.5757575757576098E-3</v>
      </c>
      <c r="U583" s="79" t="s">
        <v>416</v>
      </c>
      <c r="W583" s="79">
        <v>11</v>
      </c>
    </row>
    <row r="584" spans="1:23">
      <c r="A584" s="79">
        <f t="shared" si="9"/>
        <v>583</v>
      </c>
      <c r="B584" s="79">
        <f>YEAR(Table6[[#This Row],[Date]])+IF(MONTH(Table6[[#This Row],[Date]])&gt;=4,1,0)</f>
        <v>2026</v>
      </c>
      <c r="C584" s="79">
        <f>YEAR(Table6[[#This Row],[Date]])</f>
        <v>2025</v>
      </c>
      <c r="D584" s="79" t="s">
        <v>344</v>
      </c>
      <c r="E584" s="284">
        <f>Table6[[#This Row],[Date]]-DAY(Table6[[#This Row],[Date]])+1</f>
        <v>45778</v>
      </c>
      <c r="F584" s="285">
        <v>45795</v>
      </c>
      <c r="G584" s="79" t="s">
        <v>104</v>
      </c>
      <c r="H584" s="79" t="str">
        <f>IFERROR(_xlfn.XLOOKUP(Table6[[#This Row],[Affected Feeder ]],'Basic Data'!$A:$A,'Basic Data'!$B:$B),"")</f>
        <v>PWEPL</v>
      </c>
      <c r="I584" s="79" t="str">
        <f>IFERROR(_xlfn.XLOOKUP(Table6[[#This Row],[Affected Feeder ]],'Basic Data'!$A:$A,'Basic Data'!$C:$C),"")</f>
        <v>MSEDCL</v>
      </c>
      <c r="J584" s="295">
        <f>IFERROR(_xlfn.XLOOKUP(Table6[[#This Row],[Affected Feeder ]],'Basic Data'!$A:$A,'Basic Data'!$E:$E),"")</f>
        <v>2.2727272727272728E-2</v>
      </c>
      <c r="K584" s="296" t="s">
        <v>171</v>
      </c>
      <c r="L584" s="297">
        <v>0.65972222222222221</v>
      </c>
      <c r="M584" s="297">
        <v>0.65972222222222221</v>
      </c>
      <c r="N584" s="297">
        <v>0.67361111111111116</v>
      </c>
      <c r="O584" s="19">
        <f>(Table6[[#This Row],[Work Start TimeStamp]]-Table6[[#This Row],[Fault Start TimeStamp]])*24</f>
        <v>0</v>
      </c>
      <c r="P584" s="19">
        <f>(Table6[[#This Row],[Fault Clearance time]]-Table6[[#This Row],[Fault Start TimeStamp]])*24</f>
        <v>0.33333333333333481</v>
      </c>
      <c r="Q584" s="19">
        <f>(Table6[[#This Row],[Fault Clearance time]]-Table6[[#This Row],[Fault Start TimeStamp]])*24</f>
        <v>0.33333333333333481</v>
      </c>
      <c r="R584" s="79" t="s">
        <v>353</v>
      </c>
      <c r="S584" s="79" t="s">
        <v>339</v>
      </c>
      <c r="T584" s="298">
        <f>IFERROR(Table6[[#This Row],[Breakdown Time]]*Table6[[#This Row],[Plant Equivalent Weightage]],"")</f>
        <v>7.5757575757576098E-3</v>
      </c>
      <c r="U584" s="79" t="s">
        <v>416</v>
      </c>
      <c r="W584" s="79">
        <v>11</v>
      </c>
    </row>
    <row r="585" spans="1:23">
      <c r="A585" s="79">
        <f t="shared" si="9"/>
        <v>584</v>
      </c>
      <c r="B585" s="79">
        <f>YEAR(Table6[[#This Row],[Date]])+IF(MONTH(Table6[[#This Row],[Date]])&gt;=4,1,0)</f>
        <v>2026</v>
      </c>
      <c r="C585" s="79">
        <f>YEAR(Table6[[#This Row],[Date]])</f>
        <v>2025</v>
      </c>
      <c r="D585" s="79" t="s">
        <v>344</v>
      </c>
      <c r="E585" s="284">
        <f>Table6[[#This Row],[Date]]-DAY(Table6[[#This Row],[Date]])+1</f>
        <v>45778</v>
      </c>
      <c r="F585" s="285">
        <v>45795</v>
      </c>
      <c r="G585" s="79" t="s">
        <v>110</v>
      </c>
      <c r="H585" s="79" t="str">
        <f>IFERROR(_xlfn.XLOOKUP(Table6[[#This Row],[Affected Feeder ]],'Basic Data'!$A:$A,'Basic Data'!$B:$B),"")</f>
        <v>PWEPL</v>
      </c>
      <c r="I585" s="79" t="str">
        <f>IFERROR(_xlfn.XLOOKUP(Table6[[#This Row],[Affected Feeder ]],'Basic Data'!$A:$A,'Basic Data'!$C:$C),"")</f>
        <v>MSEDCL</v>
      </c>
      <c r="J585" s="295">
        <f>IFERROR(_xlfn.XLOOKUP(Table6[[#This Row],[Affected Feeder ]],'Basic Data'!$A:$A,'Basic Data'!$E:$E),"")</f>
        <v>2.2727272727272728E-2</v>
      </c>
      <c r="K585" s="296" t="s">
        <v>171</v>
      </c>
      <c r="L585" s="297">
        <v>0.65972222222222221</v>
      </c>
      <c r="M585" s="297">
        <v>0.65972222222222221</v>
      </c>
      <c r="N585" s="297">
        <v>0.67361111111111116</v>
      </c>
      <c r="O585" s="19">
        <f>(Table6[[#This Row],[Work Start TimeStamp]]-Table6[[#This Row],[Fault Start TimeStamp]])*24</f>
        <v>0</v>
      </c>
      <c r="P585" s="19">
        <f>(Table6[[#This Row],[Fault Clearance time]]-Table6[[#This Row],[Fault Start TimeStamp]])*24</f>
        <v>0.33333333333333481</v>
      </c>
      <c r="Q585" s="19">
        <f>(Table6[[#This Row],[Fault Clearance time]]-Table6[[#This Row],[Fault Start TimeStamp]])*24</f>
        <v>0.33333333333333481</v>
      </c>
      <c r="R585" s="79" t="s">
        <v>353</v>
      </c>
      <c r="S585" s="79" t="s">
        <v>339</v>
      </c>
      <c r="T585" s="298">
        <f>IFERROR(Table6[[#This Row],[Breakdown Time]]*Table6[[#This Row],[Plant Equivalent Weightage]],"")</f>
        <v>7.5757575757576098E-3</v>
      </c>
      <c r="U585" s="79" t="s">
        <v>416</v>
      </c>
      <c r="W585" s="79">
        <v>11</v>
      </c>
    </row>
    <row r="586" spans="1:23">
      <c r="A586" s="79">
        <f t="shared" si="9"/>
        <v>585</v>
      </c>
      <c r="B586" s="79">
        <f>YEAR(Table6[[#This Row],[Date]])+IF(MONTH(Table6[[#This Row],[Date]])&gt;=4,1,0)</f>
        <v>2026</v>
      </c>
      <c r="C586" s="79">
        <f>YEAR(Table6[[#This Row],[Date]])</f>
        <v>2025</v>
      </c>
      <c r="D586" s="79" t="s">
        <v>344</v>
      </c>
      <c r="E586" s="284">
        <f>Table6[[#This Row],[Date]]-DAY(Table6[[#This Row],[Date]])+1</f>
        <v>45778</v>
      </c>
      <c r="F586" s="285">
        <v>45796</v>
      </c>
      <c r="G586" s="79" t="s">
        <v>405</v>
      </c>
      <c r="H586" s="79" t="str">
        <f>IFERROR(_xlfn.XLOOKUP(Table6[[#This Row],[Affected Feeder ]],'Basic Data'!$A:$A,'Basic Data'!$B:$B),"")</f>
        <v>PWEPL</v>
      </c>
      <c r="I586" s="79" t="str">
        <f>IFERROR(_xlfn.XLOOKUP(Table6[[#This Row],[Affected Feeder ]],'Basic Data'!$A:$A,'Basic Data'!$C:$C),"")</f>
        <v>MSEDCL</v>
      </c>
      <c r="J586" s="295">
        <f>IFERROR(_xlfn.XLOOKUP(Table6[[#This Row],[Affected Feeder ]],'Basic Data'!$A:$A,'Basic Data'!$E:$E),"")</f>
        <v>0.20454545454545453</v>
      </c>
      <c r="K586" s="296" t="s">
        <v>419</v>
      </c>
      <c r="L586" s="297">
        <v>0.27916666666666667</v>
      </c>
      <c r="M586" s="297">
        <v>0.27916666666666667</v>
      </c>
      <c r="N586" s="297">
        <v>0.33124999999999999</v>
      </c>
      <c r="O586" s="19">
        <f>(Table6[[#This Row],[Work Start TimeStamp]]-Table6[[#This Row],[Fault Start TimeStamp]])*24</f>
        <v>0</v>
      </c>
      <c r="P586" s="19">
        <f>(Table6[[#This Row],[Fault Clearance time]]-Table6[[#This Row],[Fault Start TimeStamp]])*24</f>
        <v>1.2499999999999996</v>
      </c>
      <c r="Q586" s="19">
        <f>(Table6[[#This Row],[Fault Clearance time]]-Table6[[#This Row],[Fault Start TimeStamp]])*24</f>
        <v>1.2499999999999996</v>
      </c>
      <c r="R586" s="79" t="s">
        <v>420</v>
      </c>
      <c r="S586" s="79" t="s">
        <v>339</v>
      </c>
      <c r="T586" s="298">
        <f>IFERROR(Table6[[#This Row],[Breakdown Time]]*Table6[[#This Row],[Plant Equivalent Weightage]],"")</f>
        <v>0.25568181818181807</v>
      </c>
      <c r="U586" s="79" t="s">
        <v>421</v>
      </c>
      <c r="W586" s="79">
        <v>900</v>
      </c>
    </row>
    <row r="587" spans="1:23">
      <c r="A587" s="79">
        <f t="shared" si="9"/>
        <v>586</v>
      </c>
      <c r="B587" s="79">
        <f>YEAR(Table6[[#This Row],[Date]])+IF(MONTH(Table6[[#This Row],[Date]])&gt;=4,1,0)</f>
        <v>2026</v>
      </c>
      <c r="C587" s="79">
        <f>YEAR(Table6[[#This Row],[Date]])</f>
        <v>2025</v>
      </c>
      <c r="D587" s="79" t="s">
        <v>344</v>
      </c>
      <c r="E587" s="284">
        <f>Table6[[#This Row],[Date]]-DAY(Table6[[#This Row],[Date]])+1</f>
        <v>45778</v>
      </c>
      <c r="F587" s="285">
        <v>45796</v>
      </c>
      <c r="G587" s="79" t="s">
        <v>109</v>
      </c>
      <c r="H587" s="79" t="str">
        <f>IFERROR(_xlfn.XLOOKUP(Table6[[#This Row],[Affected Feeder ]],'Basic Data'!$A:$A,'Basic Data'!$B:$B),"")</f>
        <v>PWEPL</v>
      </c>
      <c r="I587" s="79" t="str">
        <f>IFERROR(_xlfn.XLOOKUP(Table6[[#This Row],[Affected Feeder ]],'Basic Data'!$A:$A,'Basic Data'!$C:$C),"")</f>
        <v>MSEDCL</v>
      </c>
      <c r="J587" s="295">
        <f>IFERROR(_xlfn.XLOOKUP(Table6[[#This Row],[Affected Feeder ]],'Basic Data'!$A:$A,'Basic Data'!$E:$E),"")</f>
        <v>2.2727272727272728E-2</v>
      </c>
      <c r="K587" s="296" t="s">
        <v>825</v>
      </c>
      <c r="L587" s="297">
        <v>0.33124999999999999</v>
      </c>
      <c r="M587" s="297">
        <v>0.33124999999999999</v>
      </c>
      <c r="N587" s="297">
        <v>0.34027777777777773</v>
      </c>
      <c r="O587" s="19">
        <f>(Table6[[#This Row],[Work Start TimeStamp]]-Table6[[#This Row],[Fault Start TimeStamp]])*24</f>
        <v>0</v>
      </c>
      <c r="P587" s="19">
        <f>(Table6[[#This Row],[Fault Clearance time]]-Table6[[#This Row],[Fault Start TimeStamp]])*24</f>
        <v>0.2166666666666659</v>
      </c>
      <c r="Q587" s="19">
        <f>(Table6[[#This Row],[Fault Clearance time]]-Table6[[#This Row],[Fault Start TimeStamp]])*24</f>
        <v>0.2166666666666659</v>
      </c>
      <c r="R587" s="79" t="s">
        <v>828</v>
      </c>
      <c r="S587" s="79" t="s">
        <v>339</v>
      </c>
      <c r="T587" s="298">
        <f>IFERROR(Table6[[#This Row],[Breakdown Time]]*Table6[[#This Row],[Plant Equivalent Weightage]],"")</f>
        <v>4.9242424242424065E-3</v>
      </c>
      <c r="U587" s="79" t="s">
        <v>421</v>
      </c>
      <c r="W587" s="79">
        <v>15</v>
      </c>
    </row>
    <row r="588" spans="1:23">
      <c r="A588" s="79">
        <f t="shared" si="9"/>
        <v>587</v>
      </c>
      <c r="B588" s="79">
        <f>YEAR(Table6[[#This Row],[Date]])+IF(MONTH(Table6[[#This Row],[Date]])&gt;=4,1,0)</f>
        <v>2026</v>
      </c>
      <c r="C588" s="79">
        <f>YEAR(Table6[[#This Row],[Date]])</f>
        <v>2025</v>
      </c>
      <c r="D588" s="79" t="s">
        <v>344</v>
      </c>
      <c r="E588" s="284">
        <f>Table6[[#This Row],[Date]]-DAY(Table6[[#This Row],[Date]])+1</f>
        <v>45778</v>
      </c>
      <c r="F588" s="285">
        <v>45796</v>
      </c>
      <c r="G588" s="79" t="s">
        <v>109</v>
      </c>
      <c r="H588" s="79" t="str">
        <f>IFERROR(_xlfn.XLOOKUP(Table6[[#This Row],[Affected Feeder ]],'Basic Data'!$A:$A,'Basic Data'!$B:$B),"")</f>
        <v>PWEPL</v>
      </c>
      <c r="I588" s="79" t="str">
        <f>IFERROR(_xlfn.XLOOKUP(Table6[[#This Row],[Affected Feeder ]],'Basic Data'!$A:$A,'Basic Data'!$C:$C),"")</f>
        <v>MSEDCL</v>
      </c>
      <c r="J588" s="295">
        <f>IFERROR(_xlfn.XLOOKUP(Table6[[#This Row],[Affected Feeder ]],'Basic Data'!$A:$A,'Basic Data'!$E:$E),"")</f>
        <v>2.2727272727272728E-2</v>
      </c>
      <c r="K588" s="296" t="s">
        <v>171</v>
      </c>
      <c r="L588" s="297">
        <v>0.34027777777777773</v>
      </c>
      <c r="M588" s="297">
        <v>0.34027777777777773</v>
      </c>
      <c r="N588" s="297">
        <v>0.35416666666666669</v>
      </c>
      <c r="O588" s="19">
        <f>(Table6[[#This Row],[Work Start TimeStamp]]-Table6[[#This Row],[Fault Start TimeStamp]])*24</f>
        <v>0</v>
      </c>
      <c r="P588" s="19">
        <f>(Table6[[#This Row],[Fault Clearance time]]-Table6[[#This Row],[Fault Start TimeStamp]])*24</f>
        <v>0.33333333333333481</v>
      </c>
      <c r="Q588" s="19">
        <f>(Table6[[#This Row],[Fault Clearance time]]-Table6[[#This Row],[Fault Start TimeStamp]])*24</f>
        <v>0.33333333333333481</v>
      </c>
      <c r="R588" s="79" t="s">
        <v>353</v>
      </c>
      <c r="S588" s="79" t="s">
        <v>339</v>
      </c>
      <c r="T588" s="298">
        <f>IFERROR(Table6[[#This Row],[Breakdown Time]]*Table6[[#This Row],[Plant Equivalent Weightage]],"")</f>
        <v>7.5757575757576098E-3</v>
      </c>
      <c r="U588" s="79" t="s">
        <v>421</v>
      </c>
      <c r="W588" s="79">
        <v>15</v>
      </c>
    </row>
    <row r="589" spans="1:23">
      <c r="A589" s="79">
        <f t="shared" si="9"/>
        <v>588</v>
      </c>
      <c r="B589" s="79">
        <f>YEAR(Table6[[#This Row],[Date]])+IF(MONTH(Table6[[#This Row],[Date]])&gt;=4,1,0)</f>
        <v>2026</v>
      </c>
      <c r="C589" s="79">
        <f>YEAR(Table6[[#This Row],[Date]])</f>
        <v>2025</v>
      </c>
      <c r="D589" s="79" t="s">
        <v>344</v>
      </c>
      <c r="E589" s="284">
        <f>Table6[[#This Row],[Date]]-DAY(Table6[[#This Row],[Date]])+1</f>
        <v>45778</v>
      </c>
      <c r="F589" s="285">
        <v>45796</v>
      </c>
      <c r="G589" s="79" t="s">
        <v>111</v>
      </c>
      <c r="H589" s="79" t="str">
        <f>IFERROR(_xlfn.XLOOKUP(Table6[[#This Row],[Affected Feeder ]],'Basic Data'!$A:$A,'Basic Data'!$B:$B),"")</f>
        <v>PWEPL</v>
      </c>
      <c r="I589" s="79" t="str">
        <f>IFERROR(_xlfn.XLOOKUP(Table6[[#This Row],[Affected Feeder ]],'Basic Data'!$A:$A,'Basic Data'!$C:$C),"")</f>
        <v>MSEDCL</v>
      </c>
      <c r="J589" s="295">
        <f>IFERROR(_xlfn.XLOOKUP(Table6[[#This Row],[Affected Feeder ]],'Basic Data'!$A:$A,'Basic Data'!$E:$E),"")</f>
        <v>2.2727272727272728E-2</v>
      </c>
      <c r="K589" s="296" t="s">
        <v>825</v>
      </c>
      <c r="L589" s="297">
        <v>0.33124999999999999</v>
      </c>
      <c r="M589" s="297">
        <v>0.33124999999999999</v>
      </c>
      <c r="N589" s="297">
        <v>0.34027777777777773</v>
      </c>
      <c r="O589" s="19">
        <f>(Table6[[#This Row],[Work Start TimeStamp]]-Table6[[#This Row],[Fault Start TimeStamp]])*24</f>
        <v>0</v>
      </c>
      <c r="P589" s="19">
        <f>(Table6[[#This Row],[Fault Clearance time]]-Table6[[#This Row],[Fault Start TimeStamp]])*24</f>
        <v>0.2166666666666659</v>
      </c>
      <c r="Q589" s="19">
        <f>(Table6[[#This Row],[Fault Clearance time]]-Table6[[#This Row],[Fault Start TimeStamp]])*24</f>
        <v>0.2166666666666659</v>
      </c>
      <c r="R589" s="79" t="s">
        <v>828</v>
      </c>
      <c r="S589" s="79" t="s">
        <v>339</v>
      </c>
      <c r="T589" s="298">
        <f>IFERROR(Table6[[#This Row],[Breakdown Time]]*Table6[[#This Row],[Plant Equivalent Weightage]],"")</f>
        <v>4.9242424242424065E-3</v>
      </c>
      <c r="U589" s="79" t="s">
        <v>421</v>
      </c>
      <c r="W589" s="79">
        <v>15</v>
      </c>
    </row>
    <row r="590" spans="1:23">
      <c r="A590" s="79">
        <f t="shared" si="9"/>
        <v>589</v>
      </c>
      <c r="B590" s="79">
        <f>YEAR(Table6[[#This Row],[Date]])+IF(MONTH(Table6[[#This Row],[Date]])&gt;=4,1,0)</f>
        <v>2026</v>
      </c>
      <c r="C590" s="79">
        <f>YEAR(Table6[[#This Row],[Date]])</f>
        <v>2025</v>
      </c>
      <c r="D590" s="79" t="s">
        <v>344</v>
      </c>
      <c r="E590" s="284">
        <f>Table6[[#This Row],[Date]]-DAY(Table6[[#This Row],[Date]])+1</f>
        <v>45778</v>
      </c>
      <c r="F590" s="285">
        <v>45796</v>
      </c>
      <c r="G590" s="79" t="s">
        <v>111</v>
      </c>
      <c r="H590" s="79" t="str">
        <f>IFERROR(_xlfn.XLOOKUP(Table6[[#This Row],[Affected Feeder ]],'Basic Data'!$A:$A,'Basic Data'!$B:$B),"")</f>
        <v>PWEPL</v>
      </c>
      <c r="I590" s="79" t="str">
        <f>IFERROR(_xlfn.XLOOKUP(Table6[[#This Row],[Affected Feeder ]],'Basic Data'!$A:$A,'Basic Data'!$C:$C),"")</f>
        <v>MSEDCL</v>
      </c>
      <c r="J590" s="295">
        <f>IFERROR(_xlfn.XLOOKUP(Table6[[#This Row],[Affected Feeder ]],'Basic Data'!$A:$A,'Basic Data'!$E:$E),"")</f>
        <v>2.2727272727272728E-2</v>
      </c>
      <c r="K590" s="296" t="s">
        <v>171</v>
      </c>
      <c r="L590" s="297">
        <v>0.34027777777777773</v>
      </c>
      <c r="M590" s="297">
        <v>0.34027777777777773</v>
      </c>
      <c r="N590" s="297">
        <v>0.35416666666666669</v>
      </c>
      <c r="O590" s="19">
        <f>(Table6[[#This Row],[Work Start TimeStamp]]-Table6[[#This Row],[Fault Start TimeStamp]])*24</f>
        <v>0</v>
      </c>
      <c r="P590" s="19">
        <f>(Table6[[#This Row],[Fault Clearance time]]-Table6[[#This Row],[Fault Start TimeStamp]])*24</f>
        <v>0.33333333333333481</v>
      </c>
      <c r="Q590" s="19">
        <f>(Table6[[#This Row],[Fault Clearance time]]-Table6[[#This Row],[Fault Start TimeStamp]])*24</f>
        <v>0.33333333333333481</v>
      </c>
      <c r="R590" s="79" t="s">
        <v>353</v>
      </c>
      <c r="S590" s="79" t="s">
        <v>339</v>
      </c>
      <c r="T590" s="298">
        <f>IFERROR(Table6[[#This Row],[Breakdown Time]]*Table6[[#This Row],[Plant Equivalent Weightage]],"")</f>
        <v>7.5757575757576098E-3</v>
      </c>
      <c r="U590" s="79" t="s">
        <v>421</v>
      </c>
      <c r="W590" s="79">
        <v>15</v>
      </c>
    </row>
    <row r="591" spans="1:23">
      <c r="A591" s="79">
        <f t="shared" si="9"/>
        <v>590</v>
      </c>
      <c r="B591" s="79">
        <f>YEAR(Table6[[#This Row],[Date]])+IF(MONTH(Table6[[#This Row],[Date]])&gt;=4,1,0)</f>
        <v>2026</v>
      </c>
      <c r="C591" s="79">
        <f>YEAR(Table6[[#This Row],[Date]])</f>
        <v>2025</v>
      </c>
      <c r="D591" s="79" t="s">
        <v>344</v>
      </c>
      <c r="E591" s="284">
        <f>Table6[[#This Row],[Date]]-DAY(Table6[[#This Row],[Date]])+1</f>
        <v>45778</v>
      </c>
      <c r="F591" s="285">
        <v>45796</v>
      </c>
      <c r="G591" s="79" t="s">
        <v>112</v>
      </c>
      <c r="H591" s="79" t="str">
        <f>IFERROR(_xlfn.XLOOKUP(Table6[[#This Row],[Affected Feeder ]],'Basic Data'!$A:$A,'Basic Data'!$B:$B),"")</f>
        <v>PWEPL</v>
      </c>
      <c r="I591" s="79" t="str">
        <f>IFERROR(_xlfn.XLOOKUP(Table6[[#This Row],[Affected Feeder ]],'Basic Data'!$A:$A,'Basic Data'!$C:$C),"")</f>
        <v>MSEDCL</v>
      </c>
      <c r="J591" s="295">
        <f>IFERROR(_xlfn.XLOOKUP(Table6[[#This Row],[Affected Feeder ]],'Basic Data'!$A:$A,'Basic Data'!$E:$E),"")</f>
        <v>2.2727272727272728E-2</v>
      </c>
      <c r="K591" s="296" t="s">
        <v>825</v>
      </c>
      <c r="L591" s="297">
        <v>0.33124999999999999</v>
      </c>
      <c r="M591" s="297">
        <v>0.33124999999999999</v>
      </c>
      <c r="N591" s="297">
        <v>0.34027777777777773</v>
      </c>
      <c r="O591" s="19">
        <f>(Table6[[#This Row],[Work Start TimeStamp]]-Table6[[#This Row],[Fault Start TimeStamp]])*24</f>
        <v>0</v>
      </c>
      <c r="P591" s="19">
        <f>(Table6[[#This Row],[Fault Clearance time]]-Table6[[#This Row],[Fault Start TimeStamp]])*24</f>
        <v>0.2166666666666659</v>
      </c>
      <c r="Q591" s="19">
        <f>(Table6[[#This Row],[Fault Clearance time]]-Table6[[#This Row],[Fault Start TimeStamp]])*24</f>
        <v>0.2166666666666659</v>
      </c>
      <c r="R591" s="79" t="s">
        <v>828</v>
      </c>
      <c r="S591" s="79" t="s">
        <v>339</v>
      </c>
      <c r="T591" s="298">
        <f>IFERROR(Table6[[#This Row],[Breakdown Time]]*Table6[[#This Row],[Plant Equivalent Weightage]],"")</f>
        <v>4.9242424242424065E-3</v>
      </c>
      <c r="U591" s="79" t="s">
        <v>421</v>
      </c>
      <c r="W591" s="79">
        <v>15</v>
      </c>
    </row>
    <row r="592" spans="1:23">
      <c r="A592" s="79">
        <f t="shared" si="9"/>
        <v>591</v>
      </c>
      <c r="B592" s="79">
        <f>YEAR(Table6[[#This Row],[Date]])+IF(MONTH(Table6[[#This Row],[Date]])&gt;=4,1,0)</f>
        <v>2026</v>
      </c>
      <c r="C592" s="79">
        <f>YEAR(Table6[[#This Row],[Date]])</f>
        <v>2025</v>
      </c>
      <c r="D592" s="79" t="s">
        <v>344</v>
      </c>
      <c r="E592" s="284">
        <f>Table6[[#This Row],[Date]]-DAY(Table6[[#This Row],[Date]])+1</f>
        <v>45778</v>
      </c>
      <c r="F592" s="285">
        <v>45796</v>
      </c>
      <c r="G592" s="79" t="s">
        <v>112</v>
      </c>
      <c r="H592" s="79" t="str">
        <f>IFERROR(_xlfn.XLOOKUP(Table6[[#This Row],[Affected Feeder ]],'Basic Data'!$A:$A,'Basic Data'!$B:$B),"")</f>
        <v>PWEPL</v>
      </c>
      <c r="I592" s="79" t="str">
        <f>IFERROR(_xlfn.XLOOKUP(Table6[[#This Row],[Affected Feeder ]],'Basic Data'!$A:$A,'Basic Data'!$C:$C),"")</f>
        <v>MSEDCL</v>
      </c>
      <c r="J592" s="295">
        <f>IFERROR(_xlfn.XLOOKUP(Table6[[#This Row],[Affected Feeder ]],'Basic Data'!$A:$A,'Basic Data'!$E:$E),"")</f>
        <v>2.2727272727272728E-2</v>
      </c>
      <c r="K592" s="296" t="s">
        <v>171</v>
      </c>
      <c r="L592" s="297">
        <v>0.34027777777777773</v>
      </c>
      <c r="M592" s="297">
        <v>0.34027777777777773</v>
      </c>
      <c r="N592" s="297">
        <v>0.35416666666666669</v>
      </c>
      <c r="O592" s="19">
        <f>(Table6[[#This Row],[Work Start TimeStamp]]-Table6[[#This Row],[Fault Start TimeStamp]])*24</f>
        <v>0</v>
      </c>
      <c r="P592" s="19">
        <f>(Table6[[#This Row],[Fault Clearance time]]-Table6[[#This Row],[Fault Start TimeStamp]])*24</f>
        <v>0.33333333333333481</v>
      </c>
      <c r="Q592" s="19">
        <f>(Table6[[#This Row],[Fault Clearance time]]-Table6[[#This Row],[Fault Start TimeStamp]])*24</f>
        <v>0.33333333333333481</v>
      </c>
      <c r="R592" s="79" t="s">
        <v>353</v>
      </c>
      <c r="S592" s="79" t="s">
        <v>339</v>
      </c>
      <c r="T592" s="298">
        <f>IFERROR(Table6[[#This Row],[Breakdown Time]]*Table6[[#This Row],[Plant Equivalent Weightage]],"")</f>
        <v>7.5757575757576098E-3</v>
      </c>
      <c r="U592" s="79" t="s">
        <v>421</v>
      </c>
      <c r="W592" s="79">
        <v>15</v>
      </c>
    </row>
    <row r="593" spans="1:23">
      <c r="A593" s="79">
        <f t="shared" si="9"/>
        <v>592</v>
      </c>
      <c r="B593" s="79">
        <f>YEAR(Table6[[#This Row],[Date]])+IF(MONTH(Table6[[#This Row],[Date]])&gt;=4,1,0)</f>
        <v>2026</v>
      </c>
      <c r="C593" s="79">
        <f>YEAR(Table6[[#This Row],[Date]])</f>
        <v>2025</v>
      </c>
      <c r="D593" s="79" t="s">
        <v>344</v>
      </c>
      <c r="E593" s="284">
        <f>Table6[[#This Row],[Date]]-DAY(Table6[[#This Row],[Date]])+1</f>
        <v>45778</v>
      </c>
      <c r="F593" s="285">
        <v>45796</v>
      </c>
      <c r="G593" s="79" t="s">
        <v>113</v>
      </c>
      <c r="H593" s="79" t="str">
        <f>IFERROR(_xlfn.XLOOKUP(Table6[[#This Row],[Affected Feeder ]],'Basic Data'!$A:$A,'Basic Data'!$B:$B),"")</f>
        <v>PWEPL</v>
      </c>
      <c r="I593" s="79" t="str">
        <f>IFERROR(_xlfn.XLOOKUP(Table6[[#This Row],[Affected Feeder ]],'Basic Data'!$A:$A,'Basic Data'!$C:$C),"")</f>
        <v>MSEDCL</v>
      </c>
      <c r="J593" s="295">
        <f>IFERROR(_xlfn.XLOOKUP(Table6[[#This Row],[Affected Feeder ]],'Basic Data'!$A:$A,'Basic Data'!$E:$E),"")</f>
        <v>2.2727272727272728E-2</v>
      </c>
      <c r="K593" s="296" t="s">
        <v>825</v>
      </c>
      <c r="L593" s="297">
        <v>0.33124999999999999</v>
      </c>
      <c r="M593" s="297">
        <v>0.33124999999999999</v>
      </c>
      <c r="N593" s="297">
        <v>0.34027777777777773</v>
      </c>
      <c r="O593" s="19">
        <f>(Table6[[#This Row],[Work Start TimeStamp]]-Table6[[#This Row],[Fault Start TimeStamp]])*24</f>
        <v>0</v>
      </c>
      <c r="P593" s="19">
        <f>(Table6[[#This Row],[Fault Clearance time]]-Table6[[#This Row],[Fault Start TimeStamp]])*24</f>
        <v>0.2166666666666659</v>
      </c>
      <c r="Q593" s="19">
        <f>(Table6[[#This Row],[Fault Clearance time]]-Table6[[#This Row],[Fault Start TimeStamp]])*24</f>
        <v>0.2166666666666659</v>
      </c>
      <c r="R593" s="79" t="s">
        <v>828</v>
      </c>
      <c r="S593" s="79" t="s">
        <v>339</v>
      </c>
      <c r="T593" s="298">
        <f>IFERROR(Table6[[#This Row],[Breakdown Time]]*Table6[[#This Row],[Plant Equivalent Weightage]],"")</f>
        <v>4.9242424242424065E-3</v>
      </c>
      <c r="U593" s="79" t="s">
        <v>421</v>
      </c>
      <c r="W593" s="79">
        <v>15</v>
      </c>
    </row>
    <row r="594" spans="1:23">
      <c r="A594" s="79">
        <f t="shared" si="9"/>
        <v>593</v>
      </c>
      <c r="B594" s="79">
        <f>YEAR(Table6[[#This Row],[Date]])+IF(MONTH(Table6[[#This Row],[Date]])&gt;=4,1,0)</f>
        <v>2026</v>
      </c>
      <c r="C594" s="79">
        <f>YEAR(Table6[[#This Row],[Date]])</f>
        <v>2025</v>
      </c>
      <c r="D594" s="79" t="s">
        <v>344</v>
      </c>
      <c r="E594" s="284">
        <f>Table6[[#This Row],[Date]]-DAY(Table6[[#This Row],[Date]])+1</f>
        <v>45778</v>
      </c>
      <c r="F594" s="285">
        <v>45796</v>
      </c>
      <c r="G594" s="79" t="s">
        <v>113</v>
      </c>
      <c r="H594" s="79" t="str">
        <f>IFERROR(_xlfn.XLOOKUP(Table6[[#This Row],[Affected Feeder ]],'Basic Data'!$A:$A,'Basic Data'!$B:$B),"")</f>
        <v>PWEPL</v>
      </c>
      <c r="I594" s="79" t="str">
        <f>IFERROR(_xlfn.XLOOKUP(Table6[[#This Row],[Affected Feeder ]],'Basic Data'!$A:$A,'Basic Data'!$C:$C),"")</f>
        <v>MSEDCL</v>
      </c>
      <c r="J594" s="295">
        <f>IFERROR(_xlfn.XLOOKUP(Table6[[#This Row],[Affected Feeder ]],'Basic Data'!$A:$A,'Basic Data'!$E:$E),"")</f>
        <v>2.2727272727272728E-2</v>
      </c>
      <c r="K594" s="296" t="s">
        <v>171</v>
      </c>
      <c r="L594" s="297">
        <v>0.34027777777777773</v>
      </c>
      <c r="M594" s="297">
        <v>0.34027777777777773</v>
      </c>
      <c r="N594" s="297">
        <v>0.35416666666666669</v>
      </c>
      <c r="O594" s="19">
        <f>(Table6[[#This Row],[Work Start TimeStamp]]-Table6[[#This Row],[Fault Start TimeStamp]])*24</f>
        <v>0</v>
      </c>
      <c r="P594" s="19">
        <f>(Table6[[#This Row],[Fault Clearance time]]-Table6[[#This Row],[Fault Start TimeStamp]])*24</f>
        <v>0.33333333333333481</v>
      </c>
      <c r="Q594" s="19">
        <f>(Table6[[#This Row],[Fault Clearance time]]-Table6[[#This Row],[Fault Start TimeStamp]])*24</f>
        <v>0.33333333333333481</v>
      </c>
      <c r="R594" s="79" t="s">
        <v>353</v>
      </c>
      <c r="S594" s="79" t="s">
        <v>339</v>
      </c>
      <c r="T594" s="298">
        <f>IFERROR(Table6[[#This Row],[Breakdown Time]]*Table6[[#This Row],[Plant Equivalent Weightage]],"")</f>
        <v>7.5757575757576098E-3</v>
      </c>
      <c r="U594" s="79" t="s">
        <v>421</v>
      </c>
      <c r="W594" s="79">
        <v>15</v>
      </c>
    </row>
    <row r="595" spans="1:23">
      <c r="A595" s="79">
        <f t="shared" si="9"/>
        <v>594</v>
      </c>
      <c r="B595" s="79">
        <f>YEAR(Table6[[#This Row],[Date]])+IF(MONTH(Table6[[#This Row],[Date]])&gt;=4,1,0)</f>
        <v>2026</v>
      </c>
      <c r="C595" s="79">
        <f>YEAR(Table6[[#This Row],[Date]])</f>
        <v>2025</v>
      </c>
      <c r="D595" s="79" t="s">
        <v>344</v>
      </c>
      <c r="E595" s="284">
        <f>Table6[[#This Row],[Date]]-DAY(Table6[[#This Row],[Date]])+1</f>
        <v>45778</v>
      </c>
      <c r="F595" s="285">
        <v>45796</v>
      </c>
      <c r="G595" s="79" t="s">
        <v>114</v>
      </c>
      <c r="H595" s="79" t="str">
        <f>IFERROR(_xlfn.XLOOKUP(Table6[[#This Row],[Affected Feeder ]],'Basic Data'!$A:$A,'Basic Data'!$B:$B),"")</f>
        <v>PWEPL</v>
      </c>
      <c r="I595" s="79" t="str">
        <f>IFERROR(_xlfn.XLOOKUP(Table6[[#This Row],[Affected Feeder ]],'Basic Data'!$A:$A,'Basic Data'!$C:$C),"")</f>
        <v>MSEDCL</v>
      </c>
      <c r="J595" s="295">
        <f>IFERROR(_xlfn.XLOOKUP(Table6[[#This Row],[Affected Feeder ]],'Basic Data'!$A:$A,'Basic Data'!$E:$E),"")</f>
        <v>2.2727272727272728E-2</v>
      </c>
      <c r="K595" s="296" t="s">
        <v>825</v>
      </c>
      <c r="L595" s="297">
        <v>0.33124999999999999</v>
      </c>
      <c r="M595" s="297">
        <v>0.33124999999999999</v>
      </c>
      <c r="N595" s="297">
        <v>0.34027777777777773</v>
      </c>
      <c r="O595" s="19">
        <f>(Table6[[#This Row],[Work Start TimeStamp]]-Table6[[#This Row],[Fault Start TimeStamp]])*24</f>
        <v>0</v>
      </c>
      <c r="P595" s="19">
        <f>(Table6[[#This Row],[Fault Clearance time]]-Table6[[#This Row],[Fault Start TimeStamp]])*24</f>
        <v>0.2166666666666659</v>
      </c>
      <c r="Q595" s="19">
        <f>(Table6[[#This Row],[Fault Clearance time]]-Table6[[#This Row],[Fault Start TimeStamp]])*24</f>
        <v>0.2166666666666659</v>
      </c>
      <c r="R595" s="79" t="s">
        <v>828</v>
      </c>
      <c r="S595" s="79" t="s">
        <v>339</v>
      </c>
      <c r="T595" s="298">
        <f>IFERROR(Table6[[#This Row],[Breakdown Time]]*Table6[[#This Row],[Plant Equivalent Weightage]],"")</f>
        <v>4.9242424242424065E-3</v>
      </c>
      <c r="U595" s="79" t="s">
        <v>421</v>
      </c>
      <c r="W595" s="79">
        <v>15</v>
      </c>
    </row>
    <row r="596" spans="1:23">
      <c r="A596" s="79">
        <f t="shared" si="9"/>
        <v>595</v>
      </c>
      <c r="B596" s="79">
        <f>YEAR(Table6[[#This Row],[Date]])+IF(MONTH(Table6[[#This Row],[Date]])&gt;=4,1,0)</f>
        <v>2026</v>
      </c>
      <c r="C596" s="79">
        <f>YEAR(Table6[[#This Row],[Date]])</f>
        <v>2025</v>
      </c>
      <c r="D596" s="79" t="s">
        <v>344</v>
      </c>
      <c r="E596" s="284">
        <f>Table6[[#This Row],[Date]]-DAY(Table6[[#This Row],[Date]])+1</f>
        <v>45778</v>
      </c>
      <c r="F596" s="285">
        <v>45796</v>
      </c>
      <c r="G596" s="79" t="s">
        <v>114</v>
      </c>
      <c r="H596" s="79" t="str">
        <f>IFERROR(_xlfn.XLOOKUP(Table6[[#This Row],[Affected Feeder ]],'Basic Data'!$A:$A,'Basic Data'!$B:$B),"")</f>
        <v>PWEPL</v>
      </c>
      <c r="I596" s="79" t="str">
        <f>IFERROR(_xlfn.XLOOKUP(Table6[[#This Row],[Affected Feeder ]],'Basic Data'!$A:$A,'Basic Data'!$C:$C),"")</f>
        <v>MSEDCL</v>
      </c>
      <c r="J596" s="295">
        <f>IFERROR(_xlfn.XLOOKUP(Table6[[#This Row],[Affected Feeder ]],'Basic Data'!$A:$A,'Basic Data'!$E:$E),"")</f>
        <v>2.2727272727272728E-2</v>
      </c>
      <c r="K596" s="296" t="s">
        <v>171</v>
      </c>
      <c r="L596" s="297">
        <v>0.34027777777777773</v>
      </c>
      <c r="M596" s="297">
        <v>0.34027777777777773</v>
      </c>
      <c r="N596" s="297">
        <v>0.35416666666666669</v>
      </c>
      <c r="O596" s="19">
        <f>(Table6[[#This Row],[Work Start TimeStamp]]-Table6[[#This Row],[Fault Start TimeStamp]])*24</f>
        <v>0</v>
      </c>
      <c r="P596" s="19">
        <f>(Table6[[#This Row],[Fault Clearance time]]-Table6[[#This Row],[Fault Start TimeStamp]])*24</f>
        <v>0.33333333333333481</v>
      </c>
      <c r="Q596" s="19">
        <f>(Table6[[#This Row],[Fault Clearance time]]-Table6[[#This Row],[Fault Start TimeStamp]])*24</f>
        <v>0.33333333333333481</v>
      </c>
      <c r="R596" s="79" t="s">
        <v>353</v>
      </c>
      <c r="S596" s="79" t="s">
        <v>339</v>
      </c>
      <c r="T596" s="298">
        <f>IFERROR(Table6[[#This Row],[Breakdown Time]]*Table6[[#This Row],[Plant Equivalent Weightage]],"")</f>
        <v>7.5757575757576098E-3</v>
      </c>
      <c r="U596" s="79" t="s">
        <v>421</v>
      </c>
      <c r="W596" s="79">
        <v>15</v>
      </c>
    </row>
    <row r="597" spans="1:23">
      <c r="A597" s="79">
        <f t="shared" si="9"/>
        <v>596</v>
      </c>
      <c r="B597" s="79">
        <f>YEAR(Table6[[#This Row],[Date]])+IF(MONTH(Table6[[#This Row],[Date]])&gt;=4,1,0)</f>
        <v>2026</v>
      </c>
      <c r="C597" s="79">
        <f>YEAR(Table6[[#This Row],[Date]])</f>
        <v>2025</v>
      </c>
      <c r="D597" s="79" t="s">
        <v>344</v>
      </c>
      <c r="E597" s="284">
        <f>Table6[[#This Row],[Date]]-DAY(Table6[[#This Row],[Date]])+1</f>
        <v>45778</v>
      </c>
      <c r="F597" s="285">
        <v>45796</v>
      </c>
      <c r="G597" s="79" t="s">
        <v>80</v>
      </c>
      <c r="H597" s="79" t="str">
        <f>IFERROR(_xlfn.XLOOKUP(Table6[[#This Row],[Affected Feeder ]],'Basic Data'!$A:$A,'Basic Data'!$B:$B),"")</f>
        <v>PWEPL</v>
      </c>
      <c r="I597" s="79" t="str">
        <f>IFERROR(_xlfn.XLOOKUP(Table6[[#This Row],[Affected Feeder ]],'Basic Data'!$A:$A,'Basic Data'!$C:$C),"")</f>
        <v>MSEDCL</v>
      </c>
      <c r="J597" s="295">
        <f>IFERROR(_xlfn.XLOOKUP(Table6[[#This Row],[Affected Feeder ]],'Basic Data'!$A:$A,'Basic Data'!$E:$E),"")</f>
        <v>2.2727272727272728E-2</v>
      </c>
      <c r="K597" s="296" t="s">
        <v>171</v>
      </c>
      <c r="L597" s="297">
        <v>0.33124999999999999</v>
      </c>
      <c r="M597" s="297">
        <v>0.33124999999999999</v>
      </c>
      <c r="N597" s="297">
        <v>0.34513888888888888</v>
      </c>
      <c r="O597" s="19">
        <f>(Table6[[#This Row],[Work Start TimeStamp]]-Table6[[#This Row],[Fault Start TimeStamp]])*24</f>
        <v>0</v>
      </c>
      <c r="P597" s="19">
        <f>(Table6[[#This Row],[Fault Clearance time]]-Table6[[#This Row],[Fault Start TimeStamp]])*24</f>
        <v>0.33333333333333348</v>
      </c>
      <c r="Q597" s="19">
        <f>(Table6[[#This Row],[Fault Clearance time]]-Table6[[#This Row],[Fault Start TimeStamp]])*24</f>
        <v>0.33333333333333348</v>
      </c>
      <c r="R597" s="79" t="s">
        <v>353</v>
      </c>
      <c r="S597" s="79" t="s">
        <v>339</v>
      </c>
      <c r="T597" s="298">
        <f>IFERROR(Table6[[#This Row],[Breakdown Time]]*Table6[[#This Row],[Plant Equivalent Weightage]],"")</f>
        <v>7.5757575757575794E-3</v>
      </c>
      <c r="U597" s="79" t="s">
        <v>421</v>
      </c>
      <c r="W597" s="79">
        <v>15</v>
      </c>
    </row>
    <row r="598" spans="1:23">
      <c r="A598" s="79">
        <f t="shared" si="9"/>
        <v>597</v>
      </c>
      <c r="B598" s="79">
        <f>YEAR(Table6[[#This Row],[Date]])+IF(MONTH(Table6[[#This Row],[Date]])&gt;=4,1,0)</f>
        <v>2026</v>
      </c>
      <c r="C598" s="79">
        <f>YEAR(Table6[[#This Row],[Date]])</f>
        <v>2025</v>
      </c>
      <c r="D598" s="79" t="s">
        <v>344</v>
      </c>
      <c r="E598" s="284">
        <f>Table6[[#This Row],[Date]]-DAY(Table6[[#This Row],[Date]])+1</f>
        <v>45778</v>
      </c>
      <c r="F598" s="285">
        <v>45796</v>
      </c>
      <c r="G598" s="79" t="s">
        <v>81</v>
      </c>
      <c r="H598" s="79" t="str">
        <f>IFERROR(_xlfn.XLOOKUP(Table6[[#This Row],[Affected Feeder ]],'Basic Data'!$A:$A,'Basic Data'!$B:$B),"")</f>
        <v>PWEPL</v>
      </c>
      <c r="I598" s="79" t="str">
        <f>IFERROR(_xlfn.XLOOKUP(Table6[[#This Row],[Affected Feeder ]],'Basic Data'!$A:$A,'Basic Data'!$C:$C),"")</f>
        <v>MSEDCL</v>
      </c>
      <c r="J598" s="295">
        <f>IFERROR(_xlfn.XLOOKUP(Table6[[#This Row],[Affected Feeder ]],'Basic Data'!$A:$A,'Basic Data'!$E:$E),"")</f>
        <v>2.2727272727272728E-2</v>
      </c>
      <c r="K598" s="296" t="s">
        <v>171</v>
      </c>
      <c r="L598" s="297">
        <v>0.33124999999999999</v>
      </c>
      <c r="M598" s="297">
        <v>0.33124999999999999</v>
      </c>
      <c r="N598" s="297">
        <v>0.34513888888888888</v>
      </c>
      <c r="O598" s="19">
        <f>(Table6[[#This Row],[Work Start TimeStamp]]-Table6[[#This Row],[Fault Start TimeStamp]])*24</f>
        <v>0</v>
      </c>
      <c r="P598" s="19">
        <f>(Table6[[#This Row],[Fault Clearance time]]-Table6[[#This Row],[Fault Start TimeStamp]])*24</f>
        <v>0.33333333333333348</v>
      </c>
      <c r="Q598" s="19">
        <f>(Table6[[#This Row],[Fault Clearance time]]-Table6[[#This Row],[Fault Start TimeStamp]])*24</f>
        <v>0.33333333333333348</v>
      </c>
      <c r="R598" s="79" t="s">
        <v>353</v>
      </c>
      <c r="S598" s="79" t="s">
        <v>339</v>
      </c>
      <c r="T598" s="298">
        <f>IFERROR(Table6[[#This Row],[Breakdown Time]]*Table6[[#This Row],[Plant Equivalent Weightage]],"")</f>
        <v>7.5757575757575794E-3</v>
      </c>
      <c r="U598" s="79" t="s">
        <v>421</v>
      </c>
      <c r="W598" s="79">
        <v>15</v>
      </c>
    </row>
    <row r="599" spans="1:23">
      <c r="A599" s="79">
        <f t="shared" si="9"/>
        <v>598</v>
      </c>
      <c r="B599" s="79">
        <f>YEAR(Table6[[#This Row],[Date]])+IF(MONTH(Table6[[#This Row],[Date]])&gt;=4,1,0)</f>
        <v>2026</v>
      </c>
      <c r="C599" s="79">
        <f>YEAR(Table6[[#This Row],[Date]])</f>
        <v>2025</v>
      </c>
      <c r="D599" s="79" t="s">
        <v>344</v>
      </c>
      <c r="E599" s="284">
        <f>Table6[[#This Row],[Date]]-DAY(Table6[[#This Row],[Date]])+1</f>
        <v>45778</v>
      </c>
      <c r="F599" s="285">
        <v>45796</v>
      </c>
      <c r="G599" s="79" t="s">
        <v>107</v>
      </c>
      <c r="H599" s="79" t="str">
        <f>IFERROR(_xlfn.XLOOKUP(Table6[[#This Row],[Affected Feeder ]],'Basic Data'!$A:$A,'Basic Data'!$B:$B),"")</f>
        <v>PWEPL</v>
      </c>
      <c r="I599" s="79" t="str">
        <f>IFERROR(_xlfn.XLOOKUP(Table6[[#This Row],[Affected Feeder ]],'Basic Data'!$A:$A,'Basic Data'!$C:$C),"")</f>
        <v>MSEDCL</v>
      </c>
      <c r="J599" s="295">
        <f>IFERROR(_xlfn.XLOOKUP(Table6[[#This Row],[Affected Feeder ]],'Basic Data'!$A:$A,'Basic Data'!$E:$E),"")</f>
        <v>2.2727272727272728E-2</v>
      </c>
      <c r="K599" s="296" t="s">
        <v>171</v>
      </c>
      <c r="L599" s="297">
        <v>0.33124999999999999</v>
      </c>
      <c r="M599" s="297">
        <v>0.33124999999999999</v>
      </c>
      <c r="N599" s="297">
        <v>0.34513888888888888</v>
      </c>
      <c r="O599" s="19">
        <f>(Table6[[#This Row],[Work Start TimeStamp]]-Table6[[#This Row],[Fault Start TimeStamp]])*24</f>
        <v>0</v>
      </c>
      <c r="P599" s="19">
        <f>(Table6[[#This Row],[Fault Clearance time]]-Table6[[#This Row],[Fault Start TimeStamp]])*24</f>
        <v>0.33333333333333348</v>
      </c>
      <c r="Q599" s="19">
        <f>(Table6[[#This Row],[Fault Clearance time]]-Table6[[#This Row],[Fault Start TimeStamp]])*24</f>
        <v>0.33333333333333348</v>
      </c>
      <c r="R599" s="79" t="s">
        <v>353</v>
      </c>
      <c r="S599" s="79" t="s">
        <v>339</v>
      </c>
      <c r="T599" s="298">
        <f>IFERROR(Table6[[#This Row],[Breakdown Time]]*Table6[[#This Row],[Plant Equivalent Weightage]],"")</f>
        <v>7.5757575757575794E-3</v>
      </c>
      <c r="U599" s="79" t="s">
        <v>421</v>
      </c>
      <c r="W599" s="79">
        <v>15</v>
      </c>
    </row>
    <row r="600" spans="1:23">
      <c r="A600" s="79">
        <f t="shared" si="9"/>
        <v>599</v>
      </c>
      <c r="B600" s="79">
        <f>YEAR(Table6[[#This Row],[Date]])+IF(MONTH(Table6[[#This Row],[Date]])&gt;=4,1,0)</f>
        <v>2026</v>
      </c>
      <c r="C600" s="79">
        <f>YEAR(Table6[[#This Row],[Date]])</f>
        <v>2025</v>
      </c>
      <c r="D600" s="79" t="s">
        <v>344</v>
      </c>
      <c r="E600" s="284">
        <f>Table6[[#This Row],[Date]]-DAY(Table6[[#This Row],[Date]])+1</f>
        <v>45778</v>
      </c>
      <c r="F600" s="285">
        <v>45796</v>
      </c>
      <c r="G600" s="79" t="s">
        <v>108</v>
      </c>
      <c r="H600" s="79" t="str">
        <f>IFERROR(_xlfn.XLOOKUP(Table6[[#This Row],[Affected Feeder ]],'Basic Data'!$A:$A,'Basic Data'!$B:$B),"")</f>
        <v>PWEPL</v>
      </c>
      <c r="I600" s="79" t="str">
        <f>IFERROR(_xlfn.XLOOKUP(Table6[[#This Row],[Affected Feeder ]],'Basic Data'!$A:$A,'Basic Data'!$C:$C),"")</f>
        <v>MSEDCL</v>
      </c>
      <c r="J600" s="295">
        <f>IFERROR(_xlfn.XLOOKUP(Table6[[#This Row],[Affected Feeder ]],'Basic Data'!$A:$A,'Basic Data'!$E:$E),"")</f>
        <v>2.2727272727272728E-2</v>
      </c>
      <c r="K600" s="296" t="s">
        <v>171</v>
      </c>
      <c r="L600" s="297">
        <v>0.33124999999999999</v>
      </c>
      <c r="M600" s="297">
        <v>0.33124999999999999</v>
      </c>
      <c r="N600" s="297">
        <v>0.34513888888888888</v>
      </c>
      <c r="O600" s="19">
        <f>(Table6[[#This Row],[Work Start TimeStamp]]-Table6[[#This Row],[Fault Start TimeStamp]])*24</f>
        <v>0</v>
      </c>
      <c r="P600" s="19">
        <f>(Table6[[#This Row],[Fault Clearance time]]-Table6[[#This Row],[Fault Start TimeStamp]])*24</f>
        <v>0.33333333333333348</v>
      </c>
      <c r="Q600" s="19">
        <f>(Table6[[#This Row],[Fault Clearance time]]-Table6[[#This Row],[Fault Start TimeStamp]])*24</f>
        <v>0.33333333333333348</v>
      </c>
      <c r="R600" s="79" t="s">
        <v>353</v>
      </c>
      <c r="S600" s="79" t="s">
        <v>339</v>
      </c>
      <c r="T600" s="298">
        <f>IFERROR(Table6[[#This Row],[Breakdown Time]]*Table6[[#This Row],[Plant Equivalent Weightage]],"")</f>
        <v>7.5757575757575794E-3</v>
      </c>
      <c r="U600" s="79" t="s">
        <v>421</v>
      </c>
      <c r="W600" s="79">
        <v>15</v>
      </c>
    </row>
    <row r="601" spans="1:23">
      <c r="A601" s="79">
        <f t="shared" si="9"/>
        <v>600</v>
      </c>
      <c r="B601" s="79">
        <f>YEAR(Table6[[#This Row],[Date]])+IF(MONTH(Table6[[#This Row],[Date]])&gt;=4,1,0)</f>
        <v>2026</v>
      </c>
      <c r="C601" s="79">
        <f>YEAR(Table6[[#This Row],[Date]])</f>
        <v>2025</v>
      </c>
      <c r="D601" s="79" t="s">
        <v>344</v>
      </c>
      <c r="E601" s="284">
        <f>Table6[[#This Row],[Date]]-DAY(Table6[[#This Row],[Date]])+1</f>
        <v>45778</v>
      </c>
      <c r="F601" s="285">
        <v>45796</v>
      </c>
      <c r="G601" s="79" t="s">
        <v>406</v>
      </c>
      <c r="H601" s="79" t="str">
        <f>IFERROR(_xlfn.XLOOKUP(Table6[[#This Row],[Affected Feeder ]],'Basic Data'!$A:$A,'Basic Data'!$B:$B),"")</f>
        <v>PWEPL</v>
      </c>
      <c r="I601" s="79" t="str">
        <f>IFERROR(_xlfn.XLOOKUP(Table6[[#This Row],[Affected Feeder ]],'Basic Data'!$A:$A,'Basic Data'!$C:$C),"")</f>
        <v>MSEDCL</v>
      </c>
      <c r="J601" s="295">
        <f>IFERROR(_xlfn.XLOOKUP(Table6[[#This Row],[Affected Feeder ]],'Basic Data'!$A:$A,'Basic Data'!$E:$E),"")</f>
        <v>0.29545454545454541</v>
      </c>
      <c r="K601" s="296" t="s">
        <v>419</v>
      </c>
      <c r="L601" s="297">
        <v>0.3520833333333333</v>
      </c>
      <c r="M601" s="297">
        <v>0.3520833333333333</v>
      </c>
      <c r="N601" s="297">
        <v>0.37986111111111115</v>
      </c>
      <c r="O601" s="19">
        <f>(Table6[[#This Row],[Work Start TimeStamp]]-Table6[[#This Row],[Fault Start TimeStamp]])*24</f>
        <v>0</v>
      </c>
      <c r="P601" s="19">
        <f>(Table6[[#This Row],[Fault Clearance time]]-Table6[[#This Row],[Fault Start TimeStamp]])*24</f>
        <v>0.66666666666666829</v>
      </c>
      <c r="Q601" s="19">
        <f>(Table6[[#This Row],[Fault Clearance time]]-Table6[[#This Row],[Fault Start TimeStamp]])*24</f>
        <v>0.66666666666666829</v>
      </c>
      <c r="R601" s="79" t="s">
        <v>420</v>
      </c>
      <c r="S601" s="79" t="s">
        <v>339</v>
      </c>
      <c r="T601" s="298">
        <f>IFERROR(Table6[[#This Row],[Breakdown Time]]*Table6[[#This Row],[Plant Equivalent Weightage]],"")</f>
        <v>0.19696969696969743</v>
      </c>
      <c r="U601" s="79" t="s">
        <v>421</v>
      </c>
      <c r="W601" s="79">
        <v>780</v>
      </c>
    </row>
    <row r="602" spans="1:23">
      <c r="A602" s="79">
        <f t="shared" si="9"/>
        <v>601</v>
      </c>
      <c r="B602" s="79">
        <f>YEAR(Table6[[#This Row],[Date]])+IF(MONTH(Table6[[#This Row],[Date]])&gt;=4,1,0)</f>
        <v>2026</v>
      </c>
      <c r="C602" s="79">
        <f>YEAR(Table6[[#This Row],[Date]])</f>
        <v>2025</v>
      </c>
      <c r="D602" s="79" t="s">
        <v>344</v>
      </c>
      <c r="E602" s="284">
        <f>Table6[[#This Row],[Date]]-DAY(Table6[[#This Row],[Date]])+1</f>
        <v>45778</v>
      </c>
      <c r="F602" s="285">
        <v>45796</v>
      </c>
      <c r="G602" s="79" t="s">
        <v>76</v>
      </c>
      <c r="H602" s="79" t="str">
        <f>IFERROR(_xlfn.XLOOKUP(Table6[[#This Row],[Affected Feeder ]],'Basic Data'!$A:$A,'Basic Data'!$B:$B),"")</f>
        <v>PWEPL</v>
      </c>
      <c r="I602" s="79" t="str">
        <f>IFERROR(_xlfn.XLOOKUP(Table6[[#This Row],[Affected Feeder ]],'Basic Data'!$A:$A,'Basic Data'!$C:$C),"")</f>
        <v>MSEDCL</v>
      </c>
      <c r="J602" s="295">
        <f>IFERROR(_xlfn.XLOOKUP(Table6[[#This Row],[Affected Feeder ]],'Basic Data'!$A:$A,'Basic Data'!$E:$E),"")</f>
        <v>2.2727272727272728E-2</v>
      </c>
      <c r="K602" s="296" t="s">
        <v>171</v>
      </c>
      <c r="L602" s="297">
        <v>0.37986111111111115</v>
      </c>
      <c r="M602" s="297">
        <v>0.37986111111111115</v>
      </c>
      <c r="N602" s="297">
        <v>0.39374999999999999</v>
      </c>
      <c r="O602" s="19">
        <f>(Table6[[#This Row],[Work Start TimeStamp]]-Table6[[#This Row],[Fault Start TimeStamp]])*24</f>
        <v>0</v>
      </c>
      <c r="P602" s="19">
        <f>(Table6[[#This Row],[Fault Clearance time]]-Table6[[#This Row],[Fault Start TimeStamp]])*24</f>
        <v>0.33333333333333215</v>
      </c>
      <c r="Q602" s="19">
        <f>(Table6[[#This Row],[Fault Clearance time]]-Table6[[#This Row],[Fault Start TimeStamp]])*24</f>
        <v>0.33333333333333215</v>
      </c>
      <c r="R602" s="79" t="s">
        <v>353</v>
      </c>
      <c r="S602" s="79" t="s">
        <v>339</v>
      </c>
      <c r="T602" s="298">
        <f>IFERROR(Table6[[#This Row],[Breakdown Time]]*Table6[[#This Row],[Plant Equivalent Weightage]],"")</f>
        <v>7.5757575757575491E-3</v>
      </c>
      <c r="U602" s="79" t="s">
        <v>421</v>
      </c>
      <c r="W602" s="79">
        <v>15</v>
      </c>
    </row>
    <row r="603" spans="1:23">
      <c r="A603" s="79">
        <f t="shared" si="9"/>
        <v>602</v>
      </c>
      <c r="B603" s="79">
        <f>YEAR(Table6[[#This Row],[Date]])+IF(MONTH(Table6[[#This Row],[Date]])&gt;=4,1,0)</f>
        <v>2026</v>
      </c>
      <c r="C603" s="79">
        <f>YEAR(Table6[[#This Row],[Date]])</f>
        <v>2025</v>
      </c>
      <c r="D603" s="79" t="s">
        <v>344</v>
      </c>
      <c r="E603" s="284">
        <f>Table6[[#This Row],[Date]]-DAY(Table6[[#This Row],[Date]])+1</f>
        <v>45778</v>
      </c>
      <c r="F603" s="285">
        <v>45796</v>
      </c>
      <c r="G603" s="79" t="s">
        <v>77</v>
      </c>
      <c r="H603" s="79" t="str">
        <f>IFERROR(_xlfn.XLOOKUP(Table6[[#This Row],[Affected Feeder ]],'Basic Data'!$A:$A,'Basic Data'!$B:$B),"")</f>
        <v>PWEPL</v>
      </c>
      <c r="I603" s="79" t="str">
        <f>IFERROR(_xlfn.XLOOKUP(Table6[[#This Row],[Affected Feeder ]],'Basic Data'!$A:$A,'Basic Data'!$C:$C),"")</f>
        <v>MSEDCL</v>
      </c>
      <c r="J603" s="295">
        <f>IFERROR(_xlfn.XLOOKUP(Table6[[#This Row],[Affected Feeder ]],'Basic Data'!$A:$A,'Basic Data'!$E:$E),"")</f>
        <v>2.2727272727272728E-2</v>
      </c>
      <c r="K603" s="296" t="s">
        <v>171</v>
      </c>
      <c r="L603" s="297">
        <v>0.37986111111111115</v>
      </c>
      <c r="M603" s="297">
        <v>0.37986111111111115</v>
      </c>
      <c r="N603" s="297">
        <v>0.39374999999999999</v>
      </c>
      <c r="O603" s="19">
        <f>(Table6[[#This Row],[Work Start TimeStamp]]-Table6[[#This Row],[Fault Start TimeStamp]])*24</f>
        <v>0</v>
      </c>
      <c r="P603" s="19">
        <f>(Table6[[#This Row],[Fault Clearance time]]-Table6[[#This Row],[Fault Start TimeStamp]])*24</f>
        <v>0.33333333333333215</v>
      </c>
      <c r="Q603" s="19">
        <f>(Table6[[#This Row],[Fault Clearance time]]-Table6[[#This Row],[Fault Start TimeStamp]])*24</f>
        <v>0.33333333333333215</v>
      </c>
      <c r="R603" s="79" t="s">
        <v>353</v>
      </c>
      <c r="S603" s="79" t="s">
        <v>339</v>
      </c>
      <c r="T603" s="298">
        <f>IFERROR(Table6[[#This Row],[Breakdown Time]]*Table6[[#This Row],[Plant Equivalent Weightage]],"")</f>
        <v>7.5757575757575491E-3</v>
      </c>
      <c r="U603" s="79" t="s">
        <v>421</v>
      </c>
      <c r="W603" s="79">
        <v>15</v>
      </c>
    </row>
    <row r="604" spans="1:23">
      <c r="A604" s="79">
        <f t="shared" si="9"/>
        <v>603</v>
      </c>
      <c r="B604" s="79">
        <f>YEAR(Table6[[#This Row],[Date]])+IF(MONTH(Table6[[#This Row],[Date]])&gt;=4,1,0)</f>
        <v>2026</v>
      </c>
      <c r="C604" s="79">
        <f>YEAR(Table6[[#This Row],[Date]])</f>
        <v>2025</v>
      </c>
      <c r="D604" s="79" t="s">
        <v>344</v>
      </c>
      <c r="E604" s="284">
        <f>Table6[[#This Row],[Date]]-DAY(Table6[[#This Row],[Date]])+1</f>
        <v>45778</v>
      </c>
      <c r="F604" s="285">
        <v>45796</v>
      </c>
      <c r="G604" s="79" t="s">
        <v>78</v>
      </c>
      <c r="H604" s="79" t="str">
        <f>IFERROR(_xlfn.XLOOKUP(Table6[[#This Row],[Affected Feeder ]],'Basic Data'!$A:$A,'Basic Data'!$B:$B),"")</f>
        <v>PWEPL</v>
      </c>
      <c r="I604" s="79" t="str">
        <f>IFERROR(_xlfn.XLOOKUP(Table6[[#This Row],[Affected Feeder ]],'Basic Data'!$A:$A,'Basic Data'!$C:$C),"")</f>
        <v>MSEDCL</v>
      </c>
      <c r="J604" s="295">
        <f>IFERROR(_xlfn.XLOOKUP(Table6[[#This Row],[Affected Feeder ]],'Basic Data'!$A:$A,'Basic Data'!$E:$E),"")</f>
        <v>2.2727272727272728E-2</v>
      </c>
      <c r="K604" s="296" t="s">
        <v>171</v>
      </c>
      <c r="L604" s="297">
        <v>0.37986111111111115</v>
      </c>
      <c r="M604" s="297">
        <v>0.37986111111111115</v>
      </c>
      <c r="N604" s="297">
        <v>0.39374999999999999</v>
      </c>
      <c r="O604" s="19">
        <f>(Table6[[#This Row],[Work Start TimeStamp]]-Table6[[#This Row],[Fault Start TimeStamp]])*24</f>
        <v>0</v>
      </c>
      <c r="P604" s="19">
        <f>(Table6[[#This Row],[Fault Clearance time]]-Table6[[#This Row],[Fault Start TimeStamp]])*24</f>
        <v>0.33333333333333215</v>
      </c>
      <c r="Q604" s="19">
        <f>(Table6[[#This Row],[Fault Clearance time]]-Table6[[#This Row],[Fault Start TimeStamp]])*24</f>
        <v>0.33333333333333215</v>
      </c>
      <c r="R604" s="79" t="s">
        <v>353</v>
      </c>
      <c r="S604" s="79" t="s">
        <v>339</v>
      </c>
      <c r="T604" s="298">
        <f>IFERROR(Table6[[#This Row],[Breakdown Time]]*Table6[[#This Row],[Plant Equivalent Weightage]],"")</f>
        <v>7.5757575757575491E-3</v>
      </c>
      <c r="U604" s="79" t="s">
        <v>421</v>
      </c>
      <c r="W604" s="79">
        <v>15</v>
      </c>
    </row>
    <row r="605" spans="1:23">
      <c r="A605" s="79">
        <f t="shared" si="9"/>
        <v>604</v>
      </c>
      <c r="B605" s="79">
        <f>YEAR(Table6[[#This Row],[Date]])+IF(MONTH(Table6[[#This Row],[Date]])&gt;=4,1,0)</f>
        <v>2026</v>
      </c>
      <c r="C605" s="79">
        <f>YEAR(Table6[[#This Row],[Date]])</f>
        <v>2025</v>
      </c>
      <c r="D605" s="79" t="s">
        <v>344</v>
      </c>
      <c r="E605" s="284">
        <f>Table6[[#This Row],[Date]]-DAY(Table6[[#This Row],[Date]])+1</f>
        <v>45778</v>
      </c>
      <c r="F605" s="285">
        <v>45796</v>
      </c>
      <c r="G605" s="79" t="s">
        <v>82</v>
      </c>
      <c r="H605" s="79" t="str">
        <f>IFERROR(_xlfn.XLOOKUP(Table6[[#This Row],[Affected Feeder ]],'Basic Data'!$A:$A,'Basic Data'!$B:$B),"")</f>
        <v>PWEPL</v>
      </c>
      <c r="I605" s="79" t="str">
        <f>IFERROR(_xlfn.XLOOKUP(Table6[[#This Row],[Affected Feeder ]],'Basic Data'!$A:$A,'Basic Data'!$C:$C),"")</f>
        <v>MSEDCL</v>
      </c>
      <c r="J605" s="295">
        <f>IFERROR(_xlfn.XLOOKUP(Table6[[#This Row],[Affected Feeder ]],'Basic Data'!$A:$A,'Basic Data'!$E:$E),"")</f>
        <v>2.2727272727272728E-2</v>
      </c>
      <c r="K605" s="296" t="s">
        <v>171</v>
      </c>
      <c r="L605" s="297">
        <v>0.37986111111111115</v>
      </c>
      <c r="M605" s="297">
        <v>0.37986111111111115</v>
      </c>
      <c r="N605" s="297">
        <v>0.39374999999999999</v>
      </c>
      <c r="O605" s="19">
        <f>(Table6[[#This Row],[Work Start TimeStamp]]-Table6[[#This Row],[Fault Start TimeStamp]])*24</f>
        <v>0</v>
      </c>
      <c r="P605" s="19">
        <f>(Table6[[#This Row],[Fault Clearance time]]-Table6[[#This Row],[Fault Start TimeStamp]])*24</f>
        <v>0.33333333333333215</v>
      </c>
      <c r="Q605" s="19">
        <f>(Table6[[#This Row],[Fault Clearance time]]-Table6[[#This Row],[Fault Start TimeStamp]])*24</f>
        <v>0.33333333333333215</v>
      </c>
      <c r="R605" s="79" t="s">
        <v>353</v>
      </c>
      <c r="S605" s="79" t="s">
        <v>339</v>
      </c>
      <c r="T605" s="298">
        <f>IFERROR(Table6[[#This Row],[Breakdown Time]]*Table6[[#This Row],[Plant Equivalent Weightage]],"")</f>
        <v>7.5757575757575491E-3</v>
      </c>
      <c r="U605" s="79" t="s">
        <v>421</v>
      </c>
      <c r="W605" s="79">
        <v>15</v>
      </c>
    </row>
    <row r="606" spans="1:23">
      <c r="A606" s="79">
        <f t="shared" si="9"/>
        <v>605</v>
      </c>
      <c r="B606" s="79">
        <f>YEAR(Table6[[#This Row],[Date]])+IF(MONTH(Table6[[#This Row],[Date]])&gt;=4,1,0)</f>
        <v>2026</v>
      </c>
      <c r="C606" s="79">
        <f>YEAR(Table6[[#This Row],[Date]])</f>
        <v>2025</v>
      </c>
      <c r="D606" s="79" t="s">
        <v>344</v>
      </c>
      <c r="E606" s="284">
        <f>Table6[[#This Row],[Date]]-DAY(Table6[[#This Row],[Date]])+1</f>
        <v>45778</v>
      </c>
      <c r="F606" s="285">
        <v>45796</v>
      </c>
      <c r="G606" s="79" t="s">
        <v>93</v>
      </c>
      <c r="H606" s="79" t="str">
        <f>IFERROR(_xlfn.XLOOKUP(Table6[[#This Row],[Affected Feeder ]],'Basic Data'!$A:$A,'Basic Data'!$B:$B),"")</f>
        <v>PWEPL</v>
      </c>
      <c r="I606" s="79" t="str">
        <f>IFERROR(_xlfn.XLOOKUP(Table6[[#This Row],[Affected Feeder ]],'Basic Data'!$A:$A,'Basic Data'!$C:$C),"")</f>
        <v>MSEDCL</v>
      </c>
      <c r="J606" s="295">
        <f>IFERROR(_xlfn.XLOOKUP(Table6[[#This Row],[Affected Feeder ]],'Basic Data'!$A:$A,'Basic Data'!$E:$E),"")</f>
        <v>2.2727272727272728E-2</v>
      </c>
      <c r="K606" s="296" t="s">
        <v>171</v>
      </c>
      <c r="L606" s="297">
        <v>0.37986111111111115</v>
      </c>
      <c r="M606" s="297">
        <v>0.37986111111111115</v>
      </c>
      <c r="N606" s="297">
        <v>0.39374999999999999</v>
      </c>
      <c r="O606" s="19">
        <f>(Table6[[#This Row],[Work Start TimeStamp]]-Table6[[#This Row],[Fault Start TimeStamp]])*24</f>
        <v>0</v>
      </c>
      <c r="P606" s="19">
        <f>(Table6[[#This Row],[Fault Clearance time]]-Table6[[#This Row],[Fault Start TimeStamp]])*24</f>
        <v>0.33333333333333215</v>
      </c>
      <c r="Q606" s="19">
        <f>(Table6[[#This Row],[Fault Clearance time]]-Table6[[#This Row],[Fault Start TimeStamp]])*24</f>
        <v>0.33333333333333215</v>
      </c>
      <c r="R606" s="79" t="s">
        <v>353</v>
      </c>
      <c r="S606" s="79" t="s">
        <v>339</v>
      </c>
      <c r="T606" s="298">
        <f>IFERROR(Table6[[#This Row],[Breakdown Time]]*Table6[[#This Row],[Plant Equivalent Weightage]],"")</f>
        <v>7.5757575757575491E-3</v>
      </c>
      <c r="U606" s="79" t="s">
        <v>421</v>
      </c>
      <c r="W606" s="79">
        <v>15</v>
      </c>
    </row>
    <row r="607" spans="1:23">
      <c r="A607" s="79">
        <f t="shared" si="9"/>
        <v>606</v>
      </c>
      <c r="B607" s="79">
        <f>YEAR(Table6[[#This Row],[Date]])+IF(MONTH(Table6[[#This Row],[Date]])&gt;=4,1,0)</f>
        <v>2026</v>
      </c>
      <c r="C607" s="79">
        <f>YEAR(Table6[[#This Row],[Date]])</f>
        <v>2025</v>
      </c>
      <c r="D607" s="79" t="s">
        <v>344</v>
      </c>
      <c r="E607" s="284">
        <f>Table6[[#This Row],[Date]]-DAY(Table6[[#This Row],[Date]])+1</f>
        <v>45778</v>
      </c>
      <c r="F607" s="285">
        <v>45796</v>
      </c>
      <c r="G607" s="79" t="s">
        <v>102</v>
      </c>
      <c r="H607" s="79" t="str">
        <f>IFERROR(_xlfn.XLOOKUP(Table6[[#This Row],[Affected Feeder ]],'Basic Data'!$A:$A,'Basic Data'!$B:$B),"")</f>
        <v>PWEPL</v>
      </c>
      <c r="I607" s="79" t="str">
        <f>IFERROR(_xlfn.XLOOKUP(Table6[[#This Row],[Affected Feeder ]],'Basic Data'!$A:$A,'Basic Data'!$C:$C),"")</f>
        <v>MSEDCL</v>
      </c>
      <c r="J607" s="295">
        <f>IFERROR(_xlfn.XLOOKUP(Table6[[#This Row],[Affected Feeder ]],'Basic Data'!$A:$A,'Basic Data'!$E:$E),"")</f>
        <v>2.2727272727272728E-2</v>
      </c>
      <c r="K607" s="296" t="s">
        <v>171</v>
      </c>
      <c r="L607" s="297">
        <v>0.37986111111111115</v>
      </c>
      <c r="M607" s="297">
        <v>0.37986111111111115</v>
      </c>
      <c r="N607" s="297">
        <v>0.39374999999999999</v>
      </c>
      <c r="O607" s="19">
        <f>(Table6[[#This Row],[Work Start TimeStamp]]-Table6[[#This Row],[Fault Start TimeStamp]])*24</f>
        <v>0</v>
      </c>
      <c r="P607" s="19">
        <f>(Table6[[#This Row],[Fault Clearance time]]-Table6[[#This Row],[Fault Start TimeStamp]])*24</f>
        <v>0.33333333333333215</v>
      </c>
      <c r="Q607" s="19">
        <f>(Table6[[#This Row],[Fault Clearance time]]-Table6[[#This Row],[Fault Start TimeStamp]])*24</f>
        <v>0.33333333333333215</v>
      </c>
      <c r="R607" s="79" t="s">
        <v>353</v>
      </c>
      <c r="S607" s="79" t="s">
        <v>339</v>
      </c>
      <c r="T607" s="298">
        <f>IFERROR(Table6[[#This Row],[Breakdown Time]]*Table6[[#This Row],[Plant Equivalent Weightage]],"")</f>
        <v>7.5757575757575491E-3</v>
      </c>
      <c r="U607" s="79" t="s">
        <v>421</v>
      </c>
      <c r="W607" s="79">
        <v>15</v>
      </c>
    </row>
    <row r="608" spans="1:23">
      <c r="A608" s="79">
        <f t="shared" si="9"/>
        <v>607</v>
      </c>
      <c r="B608" s="79">
        <f>YEAR(Table6[[#This Row],[Date]])+IF(MONTH(Table6[[#This Row],[Date]])&gt;=4,1,0)</f>
        <v>2026</v>
      </c>
      <c r="C608" s="79">
        <f>YEAR(Table6[[#This Row],[Date]])</f>
        <v>2025</v>
      </c>
      <c r="D608" s="79" t="s">
        <v>344</v>
      </c>
      <c r="E608" s="284">
        <f>Table6[[#This Row],[Date]]-DAY(Table6[[#This Row],[Date]])+1</f>
        <v>45778</v>
      </c>
      <c r="F608" s="285">
        <v>45796</v>
      </c>
      <c r="G608" s="79" t="s">
        <v>119</v>
      </c>
      <c r="H608" s="79" t="str">
        <f>IFERROR(_xlfn.XLOOKUP(Table6[[#This Row],[Affected Feeder ]],'Basic Data'!$A:$A,'Basic Data'!$B:$B),"")</f>
        <v>PWEPL</v>
      </c>
      <c r="I608" s="79" t="str">
        <f>IFERROR(_xlfn.XLOOKUP(Table6[[#This Row],[Affected Feeder ]],'Basic Data'!$A:$A,'Basic Data'!$C:$C),"")</f>
        <v>MSEDCL</v>
      </c>
      <c r="J608" s="295">
        <f>IFERROR(_xlfn.XLOOKUP(Table6[[#This Row],[Affected Feeder ]],'Basic Data'!$A:$A,'Basic Data'!$E:$E),"")</f>
        <v>2.2727272727272728E-2</v>
      </c>
      <c r="K608" s="296" t="s">
        <v>171</v>
      </c>
      <c r="L608" s="297">
        <v>0.37986111111111115</v>
      </c>
      <c r="M608" s="297">
        <v>0.37986111111111115</v>
      </c>
      <c r="N608" s="297">
        <v>0.39374999999999999</v>
      </c>
      <c r="O608" s="19">
        <f>(Table6[[#This Row],[Work Start TimeStamp]]-Table6[[#This Row],[Fault Start TimeStamp]])*24</f>
        <v>0</v>
      </c>
      <c r="P608" s="19">
        <f>(Table6[[#This Row],[Fault Clearance time]]-Table6[[#This Row],[Fault Start TimeStamp]])*24</f>
        <v>0.33333333333333215</v>
      </c>
      <c r="Q608" s="19">
        <f>(Table6[[#This Row],[Fault Clearance time]]-Table6[[#This Row],[Fault Start TimeStamp]])*24</f>
        <v>0.33333333333333215</v>
      </c>
      <c r="R608" s="79" t="s">
        <v>353</v>
      </c>
      <c r="S608" s="79" t="s">
        <v>339</v>
      </c>
      <c r="T608" s="298">
        <f>IFERROR(Table6[[#This Row],[Breakdown Time]]*Table6[[#This Row],[Plant Equivalent Weightage]],"")</f>
        <v>7.5757575757575491E-3</v>
      </c>
      <c r="U608" s="79" t="s">
        <v>421</v>
      </c>
      <c r="W608" s="79">
        <v>15</v>
      </c>
    </row>
    <row r="609" spans="1:23">
      <c r="A609" s="79">
        <f t="shared" si="9"/>
        <v>608</v>
      </c>
      <c r="B609" s="79">
        <f>YEAR(Table6[[#This Row],[Date]])+IF(MONTH(Table6[[#This Row],[Date]])&gt;=4,1,0)</f>
        <v>2026</v>
      </c>
      <c r="C609" s="79">
        <f>YEAR(Table6[[#This Row],[Date]])</f>
        <v>2025</v>
      </c>
      <c r="D609" s="79" t="s">
        <v>344</v>
      </c>
      <c r="E609" s="284">
        <f>Table6[[#This Row],[Date]]-DAY(Table6[[#This Row],[Date]])+1</f>
        <v>45778</v>
      </c>
      <c r="F609" s="285">
        <v>45796</v>
      </c>
      <c r="G609" s="79" t="s">
        <v>103</v>
      </c>
      <c r="H609" s="79" t="str">
        <f>IFERROR(_xlfn.XLOOKUP(Table6[[#This Row],[Affected Feeder ]],'Basic Data'!$A:$A,'Basic Data'!$B:$B),"")</f>
        <v>PWEPL</v>
      </c>
      <c r="I609" s="79" t="str">
        <f>IFERROR(_xlfn.XLOOKUP(Table6[[#This Row],[Affected Feeder ]],'Basic Data'!$A:$A,'Basic Data'!$C:$C),"")</f>
        <v>MSEDCL</v>
      </c>
      <c r="J609" s="295">
        <f>IFERROR(_xlfn.XLOOKUP(Table6[[#This Row],[Affected Feeder ]],'Basic Data'!$A:$A,'Basic Data'!$E:$E),"")</f>
        <v>2.2727272727272728E-2</v>
      </c>
      <c r="K609" s="296" t="s">
        <v>171</v>
      </c>
      <c r="L609" s="297">
        <v>0.37986111111111115</v>
      </c>
      <c r="M609" s="297">
        <v>0.37986111111111115</v>
      </c>
      <c r="N609" s="297">
        <v>0.39374999999999999</v>
      </c>
      <c r="O609" s="19">
        <f>(Table6[[#This Row],[Work Start TimeStamp]]-Table6[[#This Row],[Fault Start TimeStamp]])*24</f>
        <v>0</v>
      </c>
      <c r="P609" s="19">
        <f>(Table6[[#This Row],[Fault Clearance time]]-Table6[[#This Row],[Fault Start TimeStamp]])*24</f>
        <v>0.33333333333333215</v>
      </c>
      <c r="Q609" s="19">
        <f>(Table6[[#This Row],[Fault Clearance time]]-Table6[[#This Row],[Fault Start TimeStamp]])*24</f>
        <v>0.33333333333333215</v>
      </c>
      <c r="R609" s="79" t="s">
        <v>353</v>
      </c>
      <c r="S609" s="79" t="s">
        <v>339</v>
      </c>
      <c r="T609" s="298">
        <f>IFERROR(Table6[[#This Row],[Breakdown Time]]*Table6[[#This Row],[Plant Equivalent Weightage]],"")</f>
        <v>7.5757575757575491E-3</v>
      </c>
      <c r="U609" s="79" t="s">
        <v>421</v>
      </c>
      <c r="W609" s="79">
        <v>15</v>
      </c>
    </row>
    <row r="610" spans="1:23">
      <c r="A610" s="79">
        <f t="shared" si="9"/>
        <v>609</v>
      </c>
      <c r="B610" s="79">
        <f>YEAR(Table6[[#This Row],[Date]])+IF(MONTH(Table6[[#This Row],[Date]])&gt;=4,1,0)</f>
        <v>2026</v>
      </c>
      <c r="C610" s="79">
        <f>YEAR(Table6[[#This Row],[Date]])</f>
        <v>2025</v>
      </c>
      <c r="D610" s="79" t="s">
        <v>344</v>
      </c>
      <c r="E610" s="284">
        <f>Table6[[#This Row],[Date]]-DAY(Table6[[#This Row],[Date]])+1</f>
        <v>45778</v>
      </c>
      <c r="F610" s="285">
        <v>45796</v>
      </c>
      <c r="G610" s="79" t="s">
        <v>105</v>
      </c>
      <c r="H610" s="79" t="str">
        <f>IFERROR(_xlfn.XLOOKUP(Table6[[#This Row],[Affected Feeder ]],'Basic Data'!$A:$A,'Basic Data'!$B:$B),"")</f>
        <v>PWEPL</v>
      </c>
      <c r="I610" s="79" t="str">
        <f>IFERROR(_xlfn.XLOOKUP(Table6[[#This Row],[Affected Feeder ]],'Basic Data'!$A:$A,'Basic Data'!$C:$C),"")</f>
        <v>MSEDCL</v>
      </c>
      <c r="J610" s="295">
        <f>IFERROR(_xlfn.XLOOKUP(Table6[[#This Row],[Affected Feeder ]],'Basic Data'!$A:$A,'Basic Data'!$E:$E),"")</f>
        <v>2.2727272727272728E-2</v>
      </c>
      <c r="K610" s="296" t="s">
        <v>171</v>
      </c>
      <c r="L610" s="297">
        <v>0.37986111111111115</v>
      </c>
      <c r="M610" s="297">
        <v>0.37986111111111115</v>
      </c>
      <c r="N610" s="297">
        <v>0.39374999999999999</v>
      </c>
      <c r="O610" s="19">
        <f>(Table6[[#This Row],[Work Start TimeStamp]]-Table6[[#This Row],[Fault Start TimeStamp]])*24</f>
        <v>0</v>
      </c>
      <c r="P610" s="19">
        <f>(Table6[[#This Row],[Fault Clearance time]]-Table6[[#This Row],[Fault Start TimeStamp]])*24</f>
        <v>0.33333333333333215</v>
      </c>
      <c r="Q610" s="19">
        <f>(Table6[[#This Row],[Fault Clearance time]]-Table6[[#This Row],[Fault Start TimeStamp]])*24</f>
        <v>0.33333333333333215</v>
      </c>
      <c r="R610" s="79" t="s">
        <v>353</v>
      </c>
      <c r="S610" s="79" t="s">
        <v>339</v>
      </c>
      <c r="T610" s="298">
        <f>IFERROR(Table6[[#This Row],[Breakdown Time]]*Table6[[#This Row],[Plant Equivalent Weightage]],"")</f>
        <v>7.5757575757575491E-3</v>
      </c>
      <c r="U610" s="79" t="s">
        <v>421</v>
      </c>
      <c r="W610" s="79">
        <v>15</v>
      </c>
    </row>
    <row r="611" spans="1:23">
      <c r="A611" s="79">
        <f t="shared" si="9"/>
        <v>610</v>
      </c>
      <c r="B611" s="79">
        <f>YEAR(Table6[[#This Row],[Date]])+IF(MONTH(Table6[[#This Row],[Date]])&gt;=4,1,0)</f>
        <v>2026</v>
      </c>
      <c r="C611" s="79">
        <f>YEAR(Table6[[#This Row],[Date]])</f>
        <v>2025</v>
      </c>
      <c r="D611" s="79" t="s">
        <v>344</v>
      </c>
      <c r="E611" s="284">
        <f>Table6[[#This Row],[Date]]-DAY(Table6[[#This Row],[Date]])+1</f>
        <v>45778</v>
      </c>
      <c r="F611" s="285">
        <v>45796</v>
      </c>
      <c r="G611" s="79" t="s">
        <v>115</v>
      </c>
      <c r="H611" s="79" t="str">
        <f>IFERROR(_xlfn.XLOOKUP(Table6[[#This Row],[Affected Feeder ]],'Basic Data'!$A:$A,'Basic Data'!$B:$B),"")</f>
        <v>PWEPL</v>
      </c>
      <c r="I611" s="79" t="str">
        <f>IFERROR(_xlfn.XLOOKUP(Table6[[#This Row],[Affected Feeder ]],'Basic Data'!$A:$A,'Basic Data'!$C:$C),"")</f>
        <v>MSEDCL</v>
      </c>
      <c r="J611" s="295">
        <f>IFERROR(_xlfn.XLOOKUP(Table6[[#This Row],[Affected Feeder ]],'Basic Data'!$A:$A,'Basic Data'!$E:$E),"")</f>
        <v>2.2727272727272728E-2</v>
      </c>
      <c r="K611" s="296" t="s">
        <v>171</v>
      </c>
      <c r="L611" s="297">
        <v>0.37986111111111115</v>
      </c>
      <c r="M611" s="297">
        <v>0.37986111111111115</v>
      </c>
      <c r="N611" s="297">
        <v>0.39374999999999999</v>
      </c>
      <c r="O611" s="19">
        <f>(Table6[[#This Row],[Work Start TimeStamp]]-Table6[[#This Row],[Fault Start TimeStamp]])*24</f>
        <v>0</v>
      </c>
      <c r="P611" s="19">
        <f>(Table6[[#This Row],[Fault Clearance time]]-Table6[[#This Row],[Fault Start TimeStamp]])*24</f>
        <v>0.33333333333333215</v>
      </c>
      <c r="Q611" s="19">
        <f>(Table6[[#This Row],[Fault Clearance time]]-Table6[[#This Row],[Fault Start TimeStamp]])*24</f>
        <v>0.33333333333333215</v>
      </c>
      <c r="R611" s="79" t="s">
        <v>353</v>
      </c>
      <c r="S611" s="79" t="s">
        <v>339</v>
      </c>
      <c r="T611" s="298">
        <f>IFERROR(Table6[[#This Row],[Breakdown Time]]*Table6[[#This Row],[Plant Equivalent Weightage]],"")</f>
        <v>7.5757575757575491E-3</v>
      </c>
      <c r="U611" s="79" t="s">
        <v>421</v>
      </c>
      <c r="W611" s="79">
        <v>15</v>
      </c>
    </row>
    <row r="612" spans="1:23">
      <c r="A612" s="79">
        <f t="shared" si="9"/>
        <v>611</v>
      </c>
      <c r="B612" s="79">
        <f>YEAR(Table6[[#This Row],[Date]])+IF(MONTH(Table6[[#This Row],[Date]])&gt;=4,1,0)</f>
        <v>2026</v>
      </c>
      <c r="C612" s="79">
        <f>YEAR(Table6[[#This Row],[Date]])</f>
        <v>2025</v>
      </c>
      <c r="D612" s="79" t="s">
        <v>344</v>
      </c>
      <c r="E612" s="284">
        <f>Table6[[#This Row],[Date]]-DAY(Table6[[#This Row],[Date]])+1</f>
        <v>45778</v>
      </c>
      <c r="F612" s="285">
        <v>45796</v>
      </c>
      <c r="G612" s="79" t="s">
        <v>116</v>
      </c>
      <c r="H612" s="79" t="str">
        <f>IFERROR(_xlfn.XLOOKUP(Table6[[#This Row],[Affected Feeder ]],'Basic Data'!$A:$A,'Basic Data'!$B:$B),"")</f>
        <v>PWEPL</v>
      </c>
      <c r="I612" s="79" t="str">
        <f>IFERROR(_xlfn.XLOOKUP(Table6[[#This Row],[Affected Feeder ]],'Basic Data'!$A:$A,'Basic Data'!$C:$C),"")</f>
        <v>MSEDCL</v>
      </c>
      <c r="J612" s="295">
        <f>IFERROR(_xlfn.XLOOKUP(Table6[[#This Row],[Affected Feeder ]],'Basic Data'!$A:$A,'Basic Data'!$E:$E),"")</f>
        <v>2.2727272727272728E-2</v>
      </c>
      <c r="K612" s="296" t="s">
        <v>171</v>
      </c>
      <c r="L612" s="297">
        <v>0.37986111111111115</v>
      </c>
      <c r="M612" s="297">
        <v>0.37986111111111115</v>
      </c>
      <c r="N612" s="297">
        <v>0.39374999999999999</v>
      </c>
      <c r="O612" s="19">
        <f>(Table6[[#This Row],[Work Start TimeStamp]]-Table6[[#This Row],[Fault Start TimeStamp]])*24</f>
        <v>0</v>
      </c>
      <c r="P612" s="19">
        <f>(Table6[[#This Row],[Fault Clearance time]]-Table6[[#This Row],[Fault Start TimeStamp]])*24</f>
        <v>0.33333333333333215</v>
      </c>
      <c r="Q612" s="19">
        <f>(Table6[[#This Row],[Fault Clearance time]]-Table6[[#This Row],[Fault Start TimeStamp]])*24</f>
        <v>0.33333333333333215</v>
      </c>
      <c r="R612" s="79" t="s">
        <v>353</v>
      </c>
      <c r="S612" s="79" t="s">
        <v>339</v>
      </c>
      <c r="T612" s="298">
        <f>IFERROR(Table6[[#This Row],[Breakdown Time]]*Table6[[#This Row],[Plant Equivalent Weightage]],"")</f>
        <v>7.5757575757575491E-3</v>
      </c>
      <c r="U612" s="79" t="s">
        <v>421</v>
      </c>
      <c r="W612" s="79">
        <v>15</v>
      </c>
    </row>
    <row r="613" spans="1:23">
      <c r="A613" s="79">
        <f t="shared" si="9"/>
        <v>612</v>
      </c>
      <c r="B613" s="79">
        <f>YEAR(Table6[[#This Row],[Date]])+IF(MONTH(Table6[[#This Row],[Date]])&gt;=4,1,0)</f>
        <v>2026</v>
      </c>
      <c r="C613" s="79">
        <f>YEAR(Table6[[#This Row],[Date]])</f>
        <v>2025</v>
      </c>
      <c r="D613" s="79" t="s">
        <v>344</v>
      </c>
      <c r="E613" s="284">
        <f>Table6[[#This Row],[Date]]-DAY(Table6[[#This Row],[Date]])+1</f>
        <v>45778</v>
      </c>
      <c r="F613" s="285">
        <v>45796</v>
      </c>
      <c r="G613" s="79" t="s">
        <v>117</v>
      </c>
      <c r="H613" s="79" t="str">
        <f>IFERROR(_xlfn.XLOOKUP(Table6[[#This Row],[Affected Feeder ]],'Basic Data'!$A:$A,'Basic Data'!$B:$B),"")</f>
        <v>PWEPL</v>
      </c>
      <c r="I613" s="79" t="str">
        <f>IFERROR(_xlfn.XLOOKUP(Table6[[#This Row],[Affected Feeder ]],'Basic Data'!$A:$A,'Basic Data'!$C:$C),"")</f>
        <v>MSEDCL</v>
      </c>
      <c r="J613" s="295">
        <f>IFERROR(_xlfn.XLOOKUP(Table6[[#This Row],[Affected Feeder ]],'Basic Data'!$A:$A,'Basic Data'!$E:$E),"")</f>
        <v>2.2727272727272728E-2</v>
      </c>
      <c r="K613" s="296" t="s">
        <v>171</v>
      </c>
      <c r="L613" s="297">
        <v>0.37986111111111115</v>
      </c>
      <c r="M613" s="297">
        <v>0.37986111111111115</v>
      </c>
      <c r="N613" s="297">
        <v>0.39374999999999999</v>
      </c>
      <c r="O613" s="19">
        <f>(Table6[[#This Row],[Work Start TimeStamp]]-Table6[[#This Row],[Fault Start TimeStamp]])*24</f>
        <v>0</v>
      </c>
      <c r="P613" s="19">
        <f>(Table6[[#This Row],[Fault Clearance time]]-Table6[[#This Row],[Fault Start TimeStamp]])*24</f>
        <v>0.33333333333333215</v>
      </c>
      <c r="Q613" s="19">
        <f>(Table6[[#This Row],[Fault Clearance time]]-Table6[[#This Row],[Fault Start TimeStamp]])*24</f>
        <v>0.33333333333333215</v>
      </c>
      <c r="R613" s="79" t="s">
        <v>353</v>
      </c>
      <c r="S613" s="79" t="s">
        <v>339</v>
      </c>
      <c r="T613" s="298">
        <f>IFERROR(Table6[[#This Row],[Breakdown Time]]*Table6[[#This Row],[Plant Equivalent Weightage]],"")</f>
        <v>7.5757575757575491E-3</v>
      </c>
      <c r="U613" s="79" t="s">
        <v>421</v>
      </c>
      <c r="W613" s="79">
        <v>15</v>
      </c>
    </row>
    <row r="614" spans="1:23">
      <c r="A614" s="79">
        <f t="shared" si="9"/>
        <v>613</v>
      </c>
      <c r="B614" s="79">
        <f>YEAR(Table6[[#This Row],[Date]])+IF(MONTH(Table6[[#This Row],[Date]])&gt;=4,1,0)</f>
        <v>2026</v>
      </c>
      <c r="C614" s="79">
        <f>YEAR(Table6[[#This Row],[Date]])</f>
        <v>2025</v>
      </c>
      <c r="D614" s="79" t="s">
        <v>344</v>
      </c>
      <c r="E614" s="284">
        <f>Table6[[#This Row],[Date]]-DAY(Table6[[#This Row],[Date]])+1</f>
        <v>45778</v>
      </c>
      <c r="F614" s="285">
        <v>45796</v>
      </c>
      <c r="G614" s="79" t="s">
        <v>118</v>
      </c>
      <c r="H614" s="79" t="str">
        <f>IFERROR(_xlfn.XLOOKUP(Table6[[#This Row],[Affected Feeder ]],'Basic Data'!$A:$A,'Basic Data'!$B:$B),"")</f>
        <v>PWEPL</v>
      </c>
      <c r="I614" s="79" t="str">
        <f>IFERROR(_xlfn.XLOOKUP(Table6[[#This Row],[Affected Feeder ]],'Basic Data'!$A:$A,'Basic Data'!$C:$C),"")</f>
        <v>MSEDCL</v>
      </c>
      <c r="J614" s="295">
        <f>IFERROR(_xlfn.XLOOKUP(Table6[[#This Row],[Affected Feeder ]],'Basic Data'!$A:$A,'Basic Data'!$E:$E),"")</f>
        <v>2.2727272727272728E-2</v>
      </c>
      <c r="K614" s="296" t="s">
        <v>171</v>
      </c>
      <c r="L614" s="297">
        <v>0.37986111111111115</v>
      </c>
      <c r="M614" s="297">
        <v>0.37986111111111115</v>
      </c>
      <c r="N614" s="297">
        <v>0.39374999999999999</v>
      </c>
      <c r="O614" s="19">
        <f>(Table6[[#This Row],[Work Start TimeStamp]]-Table6[[#This Row],[Fault Start TimeStamp]])*24</f>
        <v>0</v>
      </c>
      <c r="P614" s="19">
        <f>(Table6[[#This Row],[Fault Clearance time]]-Table6[[#This Row],[Fault Start TimeStamp]])*24</f>
        <v>0.33333333333333215</v>
      </c>
      <c r="Q614" s="19">
        <f>(Table6[[#This Row],[Fault Clearance time]]-Table6[[#This Row],[Fault Start TimeStamp]])*24</f>
        <v>0.33333333333333215</v>
      </c>
      <c r="R614" s="79" t="s">
        <v>353</v>
      </c>
      <c r="S614" s="79" t="s">
        <v>339</v>
      </c>
      <c r="T614" s="298">
        <f>IFERROR(Table6[[#This Row],[Breakdown Time]]*Table6[[#This Row],[Plant Equivalent Weightage]],"")</f>
        <v>7.5757575757575491E-3</v>
      </c>
      <c r="U614" s="79" t="s">
        <v>421</v>
      </c>
      <c r="W614" s="79">
        <v>15</v>
      </c>
    </row>
    <row r="615" spans="1:23">
      <c r="A615" s="79">
        <f t="shared" si="9"/>
        <v>614</v>
      </c>
      <c r="B615" s="79">
        <f>YEAR(Table6[[#This Row],[Date]])+IF(MONTH(Table6[[#This Row],[Date]])&gt;=4,1,0)</f>
        <v>2026</v>
      </c>
      <c r="C615" s="79">
        <f>YEAR(Table6[[#This Row],[Date]])</f>
        <v>2025</v>
      </c>
      <c r="D615" s="79" t="s">
        <v>344</v>
      </c>
      <c r="E615" s="284">
        <f>Table6[[#This Row],[Date]]-DAY(Table6[[#This Row],[Date]])+1</f>
        <v>45778</v>
      </c>
      <c r="F615" s="285">
        <v>45796</v>
      </c>
      <c r="G615" s="79" t="s">
        <v>79</v>
      </c>
      <c r="H615" s="79" t="str">
        <f>IFERROR(_xlfn.XLOOKUP(Table6[[#This Row],[Affected Feeder ]],'Basic Data'!$A:$A,'Basic Data'!$B:$B),"")</f>
        <v>PWEPL</v>
      </c>
      <c r="I615" s="79" t="str">
        <f>IFERROR(_xlfn.XLOOKUP(Table6[[#This Row],[Affected Feeder ]],'Basic Data'!$A:$A,'Basic Data'!$C:$C),"")</f>
        <v>MSEDCL</v>
      </c>
      <c r="J615" s="295">
        <f>IFERROR(_xlfn.XLOOKUP(Table6[[#This Row],[Affected Feeder ]],'Basic Data'!$A:$A,'Basic Data'!$E:$E),"")</f>
        <v>2.2727272727272728E-2</v>
      </c>
      <c r="K615" s="296" t="s">
        <v>826</v>
      </c>
      <c r="L615" s="297">
        <v>0.49652777777777773</v>
      </c>
      <c r="M615" s="297">
        <v>0.49652777777777773</v>
      </c>
      <c r="N615" s="297">
        <v>0.50277777777777777</v>
      </c>
      <c r="O615" s="19">
        <f>(Table6[[#This Row],[Work Start TimeStamp]]-Table6[[#This Row],[Fault Start TimeStamp]])*24</f>
        <v>0</v>
      </c>
      <c r="P615" s="19">
        <f>(Table6[[#This Row],[Fault Clearance time]]-Table6[[#This Row],[Fault Start TimeStamp]])*24</f>
        <v>0.1500000000000008</v>
      </c>
      <c r="Q615" s="19">
        <f>(Table6[[#This Row],[Fault Clearance time]]-Table6[[#This Row],[Fault Start TimeStamp]])*24</f>
        <v>0.1500000000000008</v>
      </c>
      <c r="R615" s="79" t="s">
        <v>818</v>
      </c>
      <c r="S615" s="79" t="s">
        <v>339</v>
      </c>
      <c r="T615" s="298">
        <f>IFERROR(Table6[[#This Row],[Breakdown Time]]*Table6[[#This Row],[Plant Equivalent Weightage]],"")</f>
        <v>3.4090909090909271E-3</v>
      </c>
      <c r="U615" s="79" t="s">
        <v>416</v>
      </c>
      <c r="W615" s="79">
        <v>0</v>
      </c>
    </row>
    <row r="616" spans="1:23">
      <c r="A616" s="79">
        <f t="shared" si="9"/>
        <v>615</v>
      </c>
      <c r="B616" s="79">
        <f>YEAR(Table6[[#This Row],[Date]])+IF(MONTH(Table6[[#This Row],[Date]])&gt;=4,1,0)</f>
        <v>2026</v>
      </c>
      <c r="C616" s="79">
        <f>YEAR(Table6[[#This Row],[Date]])</f>
        <v>2025</v>
      </c>
      <c r="D616" s="79" t="s">
        <v>344</v>
      </c>
      <c r="E616" s="284">
        <f>Table6[[#This Row],[Date]]-DAY(Table6[[#This Row],[Date]])+1</f>
        <v>45778</v>
      </c>
      <c r="F616" s="285">
        <v>45796</v>
      </c>
      <c r="G616" s="79" t="s">
        <v>79</v>
      </c>
      <c r="H616" s="79" t="str">
        <f>IFERROR(_xlfn.XLOOKUP(Table6[[#This Row],[Affected Feeder ]],'Basic Data'!$A:$A,'Basic Data'!$B:$B),"")</f>
        <v>PWEPL</v>
      </c>
      <c r="I616" s="79" t="str">
        <f>IFERROR(_xlfn.XLOOKUP(Table6[[#This Row],[Affected Feeder ]],'Basic Data'!$A:$A,'Basic Data'!$C:$C),"")</f>
        <v>MSEDCL</v>
      </c>
      <c r="J616" s="295">
        <f>IFERROR(_xlfn.XLOOKUP(Table6[[#This Row],[Affected Feeder ]],'Basic Data'!$A:$A,'Basic Data'!$E:$E),"")</f>
        <v>2.2727272727272728E-2</v>
      </c>
      <c r="K616" s="296" t="s">
        <v>171</v>
      </c>
      <c r="L616" s="297">
        <v>0.50277777777777777</v>
      </c>
      <c r="M616" s="297">
        <v>0.50277777777777777</v>
      </c>
      <c r="N616" s="297">
        <v>0.51666666666666672</v>
      </c>
      <c r="O616" s="19">
        <f>(Table6[[#This Row],[Work Start TimeStamp]]-Table6[[#This Row],[Fault Start TimeStamp]])*24</f>
        <v>0</v>
      </c>
      <c r="P616" s="19">
        <f>(Table6[[#This Row],[Fault Clearance time]]-Table6[[#This Row],[Fault Start TimeStamp]])*24</f>
        <v>0.33333333333333481</v>
      </c>
      <c r="Q616" s="19">
        <f>(Table6[[#This Row],[Fault Clearance time]]-Table6[[#This Row],[Fault Start TimeStamp]])*24</f>
        <v>0.33333333333333481</v>
      </c>
      <c r="R616" s="79" t="s">
        <v>353</v>
      </c>
      <c r="S616" s="79" t="s">
        <v>339</v>
      </c>
      <c r="T616" s="298">
        <f>IFERROR(Table6[[#This Row],[Breakdown Time]]*Table6[[#This Row],[Plant Equivalent Weightage]],"")</f>
        <v>7.5757575757576098E-3</v>
      </c>
      <c r="U616" s="79" t="s">
        <v>416</v>
      </c>
      <c r="W616" s="79">
        <v>0</v>
      </c>
    </row>
    <row r="617" spans="1:23">
      <c r="A617" s="79">
        <f t="shared" si="9"/>
        <v>616</v>
      </c>
      <c r="B617" s="79">
        <f>YEAR(Table6[[#This Row],[Date]])+IF(MONTH(Table6[[#This Row],[Date]])&gt;=4,1,0)</f>
        <v>2026</v>
      </c>
      <c r="C617" s="79">
        <f>YEAR(Table6[[#This Row],[Date]])</f>
        <v>2025</v>
      </c>
      <c r="D617" s="79" t="s">
        <v>344</v>
      </c>
      <c r="E617" s="284">
        <f>Table6[[#This Row],[Date]]-DAY(Table6[[#This Row],[Date]])+1</f>
        <v>45778</v>
      </c>
      <c r="F617" s="285">
        <v>45796</v>
      </c>
      <c r="G617" s="79" t="s">
        <v>97</v>
      </c>
      <c r="H617" s="79" t="str">
        <f>IFERROR(_xlfn.XLOOKUP(Table6[[#This Row],[Affected Feeder ]],'Basic Data'!$A:$A,'Basic Data'!$B:$B),"")</f>
        <v>PWEPL</v>
      </c>
      <c r="I617" s="79" t="str">
        <f>IFERROR(_xlfn.XLOOKUP(Table6[[#This Row],[Affected Feeder ]],'Basic Data'!$A:$A,'Basic Data'!$C:$C),"")</f>
        <v>MSEDCL</v>
      </c>
      <c r="J617" s="295">
        <f>IFERROR(_xlfn.XLOOKUP(Table6[[#This Row],[Affected Feeder ]],'Basic Data'!$A:$A,'Basic Data'!$E:$E),"")</f>
        <v>2.2727272727272728E-2</v>
      </c>
      <c r="K617" s="296" t="s">
        <v>827</v>
      </c>
      <c r="L617" s="297">
        <v>0.51180555555555551</v>
      </c>
      <c r="M617" s="297">
        <v>0.51180555555555551</v>
      </c>
      <c r="N617" s="297">
        <v>0.52152777777777781</v>
      </c>
      <c r="O617" s="19">
        <f>(Table6[[#This Row],[Work Start TimeStamp]]-Table6[[#This Row],[Fault Start TimeStamp]])*24</f>
        <v>0</v>
      </c>
      <c r="P617" s="19">
        <f>(Table6[[#This Row],[Fault Clearance time]]-Table6[[#This Row],[Fault Start TimeStamp]])*24</f>
        <v>0.23333333333333517</v>
      </c>
      <c r="Q617" s="19">
        <f>(Table6[[#This Row],[Fault Clearance time]]-Table6[[#This Row],[Fault Start TimeStamp]])*24</f>
        <v>0.23333333333333517</v>
      </c>
      <c r="R617" s="79" t="s">
        <v>818</v>
      </c>
      <c r="S617" s="79" t="s">
        <v>339</v>
      </c>
      <c r="T617" s="298">
        <f>IFERROR(Table6[[#This Row],[Breakdown Time]]*Table6[[#This Row],[Plant Equivalent Weightage]],"")</f>
        <v>5.303030303030345E-3</v>
      </c>
      <c r="U617" s="79" t="s">
        <v>416</v>
      </c>
      <c r="W617" s="79">
        <v>0</v>
      </c>
    </row>
    <row r="618" spans="1:23">
      <c r="A618" s="79">
        <f t="shared" si="9"/>
        <v>617</v>
      </c>
      <c r="B618" s="79">
        <f>YEAR(Table6[[#This Row],[Date]])+IF(MONTH(Table6[[#This Row],[Date]])&gt;=4,1,0)</f>
        <v>2026</v>
      </c>
      <c r="C618" s="79">
        <f>YEAR(Table6[[#This Row],[Date]])</f>
        <v>2025</v>
      </c>
      <c r="D618" s="79" t="s">
        <v>344</v>
      </c>
      <c r="E618" s="284">
        <f>Table6[[#This Row],[Date]]-DAY(Table6[[#This Row],[Date]])+1</f>
        <v>45778</v>
      </c>
      <c r="F618" s="285">
        <v>45796</v>
      </c>
      <c r="G618" s="79" t="s">
        <v>97</v>
      </c>
      <c r="H618" s="79" t="str">
        <f>IFERROR(_xlfn.XLOOKUP(Table6[[#This Row],[Affected Feeder ]],'Basic Data'!$A:$A,'Basic Data'!$B:$B),"")</f>
        <v>PWEPL</v>
      </c>
      <c r="I618" s="79" t="str">
        <f>IFERROR(_xlfn.XLOOKUP(Table6[[#This Row],[Affected Feeder ]],'Basic Data'!$A:$A,'Basic Data'!$C:$C),"")</f>
        <v>MSEDCL</v>
      </c>
      <c r="J618" s="295">
        <f>IFERROR(_xlfn.XLOOKUP(Table6[[#This Row],[Affected Feeder ]],'Basic Data'!$A:$A,'Basic Data'!$E:$E),"")</f>
        <v>2.2727272727272728E-2</v>
      </c>
      <c r="K618" s="296" t="s">
        <v>171</v>
      </c>
      <c r="L618" s="297">
        <v>0.52152777777777781</v>
      </c>
      <c r="M618" s="297">
        <v>0.52152777777777781</v>
      </c>
      <c r="N618" s="297">
        <v>0.53541666666666665</v>
      </c>
      <c r="O618" s="19">
        <f>(Table6[[#This Row],[Work Start TimeStamp]]-Table6[[#This Row],[Fault Start TimeStamp]])*24</f>
        <v>0</v>
      </c>
      <c r="P618" s="19">
        <f>(Table6[[#This Row],[Fault Clearance time]]-Table6[[#This Row],[Fault Start TimeStamp]])*24</f>
        <v>0.33333333333333215</v>
      </c>
      <c r="Q618" s="19">
        <f>(Table6[[#This Row],[Fault Clearance time]]-Table6[[#This Row],[Fault Start TimeStamp]])*24</f>
        <v>0.33333333333333215</v>
      </c>
      <c r="R618" s="79" t="s">
        <v>353</v>
      </c>
      <c r="S618" s="79" t="s">
        <v>339</v>
      </c>
      <c r="T618" s="298">
        <f>IFERROR(Table6[[#This Row],[Breakdown Time]]*Table6[[#This Row],[Plant Equivalent Weightage]],"")</f>
        <v>7.5757575757575491E-3</v>
      </c>
      <c r="U618" s="79" t="s">
        <v>416</v>
      </c>
      <c r="W618" s="79">
        <v>0</v>
      </c>
    </row>
    <row r="619" spans="1:23">
      <c r="A619" s="79">
        <f t="shared" si="9"/>
        <v>618</v>
      </c>
      <c r="B619" s="79">
        <f>YEAR(Table6[[#This Row],[Date]])+IF(MONTH(Table6[[#This Row],[Date]])&gt;=4,1,0)</f>
        <v>2026</v>
      </c>
      <c r="C619" s="79">
        <f>YEAR(Table6[[#This Row],[Date]])</f>
        <v>2025</v>
      </c>
      <c r="D619" s="79" t="s">
        <v>344</v>
      </c>
      <c r="E619" s="284">
        <f>Table6[[#This Row],[Date]]-DAY(Table6[[#This Row],[Date]])+1</f>
        <v>45778</v>
      </c>
      <c r="F619" s="285">
        <v>45796</v>
      </c>
      <c r="G619" s="79" t="s">
        <v>110</v>
      </c>
      <c r="H619" s="79" t="str">
        <f>IFERROR(_xlfn.XLOOKUP(Table6[[#This Row],[Affected Feeder ]],'Basic Data'!$A:$A,'Basic Data'!$B:$B),"")</f>
        <v>PWEPL</v>
      </c>
      <c r="I619" s="79" t="str">
        <f>IFERROR(_xlfn.XLOOKUP(Table6[[#This Row],[Affected Feeder ]],'Basic Data'!$A:$A,'Basic Data'!$C:$C),"")</f>
        <v>MSEDCL</v>
      </c>
      <c r="J619" s="295">
        <f>IFERROR(_xlfn.XLOOKUP(Table6[[#This Row],[Affected Feeder ]],'Basic Data'!$A:$A,'Basic Data'!$E:$E),"")</f>
        <v>2.2727272727272728E-2</v>
      </c>
      <c r="K619" s="296" t="s">
        <v>817</v>
      </c>
      <c r="L619" s="297">
        <v>0.53611111111111109</v>
      </c>
      <c r="M619" s="297">
        <v>0.53611111111111109</v>
      </c>
      <c r="N619" s="297">
        <v>0.54236111111111118</v>
      </c>
      <c r="O619" s="19">
        <f>(Table6[[#This Row],[Work Start TimeStamp]]-Table6[[#This Row],[Fault Start TimeStamp]])*24</f>
        <v>0</v>
      </c>
      <c r="P619" s="19">
        <f>(Table6[[#This Row],[Fault Clearance time]]-Table6[[#This Row],[Fault Start TimeStamp]])*24</f>
        <v>0.15000000000000213</v>
      </c>
      <c r="Q619" s="19">
        <f>(Table6[[#This Row],[Fault Clearance time]]-Table6[[#This Row],[Fault Start TimeStamp]])*24</f>
        <v>0.15000000000000213</v>
      </c>
      <c r="R619" s="79" t="s">
        <v>818</v>
      </c>
      <c r="S619" s="79" t="s">
        <v>339</v>
      </c>
      <c r="T619" s="298">
        <f>IFERROR(Table6[[#This Row],[Breakdown Time]]*Table6[[#This Row],[Plant Equivalent Weightage]],"")</f>
        <v>3.4090909090909575E-3</v>
      </c>
      <c r="U619" s="79" t="s">
        <v>416</v>
      </c>
      <c r="W619" s="79">
        <v>0</v>
      </c>
    </row>
    <row r="620" spans="1:23">
      <c r="A620" s="79">
        <f t="shared" si="9"/>
        <v>619</v>
      </c>
      <c r="B620" s="79">
        <f>YEAR(Table6[[#This Row],[Date]])+IF(MONTH(Table6[[#This Row],[Date]])&gt;=4,1,0)</f>
        <v>2026</v>
      </c>
      <c r="C620" s="79">
        <f>YEAR(Table6[[#This Row],[Date]])</f>
        <v>2025</v>
      </c>
      <c r="D620" s="79" t="s">
        <v>344</v>
      </c>
      <c r="E620" s="284">
        <f>Table6[[#This Row],[Date]]-DAY(Table6[[#This Row],[Date]])+1</f>
        <v>45778</v>
      </c>
      <c r="F620" s="285">
        <v>45796</v>
      </c>
      <c r="G620" s="79" t="s">
        <v>110</v>
      </c>
      <c r="H620" s="79" t="str">
        <f>IFERROR(_xlfn.XLOOKUP(Table6[[#This Row],[Affected Feeder ]],'Basic Data'!$A:$A,'Basic Data'!$B:$B),"")</f>
        <v>PWEPL</v>
      </c>
      <c r="I620" s="79" t="str">
        <f>IFERROR(_xlfn.XLOOKUP(Table6[[#This Row],[Affected Feeder ]],'Basic Data'!$A:$A,'Basic Data'!$C:$C),"")</f>
        <v>MSEDCL</v>
      </c>
      <c r="J620" s="295">
        <f>IFERROR(_xlfn.XLOOKUP(Table6[[#This Row],[Affected Feeder ]],'Basic Data'!$A:$A,'Basic Data'!$E:$E),"")</f>
        <v>2.2727272727272728E-2</v>
      </c>
      <c r="K620" s="296" t="s">
        <v>171</v>
      </c>
      <c r="L620" s="297">
        <v>0.54236111111111118</v>
      </c>
      <c r="M620" s="297">
        <v>0.54236111111111118</v>
      </c>
      <c r="N620" s="297">
        <v>0.55625000000000002</v>
      </c>
      <c r="O620" s="19">
        <f>(Table6[[#This Row],[Work Start TimeStamp]]-Table6[[#This Row],[Fault Start TimeStamp]])*24</f>
        <v>0</v>
      </c>
      <c r="P620" s="19">
        <f>(Table6[[#This Row],[Fault Clearance time]]-Table6[[#This Row],[Fault Start TimeStamp]])*24</f>
        <v>0.33333333333333215</v>
      </c>
      <c r="Q620" s="19">
        <f>(Table6[[#This Row],[Fault Clearance time]]-Table6[[#This Row],[Fault Start TimeStamp]])*24</f>
        <v>0.33333333333333215</v>
      </c>
      <c r="R620" s="79" t="s">
        <v>353</v>
      </c>
      <c r="S620" s="79" t="s">
        <v>339</v>
      </c>
      <c r="T620" s="298">
        <f>IFERROR(Table6[[#This Row],[Breakdown Time]]*Table6[[#This Row],[Plant Equivalent Weightage]],"")</f>
        <v>7.5757575757575491E-3</v>
      </c>
      <c r="U620" s="79" t="s">
        <v>416</v>
      </c>
      <c r="W620" s="79">
        <v>0</v>
      </c>
    </row>
    <row r="621" spans="1:23">
      <c r="A621" s="79">
        <f t="shared" si="9"/>
        <v>620</v>
      </c>
      <c r="B621" s="79">
        <f>YEAR(Table6[[#This Row],[Date]])+IF(MONTH(Table6[[#This Row],[Date]])&gt;=4,1,0)</f>
        <v>2026</v>
      </c>
      <c r="C621" s="79">
        <f>YEAR(Table6[[#This Row],[Date]])</f>
        <v>2025</v>
      </c>
      <c r="D621" s="79" t="s">
        <v>344</v>
      </c>
      <c r="E621" s="284">
        <f>Table6[[#This Row],[Date]]-DAY(Table6[[#This Row],[Date]])+1</f>
        <v>45778</v>
      </c>
      <c r="F621" s="285">
        <v>45796</v>
      </c>
      <c r="G621" s="79" t="s">
        <v>117</v>
      </c>
      <c r="H621" s="79" t="str">
        <f>IFERROR(_xlfn.XLOOKUP(Table6[[#This Row],[Affected Feeder ]],'Basic Data'!$A:$A,'Basic Data'!$B:$B),"")</f>
        <v>PWEPL</v>
      </c>
      <c r="I621" s="79" t="str">
        <f>IFERROR(_xlfn.XLOOKUP(Table6[[#This Row],[Affected Feeder ]],'Basic Data'!$A:$A,'Basic Data'!$C:$C),"")</f>
        <v>MSEDCL</v>
      </c>
      <c r="J621" s="295">
        <f>IFERROR(_xlfn.XLOOKUP(Table6[[#This Row],[Affected Feeder ]],'Basic Data'!$A:$A,'Basic Data'!$E:$E),"")</f>
        <v>2.2727272727272728E-2</v>
      </c>
      <c r="K621" s="296" t="s">
        <v>827</v>
      </c>
      <c r="L621" s="297">
        <v>0.56527777777777777</v>
      </c>
      <c r="M621" s="297">
        <v>0.56527777777777777</v>
      </c>
      <c r="N621" s="297">
        <v>0.5756944444444444</v>
      </c>
      <c r="O621" s="19">
        <f>(Table6[[#This Row],[Work Start TimeStamp]]-Table6[[#This Row],[Fault Start TimeStamp]])*24</f>
        <v>0</v>
      </c>
      <c r="P621" s="19">
        <f>(Table6[[#This Row],[Fault Clearance time]]-Table6[[#This Row],[Fault Start TimeStamp]])*24</f>
        <v>0.24999999999999911</v>
      </c>
      <c r="Q621" s="19">
        <f>(Table6[[#This Row],[Fault Clearance time]]-Table6[[#This Row],[Fault Start TimeStamp]])*24</f>
        <v>0.24999999999999911</v>
      </c>
      <c r="R621" s="79" t="s">
        <v>818</v>
      </c>
      <c r="S621" s="79" t="s">
        <v>339</v>
      </c>
      <c r="T621" s="298">
        <f>IFERROR(Table6[[#This Row],[Breakdown Time]]*Table6[[#This Row],[Plant Equivalent Weightage]],"")</f>
        <v>5.681818181818162E-3</v>
      </c>
      <c r="U621" s="79" t="s">
        <v>416</v>
      </c>
      <c r="W621" s="79">
        <v>0</v>
      </c>
    </row>
    <row r="622" spans="1:23">
      <c r="A622" s="79">
        <f t="shared" si="9"/>
        <v>621</v>
      </c>
      <c r="B622" s="79">
        <f>YEAR(Table6[[#This Row],[Date]])+IF(MONTH(Table6[[#This Row],[Date]])&gt;=4,1,0)</f>
        <v>2026</v>
      </c>
      <c r="C622" s="79">
        <f>YEAR(Table6[[#This Row],[Date]])</f>
        <v>2025</v>
      </c>
      <c r="D622" s="79" t="s">
        <v>344</v>
      </c>
      <c r="E622" s="284">
        <f>Table6[[#This Row],[Date]]-DAY(Table6[[#This Row],[Date]])+1</f>
        <v>45778</v>
      </c>
      <c r="F622" s="285">
        <v>45796</v>
      </c>
      <c r="G622" s="79" t="s">
        <v>117</v>
      </c>
      <c r="H622" s="79" t="str">
        <f>IFERROR(_xlfn.XLOOKUP(Table6[[#This Row],[Affected Feeder ]],'Basic Data'!$A:$A,'Basic Data'!$B:$B),"")</f>
        <v>PWEPL</v>
      </c>
      <c r="I622" s="79" t="str">
        <f>IFERROR(_xlfn.XLOOKUP(Table6[[#This Row],[Affected Feeder ]],'Basic Data'!$A:$A,'Basic Data'!$C:$C),"")</f>
        <v>MSEDCL</v>
      </c>
      <c r="J622" s="295">
        <f>IFERROR(_xlfn.XLOOKUP(Table6[[#This Row],[Affected Feeder ]],'Basic Data'!$A:$A,'Basic Data'!$E:$E),"")</f>
        <v>2.2727272727272728E-2</v>
      </c>
      <c r="K622" s="296" t="s">
        <v>171</v>
      </c>
      <c r="L622" s="297">
        <v>0.5756944444444444</v>
      </c>
      <c r="M622" s="297">
        <v>0.5756944444444444</v>
      </c>
      <c r="N622" s="297">
        <v>0.58958333333333335</v>
      </c>
      <c r="O622" s="19">
        <f>(Table6[[#This Row],[Work Start TimeStamp]]-Table6[[#This Row],[Fault Start TimeStamp]])*24</f>
        <v>0</v>
      </c>
      <c r="P622" s="19">
        <f>(Table6[[#This Row],[Fault Clearance time]]-Table6[[#This Row],[Fault Start TimeStamp]])*24</f>
        <v>0.33333333333333481</v>
      </c>
      <c r="Q622" s="19">
        <f>(Table6[[#This Row],[Fault Clearance time]]-Table6[[#This Row],[Fault Start TimeStamp]])*24</f>
        <v>0.33333333333333481</v>
      </c>
      <c r="R622" s="79" t="s">
        <v>353</v>
      </c>
      <c r="S622" s="79" t="s">
        <v>339</v>
      </c>
      <c r="T622" s="298">
        <f>IFERROR(Table6[[#This Row],[Breakdown Time]]*Table6[[#This Row],[Plant Equivalent Weightage]],"")</f>
        <v>7.5757575757576098E-3</v>
      </c>
      <c r="U622" s="79" t="s">
        <v>416</v>
      </c>
      <c r="W622" s="79">
        <v>0</v>
      </c>
    </row>
    <row r="623" spans="1:23">
      <c r="A623" s="79">
        <f t="shared" si="9"/>
        <v>622</v>
      </c>
      <c r="B623" s="79">
        <f>YEAR(Table6[[#This Row],[Date]])+IF(MONTH(Table6[[#This Row],[Date]])&gt;=4,1,0)</f>
        <v>2026</v>
      </c>
      <c r="C623" s="79">
        <f>YEAR(Table6[[#This Row],[Date]])</f>
        <v>2025</v>
      </c>
      <c r="D623" s="79" t="s">
        <v>344</v>
      </c>
      <c r="E623" s="284">
        <f>Table6[[#This Row],[Date]]-DAY(Table6[[#This Row],[Date]])+1</f>
        <v>45778</v>
      </c>
      <c r="F623" s="285">
        <v>45796</v>
      </c>
      <c r="G623" s="79" t="s">
        <v>77</v>
      </c>
      <c r="H623" s="79" t="str">
        <f>IFERROR(_xlfn.XLOOKUP(Table6[[#This Row],[Affected Feeder ]],'Basic Data'!$A:$A,'Basic Data'!$B:$B),"")</f>
        <v>PWEPL</v>
      </c>
      <c r="I623" s="79" t="str">
        <f>IFERROR(_xlfn.XLOOKUP(Table6[[#This Row],[Affected Feeder ]],'Basic Data'!$A:$A,'Basic Data'!$C:$C),"")</f>
        <v>MSEDCL</v>
      </c>
      <c r="J623" s="295">
        <f>IFERROR(_xlfn.XLOOKUP(Table6[[#This Row],[Affected Feeder ]],'Basic Data'!$A:$A,'Basic Data'!$E:$E),"")</f>
        <v>2.2727272727272728E-2</v>
      </c>
      <c r="K623" s="296" t="s">
        <v>817</v>
      </c>
      <c r="L623" s="297">
        <v>0.63472222222222219</v>
      </c>
      <c r="M623" s="297">
        <v>0.63472222222222219</v>
      </c>
      <c r="N623" s="297">
        <v>0.6430555555555556</v>
      </c>
      <c r="O623" s="19">
        <f>(Table6[[#This Row],[Work Start TimeStamp]]-Table6[[#This Row],[Fault Start TimeStamp]])*24</f>
        <v>0</v>
      </c>
      <c r="P623" s="19">
        <f>(Table6[[#This Row],[Fault Clearance time]]-Table6[[#This Row],[Fault Start TimeStamp]])*24</f>
        <v>0.20000000000000195</v>
      </c>
      <c r="Q623" s="19">
        <f>(Table6[[#This Row],[Fault Clearance time]]-Table6[[#This Row],[Fault Start TimeStamp]])*24</f>
        <v>0.20000000000000195</v>
      </c>
      <c r="R623" s="79" t="s">
        <v>818</v>
      </c>
      <c r="S623" s="79" t="s">
        <v>339</v>
      </c>
      <c r="T623" s="298">
        <f>IFERROR(Table6[[#This Row],[Breakdown Time]]*Table6[[#This Row],[Plant Equivalent Weightage]],"")</f>
        <v>4.5454545454545903E-3</v>
      </c>
      <c r="U623" s="79" t="s">
        <v>416</v>
      </c>
      <c r="W623" s="79">
        <v>0</v>
      </c>
    </row>
    <row r="624" spans="1:23">
      <c r="A624" s="79">
        <f t="shared" si="9"/>
        <v>623</v>
      </c>
      <c r="B624" s="79">
        <f>YEAR(Table6[[#This Row],[Date]])+IF(MONTH(Table6[[#This Row],[Date]])&gt;=4,1,0)</f>
        <v>2026</v>
      </c>
      <c r="C624" s="79">
        <f>YEAR(Table6[[#This Row],[Date]])</f>
        <v>2025</v>
      </c>
      <c r="D624" s="79" t="s">
        <v>344</v>
      </c>
      <c r="E624" s="284">
        <f>Table6[[#This Row],[Date]]-DAY(Table6[[#This Row],[Date]])+1</f>
        <v>45778</v>
      </c>
      <c r="F624" s="285">
        <v>45796</v>
      </c>
      <c r="G624" s="79" t="s">
        <v>77</v>
      </c>
      <c r="H624" s="79" t="str">
        <f>IFERROR(_xlfn.XLOOKUP(Table6[[#This Row],[Affected Feeder ]],'Basic Data'!$A:$A,'Basic Data'!$B:$B),"")</f>
        <v>PWEPL</v>
      </c>
      <c r="I624" s="79" t="str">
        <f>IFERROR(_xlfn.XLOOKUP(Table6[[#This Row],[Affected Feeder ]],'Basic Data'!$A:$A,'Basic Data'!$C:$C),"")</f>
        <v>MSEDCL</v>
      </c>
      <c r="J624" s="295">
        <f>IFERROR(_xlfn.XLOOKUP(Table6[[#This Row],[Affected Feeder ]],'Basic Data'!$A:$A,'Basic Data'!$E:$E),"")</f>
        <v>2.2727272727272728E-2</v>
      </c>
      <c r="K624" s="296" t="s">
        <v>171</v>
      </c>
      <c r="L624" s="297">
        <v>0.6430555555555556</v>
      </c>
      <c r="M624" s="297">
        <v>0.6430555555555556</v>
      </c>
      <c r="N624" s="297">
        <v>0.65694444444444444</v>
      </c>
      <c r="O624" s="19">
        <f>(Table6[[#This Row],[Work Start TimeStamp]]-Table6[[#This Row],[Fault Start TimeStamp]])*24</f>
        <v>0</v>
      </c>
      <c r="P624" s="19">
        <f>(Table6[[#This Row],[Fault Clearance time]]-Table6[[#This Row],[Fault Start TimeStamp]])*24</f>
        <v>0.33333333333333215</v>
      </c>
      <c r="Q624" s="19">
        <f>(Table6[[#This Row],[Fault Clearance time]]-Table6[[#This Row],[Fault Start TimeStamp]])*24</f>
        <v>0.33333333333333215</v>
      </c>
      <c r="R624" s="79" t="s">
        <v>353</v>
      </c>
      <c r="S624" s="79" t="s">
        <v>339</v>
      </c>
      <c r="T624" s="298">
        <f>IFERROR(Table6[[#This Row],[Breakdown Time]]*Table6[[#This Row],[Plant Equivalent Weightage]],"")</f>
        <v>7.5757575757575491E-3</v>
      </c>
      <c r="U624" s="79" t="s">
        <v>416</v>
      </c>
      <c r="W624" s="79">
        <v>0</v>
      </c>
    </row>
    <row r="625" spans="1:23">
      <c r="A625" s="79">
        <f t="shared" si="9"/>
        <v>624</v>
      </c>
      <c r="B625" s="79">
        <f>YEAR(Table6[[#This Row],[Date]])+IF(MONTH(Table6[[#This Row],[Date]])&gt;=4,1,0)</f>
        <v>2026</v>
      </c>
      <c r="C625" s="79">
        <f>YEAR(Table6[[#This Row],[Date]])</f>
        <v>2025</v>
      </c>
      <c r="D625" s="79" t="s">
        <v>344</v>
      </c>
      <c r="E625" s="284">
        <f>Table6[[#This Row],[Date]]-DAY(Table6[[#This Row],[Date]])+1</f>
        <v>45778</v>
      </c>
      <c r="F625" s="285">
        <v>45797</v>
      </c>
      <c r="G625" s="79" t="s">
        <v>399</v>
      </c>
      <c r="H625" s="79" t="str">
        <f>IFERROR(_xlfn.XLOOKUP(Table6[[#This Row],[Affected Feeder ]],'Basic Data'!$A:$A,'Basic Data'!$B:$B),"")</f>
        <v>PWEPL</v>
      </c>
      <c r="I625" s="79" t="str">
        <f>IFERROR(_xlfn.XLOOKUP(Table6[[#This Row],[Affected Feeder ]],'Basic Data'!$A:$A,'Basic Data'!$C:$C),"")</f>
        <v>MSEDCL</v>
      </c>
      <c r="J625" s="295">
        <f>IFERROR(_xlfn.XLOOKUP(Table6[[#This Row],[Affected Feeder ]],'Basic Data'!$A:$A,'Basic Data'!$E:$E),"")</f>
        <v>0.22727272727272727</v>
      </c>
      <c r="K625" s="296" t="s">
        <v>813</v>
      </c>
      <c r="L625" s="297">
        <v>0.36805555555555558</v>
      </c>
      <c r="M625" s="297">
        <v>0.36805555555555558</v>
      </c>
      <c r="N625" s="297">
        <v>0.71388888888888891</v>
      </c>
      <c r="O625" s="19">
        <f>(Table6[[#This Row],[Work Start TimeStamp]]-Table6[[#This Row],[Fault Start TimeStamp]])*24</f>
        <v>0</v>
      </c>
      <c r="P625" s="19">
        <f>(Table6[[#This Row],[Fault Clearance time]]-Table6[[#This Row],[Fault Start TimeStamp]])*24</f>
        <v>8.3000000000000007</v>
      </c>
      <c r="Q625" s="19">
        <f>(Table6[[#This Row],[Fault Clearance time]]-Table6[[#This Row],[Fault Start TimeStamp]])*24</f>
        <v>8.3000000000000007</v>
      </c>
      <c r="R625" s="79" t="s">
        <v>814</v>
      </c>
      <c r="S625" s="79" t="s">
        <v>339</v>
      </c>
      <c r="T625" s="298">
        <f>IFERROR(Table6[[#This Row],[Breakdown Time]]*Table6[[#This Row],[Plant Equivalent Weightage]],"")</f>
        <v>1.8863636363636365</v>
      </c>
      <c r="U625" s="79" t="s">
        <v>416</v>
      </c>
      <c r="W625" s="79">
        <v>557</v>
      </c>
    </row>
    <row r="626" spans="1:23">
      <c r="A626" s="79">
        <f t="shared" si="9"/>
        <v>625</v>
      </c>
      <c r="B626" s="79">
        <f>YEAR(Table6[[#This Row],[Date]])+IF(MONTH(Table6[[#This Row],[Date]])&gt;=4,1,0)</f>
        <v>2026</v>
      </c>
      <c r="C626" s="79">
        <f>YEAR(Table6[[#This Row],[Date]])</f>
        <v>2025</v>
      </c>
      <c r="D626" s="79" t="s">
        <v>344</v>
      </c>
      <c r="E626" s="284">
        <f>Table6[[#This Row],[Date]]-DAY(Table6[[#This Row],[Date]])+1</f>
        <v>45778</v>
      </c>
      <c r="F626" s="285">
        <v>45797</v>
      </c>
      <c r="G626" s="79" t="s">
        <v>84</v>
      </c>
      <c r="H626" s="79" t="str">
        <f>IFERROR(_xlfn.XLOOKUP(Table6[[#This Row],[Affected Feeder ]],'Basic Data'!$A:$A,'Basic Data'!$B:$B),"")</f>
        <v>PWEPL</v>
      </c>
      <c r="I626" s="79" t="str">
        <f>IFERROR(_xlfn.XLOOKUP(Table6[[#This Row],[Affected Feeder ]],'Basic Data'!$A:$A,'Basic Data'!$C:$C),"")</f>
        <v>MSEDCL</v>
      </c>
      <c r="J626" s="295">
        <f>IFERROR(_xlfn.XLOOKUP(Table6[[#This Row],[Affected Feeder ]],'Basic Data'!$A:$A,'Basic Data'!$E:$E),"")</f>
        <v>2.2727272727272728E-2</v>
      </c>
      <c r="K626" s="296" t="s">
        <v>171</v>
      </c>
      <c r="L626" s="297">
        <v>0.71388888888888891</v>
      </c>
      <c r="M626" s="297">
        <v>0.71388888888888891</v>
      </c>
      <c r="N626" s="297">
        <v>0.72777777777777775</v>
      </c>
      <c r="O626" s="19">
        <f>(Table6[[#This Row],[Work Start TimeStamp]]-Table6[[#This Row],[Fault Start TimeStamp]])*24</f>
        <v>0</v>
      </c>
      <c r="P626" s="19">
        <f>(Table6[[#This Row],[Fault Clearance time]]-Table6[[#This Row],[Fault Start TimeStamp]])*24</f>
        <v>0.33333333333333215</v>
      </c>
      <c r="Q626" s="19">
        <f>(Table6[[#This Row],[Fault Clearance time]]-Table6[[#This Row],[Fault Start TimeStamp]])*24</f>
        <v>0.33333333333333215</v>
      </c>
      <c r="R626" s="79" t="s">
        <v>353</v>
      </c>
      <c r="S626" s="79" t="s">
        <v>339</v>
      </c>
      <c r="T626" s="298">
        <f>IFERROR(Table6[[#This Row],[Breakdown Time]]*Table6[[#This Row],[Plant Equivalent Weightage]],"")</f>
        <v>7.5757575757575491E-3</v>
      </c>
      <c r="U626" s="79" t="s">
        <v>416</v>
      </c>
      <c r="W626" s="79">
        <v>22</v>
      </c>
    </row>
    <row r="627" spans="1:23">
      <c r="A627" s="79">
        <f t="shared" si="9"/>
        <v>626</v>
      </c>
      <c r="B627" s="79">
        <f>YEAR(Table6[[#This Row],[Date]])+IF(MONTH(Table6[[#This Row],[Date]])&gt;=4,1,0)</f>
        <v>2026</v>
      </c>
      <c r="C627" s="79">
        <f>YEAR(Table6[[#This Row],[Date]])</f>
        <v>2025</v>
      </c>
      <c r="D627" s="79" t="s">
        <v>344</v>
      </c>
      <c r="E627" s="284">
        <f>Table6[[#This Row],[Date]]-DAY(Table6[[#This Row],[Date]])+1</f>
        <v>45778</v>
      </c>
      <c r="F627" s="285">
        <v>45797</v>
      </c>
      <c r="G627" s="79" t="s">
        <v>85</v>
      </c>
      <c r="H627" s="79" t="str">
        <f>IFERROR(_xlfn.XLOOKUP(Table6[[#This Row],[Affected Feeder ]],'Basic Data'!$A:$A,'Basic Data'!$B:$B),"")</f>
        <v>PWEPL</v>
      </c>
      <c r="I627" s="79" t="str">
        <f>IFERROR(_xlfn.XLOOKUP(Table6[[#This Row],[Affected Feeder ]],'Basic Data'!$A:$A,'Basic Data'!$C:$C),"")</f>
        <v>MSEDCL</v>
      </c>
      <c r="J627" s="295">
        <f>IFERROR(_xlfn.XLOOKUP(Table6[[#This Row],[Affected Feeder ]],'Basic Data'!$A:$A,'Basic Data'!$E:$E),"")</f>
        <v>2.2727272727272728E-2</v>
      </c>
      <c r="K627" s="296" t="s">
        <v>171</v>
      </c>
      <c r="L627" s="297">
        <v>0.71388888888888891</v>
      </c>
      <c r="M627" s="297">
        <v>0.71388888888888891</v>
      </c>
      <c r="N627" s="297">
        <v>0.72777777777777775</v>
      </c>
      <c r="O627" s="19">
        <f>(Table6[[#This Row],[Work Start TimeStamp]]-Table6[[#This Row],[Fault Start TimeStamp]])*24</f>
        <v>0</v>
      </c>
      <c r="P627" s="19">
        <f>(Table6[[#This Row],[Fault Clearance time]]-Table6[[#This Row],[Fault Start TimeStamp]])*24</f>
        <v>0.33333333333333215</v>
      </c>
      <c r="Q627" s="19">
        <f>(Table6[[#This Row],[Fault Clearance time]]-Table6[[#This Row],[Fault Start TimeStamp]])*24</f>
        <v>0.33333333333333215</v>
      </c>
      <c r="R627" s="79" t="s">
        <v>353</v>
      </c>
      <c r="S627" s="79" t="s">
        <v>339</v>
      </c>
      <c r="T627" s="298">
        <f>IFERROR(Table6[[#This Row],[Breakdown Time]]*Table6[[#This Row],[Plant Equivalent Weightage]],"")</f>
        <v>7.5757575757575491E-3</v>
      </c>
      <c r="U627" s="79" t="s">
        <v>416</v>
      </c>
      <c r="W627" s="79">
        <v>22</v>
      </c>
    </row>
    <row r="628" spans="1:23">
      <c r="A628" s="79">
        <f t="shared" si="9"/>
        <v>627</v>
      </c>
      <c r="B628" s="79">
        <f>YEAR(Table6[[#This Row],[Date]])+IF(MONTH(Table6[[#This Row],[Date]])&gt;=4,1,0)</f>
        <v>2026</v>
      </c>
      <c r="C628" s="79">
        <f>YEAR(Table6[[#This Row],[Date]])</f>
        <v>2025</v>
      </c>
      <c r="D628" s="79" t="s">
        <v>344</v>
      </c>
      <c r="E628" s="284">
        <f>Table6[[#This Row],[Date]]-DAY(Table6[[#This Row],[Date]])+1</f>
        <v>45778</v>
      </c>
      <c r="F628" s="285">
        <v>45797</v>
      </c>
      <c r="G628" s="79" t="s">
        <v>86</v>
      </c>
      <c r="H628" s="79" t="str">
        <f>IFERROR(_xlfn.XLOOKUP(Table6[[#This Row],[Affected Feeder ]],'Basic Data'!$A:$A,'Basic Data'!$B:$B),"")</f>
        <v>PWEPL</v>
      </c>
      <c r="I628" s="79" t="str">
        <f>IFERROR(_xlfn.XLOOKUP(Table6[[#This Row],[Affected Feeder ]],'Basic Data'!$A:$A,'Basic Data'!$C:$C),"")</f>
        <v>MSEDCL</v>
      </c>
      <c r="J628" s="295">
        <f>IFERROR(_xlfn.XLOOKUP(Table6[[#This Row],[Affected Feeder ]],'Basic Data'!$A:$A,'Basic Data'!$E:$E),"")</f>
        <v>2.2727272727272728E-2</v>
      </c>
      <c r="K628" s="296" t="s">
        <v>171</v>
      </c>
      <c r="L628" s="297">
        <v>0.71388888888888891</v>
      </c>
      <c r="M628" s="297">
        <v>0.71388888888888891</v>
      </c>
      <c r="N628" s="297">
        <v>0.72777777777777775</v>
      </c>
      <c r="O628" s="19">
        <f>(Table6[[#This Row],[Work Start TimeStamp]]-Table6[[#This Row],[Fault Start TimeStamp]])*24</f>
        <v>0</v>
      </c>
      <c r="P628" s="19">
        <f>(Table6[[#This Row],[Fault Clearance time]]-Table6[[#This Row],[Fault Start TimeStamp]])*24</f>
        <v>0.33333333333333215</v>
      </c>
      <c r="Q628" s="19">
        <f>(Table6[[#This Row],[Fault Clearance time]]-Table6[[#This Row],[Fault Start TimeStamp]])*24</f>
        <v>0.33333333333333215</v>
      </c>
      <c r="R628" s="79" t="s">
        <v>353</v>
      </c>
      <c r="S628" s="79" t="s">
        <v>339</v>
      </c>
      <c r="T628" s="298">
        <f>IFERROR(Table6[[#This Row],[Breakdown Time]]*Table6[[#This Row],[Plant Equivalent Weightage]],"")</f>
        <v>7.5757575757575491E-3</v>
      </c>
      <c r="U628" s="79" t="s">
        <v>416</v>
      </c>
      <c r="W628" s="79">
        <v>22</v>
      </c>
    </row>
    <row r="629" spans="1:23">
      <c r="A629" s="79">
        <f t="shared" si="9"/>
        <v>628</v>
      </c>
      <c r="B629" s="79">
        <f>YEAR(Table6[[#This Row],[Date]])+IF(MONTH(Table6[[#This Row],[Date]])&gt;=4,1,0)</f>
        <v>2026</v>
      </c>
      <c r="C629" s="79">
        <f>YEAR(Table6[[#This Row],[Date]])</f>
        <v>2025</v>
      </c>
      <c r="D629" s="79" t="s">
        <v>344</v>
      </c>
      <c r="E629" s="284">
        <f>Table6[[#This Row],[Date]]-DAY(Table6[[#This Row],[Date]])+1</f>
        <v>45778</v>
      </c>
      <c r="F629" s="285">
        <v>45797</v>
      </c>
      <c r="G629" s="79" t="s">
        <v>87</v>
      </c>
      <c r="H629" s="79" t="str">
        <f>IFERROR(_xlfn.XLOOKUP(Table6[[#This Row],[Affected Feeder ]],'Basic Data'!$A:$A,'Basic Data'!$B:$B),"")</f>
        <v>PWEPL</v>
      </c>
      <c r="I629" s="79" t="str">
        <f>IFERROR(_xlfn.XLOOKUP(Table6[[#This Row],[Affected Feeder ]],'Basic Data'!$A:$A,'Basic Data'!$C:$C),"")</f>
        <v>MSEDCL</v>
      </c>
      <c r="J629" s="295">
        <f>IFERROR(_xlfn.XLOOKUP(Table6[[#This Row],[Affected Feeder ]],'Basic Data'!$A:$A,'Basic Data'!$E:$E),"")</f>
        <v>2.2727272727272728E-2</v>
      </c>
      <c r="K629" s="296" t="s">
        <v>171</v>
      </c>
      <c r="L629" s="297">
        <v>0.71388888888888891</v>
      </c>
      <c r="M629" s="297">
        <v>0.71388888888888891</v>
      </c>
      <c r="N629" s="297">
        <v>0.72777777777777775</v>
      </c>
      <c r="O629" s="19">
        <f>(Table6[[#This Row],[Work Start TimeStamp]]-Table6[[#This Row],[Fault Start TimeStamp]])*24</f>
        <v>0</v>
      </c>
      <c r="P629" s="19">
        <f>(Table6[[#This Row],[Fault Clearance time]]-Table6[[#This Row],[Fault Start TimeStamp]])*24</f>
        <v>0.33333333333333215</v>
      </c>
      <c r="Q629" s="19">
        <f>(Table6[[#This Row],[Fault Clearance time]]-Table6[[#This Row],[Fault Start TimeStamp]])*24</f>
        <v>0.33333333333333215</v>
      </c>
      <c r="R629" s="79" t="s">
        <v>353</v>
      </c>
      <c r="S629" s="79" t="s">
        <v>339</v>
      </c>
      <c r="T629" s="298">
        <f>IFERROR(Table6[[#This Row],[Breakdown Time]]*Table6[[#This Row],[Plant Equivalent Weightage]],"")</f>
        <v>7.5757575757575491E-3</v>
      </c>
      <c r="U629" s="79" t="s">
        <v>416</v>
      </c>
      <c r="W629" s="79">
        <v>22</v>
      </c>
    </row>
    <row r="630" spans="1:23">
      <c r="A630" s="79">
        <f t="shared" si="9"/>
        <v>629</v>
      </c>
      <c r="B630" s="79">
        <f>YEAR(Table6[[#This Row],[Date]])+IF(MONTH(Table6[[#This Row],[Date]])&gt;=4,1,0)</f>
        <v>2026</v>
      </c>
      <c r="C630" s="79">
        <f>YEAR(Table6[[#This Row],[Date]])</f>
        <v>2025</v>
      </c>
      <c r="D630" s="79" t="s">
        <v>344</v>
      </c>
      <c r="E630" s="284">
        <f>Table6[[#This Row],[Date]]-DAY(Table6[[#This Row],[Date]])+1</f>
        <v>45778</v>
      </c>
      <c r="F630" s="285">
        <v>45797</v>
      </c>
      <c r="G630" s="79" t="s">
        <v>88</v>
      </c>
      <c r="H630" s="79" t="str">
        <f>IFERROR(_xlfn.XLOOKUP(Table6[[#This Row],[Affected Feeder ]],'Basic Data'!$A:$A,'Basic Data'!$B:$B),"")</f>
        <v>PWEPL</v>
      </c>
      <c r="I630" s="79" t="str">
        <f>IFERROR(_xlfn.XLOOKUP(Table6[[#This Row],[Affected Feeder ]],'Basic Data'!$A:$A,'Basic Data'!$C:$C),"")</f>
        <v>MSEDCL</v>
      </c>
      <c r="J630" s="295">
        <f>IFERROR(_xlfn.XLOOKUP(Table6[[#This Row],[Affected Feeder ]],'Basic Data'!$A:$A,'Basic Data'!$E:$E),"")</f>
        <v>2.2727272727272728E-2</v>
      </c>
      <c r="K630" s="296" t="s">
        <v>171</v>
      </c>
      <c r="L630" s="297">
        <v>0.71388888888888891</v>
      </c>
      <c r="M630" s="297">
        <v>0.71388888888888891</v>
      </c>
      <c r="N630" s="297">
        <v>0.72777777777777775</v>
      </c>
      <c r="O630" s="19">
        <f>(Table6[[#This Row],[Work Start TimeStamp]]-Table6[[#This Row],[Fault Start TimeStamp]])*24</f>
        <v>0</v>
      </c>
      <c r="P630" s="19">
        <f>(Table6[[#This Row],[Fault Clearance time]]-Table6[[#This Row],[Fault Start TimeStamp]])*24</f>
        <v>0.33333333333333215</v>
      </c>
      <c r="Q630" s="19">
        <f>(Table6[[#This Row],[Fault Clearance time]]-Table6[[#This Row],[Fault Start TimeStamp]])*24</f>
        <v>0.33333333333333215</v>
      </c>
      <c r="R630" s="79" t="s">
        <v>353</v>
      </c>
      <c r="S630" s="79" t="s">
        <v>339</v>
      </c>
      <c r="T630" s="298">
        <f>IFERROR(Table6[[#This Row],[Breakdown Time]]*Table6[[#This Row],[Plant Equivalent Weightage]],"")</f>
        <v>7.5757575757575491E-3</v>
      </c>
      <c r="U630" s="79" t="s">
        <v>416</v>
      </c>
      <c r="W630" s="79">
        <v>22</v>
      </c>
    </row>
    <row r="631" spans="1:23">
      <c r="A631" s="79">
        <f t="shared" si="9"/>
        <v>630</v>
      </c>
      <c r="B631" s="79">
        <f>YEAR(Table6[[#This Row],[Date]])+IF(MONTH(Table6[[#This Row],[Date]])&gt;=4,1,0)</f>
        <v>2026</v>
      </c>
      <c r="C631" s="79">
        <f>YEAR(Table6[[#This Row],[Date]])</f>
        <v>2025</v>
      </c>
      <c r="D631" s="79" t="s">
        <v>344</v>
      </c>
      <c r="E631" s="284">
        <f>Table6[[#This Row],[Date]]-DAY(Table6[[#This Row],[Date]])+1</f>
        <v>45778</v>
      </c>
      <c r="F631" s="285">
        <v>45797</v>
      </c>
      <c r="G631" s="79" t="s">
        <v>83</v>
      </c>
      <c r="H631" s="79" t="str">
        <f>IFERROR(_xlfn.XLOOKUP(Table6[[#This Row],[Affected Feeder ]],'Basic Data'!$A:$A,'Basic Data'!$B:$B),"")</f>
        <v>PWEPL</v>
      </c>
      <c r="I631" s="79" t="str">
        <f>IFERROR(_xlfn.XLOOKUP(Table6[[#This Row],[Affected Feeder ]],'Basic Data'!$A:$A,'Basic Data'!$C:$C),"")</f>
        <v>MSEDCL</v>
      </c>
      <c r="J631" s="295">
        <f>IFERROR(_xlfn.XLOOKUP(Table6[[#This Row],[Affected Feeder ]],'Basic Data'!$A:$A,'Basic Data'!$E:$E),"")</f>
        <v>2.2727272727272728E-2</v>
      </c>
      <c r="K631" s="296" t="s">
        <v>171</v>
      </c>
      <c r="L631" s="297">
        <v>0.71388888888888891</v>
      </c>
      <c r="M631" s="297">
        <v>0.71388888888888891</v>
      </c>
      <c r="N631" s="297">
        <v>0.72777777777777775</v>
      </c>
      <c r="O631" s="19">
        <f>(Table6[[#This Row],[Work Start TimeStamp]]-Table6[[#This Row],[Fault Start TimeStamp]])*24</f>
        <v>0</v>
      </c>
      <c r="P631" s="19">
        <f>(Table6[[#This Row],[Fault Clearance time]]-Table6[[#This Row],[Fault Start TimeStamp]])*24</f>
        <v>0.33333333333333215</v>
      </c>
      <c r="Q631" s="19">
        <f>(Table6[[#This Row],[Fault Clearance time]]-Table6[[#This Row],[Fault Start TimeStamp]])*24</f>
        <v>0.33333333333333215</v>
      </c>
      <c r="R631" s="79" t="s">
        <v>353</v>
      </c>
      <c r="S631" s="79" t="s">
        <v>339</v>
      </c>
      <c r="T631" s="298">
        <f>IFERROR(Table6[[#This Row],[Breakdown Time]]*Table6[[#This Row],[Plant Equivalent Weightage]],"")</f>
        <v>7.5757575757575491E-3</v>
      </c>
      <c r="U631" s="79" t="s">
        <v>416</v>
      </c>
      <c r="W631" s="79">
        <v>22</v>
      </c>
    </row>
    <row r="632" spans="1:23">
      <c r="A632" s="79">
        <f t="shared" si="9"/>
        <v>631</v>
      </c>
      <c r="B632" s="79">
        <f>YEAR(Table6[[#This Row],[Date]])+IF(MONTH(Table6[[#This Row],[Date]])&gt;=4,1,0)</f>
        <v>2026</v>
      </c>
      <c r="C632" s="79">
        <f>YEAR(Table6[[#This Row],[Date]])</f>
        <v>2025</v>
      </c>
      <c r="D632" s="79" t="s">
        <v>344</v>
      </c>
      <c r="E632" s="284">
        <f>Table6[[#This Row],[Date]]-DAY(Table6[[#This Row],[Date]])+1</f>
        <v>45778</v>
      </c>
      <c r="F632" s="285">
        <v>45797</v>
      </c>
      <c r="G632" s="79" t="s">
        <v>98</v>
      </c>
      <c r="H632" s="79" t="str">
        <f>IFERROR(_xlfn.XLOOKUP(Table6[[#This Row],[Affected Feeder ]],'Basic Data'!$A:$A,'Basic Data'!$B:$B),"")</f>
        <v>PWEPL</v>
      </c>
      <c r="I632" s="79" t="str">
        <f>IFERROR(_xlfn.XLOOKUP(Table6[[#This Row],[Affected Feeder ]],'Basic Data'!$A:$A,'Basic Data'!$C:$C),"")</f>
        <v>MSEDCL</v>
      </c>
      <c r="J632" s="295">
        <f>IFERROR(_xlfn.XLOOKUP(Table6[[#This Row],[Affected Feeder ]],'Basic Data'!$A:$A,'Basic Data'!$E:$E),"")</f>
        <v>2.2727272727272728E-2</v>
      </c>
      <c r="K632" s="296" t="s">
        <v>171</v>
      </c>
      <c r="L632" s="297">
        <v>0.71388888888888891</v>
      </c>
      <c r="M632" s="297">
        <v>0.71388888888888891</v>
      </c>
      <c r="N632" s="297">
        <v>0.72777777777777775</v>
      </c>
      <c r="O632" s="19">
        <f>(Table6[[#This Row],[Work Start TimeStamp]]-Table6[[#This Row],[Fault Start TimeStamp]])*24</f>
        <v>0</v>
      </c>
      <c r="P632" s="19">
        <f>(Table6[[#This Row],[Fault Clearance time]]-Table6[[#This Row],[Fault Start TimeStamp]])*24</f>
        <v>0.33333333333333215</v>
      </c>
      <c r="Q632" s="19">
        <f>(Table6[[#This Row],[Fault Clearance time]]-Table6[[#This Row],[Fault Start TimeStamp]])*24</f>
        <v>0.33333333333333215</v>
      </c>
      <c r="R632" s="79" t="s">
        <v>353</v>
      </c>
      <c r="S632" s="79" t="s">
        <v>339</v>
      </c>
      <c r="T632" s="298">
        <f>IFERROR(Table6[[#This Row],[Breakdown Time]]*Table6[[#This Row],[Plant Equivalent Weightage]],"")</f>
        <v>7.5757575757575491E-3</v>
      </c>
      <c r="U632" s="79" t="s">
        <v>416</v>
      </c>
      <c r="W632" s="79">
        <v>22</v>
      </c>
    </row>
    <row r="633" spans="1:23">
      <c r="A633" s="79">
        <f t="shared" si="9"/>
        <v>632</v>
      </c>
      <c r="B633" s="79">
        <f>YEAR(Table6[[#This Row],[Date]])+IF(MONTH(Table6[[#This Row],[Date]])&gt;=4,1,0)</f>
        <v>2026</v>
      </c>
      <c r="C633" s="79">
        <f>YEAR(Table6[[#This Row],[Date]])</f>
        <v>2025</v>
      </c>
      <c r="D633" s="79" t="s">
        <v>344</v>
      </c>
      <c r="E633" s="284">
        <f>Table6[[#This Row],[Date]]-DAY(Table6[[#This Row],[Date]])+1</f>
        <v>45778</v>
      </c>
      <c r="F633" s="285">
        <v>45797</v>
      </c>
      <c r="G633" s="79" t="s">
        <v>99</v>
      </c>
      <c r="H633" s="79" t="str">
        <f>IFERROR(_xlfn.XLOOKUP(Table6[[#This Row],[Affected Feeder ]],'Basic Data'!$A:$A,'Basic Data'!$B:$B),"")</f>
        <v>PWEPL</v>
      </c>
      <c r="I633" s="79" t="str">
        <f>IFERROR(_xlfn.XLOOKUP(Table6[[#This Row],[Affected Feeder ]],'Basic Data'!$A:$A,'Basic Data'!$C:$C),"")</f>
        <v>MSEDCL</v>
      </c>
      <c r="J633" s="295">
        <f>IFERROR(_xlfn.XLOOKUP(Table6[[#This Row],[Affected Feeder ]],'Basic Data'!$A:$A,'Basic Data'!$E:$E),"")</f>
        <v>2.2727272727272728E-2</v>
      </c>
      <c r="K633" s="296" t="s">
        <v>171</v>
      </c>
      <c r="L633" s="297">
        <v>0.71388888888888891</v>
      </c>
      <c r="M633" s="297">
        <v>0.71388888888888891</v>
      </c>
      <c r="N633" s="297">
        <v>0.72777777777777775</v>
      </c>
      <c r="O633" s="19">
        <f>(Table6[[#This Row],[Work Start TimeStamp]]-Table6[[#This Row],[Fault Start TimeStamp]])*24</f>
        <v>0</v>
      </c>
      <c r="P633" s="19">
        <f>(Table6[[#This Row],[Fault Clearance time]]-Table6[[#This Row],[Fault Start TimeStamp]])*24</f>
        <v>0.33333333333333215</v>
      </c>
      <c r="Q633" s="19">
        <f>(Table6[[#This Row],[Fault Clearance time]]-Table6[[#This Row],[Fault Start TimeStamp]])*24</f>
        <v>0.33333333333333215</v>
      </c>
      <c r="R633" s="79" t="s">
        <v>353</v>
      </c>
      <c r="S633" s="79" t="s">
        <v>339</v>
      </c>
      <c r="T633" s="298">
        <f>IFERROR(Table6[[#This Row],[Breakdown Time]]*Table6[[#This Row],[Plant Equivalent Weightage]],"")</f>
        <v>7.5757575757575491E-3</v>
      </c>
      <c r="U633" s="79" t="s">
        <v>416</v>
      </c>
      <c r="W633" s="79">
        <v>22</v>
      </c>
    </row>
    <row r="634" spans="1:23">
      <c r="A634" s="79">
        <f t="shared" si="9"/>
        <v>633</v>
      </c>
      <c r="B634" s="79">
        <f>YEAR(Table6[[#This Row],[Date]])+IF(MONTH(Table6[[#This Row],[Date]])&gt;=4,1,0)</f>
        <v>2026</v>
      </c>
      <c r="C634" s="79">
        <f>YEAR(Table6[[#This Row],[Date]])</f>
        <v>2025</v>
      </c>
      <c r="D634" s="79" t="s">
        <v>344</v>
      </c>
      <c r="E634" s="284">
        <f>Table6[[#This Row],[Date]]-DAY(Table6[[#This Row],[Date]])+1</f>
        <v>45778</v>
      </c>
      <c r="F634" s="285">
        <v>45797</v>
      </c>
      <c r="G634" s="79" t="s">
        <v>100</v>
      </c>
      <c r="H634" s="79" t="str">
        <f>IFERROR(_xlfn.XLOOKUP(Table6[[#This Row],[Affected Feeder ]],'Basic Data'!$A:$A,'Basic Data'!$B:$B),"")</f>
        <v>PWEPL</v>
      </c>
      <c r="I634" s="79" t="str">
        <f>IFERROR(_xlfn.XLOOKUP(Table6[[#This Row],[Affected Feeder ]],'Basic Data'!$A:$A,'Basic Data'!$C:$C),"")</f>
        <v>MSEDCL</v>
      </c>
      <c r="J634" s="295">
        <f>IFERROR(_xlfn.XLOOKUP(Table6[[#This Row],[Affected Feeder ]],'Basic Data'!$A:$A,'Basic Data'!$E:$E),"")</f>
        <v>2.2727272727272728E-2</v>
      </c>
      <c r="K634" s="296" t="s">
        <v>171</v>
      </c>
      <c r="L634" s="297">
        <v>0.71388888888888891</v>
      </c>
      <c r="M634" s="297">
        <v>0.71388888888888891</v>
      </c>
      <c r="N634" s="297">
        <v>0.72777777777777775</v>
      </c>
      <c r="O634" s="19">
        <f>(Table6[[#This Row],[Work Start TimeStamp]]-Table6[[#This Row],[Fault Start TimeStamp]])*24</f>
        <v>0</v>
      </c>
      <c r="P634" s="19">
        <f>(Table6[[#This Row],[Fault Clearance time]]-Table6[[#This Row],[Fault Start TimeStamp]])*24</f>
        <v>0.33333333333333215</v>
      </c>
      <c r="Q634" s="19">
        <f>(Table6[[#This Row],[Fault Clearance time]]-Table6[[#This Row],[Fault Start TimeStamp]])*24</f>
        <v>0.33333333333333215</v>
      </c>
      <c r="R634" s="79" t="s">
        <v>353</v>
      </c>
      <c r="S634" s="79" t="s">
        <v>339</v>
      </c>
      <c r="T634" s="298">
        <f>IFERROR(Table6[[#This Row],[Breakdown Time]]*Table6[[#This Row],[Plant Equivalent Weightage]],"")</f>
        <v>7.5757575757575491E-3</v>
      </c>
      <c r="U634" s="79" t="s">
        <v>416</v>
      </c>
      <c r="W634" s="79">
        <v>22</v>
      </c>
    </row>
    <row r="635" spans="1:23">
      <c r="A635" s="79">
        <f t="shared" si="9"/>
        <v>634</v>
      </c>
      <c r="B635" s="79">
        <f>YEAR(Table6[[#This Row],[Date]])+IF(MONTH(Table6[[#This Row],[Date]])&gt;=4,1,0)</f>
        <v>2026</v>
      </c>
      <c r="C635" s="79">
        <f>YEAR(Table6[[#This Row],[Date]])</f>
        <v>2025</v>
      </c>
      <c r="D635" s="79" t="s">
        <v>344</v>
      </c>
      <c r="E635" s="284">
        <f>Table6[[#This Row],[Date]]-DAY(Table6[[#This Row],[Date]])+1</f>
        <v>45778</v>
      </c>
      <c r="F635" s="285">
        <v>45797</v>
      </c>
      <c r="G635" s="79" t="s">
        <v>101</v>
      </c>
      <c r="H635" s="79" t="str">
        <f>IFERROR(_xlfn.XLOOKUP(Table6[[#This Row],[Affected Feeder ]],'Basic Data'!$A:$A,'Basic Data'!$B:$B),"")</f>
        <v>PWEPL</v>
      </c>
      <c r="I635" s="79" t="str">
        <f>IFERROR(_xlfn.XLOOKUP(Table6[[#This Row],[Affected Feeder ]],'Basic Data'!$A:$A,'Basic Data'!$C:$C),"")</f>
        <v>MSEDCL</v>
      </c>
      <c r="J635" s="295">
        <f>IFERROR(_xlfn.XLOOKUP(Table6[[#This Row],[Affected Feeder ]],'Basic Data'!$A:$A,'Basic Data'!$E:$E),"")</f>
        <v>2.2727272727272728E-2</v>
      </c>
      <c r="K635" s="296" t="s">
        <v>171</v>
      </c>
      <c r="L635" s="297">
        <v>0.71388888888888891</v>
      </c>
      <c r="M635" s="297">
        <v>0.71388888888888891</v>
      </c>
      <c r="N635" s="297">
        <v>0.72777777777777775</v>
      </c>
      <c r="O635" s="19">
        <f>(Table6[[#This Row],[Work Start TimeStamp]]-Table6[[#This Row],[Fault Start TimeStamp]])*24</f>
        <v>0</v>
      </c>
      <c r="P635" s="19">
        <f>(Table6[[#This Row],[Fault Clearance time]]-Table6[[#This Row],[Fault Start TimeStamp]])*24</f>
        <v>0.33333333333333215</v>
      </c>
      <c r="Q635" s="19">
        <f>(Table6[[#This Row],[Fault Clearance time]]-Table6[[#This Row],[Fault Start TimeStamp]])*24</f>
        <v>0.33333333333333215</v>
      </c>
      <c r="R635" s="79" t="s">
        <v>353</v>
      </c>
      <c r="S635" s="79" t="s">
        <v>339</v>
      </c>
      <c r="T635" s="298">
        <f>IFERROR(Table6[[#This Row],[Breakdown Time]]*Table6[[#This Row],[Plant Equivalent Weightage]],"")</f>
        <v>7.5757575757575491E-3</v>
      </c>
      <c r="U635" s="79" t="s">
        <v>416</v>
      </c>
      <c r="W635" s="79">
        <v>22</v>
      </c>
    </row>
    <row r="636" spans="1:23">
      <c r="A636" s="79">
        <f t="shared" si="9"/>
        <v>635</v>
      </c>
      <c r="B636" s="79">
        <f>YEAR(Table6[[#This Row],[Date]])+IF(MONTH(Table6[[#This Row],[Date]])&gt;=4,1,0)</f>
        <v>2026</v>
      </c>
      <c r="C636" s="79">
        <f>YEAR(Table6[[#This Row],[Date]])</f>
        <v>2025</v>
      </c>
      <c r="D636" s="79" t="s">
        <v>344</v>
      </c>
      <c r="E636" s="284">
        <f>Table6[[#This Row],[Date]]-DAY(Table6[[#This Row],[Date]])+1</f>
        <v>45778</v>
      </c>
      <c r="F636" s="285">
        <v>45797</v>
      </c>
      <c r="G636" s="79" t="s">
        <v>404</v>
      </c>
      <c r="H636" s="79" t="str">
        <f>IFERROR(_xlfn.XLOOKUP(Table6[[#This Row],[Affected Feeder ]],'Basic Data'!$A:$A,'Basic Data'!$B:$B),"")</f>
        <v>PWEPL</v>
      </c>
      <c r="I636" s="79" t="str">
        <f>IFERROR(_xlfn.XLOOKUP(Table6[[#This Row],[Affected Feeder ]],'Basic Data'!$A:$A,'Basic Data'!$C:$C),"")</f>
        <v>MSEDCL</v>
      </c>
      <c r="J636" s="295">
        <f>IFERROR(_xlfn.XLOOKUP(Table6[[#This Row],[Affected Feeder ]],'Basic Data'!$A:$A,'Basic Data'!$E:$E),"")</f>
        <v>0.27272727272727276</v>
      </c>
      <c r="K636" s="296" t="s">
        <v>813</v>
      </c>
      <c r="L636" s="297">
        <v>0.36805555555555558</v>
      </c>
      <c r="M636" s="297">
        <v>0.36805555555555558</v>
      </c>
      <c r="N636" s="297">
        <v>0.72291666666666676</v>
      </c>
      <c r="O636" s="19">
        <f>(Table6[[#This Row],[Work Start TimeStamp]]-Table6[[#This Row],[Fault Start TimeStamp]])*24</f>
        <v>0</v>
      </c>
      <c r="P636" s="19">
        <f>(Table6[[#This Row],[Fault Clearance time]]-Table6[[#This Row],[Fault Start TimeStamp]])*24</f>
        <v>8.5166666666666693</v>
      </c>
      <c r="Q636" s="19">
        <f>(Table6[[#This Row],[Fault Clearance time]]-Table6[[#This Row],[Fault Start TimeStamp]])*24</f>
        <v>8.5166666666666693</v>
      </c>
      <c r="R636" s="79" t="s">
        <v>814</v>
      </c>
      <c r="S636" s="79" t="s">
        <v>339</v>
      </c>
      <c r="T636" s="298">
        <f>IFERROR(Table6[[#This Row],[Breakdown Time]]*Table6[[#This Row],[Plant Equivalent Weightage]],"")</f>
        <v>2.3227272727272736</v>
      </c>
      <c r="U636" s="79" t="s">
        <v>416</v>
      </c>
      <c r="W636" s="79">
        <v>7609</v>
      </c>
    </row>
    <row r="637" spans="1:23">
      <c r="A637" s="79">
        <f t="shared" si="9"/>
        <v>636</v>
      </c>
      <c r="B637" s="79">
        <f>YEAR(Table6[[#This Row],[Date]])+IF(MONTH(Table6[[#This Row],[Date]])&gt;=4,1,0)</f>
        <v>2026</v>
      </c>
      <c r="C637" s="79">
        <f>YEAR(Table6[[#This Row],[Date]])</f>
        <v>2025</v>
      </c>
      <c r="D637" s="79" t="s">
        <v>344</v>
      </c>
      <c r="E637" s="284">
        <f>Table6[[#This Row],[Date]]-DAY(Table6[[#This Row],[Date]])+1</f>
        <v>45778</v>
      </c>
      <c r="F637" s="285">
        <v>45797</v>
      </c>
      <c r="G637" s="79" t="s">
        <v>89</v>
      </c>
      <c r="H637" s="79" t="str">
        <f>IFERROR(_xlfn.XLOOKUP(Table6[[#This Row],[Affected Feeder ]],'Basic Data'!$A:$A,'Basic Data'!$B:$B),"")</f>
        <v>PWEPL</v>
      </c>
      <c r="I637" s="79" t="str">
        <f>IFERROR(_xlfn.XLOOKUP(Table6[[#This Row],[Affected Feeder ]],'Basic Data'!$A:$A,'Basic Data'!$C:$C),"")</f>
        <v>MSEDCL</v>
      </c>
      <c r="J637" s="295">
        <f>IFERROR(_xlfn.XLOOKUP(Table6[[#This Row],[Affected Feeder ]],'Basic Data'!$A:$A,'Basic Data'!$E:$E),"")</f>
        <v>2.2727272727272728E-2</v>
      </c>
      <c r="K637" s="296" t="s">
        <v>171</v>
      </c>
      <c r="L637" s="297">
        <v>0.72291666666666676</v>
      </c>
      <c r="M637" s="297">
        <v>0.72291666666666676</v>
      </c>
      <c r="N637" s="297">
        <v>0.7368055555555556</v>
      </c>
      <c r="O637" s="19">
        <f>(Table6[[#This Row],[Work Start TimeStamp]]-Table6[[#This Row],[Fault Start TimeStamp]])*24</f>
        <v>0</v>
      </c>
      <c r="P637" s="19">
        <f>(Table6[[#This Row],[Fault Clearance time]]-Table6[[#This Row],[Fault Start TimeStamp]])*24</f>
        <v>0.33333333333333215</v>
      </c>
      <c r="Q637" s="19">
        <f>(Table6[[#This Row],[Fault Clearance time]]-Table6[[#This Row],[Fault Start TimeStamp]])*24</f>
        <v>0.33333333333333215</v>
      </c>
      <c r="R637" s="79" t="s">
        <v>353</v>
      </c>
      <c r="S637" s="79" t="s">
        <v>339</v>
      </c>
      <c r="T637" s="298">
        <f>IFERROR(Table6[[#This Row],[Breakdown Time]]*Table6[[#This Row],[Plant Equivalent Weightage]],"")</f>
        <v>7.5757575757575491E-3</v>
      </c>
      <c r="U637" s="79" t="s">
        <v>416</v>
      </c>
      <c r="W637" s="79">
        <v>24</v>
      </c>
    </row>
    <row r="638" spans="1:23">
      <c r="A638" s="79">
        <f t="shared" si="9"/>
        <v>637</v>
      </c>
      <c r="B638" s="79">
        <f>YEAR(Table6[[#This Row],[Date]])+IF(MONTH(Table6[[#This Row],[Date]])&gt;=4,1,0)</f>
        <v>2026</v>
      </c>
      <c r="C638" s="79">
        <f>YEAR(Table6[[#This Row],[Date]])</f>
        <v>2025</v>
      </c>
      <c r="D638" s="79" t="s">
        <v>344</v>
      </c>
      <c r="E638" s="284">
        <f>Table6[[#This Row],[Date]]-DAY(Table6[[#This Row],[Date]])+1</f>
        <v>45778</v>
      </c>
      <c r="F638" s="285">
        <v>45797</v>
      </c>
      <c r="G638" s="79" t="s">
        <v>90</v>
      </c>
      <c r="H638" s="79" t="str">
        <f>IFERROR(_xlfn.XLOOKUP(Table6[[#This Row],[Affected Feeder ]],'Basic Data'!$A:$A,'Basic Data'!$B:$B),"")</f>
        <v>PWEPL</v>
      </c>
      <c r="I638" s="79" t="str">
        <f>IFERROR(_xlfn.XLOOKUP(Table6[[#This Row],[Affected Feeder ]],'Basic Data'!$A:$A,'Basic Data'!$C:$C),"")</f>
        <v>MSEDCL</v>
      </c>
      <c r="J638" s="295">
        <f>IFERROR(_xlfn.XLOOKUP(Table6[[#This Row],[Affected Feeder ]],'Basic Data'!$A:$A,'Basic Data'!$E:$E),"")</f>
        <v>2.2727272727272728E-2</v>
      </c>
      <c r="K638" s="296" t="s">
        <v>171</v>
      </c>
      <c r="L638" s="297">
        <v>0.72291666666666676</v>
      </c>
      <c r="M638" s="297">
        <v>0.72291666666666676</v>
      </c>
      <c r="N638" s="297">
        <v>0.7368055555555556</v>
      </c>
      <c r="O638" s="19">
        <f>(Table6[[#This Row],[Work Start TimeStamp]]-Table6[[#This Row],[Fault Start TimeStamp]])*24</f>
        <v>0</v>
      </c>
      <c r="P638" s="19">
        <f>(Table6[[#This Row],[Fault Clearance time]]-Table6[[#This Row],[Fault Start TimeStamp]])*24</f>
        <v>0.33333333333333215</v>
      </c>
      <c r="Q638" s="19">
        <f>(Table6[[#This Row],[Fault Clearance time]]-Table6[[#This Row],[Fault Start TimeStamp]])*24</f>
        <v>0.33333333333333215</v>
      </c>
      <c r="R638" s="79" t="s">
        <v>353</v>
      </c>
      <c r="S638" s="79" t="s">
        <v>339</v>
      </c>
      <c r="T638" s="298">
        <f>IFERROR(Table6[[#This Row],[Breakdown Time]]*Table6[[#This Row],[Plant Equivalent Weightage]],"")</f>
        <v>7.5757575757575491E-3</v>
      </c>
      <c r="U638" s="79" t="s">
        <v>416</v>
      </c>
      <c r="W638" s="79">
        <v>24</v>
      </c>
    </row>
    <row r="639" spans="1:23">
      <c r="A639" s="79">
        <f t="shared" si="9"/>
        <v>638</v>
      </c>
      <c r="B639" s="79">
        <f>YEAR(Table6[[#This Row],[Date]])+IF(MONTH(Table6[[#This Row],[Date]])&gt;=4,1,0)</f>
        <v>2026</v>
      </c>
      <c r="C639" s="79">
        <f>YEAR(Table6[[#This Row],[Date]])</f>
        <v>2025</v>
      </c>
      <c r="D639" s="79" t="s">
        <v>344</v>
      </c>
      <c r="E639" s="284">
        <f>Table6[[#This Row],[Date]]-DAY(Table6[[#This Row],[Date]])+1</f>
        <v>45778</v>
      </c>
      <c r="F639" s="285">
        <v>45797</v>
      </c>
      <c r="G639" s="79" t="s">
        <v>91</v>
      </c>
      <c r="H639" s="79" t="str">
        <f>IFERROR(_xlfn.XLOOKUP(Table6[[#This Row],[Affected Feeder ]],'Basic Data'!$A:$A,'Basic Data'!$B:$B),"")</f>
        <v>PWEPL</v>
      </c>
      <c r="I639" s="79" t="str">
        <f>IFERROR(_xlfn.XLOOKUP(Table6[[#This Row],[Affected Feeder ]],'Basic Data'!$A:$A,'Basic Data'!$C:$C),"")</f>
        <v>MSEDCL</v>
      </c>
      <c r="J639" s="295">
        <f>IFERROR(_xlfn.XLOOKUP(Table6[[#This Row],[Affected Feeder ]],'Basic Data'!$A:$A,'Basic Data'!$E:$E),"")</f>
        <v>2.2727272727272728E-2</v>
      </c>
      <c r="K639" s="296" t="s">
        <v>171</v>
      </c>
      <c r="L639" s="297">
        <v>0.72291666666666676</v>
      </c>
      <c r="M639" s="297">
        <v>0.72291666666666676</v>
      </c>
      <c r="N639" s="297">
        <v>0.7368055555555556</v>
      </c>
      <c r="O639" s="19">
        <f>(Table6[[#This Row],[Work Start TimeStamp]]-Table6[[#This Row],[Fault Start TimeStamp]])*24</f>
        <v>0</v>
      </c>
      <c r="P639" s="19">
        <f>(Table6[[#This Row],[Fault Clearance time]]-Table6[[#This Row],[Fault Start TimeStamp]])*24</f>
        <v>0.33333333333333215</v>
      </c>
      <c r="Q639" s="19">
        <f>(Table6[[#This Row],[Fault Clearance time]]-Table6[[#This Row],[Fault Start TimeStamp]])*24</f>
        <v>0.33333333333333215</v>
      </c>
      <c r="R639" s="79" t="s">
        <v>353</v>
      </c>
      <c r="S639" s="79" t="s">
        <v>339</v>
      </c>
      <c r="T639" s="298">
        <f>IFERROR(Table6[[#This Row],[Breakdown Time]]*Table6[[#This Row],[Plant Equivalent Weightage]],"")</f>
        <v>7.5757575757575491E-3</v>
      </c>
      <c r="U639" s="79" t="s">
        <v>416</v>
      </c>
      <c r="W639" s="79">
        <v>24</v>
      </c>
    </row>
    <row r="640" spans="1:23">
      <c r="A640" s="79">
        <f t="shared" si="9"/>
        <v>639</v>
      </c>
      <c r="B640" s="79">
        <f>YEAR(Table6[[#This Row],[Date]])+IF(MONTH(Table6[[#This Row],[Date]])&gt;=4,1,0)</f>
        <v>2026</v>
      </c>
      <c r="C640" s="79">
        <f>YEAR(Table6[[#This Row],[Date]])</f>
        <v>2025</v>
      </c>
      <c r="D640" s="79" t="s">
        <v>344</v>
      </c>
      <c r="E640" s="284">
        <f>Table6[[#This Row],[Date]]-DAY(Table6[[#This Row],[Date]])+1</f>
        <v>45778</v>
      </c>
      <c r="F640" s="285">
        <v>45797</v>
      </c>
      <c r="G640" s="79" t="s">
        <v>92</v>
      </c>
      <c r="H640" s="79" t="str">
        <f>IFERROR(_xlfn.XLOOKUP(Table6[[#This Row],[Affected Feeder ]],'Basic Data'!$A:$A,'Basic Data'!$B:$B),"")</f>
        <v>PWEPL</v>
      </c>
      <c r="I640" s="79" t="str">
        <f>IFERROR(_xlfn.XLOOKUP(Table6[[#This Row],[Affected Feeder ]],'Basic Data'!$A:$A,'Basic Data'!$C:$C),"")</f>
        <v>MSEDCL</v>
      </c>
      <c r="J640" s="295">
        <f>IFERROR(_xlfn.XLOOKUP(Table6[[#This Row],[Affected Feeder ]],'Basic Data'!$A:$A,'Basic Data'!$E:$E),"")</f>
        <v>2.2727272727272728E-2</v>
      </c>
      <c r="K640" s="296" t="s">
        <v>171</v>
      </c>
      <c r="L640" s="297">
        <v>0.72291666666666676</v>
      </c>
      <c r="M640" s="297">
        <v>0.72291666666666676</v>
      </c>
      <c r="N640" s="297">
        <v>0.7368055555555556</v>
      </c>
      <c r="O640" s="19">
        <f>(Table6[[#This Row],[Work Start TimeStamp]]-Table6[[#This Row],[Fault Start TimeStamp]])*24</f>
        <v>0</v>
      </c>
      <c r="P640" s="19">
        <f>(Table6[[#This Row],[Fault Clearance time]]-Table6[[#This Row],[Fault Start TimeStamp]])*24</f>
        <v>0.33333333333333215</v>
      </c>
      <c r="Q640" s="19">
        <f>(Table6[[#This Row],[Fault Clearance time]]-Table6[[#This Row],[Fault Start TimeStamp]])*24</f>
        <v>0.33333333333333215</v>
      </c>
      <c r="R640" s="79" t="s">
        <v>353</v>
      </c>
      <c r="S640" s="79" t="s">
        <v>339</v>
      </c>
      <c r="T640" s="298">
        <f>IFERROR(Table6[[#This Row],[Breakdown Time]]*Table6[[#This Row],[Plant Equivalent Weightage]],"")</f>
        <v>7.5757575757575491E-3</v>
      </c>
      <c r="U640" s="79" t="s">
        <v>416</v>
      </c>
      <c r="W640" s="79">
        <v>24</v>
      </c>
    </row>
    <row r="641" spans="1:23">
      <c r="A641" s="79">
        <f t="shared" si="9"/>
        <v>640</v>
      </c>
      <c r="B641" s="79">
        <f>YEAR(Table6[[#This Row],[Date]])+IF(MONTH(Table6[[#This Row],[Date]])&gt;=4,1,0)</f>
        <v>2026</v>
      </c>
      <c r="C641" s="79">
        <f>YEAR(Table6[[#This Row],[Date]])</f>
        <v>2025</v>
      </c>
      <c r="D641" s="79" t="s">
        <v>344</v>
      </c>
      <c r="E641" s="284">
        <f>Table6[[#This Row],[Date]]-DAY(Table6[[#This Row],[Date]])+1</f>
        <v>45778</v>
      </c>
      <c r="F641" s="285">
        <v>45797</v>
      </c>
      <c r="G641" s="79" t="s">
        <v>94</v>
      </c>
      <c r="H641" s="79" t="str">
        <f>IFERROR(_xlfn.XLOOKUP(Table6[[#This Row],[Affected Feeder ]],'Basic Data'!$A:$A,'Basic Data'!$B:$B),"")</f>
        <v>PWEPL</v>
      </c>
      <c r="I641" s="79" t="str">
        <f>IFERROR(_xlfn.XLOOKUP(Table6[[#This Row],[Affected Feeder ]],'Basic Data'!$A:$A,'Basic Data'!$C:$C),"")</f>
        <v>MSEDCL</v>
      </c>
      <c r="J641" s="295">
        <f>IFERROR(_xlfn.XLOOKUP(Table6[[#This Row],[Affected Feeder ]],'Basic Data'!$A:$A,'Basic Data'!$E:$E),"")</f>
        <v>2.2727272727272728E-2</v>
      </c>
      <c r="K641" s="296" t="s">
        <v>171</v>
      </c>
      <c r="L641" s="297">
        <v>0.72291666666666676</v>
      </c>
      <c r="M641" s="297">
        <v>0.72291666666666676</v>
      </c>
      <c r="N641" s="297">
        <v>0.7368055555555556</v>
      </c>
      <c r="O641" s="19">
        <f>(Table6[[#This Row],[Work Start TimeStamp]]-Table6[[#This Row],[Fault Start TimeStamp]])*24</f>
        <v>0</v>
      </c>
      <c r="P641" s="19">
        <f>(Table6[[#This Row],[Fault Clearance time]]-Table6[[#This Row],[Fault Start TimeStamp]])*24</f>
        <v>0.33333333333333215</v>
      </c>
      <c r="Q641" s="19">
        <f>(Table6[[#This Row],[Fault Clearance time]]-Table6[[#This Row],[Fault Start TimeStamp]])*24</f>
        <v>0.33333333333333215</v>
      </c>
      <c r="R641" s="79" t="s">
        <v>353</v>
      </c>
      <c r="S641" s="79" t="s">
        <v>339</v>
      </c>
      <c r="T641" s="298">
        <f>IFERROR(Table6[[#This Row],[Breakdown Time]]*Table6[[#This Row],[Plant Equivalent Weightage]],"")</f>
        <v>7.5757575757575491E-3</v>
      </c>
      <c r="U641" s="79" t="s">
        <v>416</v>
      </c>
      <c r="W641" s="79">
        <v>24</v>
      </c>
    </row>
    <row r="642" spans="1:23">
      <c r="A642" s="79">
        <f t="shared" si="9"/>
        <v>641</v>
      </c>
      <c r="B642" s="79">
        <f>YEAR(Table6[[#This Row],[Date]])+IF(MONTH(Table6[[#This Row],[Date]])&gt;=4,1,0)</f>
        <v>2026</v>
      </c>
      <c r="C642" s="79">
        <f>YEAR(Table6[[#This Row],[Date]])</f>
        <v>2025</v>
      </c>
      <c r="D642" s="79" t="s">
        <v>344</v>
      </c>
      <c r="E642" s="284">
        <f>Table6[[#This Row],[Date]]-DAY(Table6[[#This Row],[Date]])+1</f>
        <v>45778</v>
      </c>
      <c r="F642" s="285">
        <v>45797</v>
      </c>
      <c r="G642" s="79" t="s">
        <v>95</v>
      </c>
      <c r="H642" s="79" t="str">
        <f>IFERROR(_xlfn.XLOOKUP(Table6[[#This Row],[Affected Feeder ]],'Basic Data'!$A:$A,'Basic Data'!$B:$B),"")</f>
        <v>PWEPL</v>
      </c>
      <c r="I642" s="79" t="str">
        <f>IFERROR(_xlfn.XLOOKUP(Table6[[#This Row],[Affected Feeder ]],'Basic Data'!$A:$A,'Basic Data'!$C:$C),"")</f>
        <v>MSEDCL</v>
      </c>
      <c r="J642" s="295">
        <f>IFERROR(_xlfn.XLOOKUP(Table6[[#This Row],[Affected Feeder ]],'Basic Data'!$A:$A,'Basic Data'!$E:$E),"")</f>
        <v>2.2727272727272728E-2</v>
      </c>
      <c r="K642" s="296" t="s">
        <v>171</v>
      </c>
      <c r="L642" s="297">
        <v>0.72291666666666676</v>
      </c>
      <c r="M642" s="297">
        <v>0.72291666666666676</v>
      </c>
      <c r="N642" s="297">
        <v>0.7368055555555556</v>
      </c>
      <c r="O642" s="19">
        <f>(Table6[[#This Row],[Work Start TimeStamp]]-Table6[[#This Row],[Fault Start TimeStamp]])*24</f>
        <v>0</v>
      </c>
      <c r="P642" s="19">
        <f>(Table6[[#This Row],[Fault Clearance time]]-Table6[[#This Row],[Fault Start TimeStamp]])*24</f>
        <v>0.33333333333333215</v>
      </c>
      <c r="Q642" s="19">
        <f>(Table6[[#This Row],[Fault Clearance time]]-Table6[[#This Row],[Fault Start TimeStamp]])*24</f>
        <v>0.33333333333333215</v>
      </c>
      <c r="R642" s="79" t="s">
        <v>353</v>
      </c>
      <c r="S642" s="79" t="s">
        <v>339</v>
      </c>
      <c r="T642" s="298">
        <f>IFERROR(Table6[[#This Row],[Breakdown Time]]*Table6[[#This Row],[Plant Equivalent Weightage]],"")</f>
        <v>7.5757575757575491E-3</v>
      </c>
      <c r="U642" s="79" t="s">
        <v>416</v>
      </c>
      <c r="W642" s="79">
        <v>24</v>
      </c>
    </row>
    <row r="643" spans="1:23">
      <c r="A643" s="79">
        <f t="shared" si="9"/>
        <v>642</v>
      </c>
      <c r="B643" s="79">
        <f>YEAR(Table6[[#This Row],[Date]])+IF(MONTH(Table6[[#This Row],[Date]])&gt;=4,1,0)</f>
        <v>2026</v>
      </c>
      <c r="C643" s="79">
        <f>YEAR(Table6[[#This Row],[Date]])</f>
        <v>2025</v>
      </c>
      <c r="D643" s="79" t="s">
        <v>344</v>
      </c>
      <c r="E643" s="284">
        <f>Table6[[#This Row],[Date]]-DAY(Table6[[#This Row],[Date]])+1</f>
        <v>45778</v>
      </c>
      <c r="F643" s="285">
        <v>45797</v>
      </c>
      <c r="G643" s="79" t="s">
        <v>106</v>
      </c>
      <c r="H643" s="79" t="str">
        <f>IFERROR(_xlfn.XLOOKUP(Table6[[#This Row],[Affected Feeder ]],'Basic Data'!$A:$A,'Basic Data'!$B:$B),"")</f>
        <v>PWEPL</v>
      </c>
      <c r="I643" s="79" t="str">
        <f>IFERROR(_xlfn.XLOOKUP(Table6[[#This Row],[Affected Feeder ]],'Basic Data'!$A:$A,'Basic Data'!$C:$C),"")</f>
        <v>MSEDCL</v>
      </c>
      <c r="J643" s="295">
        <f>IFERROR(_xlfn.XLOOKUP(Table6[[#This Row],[Affected Feeder ]],'Basic Data'!$A:$A,'Basic Data'!$E:$E),"")</f>
        <v>2.2727272727272728E-2</v>
      </c>
      <c r="K643" s="296" t="s">
        <v>171</v>
      </c>
      <c r="L643" s="297">
        <v>0.72291666666666676</v>
      </c>
      <c r="M643" s="297">
        <v>0.72291666666666676</v>
      </c>
      <c r="N643" s="297">
        <v>0.7368055555555556</v>
      </c>
      <c r="O643" s="19">
        <f>(Table6[[#This Row],[Work Start TimeStamp]]-Table6[[#This Row],[Fault Start TimeStamp]])*24</f>
        <v>0</v>
      </c>
      <c r="P643" s="19">
        <f>(Table6[[#This Row],[Fault Clearance time]]-Table6[[#This Row],[Fault Start TimeStamp]])*24</f>
        <v>0.33333333333333215</v>
      </c>
      <c r="Q643" s="19">
        <f>(Table6[[#This Row],[Fault Clearance time]]-Table6[[#This Row],[Fault Start TimeStamp]])*24</f>
        <v>0.33333333333333215</v>
      </c>
      <c r="R643" s="79" t="s">
        <v>353</v>
      </c>
      <c r="S643" s="79" t="s">
        <v>339</v>
      </c>
      <c r="T643" s="298">
        <f>IFERROR(Table6[[#This Row],[Breakdown Time]]*Table6[[#This Row],[Plant Equivalent Weightage]],"")</f>
        <v>7.5757575757575491E-3</v>
      </c>
      <c r="U643" s="79" t="s">
        <v>416</v>
      </c>
      <c r="W643" s="79">
        <v>24</v>
      </c>
    </row>
    <row r="644" spans="1:23">
      <c r="A644" s="79">
        <f t="shared" ref="A644:A707" si="10">A643+1</f>
        <v>643</v>
      </c>
      <c r="B644" s="79">
        <f>YEAR(Table6[[#This Row],[Date]])+IF(MONTH(Table6[[#This Row],[Date]])&gt;=4,1,0)</f>
        <v>2026</v>
      </c>
      <c r="C644" s="79">
        <f>YEAR(Table6[[#This Row],[Date]])</f>
        <v>2025</v>
      </c>
      <c r="D644" s="79" t="s">
        <v>344</v>
      </c>
      <c r="E644" s="284">
        <f>Table6[[#This Row],[Date]]-DAY(Table6[[#This Row],[Date]])+1</f>
        <v>45778</v>
      </c>
      <c r="F644" s="285">
        <v>45797</v>
      </c>
      <c r="G644" s="79" t="s">
        <v>79</v>
      </c>
      <c r="H644" s="79" t="str">
        <f>IFERROR(_xlfn.XLOOKUP(Table6[[#This Row],[Affected Feeder ]],'Basic Data'!$A:$A,'Basic Data'!$B:$B),"")</f>
        <v>PWEPL</v>
      </c>
      <c r="I644" s="79" t="str">
        <f>IFERROR(_xlfn.XLOOKUP(Table6[[#This Row],[Affected Feeder ]],'Basic Data'!$A:$A,'Basic Data'!$C:$C),"")</f>
        <v>MSEDCL</v>
      </c>
      <c r="J644" s="295">
        <f>IFERROR(_xlfn.XLOOKUP(Table6[[#This Row],[Affected Feeder ]],'Basic Data'!$A:$A,'Basic Data'!$E:$E),"")</f>
        <v>2.2727272727272728E-2</v>
      </c>
      <c r="K644" s="296" t="s">
        <v>171</v>
      </c>
      <c r="L644" s="297">
        <v>0.72291666666666676</v>
      </c>
      <c r="M644" s="297">
        <v>0.72291666666666676</v>
      </c>
      <c r="N644" s="297">
        <v>0.7368055555555556</v>
      </c>
      <c r="O644" s="19">
        <f>(Table6[[#This Row],[Work Start TimeStamp]]-Table6[[#This Row],[Fault Start TimeStamp]])*24</f>
        <v>0</v>
      </c>
      <c r="P644" s="19">
        <f>(Table6[[#This Row],[Fault Clearance time]]-Table6[[#This Row],[Fault Start TimeStamp]])*24</f>
        <v>0.33333333333333215</v>
      </c>
      <c r="Q644" s="19">
        <f>(Table6[[#This Row],[Fault Clearance time]]-Table6[[#This Row],[Fault Start TimeStamp]])*24</f>
        <v>0.33333333333333215</v>
      </c>
      <c r="R644" s="79" t="s">
        <v>353</v>
      </c>
      <c r="S644" s="79" t="s">
        <v>339</v>
      </c>
      <c r="T644" s="298">
        <f>IFERROR(Table6[[#This Row],[Breakdown Time]]*Table6[[#This Row],[Plant Equivalent Weightage]],"")</f>
        <v>7.5757575757575491E-3</v>
      </c>
      <c r="U644" s="79" t="s">
        <v>416</v>
      </c>
      <c r="W644" s="79">
        <v>24</v>
      </c>
    </row>
    <row r="645" spans="1:23">
      <c r="A645" s="79">
        <f t="shared" si="10"/>
        <v>644</v>
      </c>
      <c r="B645" s="79">
        <f>YEAR(Table6[[#This Row],[Date]])+IF(MONTH(Table6[[#This Row],[Date]])&gt;=4,1,0)</f>
        <v>2026</v>
      </c>
      <c r="C645" s="79">
        <f>YEAR(Table6[[#This Row],[Date]])</f>
        <v>2025</v>
      </c>
      <c r="D645" s="79" t="s">
        <v>344</v>
      </c>
      <c r="E645" s="284">
        <f>Table6[[#This Row],[Date]]-DAY(Table6[[#This Row],[Date]])+1</f>
        <v>45778</v>
      </c>
      <c r="F645" s="285">
        <v>45797</v>
      </c>
      <c r="G645" s="79" t="s">
        <v>96</v>
      </c>
      <c r="H645" s="79" t="str">
        <f>IFERROR(_xlfn.XLOOKUP(Table6[[#This Row],[Affected Feeder ]],'Basic Data'!$A:$A,'Basic Data'!$B:$B),"")</f>
        <v>PWEPL</v>
      </c>
      <c r="I645" s="79" t="str">
        <f>IFERROR(_xlfn.XLOOKUP(Table6[[#This Row],[Affected Feeder ]],'Basic Data'!$A:$A,'Basic Data'!$C:$C),"")</f>
        <v>MSEDCL</v>
      </c>
      <c r="J645" s="295">
        <f>IFERROR(_xlfn.XLOOKUP(Table6[[#This Row],[Affected Feeder ]],'Basic Data'!$A:$A,'Basic Data'!$E:$E),"")</f>
        <v>2.2727272727272728E-2</v>
      </c>
      <c r="K645" s="296" t="s">
        <v>171</v>
      </c>
      <c r="L645" s="297">
        <v>0.72291666666666676</v>
      </c>
      <c r="M645" s="297">
        <v>0.72291666666666676</v>
      </c>
      <c r="N645" s="297">
        <v>0.7368055555555556</v>
      </c>
      <c r="O645" s="19">
        <f>(Table6[[#This Row],[Work Start TimeStamp]]-Table6[[#This Row],[Fault Start TimeStamp]])*24</f>
        <v>0</v>
      </c>
      <c r="P645" s="19">
        <f>(Table6[[#This Row],[Fault Clearance time]]-Table6[[#This Row],[Fault Start TimeStamp]])*24</f>
        <v>0.33333333333333215</v>
      </c>
      <c r="Q645" s="19">
        <f>(Table6[[#This Row],[Fault Clearance time]]-Table6[[#This Row],[Fault Start TimeStamp]])*24</f>
        <v>0.33333333333333215</v>
      </c>
      <c r="R645" s="79" t="s">
        <v>353</v>
      </c>
      <c r="S645" s="79" t="s">
        <v>339</v>
      </c>
      <c r="T645" s="298">
        <f>IFERROR(Table6[[#This Row],[Breakdown Time]]*Table6[[#This Row],[Plant Equivalent Weightage]],"")</f>
        <v>7.5757575757575491E-3</v>
      </c>
      <c r="U645" s="79" t="s">
        <v>416</v>
      </c>
      <c r="W645" s="79">
        <v>24</v>
      </c>
    </row>
    <row r="646" spans="1:23">
      <c r="A646" s="79">
        <f t="shared" si="10"/>
        <v>645</v>
      </c>
      <c r="B646" s="79">
        <f>YEAR(Table6[[#This Row],[Date]])+IF(MONTH(Table6[[#This Row],[Date]])&gt;=4,1,0)</f>
        <v>2026</v>
      </c>
      <c r="C646" s="79">
        <f>YEAR(Table6[[#This Row],[Date]])</f>
        <v>2025</v>
      </c>
      <c r="D646" s="79" t="s">
        <v>344</v>
      </c>
      <c r="E646" s="284">
        <f>Table6[[#This Row],[Date]]-DAY(Table6[[#This Row],[Date]])+1</f>
        <v>45778</v>
      </c>
      <c r="F646" s="285">
        <v>45797</v>
      </c>
      <c r="G646" s="79" t="s">
        <v>97</v>
      </c>
      <c r="H646" s="79" t="str">
        <f>IFERROR(_xlfn.XLOOKUP(Table6[[#This Row],[Affected Feeder ]],'Basic Data'!$A:$A,'Basic Data'!$B:$B),"")</f>
        <v>PWEPL</v>
      </c>
      <c r="I646" s="79" t="str">
        <f>IFERROR(_xlfn.XLOOKUP(Table6[[#This Row],[Affected Feeder ]],'Basic Data'!$A:$A,'Basic Data'!$C:$C),"")</f>
        <v>MSEDCL</v>
      </c>
      <c r="J646" s="295">
        <f>IFERROR(_xlfn.XLOOKUP(Table6[[#This Row],[Affected Feeder ]],'Basic Data'!$A:$A,'Basic Data'!$E:$E),"")</f>
        <v>2.2727272727272728E-2</v>
      </c>
      <c r="K646" s="296" t="s">
        <v>171</v>
      </c>
      <c r="L646" s="297">
        <v>0.72291666666666676</v>
      </c>
      <c r="M646" s="297">
        <v>0.72291666666666676</v>
      </c>
      <c r="N646" s="297">
        <v>0.7368055555555556</v>
      </c>
      <c r="O646" s="19">
        <f>(Table6[[#This Row],[Work Start TimeStamp]]-Table6[[#This Row],[Fault Start TimeStamp]])*24</f>
        <v>0</v>
      </c>
      <c r="P646" s="19">
        <f>(Table6[[#This Row],[Fault Clearance time]]-Table6[[#This Row],[Fault Start TimeStamp]])*24</f>
        <v>0.33333333333333215</v>
      </c>
      <c r="Q646" s="19">
        <f>(Table6[[#This Row],[Fault Clearance time]]-Table6[[#This Row],[Fault Start TimeStamp]])*24</f>
        <v>0.33333333333333215</v>
      </c>
      <c r="R646" s="79" t="s">
        <v>353</v>
      </c>
      <c r="S646" s="79" t="s">
        <v>339</v>
      </c>
      <c r="T646" s="298">
        <f>IFERROR(Table6[[#This Row],[Breakdown Time]]*Table6[[#This Row],[Plant Equivalent Weightage]],"")</f>
        <v>7.5757575757575491E-3</v>
      </c>
      <c r="U646" s="79" t="s">
        <v>416</v>
      </c>
      <c r="W646" s="79">
        <v>24</v>
      </c>
    </row>
    <row r="647" spans="1:23">
      <c r="A647" s="79">
        <f t="shared" si="10"/>
        <v>646</v>
      </c>
      <c r="B647" s="79">
        <f>YEAR(Table6[[#This Row],[Date]])+IF(MONTH(Table6[[#This Row],[Date]])&gt;=4,1,0)</f>
        <v>2026</v>
      </c>
      <c r="C647" s="79">
        <f>YEAR(Table6[[#This Row],[Date]])</f>
        <v>2025</v>
      </c>
      <c r="D647" s="79" t="s">
        <v>344</v>
      </c>
      <c r="E647" s="284">
        <f>Table6[[#This Row],[Date]]-DAY(Table6[[#This Row],[Date]])+1</f>
        <v>45778</v>
      </c>
      <c r="F647" s="285">
        <v>45797</v>
      </c>
      <c r="G647" s="79" t="s">
        <v>104</v>
      </c>
      <c r="H647" s="79" t="str">
        <f>IFERROR(_xlfn.XLOOKUP(Table6[[#This Row],[Affected Feeder ]],'Basic Data'!$A:$A,'Basic Data'!$B:$B),"")</f>
        <v>PWEPL</v>
      </c>
      <c r="I647" s="79" t="str">
        <f>IFERROR(_xlfn.XLOOKUP(Table6[[#This Row],[Affected Feeder ]],'Basic Data'!$A:$A,'Basic Data'!$C:$C),"")</f>
        <v>MSEDCL</v>
      </c>
      <c r="J647" s="295">
        <f>IFERROR(_xlfn.XLOOKUP(Table6[[#This Row],[Affected Feeder ]],'Basic Data'!$A:$A,'Basic Data'!$E:$E),"")</f>
        <v>2.2727272727272728E-2</v>
      </c>
      <c r="K647" s="296" t="s">
        <v>171</v>
      </c>
      <c r="L647" s="297">
        <v>0.72291666666666676</v>
      </c>
      <c r="M647" s="297">
        <v>0.72291666666666676</v>
      </c>
      <c r="N647" s="297">
        <v>0.7368055555555556</v>
      </c>
      <c r="O647" s="19">
        <f>(Table6[[#This Row],[Work Start TimeStamp]]-Table6[[#This Row],[Fault Start TimeStamp]])*24</f>
        <v>0</v>
      </c>
      <c r="P647" s="19">
        <f>(Table6[[#This Row],[Fault Clearance time]]-Table6[[#This Row],[Fault Start TimeStamp]])*24</f>
        <v>0.33333333333333215</v>
      </c>
      <c r="Q647" s="19">
        <f>(Table6[[#This Row],[Fault Clearance time]]-Table6[[#This Row],[Fault Start TimeStamp]])*24</f>
        <v>0.33333333333333215</v>
      </c>
      <c r="R647" s="79" t="s">
        <v>353</v>
      </c>
      <c r="S647" s="79" t="s">
        <v>339</v>
      </c>
      <c r="T647" s="298">
        <f>IFERROR(Table6[[#This Row],[Breakdown Time]]*Table6[[#This Row],[Plant Equivalent Weightage]],"")</f>
        <v>7.5757575757575491E-3</v>
      </c>
      <c r="U647" s="79" t="s">
        <v>416</v>
      </c>
      <c r="W647" s="79">
        <v>24</v>
      </c>
    </row>
    <row r="648" spans="1:23">
      <c r="A648" s="79">
        <f t="shared" si="10"/>
        <v>647</v>
      </c>
      <c r="B648" s="79">
        <f>YEAR(Table6[[#This Row],[Date]])+IF(MONTH(Table6[[#This Row],[Date]])&gt;=4,1,0)</f>
        <v>2026</v>
      </c>
      <c r="C648" s="79">
        <f>YEAR(Table6[[#This Row],[Date]])</f>
        <v>2025</v>
      </c>
      <c r="D648" s="79" t="s">
        <v>344</v>
      </c>
      <c r="E648" s="284">
        <f>Table6[[#This Row],[Date]]-DAY(Table6[[#This Row],[Date]])+1</f>
        <v>45778</v>
      </c>
      <c r="F648" s="285">
        <v>45797</v>
      </c>
      <c r="G648" s="79" t="s">
        <v>110</v>
      </c>
      <c r="H648" s="79" t="str">
        <f>IFERROR(_xlfn.XLOOKUP(Table6[[#This Row],[Affected Feeder ]],'Basic Data'!$A:$A,'Basic Data'!$B:$B),"")</f>
        <v>PWEPL</v>
      </c>
      <c r="I648" s="79" t="str">
        <f>IFERROR(_xlfn.XLOOKUP(Table6[[#This Row],[Affected Feeder ]],'Basic Data'!$A:$A,'Basic Data'!$C:$C),"")</f>
        <v>MSEDCL</v>
      </c>
      <c r="J648" s="295">
        <f>IFERROR(_xlfn.XLOOKUP(Table6[[#This Row],[Affected Feeder ]],'Basic Data'!$A:$A,'Basic Data'!$E:$E),"")</f>
        <v>2.2727272727272728E-2</v>
      </c>
      <c r="K648" s="296" t="s">
        <v>171</v>
      </c>
      <c r="L648" s="297">
        <v>0.72291666666666676</v>
      </c>
      <c r="M648" s="297">
        <v>0.72291666666666676</v>
      </c>
      <c r="N648" s="297">
        <v>0.7368055555555556</v>
      </c>
      <c r="O648" s="19">
        <f>(Table6[[#This Row],[Work Start TimeStamp]]-Table6[[#This Row],[Fault Start TimeStamp]])*24</f>
        <v>0</v>
      </c>
      <c r="P648" s="19">
        <f>(Table6[[#This Row],[Fault Clearance time]]-Table6[[#This Row],[Fault Start TimeStamp]])*24</f>
        <v>0.33333333333333215</v>
      </c>
      <c r="Q648" s="19">
        <f>(Table6[[#This Row],[Fault Clearance time]]-Table6[[#This Row],[Fault Start TimeStamp]])*24</f>
        <v>0.33333333333333215</v>
      </c>
      <c r="R648" s="79" t="s">
        <v>353</v>
      </c>
      <c r="S648" s="79" t="s">
        <v>339</v>
      </c>
      <c r="T648" s="298">
        <f>IFERROR(Table6[[#This Row],[Breakdown Time]]*Table6[[#This Row],[Plant Equivalent Weightage]],"")</f>
        <v>7.5757575757575491E-3</v>
      </c>
      <c r="U648" s="79" t="s">
        <v>416</v>
      </c>
      <c r="W648" s="79">
        <v>24</v>
      </c>
    </row>
    <row r="649" spans="1:23">
      <c r="A649" s="79">
        <f t="shared" si="10"/>
        <v>648</v>
      </c>
      <c r="B649" s="79">
        <f>YEAR(Table6[[#This Row],[Date]])+IF(MONTH(Table6[[#This Row],[Date]])&gt;=4,1,0)</f>
        <v>2026</v>
      </c>
      <c r="C649" s="79">
        <f>YEAR(Table6[[#This Row],[Date]])</f>
        <v>2025</v>
      </c>
      <c r="D649" s="79" t="s">
        <v>344</v>
      </c>
      <c r="E649" s="284">
        <f>Table6[[#This Row],[Date]]-DAY(Table6[[#This Row],[Date]])+1</f>
        <v>45778</v>
      </c>
      <c r="F649" s="285">
        <v>45799</v>
      </c>
      <c r="G649" s="79" t="s">
        <v>103</v>
      </c>
      <c r="H649" s="79" t="str">
        <f>IFERROR(_xlfn.XLOOKUP(Table6[[#This Row],[Affected Feeder ]],'Basic Data'!$A:$A,'Basic Data'!$B:$B),"")</f>
        <v>PWEPL</v>
      </c>
      <c r="I649" s="79" t="str">
        <f>IFERROR(_xlfn.XLOOKUP(Table6[[#This Row],[Affected Feeder ]],'Basic Data'!$A:$A,'Basic Data'!$C:$C),"")</f>
        <v>MSEDCL</v>
      </c>
      <c r="J649" s="295">
        <f>IFERROR(_xlfn.XLOOKUP(Table6[[#This Row],[Affected Feeder ]],'Basic Data'!$A:$A,'Basic Data'!$E:$E),"")</f>
        <v>2.2727272727272728E-2</v>
      </c>
      <c r="K649" s="296" t="s">
        <v>829</v>
      </c>
      <c r="L649" s="297">
        <v>0.4909722222222222</v>
      </c>
      <c r="M649" s="297">
        <v>0.4909722222222222</v>
      </c>
      <c r="N649" s="297">
        <v>0.5</v>
      </c>
      <c r="O649" s="19">
        <f>(Table6[[#This Row],[Work Start TimeStamp]]-Table6[[#This Row],[Fault Start TimeStamp]])*24</f>
        <v>0</v>
      </c>
      <c r="P649" s="19">
        <f>(Table6[[#This Row],[Fault Clearance time]]-Table6[[#This Row],[Fault Start TimeStamp]])*24</f>
        <v>0.21666666666666723</v>
      </c>
      <c r="Q649" s="19">
        <f>(Table6[[#This Row],[Fault Clearance time]]-Table6[[#This Row],[Fault Start TimeStamp]])*24</f>
        <v>0.21666666666666723</v>
      </c>
      <c r="R649" s="79" t="s">
        <v>818</v>
      </c>
      <c r="S649" s="79" t="s">
        <v>339</v>
      </c>
      <c r="T649" s="298">
        <f>IFERROR(Table6[[#This Row],[Breakdown Time]]*Table6[[#This Row],[Plant Equivalent Weightage]],"")</f>
        <v>4.9242424242424369E-3</v>
      </c>
      <c r="U649" s="79" t="s">
        <v>416</v>
      </c>
      <c r="W649" s="79">
        <v>69</v>
      </c>
    </row>
    <row r="650" spans="1:23">
      <c r="A650" s="79">
        <f t="shared" si="10"/>
        <v>649</v>
      </c>
      <c r="B650" s="79">
        <f>YEAR(Table6[[#This Row],[Date]])+IF(MONTH(Table6[[#This Row],[Date]])&gt;=4,1,0)</f>
        <v>2026</v>
      </c>
      <c r="C650" s="79">
        <f>YEAR(Table6[[#This Row],[Date]])</f>
        <v>2025</v>
      </c>
      <c r="D650" s="79" t="s">
        <v>344</v>
      </c>
      <c r="E650" s="284">
        <f>Table6[[#This Row],[Date]]-DAY(Table6[[#This Row],[Date]])+1</f>
        <v>45778</v>
      </c>
      <c r="F650" s="285">
        <v>45799</v>
      </c>
      <c r="G650" s="79" t="s">
        <v>103</v>
      </c>
      <c r="H650" s="79" t="str">
        <f>IFERROR(_xlfn.XLOOKUP(Table6[[#This Row],[Affected Feeder ]],'Basic Data'!$A:$A,'Basic Data'!$B:$B),"")</f>
        <v>PWEPL</v>
      </c>
      <c r="I650" s="79" t="str">
        <f>IFERROR(_xlfn.XLOOKUP(Table6[[#This Row],[Affected Feeder ]],'Basic Data'!$A:$A,'Basic Data'!$C:$C),"")</f>
        <v>MSEDCL</v>
      </c>
      <c r="J650" s="295">
        <f>IFERROR(_xlfn.XLOOKUP(Table6[[#This Row],[Affected Feeder ]],'Basic Data'!$A:$A,'Basic Data'!$E:$E),"")</f>
        <v>2.2727272727272728E-2</v>
      </c>
      <c r="K650" s="296" t="s">
        <v>171</v>
      </c>
      <c r="L650" s="297">
        <v>0.5</v>
      </c>
      <c r="M650" s="297">
        <v>0.5</v>
      </c>
      <c r="N650" s="297">
        <v>0.51388888888888895</v>
      </c>
      <c r="O650" s="19">
        <f>(Table6[[#This Row],[Work Start TimeStamp]]-Table6[[#This Row],[Fault Start TimeStamp]])*24</f>
        <v>0</v>
      </c>
      <c r="P650" s="19">
        <f>(Table6[[#This Row],[Fault Clearance time]]-Table6[[#This Row],[Fault Start TimeStamp]])*24</f>
        <v>0.33333333333333481</v>
      </c>
      <c r="Q650" s="19">
        <f>(Table6[[#This Row],[Fault Clearance time]]-Table6[[#This Row],[Fault Start TimeStamp]])*24</f>
        <v>0.33333333333333481</v>
      </c>
      <c r="R650" s="79" t="s">
        <v>353</v>
      </c>
      <c r="S650" s="79" t="s">
        <v>339</v>
      </c>
      <c r="T650" s="298">
        <f>IFERROR(Table6[[#This Row],[Breakdown Time]]*Table6[[#This Row],[Plant Equivalent Weightage]],"")</f>
        <v>7.5757575757576098E-3</v>
      </c>
      <c r="U650" s="79" t="s">
        <v>416</v>
      </c>
      <c r="W650" s="79">
        <v>94</v>
      </c>
    </row>
    <row r="651" spans="1:23">
      <c r="A651" s="79">
        <f t="shared" si="10"/>
        <v>650</v>
      </c>
      <c r="B651" s="79">
        <f>YEAR(Table6[[#This Row],[Date]])+IF(MONTH(Table6[[#This Row],[Date]])&gt;=4,1,0)</f>
        <v>2026</v>
      </c>
      <c r="C651" s="79">
        <f>YEAR(Table6[[#This Row],[Date]])</f>
        <v>2025</v>
      </c>
      <c r="D651" s="79" t="s">
        <v>344</v>
      </c>
      <c r="E651" s="284">
        <f>Table6[[#This Row],[Date]]-DAY(Table6[[#This Row],[Date]])+1</f>
        <v>45778</v>
      </c>
      <c r="F651" s="285">
        <v>45799</v>
      </c>
      <c r="G651" s="79" t="s">
        <v>105</v>
      </c>
      <c r="H651" s="79" t="str">
        <f>IFERROR(_xlfn.XLOOKUP(Table6[[#This Row],[Affected Feeder ]],'Basic Data'!$A:$A,'Basic Data'!$B:$B),"")</f>
        <v>PWEPL</v>
      </c>
      <c r="I651" s="79" t="str">
        <f>IFERROR(_xlfn.XLOOKUP(Table6[[#This Row],[Affected Feeder ]],'Basic Data'!$A:$A,'Basic Data'!$C:$C),"")</f>
        <v>MSEDCL</v>
      </c>
      <c r="J651" s="295">
        <f>IFERROR(_xlfn.XLOOKUP(Table6[[#This Row],[Affected Feeder ]],'Basic Data'!$A:$A,'Basic Data'!$E:$E),"")</f>
        <v>2.2727272727272728E-2</v>
      </c>
      <c r="K651" s="296" t="s">
        <v>830</v>
      </c>
      <c r="L651" s="297">
        <v>0.51458333333333328</v>
      </c>
      <c r="M651" s="297">
        <v>0.51458333333333328</v>
      </c>
      <c r="N651" s="297">
        <v>0.52152777777777781</v>
      </c>
      <c r="O651" s="19">
        <f>(Table6[[#This Row],[Work Start TimeStamp]]-Table6[[#This Row],[Fault Start TimeStamp]])*24</f>
        <v>0</v>
      </c>
      <c r="P651" s="19">
        <f>(Table6[[#This Row],[Fault Clearance time]]-Table6[[#This Row],[Fault Start TimeStamp]])*24</f>
        <v>0.16666666666666874</v>
      </c>
      <c r="Q651" s="19">
        <f>(Table6[[#This Row],[Fault Clearance time]]-Table6[[#This Row],[Fault Start TimeStamp]])*24</f>
        <v>0.16666666666666874</v>
      </c>
      <c r="R651" s="79" t="s">
        <v>818</v>
      </c>
      <c r="S651" s="79" t="s">
        <v>339</v>
      </c>
      <c r="T651" s="298">
        <f>IFERROR(Table6[[#This Row],[Breakdown Time]]*Table6[[#This Row],[Plant Equivalent Weightage]],"")</f>
        <v>3.7878787878788353E-3</v>
      </c>
      <c r="U651" s="79" t="s">
        <v>416</v>
      </c>
      <c r="W651" s="79">
        <v>6</v>
      </c>
    </row>
    <row r="652" spans="1:23">
      <c r="A652" s="79">
        <f t="shared" si="10"/>
        <v>651</v>
      </c>
      <c r="B652" s="79">
        <f>YEAR(Table6[[#This Row],[Date]])+IF(MONTH(Table6[[#This Row],[Date]])&gt;=4,1,0)</f>
        <v>2026</v>
      </c>
      <c r="C652" s="79">
        <f>YEAR(Table6[[#This Row],[Date]])</f>
        <v>2025</v>
      </c>
      <c r="D652" s="79" t="s">
        <v>344</v>
      </c>
      <c r="E652" s="284">
        <f>Table6[[#This Row],[Date]]-DAY(Table6[[#This Row],[Date]])+1</f>
        <v>45778</v>
      </c>
      <c r="F652" s="285">
        <v>45799</v>
      </c>
      <c r="G652" s="79" t="s">
        <v>105</v>
      </c>
      <c r="H652" s="79" t="str">
        <f>IFERROR(_xlfn.XLOOKUP(Table6[[#This Row],[Affected Feeder ]],'Basic Data'!$A:$A,'Basic Data'!$B:$B),"")</f>
        <v>PWEPL</v>
      </c>
      <c r="I652" s="79" t="str">
        <f>IFERROR(_xlfn.XLOOKUP(Table6[[#This Row],[Affected Feeder ]],'Basic Data'!$A:$A,'Basic Data'!$C:$C),"")</f>
        <v>MSEDCL</v>
      </c>
      <c r="J652" s="295">
        <f>IFERROR(_xlfn.XLOOKUP(Table6[[#This Row],[Affected Feeder ]],'Basic Data'!$A:$A,'Basic Data'!$E:$E),"")</f>
        <v>2.2727272727272728E-2</v>
      </c>
      <c r="K652" s="296" t="s">
        <v>171</v>
      </c>
      <c r="L652" s="297">
        <v>0.52152777777777781</v>
      </c>
      <c r="M652" s="297">
        <v>0.52152777777777781</v>
      </c>
      <c r="N652" s="297">
        <v>0.53541666666666665</v>
      </c>
      <c r="O652" s="19">
        <f>(Table6[[#This Row],[Work Start TimeStamp]]-Table6[[#This Row],[Fault Start TimeStamp]])*24</f>
        <v>0</v>
      </c>
      <c r="P652" s="19">
        <f>(Table6[[#This Row],[Fault Clearance time]]-Table6[[#This Row],[Fault Start TimeStamp]])*24</f>
        <v>0.33333333333333215</v>
      </c>
      <c r="Q652" s="19">
        <f>(Table6[[#This Row],[Fault Clearance time]]-Table6[[#This Row],[Fault Start TimeStamp]])*24</f>
        <v>0.33333333333333215</v>
      </c>
      <c r="R652" s="79" t="s">
        <v>353</v>
      </c>
      <c r="S652" s="79" t="s">
        <v>339</v>
      </c>
      <c r="T652" s="298">
        <f>IFERROR(Table6[[#This Row],[Breakdown Time]]*Table6[[#This Row],[Plant Equivalent Weightage]],"")</f>
        <v>7.5757575757575491E-3</v>
      </c>
      <c r="U652" s="79" t="s">
        <v>416</v>
      </c>
      <c r="W652" s="79">
        <v>47</v>
      </c>
    </row>
    <row r="653" spans="1:23">
      <c r="A653" s="79">
        <f t="shared" si="10"/>
        <v>652</v>
      </c>
      <c r="B653" s="79">
        <f>YEAR(Table6[[#This Row],[Date]])+IF(MONTH(Table6[[#This Row],[Date]])&gt;=4,1,0)</f>
        <v>2026</v>
      </c>
      <c r="C653" s="79">
        <f>YEAR(Table6[[#This Row],[Date]])</f>
        <v>2025</v>
      </c>
      <c r="D653" s="79" t="s">
        <v>344</v>
      </c>
      <c r="E653" s="284">
        <f>Table6[[#This Row],[Date]]-DAY(Table6[[#This Row],[Date]])+1</f>
        <v>45778</v>
      </c>
      <c r="F653" s="285">
        <v>45799</v>
      </c>
      <c r="G653" s="79" t="s">
        <v>98</v>
      </c>
      <c r="H653" s="79" t="str">
        <f>IFERROR(_xlfn.XLOOKUP(Table6[[#This Row],[Affected Feeder ]],'Basic Data'!$A:$A,'Basic Data'!$B:$B),"")</f>
        <v>PWEPL</v>
      </c>
      <c r="I653" s="79" t="str">
        <f>IFERROR(_xlfn.XLOOKUP(Table6[[#This Row],[Affected Feeder ]],'Basic Data'!$A:$A,'Basic Data'!$C:$C),"")</f>
        <v>MSEDCL</v>
      </c>
      <c r="J653" s="295">
        <f>IFERROR(_xlfn.XLOOKUP(Table6[[#This Row],[Affected Feeder ]],'Basic Data'!$A:$A,'Basic Data'!$E:$E),"")</f>
        <v>2.2727272727272728E-2</v>
      </c>
      <c r="K653" s="296" t="s">
        <v>827</v>
      </c>
      <c r="L653" s="297">
        <v>0.6430555555555556</v>
      </c>
      <c r="M653" s="297">
        <v>0.6430555555555556</v>
      </c>
      <c r="N653" s="297">
        <v>0.65972222222222221</v>
      </c>
      <c r="O653" s="19">
        <f>(Table6[[#This Row],[Work Start TimeStamp]]-Table6[[#This Row],[Fault Start TimeStamp]])*24</f>
        <v>0</v>
      </c>
      <c r="P653" s="19">
        <f>(Table6[[#This Row],[Fault Clearance time]]-Table6[[#This Row],[Fault Start TimeStamp]])*24</f>
        <v>0.39999999999999858</v>
      </c>
      <c r="Q653" s="19">
        <f>(Table6[[#This Row],[Fault Clearance time]]-Table6[[#This Row],[Fault Start TimeStamp]])*24</f>
        <v>0.39999999999999858</v>
      </c>
      <c r="R653" s="79" t="s">
        <v>818</v>
      </c>
      <c r="S653" s="79" t="s">
        <v>339</v>
      </c>
      <c r="T653" s="298">
        <f>IFERROR(Table6[[#This Row],[Breakdown Time]]*Table6[[#This Row],[Plant Equivalent Weightage]],"")</f>
        <v>9.0909090909090592E-3</v>
      </c>
      <c r="U653" s="79" t="s">
        <v>416</v>
      </c>
      <c r="W653" s="79">
        <v>152</v>
      </c>
    </row>
    <row r="654" spans="1:23">
      <c r="A654" s="79">
        <f t="shared" si="10"/>
        <v>653</v>
      </c>
      <c r="B654" s="79">
        <f>YEAR(Table6[[#This Row],[Date]])+IF(MONTH(Table6[[#This Row],[Date]])&gt;=4,1,0)</f>
        <v>2026</v>
      </c>
      <c r="C654" s="79">
        <f>YEAR(Table6[[#This Row],[Date]])</f>
        <v>2025</v>
      </c>
      <c r="D654" s="79" t="s">
        <v>344</v>
      </c>
      <c r="E654" s="284">
        <f>Table6[[#This Row],[Date]]-DAY(Table6[[#This Row],[Date]])+1</f>
        <v>45778</v>
      </c>
      <c r="F654" s="285">
        <v>45799</v>
      </c>
      <c r="G654" s="79" t="s">
        <v>98</v>
      </c>
      <c r="H654" s="79" t="str">
        <f>IFERROR(_xlfn.XLOOKUP(Table6[[#This Row],[Affected Feeder ]],'Basic Data'!$A:$A,'Basic Data'!$B:$B),"")</f>
        <v>PWEPL</v>
      </c>
      <c r="I654" s="79" t="str">
        <f>IFERROR(_xlfn.XLOOKUP(Table6[[#This Row],[Affected Feeder ]],'Basic Data'!$A:$A,'Basic Data'!$C:$C),"")</f>
        <v>MSEDCL</v>
      </c>
      <c r="J654" s="295">
        <f>IFERROR(_xlfn.XLOOKUP(Table6[[#This Row],[Affected Feeder ]],'Basic Data'!$A:$A,'Basic Data'!$E:$E),"")</f>
        <v>2.2727272727272728E-2</v>
      </c>
      <c r="K654" s="296" t="s">
        <v>171</v>
      </c>
      <c r="L654" s="297">
        <v>0.65972222222222221</v>
      </c>
      <c r="M654" s="297">
        <v>0.65972222222222221</v>
      </c>
      <c r="N654" s="297">
        <v>0.67361111111111116</v>
      </c>
      <c r="O654" s="19">
        <f>(Table6[[#This Row],[Work Start TimeStamp]]-Table6[[#This Row],[Fault Start TimeStamp]])*24</f>
        <v>0</v>
      </c>
      <c r="P654" s="19">
        <f>(Table6[[#This Row],[Fault Clearance time]]-Table6[[#This Row],[Fault Start TimeStamp]])*24</f>
        <v>0.33333333333333481</v>
      </c>
      <c r="Q654" s="19">
        <f>(Table6[[#This Row],[Fault Clearance time]]-Table6[[#This Row],[Fault Start TimeStamp]])*24</f>
        <v>0.33333333333333481</v>
      </c>
      <c r="R654" s="79" t="s">
        <v>353</v>
      </c>
      <c r="S654" s="79" t="s">
        <v>339</v>
      </c>
      <c r="T654" s="298">
        <f>IFERROR(Table6[[#This Row],[Breakdown Time]]*Table6[[#This Row],[Plant Equivalent Weightage]],"")</f>
        <v>7.5757575757576098E-3</v>
      </c>
      <c r="U654" s="79" t="s">
        <v>416</v>
      </c>
      <c r="W654" s="79">
        <v>21</v>
      </c>
    </row>
    <row r="655" spans="1:23">
      <c r="A655" s="79">
        <f t="shared" si="10"/>
        <v>654</v>
      </c>
      <c r="B655" s="79">
        <f>YEAR(Table6[[#This Row],[Date]])+IF(MONTH(Table6[[#This Row],[Date]])&gt;=4,1,0)</f>
        <v>2026</v>
      </c>
      <c r="C655" s="79">
        <f>YEAR(Table6[[#This Row],[Date]])</f>
        <v>2025</v>
      </c>
      <c r="D655" s="79" t="s">
        <v>344</v>
      </c>
      <c r="E655" s="284">
        <f>Table6[[#This Row],[Date]]-DAY(Table6[[#This Row],[Date]])+1</f>
        <v>45778</v>
      </c>
      <c r="F655" s="285">
        <v>45799</v>
      </c>
      <c r="G655" s="79" t="s">
        <v>100</v>
      </c>
      <c r="H655" s="79" t="str">
        <f>IFERROR(_xlfn.XLOOKUP(Table6[[#This Row],[Affected Feeder ]],'Basic Data'!$A:$A,'Basic Data'!$B:$B),"")</f>
        <v>PWEPL</v>
      </c>
      <c r="I655" s="79" t="str">
        <f>IFERROR(_xlfn.XLOOKUP(Table6[[#This Row],[Affected Feeder ]],'Basic Data'!$A:$A,'Basic Data'!$C:$C),"")</f>
        <v>MSEDCL</v>
      </c>
      <c r="J655" s="295">
        <f>IFERROR(_xlfn.XLOOKUP(Table6[[#This Row],[Affected Feeder ]],'Basic Data'!$A:$A,'Basic Data'!$E:$E),"")</f>
        <v>2.2727272727272728E-2</v>
      </c>
      <c r="K655" s="296" t="s">
        <v>830</v>
      </c>
      <c r="L655" s="297">
        <v>0.58124999999999993</v>
      </c>
      <c r="M655" s="297">
        <v>0.58124999999999993</v>
      </c>
      <c r="N655" s="297">
        <v>0.6020833333333333</v>
      </c>
      <c r="O655" s="19">
        <f>(Table6[[#This Row],[Work Start TimeStamp]]-Table6[[#This Row],[Fault Start TimeStamp]])*24</f>
        <v>0</v>
      </c>
      <c r="P655" s="19">
        <f>(Table6[[#This Row],[Fault Clearance time]]-Table6[[#This Row],[Fault Start TimeStamp]])*24</f>
        <v>0.50000000000000089</v>
      </c>
      <c r="Q655" s="19">
        <f>(Table6[[#This Row],[Fault Clearance time]]-Table6[[#This Row],[Fault Start TimeStamp]])*24</f>
        <v>0.50000000000000089</v>
      </c>
      <c r="R655" s="79" t="s">
        <v>818</v>
      </c>
      <c r="S655" s="79" t="s">
        <v>339</v>
      </c>
      <c r="T655" s="298">
        <f>IFERROR(Table6[[#This Row],[Breakdown Time]]*Table6[[#This Row],[Plant Equivalent Weightage]],"")</f>
        <v>1.1363636363636385E-2</v>
      </c>
      <c r="U655" s="79" t="s">
        <v>416</v>
      </c>
      <c r="W655" s="79">
        <v>369</v>
      </c>
    </row>
    <row r="656" spans="1:23">
      <c r="A656" s="79">
        <f t="shared" si="10"/>
        <v>655</v>
      </c>
      <c r="B656" s="79">
        <f>YEAR(Table6[[#This Row],[Date]])+IF(MONTH(Table6[[#This Row],[Date]])&gt;=4,1,0)</f>
        <v>2026</v>
      </c>
      <c r="C656" s="79">
        <f>YEAR(Table6[[#This Row],[Date]])</f>
        <v>2025</v>
      </c>
      <c r="D656" s="79" t="s">
        <v>344</v>
      </c>
      <c r="E656" s="284">
        <f>Table6[[#This Row],[Date]]-DAY(Table6[[#This Row],[Date]])+1</f>
        <v>45778</v>
      </c>
      <c r="F656" s="285">
        <v>45799</v>
      </c>
      <c r="G656" s="79" t="s">
        <v>100</v>
      </c>
      <c r="H656" s="79" t="str">
        <f>IFERROR(_xlfn.XLOOKUP(Table6[[#This Row],[Affected Feeder ]],'Basic Data'!$A:$A,'Basic Data'!$B:$B),"")</f>
        <v>PWEPL</v>
      </c>
      <c r="I656" s="79" t="str">
        <f>IFERROR(_xlfn.XLOOKUP(Table6[[#This Row],[Affected Feeder ]],'Basic Data'!$A:$A,'Basic Data'!$C:$C),"")</f>
        <v>MSEDCL</v>
      </c>
      <c r="J656" s="295">
        <f>IFERROR(_xlfn.XLOOKUP(Table6[[#This Row],[Affected Feeder ]],'Basic Data'!$A:$A,'Basic Data'!$E:$E),"")</f>
        <v>2.2727272727272728E-2</v>
      </c>
      <c r="K656" s="296" t="s">
        <v>171</v>
      </c>
      <c r="L656" s="297">
        <v>0.6020833333333333</v>
      </c>
      <c r="M656" s="297">
        <v>0.6020833333333333</v>
      </c>
      <c r="N656" s="297">
        <v>0.61597222222222225</v>
      </c>
      <c r="O656" s="19">
        <f>(Table6[[#This Row],[Work Start TimeStamp]]-Table6[[#This Row],[Fault Start TimeStamp]])*24</f>
        <v>0</v>
      </c>
      <c r="P656" s="19">
        <f>(Table6[[#This Row],[Fault Clearance time]]-Table6[[#This Row],[Fault Start TimeStamp]])*24</f>
        <v>0.33333333333333481</v>
      </c>
      <c r="Q656" s="19">
        <f>(Table6[[#This Row],[Fault Clearance time]]-Table6[[#This Row],[Fault Start TimeStamp]])*24</f>
        <v>0.33333333333333481</v>
      </c>
      <c r="R656" s="79" t="s">
        <v>353</v>
      </c>
      <c r="S656" s="79" t="s">
        <v>339</v>
      </c>
      <c r="T656" s="298">
        <f>IFERROR(Table6[[#This Row],[Breakdown Time]]*Table6[[#This Row],[Plant Equivalent Weightage]],"")</f>
        <v>7.5757575757576098E-3</v>
      </c>
      <c r="U656" s="79" t="s">
        <v>416</v>
      </c>
      <c r="W656" s="79">
        <v>60</v>
      </c>
    </row>
    <row r="657" spans="1:23">
      <c r="A657" s="79">
        <f t="shared" si="10"/>
        <v>656</v>
      </c>
      <c r="B657" s="79">
        <f>YEAR(Table6[[#This Row],[Date]])+IF(MONTH(Table6[[#This Row],[Date]])&gt;=4,1,0)</f>
        <v>2026</v>
      </c>
      <c r="C657" s="79">
        <f>YEAR(Table6[[#This Row],[Date]])</f>
        <v>2025</v>
      </c>
      <c r="D657" s="79" t="s">
        <v>344</v>
      </c>
      <c r="E657" s="284">
        <f>Table6[[#This Row],[Date]]-DAY(Table6[[#This Row],[Date]])+1</f>
        <v>45778</v>
      </c>
      <c r="F657" s="285">
        <v>45799</v>
      </c>
      <c r="G657" s="79" t="s">
        <v>406</v>
      </c>
      <c r="H657" s="79" t="str">
        <f>IFERROR(_xlfn.XLOOKUP(Table6[[#This Row],[Affected Feeder ]],'Basic Data'!$A:$A,'Basic Data'!$B:$B),"")</f>
        <v>PWEPL</v>
      </c>
      <c r="I657" s="79" t="str">
        <f>IFERROR(_xlfn.XLOOKUP(Table6[[#This Row],[Affected Feeder ]],'Basic Data'!$A:$A,'Basic Data'!$C:$C),"")</f>
        <v>MSEDCL</v>
      </c>
      <c r="J657" s="295">
        <f>IFERROR(_xlfn.XLOOKUP(Table6[[#This Row],[Affected Feeder ]],'Basic Data'!$A:$A,'Basic Data'!$E:$E),"")</f>
        <v>0.29545454545454541</v>
      </c>
      <c r="K657" s="296" t="s">
        <v>419</v>
      </c>
      <c r="L657" s="297">
        <v>0.91041666666666676</v>
      </c>
      <c r="M657" s="297">
        <v>0.91041666666666676</v>
      </c>
      <c r="N657" s="297">
        <v>0.9243055555555556</v>
      </c>
      <c r="O657" s="19">
        <f>(Table6[[#This Row],[Work Start TimeStamp]]-Table6[[#This Row],[Fault Start TimeStamp]])*24</f>
        <v>0</v>
      </c>
      <c r="P657" s="19">
        <f>(Table6[[#This Row],[Fault Clearance time]]-Table6[[#This Row],[Fault Start TimeStamp]])*24</f>
        <v>0.33333333333333215</v>
      </c>
      <c r="Q657" s="19">
        <f>(Table6[[#This Row],[Fault Clearance time]]-Table6[[#This Row],[Fault Start TimeStamp]])*24</f>
        <v>0.33333333333333215</v>
      </c>
      <c r="R657" s="79" t="s">
        <v>420</v>
      </c>
      <c r="S657" s="79" t="s">
        <v>339</v>
      </c>
      <c r="T657" s="298">
        <f>IFERROR(Table6[[#This Row],[Breakdown Time]]*Table6[[#This Row],[Plant Equivalent Weightage]],"")</f>
        <v>9.848484848484812E-2</v>
      </c>
      <c r="U657" s="79" t="s">
        <v>421</v>
      </c>
      <c r="W657" s="79">
        <v>938</v>
      </c>
    </row>
    <row r="658" spans="1:23">
      <c r="A658" s="79">
        <f t="shared" si="10"/>
        <v>657</v>
      </c>
      <c r="B658" s="79">
        <f>YEAR(Table6[[#This Row],[Date]])+IF(MONTH(Table6[[#This Row],[Date]])&gt;=4,1,0)</f>
        <v>2026</v>
      </c>
      <c r="C658" s="79">
        <f>YEAR(Table6[[#This Row],[Date]])</f>
        <v>2025</v>
      </c>
      <c r="D658" s="79" t="s">
        <v>344</v>
      </c>
      <c r="E658" s="284">
        <f>Table6[[#This Row],[Date]]-DAY(Table6[[#This Row],[Date]])+1</f>
        <v>45778</v>
      </c>
      <c r="F658" s="285">
        <v>45799</v>
      </c>
      <c r="G658" s="79" t="s">
        <v>76</v>
      </c>
      <c r="H658" s="79" t="str">
        <f>IFERROR(_xlfn.XLOOKUP(Table6[[#This Row],[Affected Feeder ]],'Basic Data'!$A:$A,'Basic Data'!$B:$B),"")</f>
        <v>PWEPL</v>
      </c>
      <c r="I658" s="79" t="str">
        <f>IFERROR(_xlfn.XLOOKUP(Table6[[#This Row],[Affected Feeder ]],'Basic Data'!$A:$A,'Basic Data'!$C:$C),"")</f>
        <v>MSEDCL</v>
      </c>
      <c r="J658" s="295">
        <f>IFERROR(_xlfn.XLOOKUP(Table6[[#This Row],[Affected Feeder ]],'Basic Data'!$A:$A,'Basic Data'!$E:$E),"")</f>
        <v>2.2727272727272728E-2</v>
      </c>
      <c r="K658" s="296" t="s">
        <v>171</v>
      </c>
      <c r="L658" s="297">
        <v>0.9243055555555556</v>
      </c>
      <c r="M658" s="297">
        <v>0.9243055555555556</v>
      </c>
      <c r="N658" s="297">
        <v>0.93819444444444444</v>
      </c>
      <c r="O658" s="19">
        <f>(Table6[[#This Row],[Work Start TimeStamp]]-Table6[[#This Row],[Fault Start TimeStamp]])*24</f>
        <v>0</v>
      </c>
      <c r="P658" s="19">
        <f>(Table6[[#This Row],[Fault Clearance time]]-Table6[[#This Row],[Fault Start TimeStamp]])*24</f>
        <v>0.33333333333333215</v>
      </c>
      <c r="Q658" s="19">
        <f>(Table6[[#This Row],[Fault Clearance time]]-Table6[[#This Row],[Fault Start TimeStamp]])*24</f>
        <v>0.33333333333333215</v>
      </c>
      <c r="R658" s="79" t="s">
        <v>353</v>
      </c>
      <c r="S658" s="79" t="s">
        <v>339</v>
      </c>
      <c r="T658" s="298">
        <f>IFERROR(Table6[[#This Row],[Breakdown Time]]*Table6[[#This Row],[Plant Equivalent Weightage]],"")</f>
        <v>7.5757575757575491E-3</v>
      </c>
      <c r="U658" s="79" t="s">
        <v>421</v>
      </c>
      <c r="W658" s="79">
        <v>72</v>
      </c>
    </row>
    <row r="659" spans="1:23">
      <c r="A659" s="79">
        <f t="shared" si="10"/>
        <v>658</v>
      </c>
      <c r="B659" s="79">
        <f>YEAR(Table6[[#This Row],[Date]])+IF(MONTH(Table6[[#This Row],[Date]])&gt;=4,1,0)</f>
        <v>2026</v>
      </c>
      <c r="C659" s="79">
        <f>YEAR(Table6[[#This Row],[Date]])</f>
        <v>2025</v>
      </c>
      <c r="D659" s="79" t="s">
        <v>344</v>
      </c>
      <c r="E659" s="284">
        <f>Table6[[#This Row],[Date]]-DAY(Table6[[#This Row],[Date]])+1</f>
        <v>45778</v>
      </c>
      <c r="F659" s="285">
        <v>45799</v>
      </c>
      <c r="G659" s="79" t="s">
        <v>77</v>
      </c>
      <c r="H659" s="79" t="str">
        <f>IFERROR(_xlfn.XLOOKUP(Table6[[#This Row],[Affected Feeder ]],'Basic Data'!$A:$A,'Basic Data'!$B:$B),"")</f>
        <v>PWEPL</v>
      </c>
      <c r="I659" s="79" t="str">
        <f>IFERROR(_xlfn.XLOOKUP(Table6[[#This Row],[Affected Feeder ]],'Basic Data'!$A:$A,'Basic Data'!$C:$C),"")</f>
        <v>MSEDCL</v>
      </c>
      <c r="J659" s="295">
        <f>IFERROR(_xlfn.XLOOKUP(Table6[[#This Row],[Affected Feeder ]],'Basic Data'!$A:$A,'Basic Data'!$E:$E),"")</f>
        <v>2.2727272727272728E-2</v>
      </c>
      <c r="K659" s="296" t="s">
        <v>171</v>
      </c>
      <c r="L659" s="297">
        <v>0.9243055555555556</v>
      </c>
      <c r="M659" s="297">
        <v>0.9243055555555556</v>
      </c>
      <c r="N659" s="297">
        <v>0.93819444444444444</v>
      </c>
      <c r="O659" s="19">
        <f>(Table6[[#This Row],[Work Start TimeStamp]]-Table6[[#This Row],[Fault Start TimeStamp]])*24</f>
        <v>0</v>
      </c>
      <c r="P659" s="19">
        <f>(Table6[[#This Row],[Fault Clearance time]]-Table6[[#This Row],[Fault Start TimeStamp]])*24</f>
        <v>0.33333333333333215</v>
      </c>
      <c r="Q659" s="19">
        <f>(Table6[[#This Row],[Fault Clearance time]]-Table6[[#This Row],[Fault Start TimeStamp]])*24</f>
        <v>0.33333333333333215</v>
      </c>
      <c r="R659" s="79" t="s">
        <v>353</v>
      </c>
      <c r="S659" s="79" t="s">
        <v>339</v>
      </c>
      <c r="T659" s="298">
        <f>IFERROR(Table6[[#This Row],[Breakdown Time]]*Table6[[#This Row],[Plant Equivalent Weightage]],"")</f>
        <v>7.5757575757575491E-3</v>
      </c>
      <c r="U659" s="79" t="s">
        <v>421</v>
      </c>
      <c r="W659" s="79">
        <v>72</v>
      </c>
    </row>
    <row r="660" spans="1:23">
      <c r="A660" s="79">
        <f t="shared" si="10"/>
        <v>659</v>
      </c>
      <c r="B660" s="79">
        <f>YEAR(Table6[[#This Row],[Date]])+IF(MONTH(Table6[[#This Row],[Date]])&gt;=4,1,0)</f>
        <v>2026</v>
      </c>
      <c r="C660" s="79">
        <f>YEAR(Table6[[#This Row],[Date]])</f>
        <v>2025</v>
      </c>
      <c r="D660" s="79" t="s">
        <v>344</v>
      </c>
      <c r="E660" s="284">
        <f>Table6[[#This Row],[Date]]-DAY(Table6[[#This Row],[Date]])+1</f>
        <v>45778</v>
      </c>
      <c r="F660" s="285">
        <v>45799</v>
      </c>
      <c r="G660" s="79" t="s">
        <v>78</v>
      </c>
      <c r="H660" s="79" t="str">
        <f>IFERROR(_xlfn.XLOOKUP(Table6[[#This Row],[Affected Feeder ]],'Basic Data'!$A:$A,'Basic Data'!$B:$B),"")</f>
        <v>PWEPL</v>
      </c>
      <c r="I660" s="79" t="str">
        <f>IFERROR(_xlfn.XLOOKUP(Table6[[#This Row],[Affected Feeder ]],'Basic Data'!$A:$A,'Basic Data'!$C:$C),"")</f>
        <v>MSEDCL</v>
      </c>
      <c r="J660" s="295">
        <f>IFERROR(_xlfn.XLOOKUP(Table6[[#This Row],[Affected Feeder ]],'Basic Data'!$A:$A,'Basic Data'!$E:$E),"")</f>
        <v>2.2727272727272728E-2</v>
      </c>
      <c r="K660" s="296" t="s">
        <v>171</v>
      </c>
      <c r="L660" s="297">
        <v>0.9243055555555556</v>
      </c>
      <c r="M660" s="297">
        <v>0.9243055555555556</v>
      </c>
      <c r="N660" s="297">
        <v>0.93819444444444444</v>
      </c>
      <c r="O660" s="19">
        <f>(Table6[[#This Row],[Work Start TimeStamp]]-Table6[[#This Row],[Fault Start TimeStamp]])*24</f>
        <v>0</v>
      </c>
      <c r="P660" s="19">
        <f>(Table6[[#This Row],[Fault Clearance time]]-Table6[[#This Row],[Fault Start TimeStamp]])*24</f>
        <v>0.33333333333333215</v>
      </c>
      <c r="Q660" s="19">
        <f>(Table6[[#This Row],[Fault Clearance time]]-Table6[[#This Row],[Fault Start TimeStamp]])*24</f>
        <v>0.33333333333333215</v>
      </c>
      <c r="R660" s="79" t="s">
        <v>353</v>
      </c>
      <c r="S660" s="79" t="s">
        <v>339</v>
      </c>
      <c r="T660" s="298">
        <f>IFERROR(Table6[[#This Row],[Breakdown Time]]*Table6[[#This Row],[Plant Equivalent Weightage]],"")</f>
        <v>7.5757575757575491E-3</v>
      </c>
      <c r="U660" s="79" t="s">
        <v>421</v>
      </c>
      <c r="W660" s="79">
        <v>72</v>
      </c>
    </row>
    <row r="661" spans="1:23">
      <c r="A661" s="79">
        <f t="shared" si="10"/>
        <v>660</v>
      </c>
      <c r="B661" s="79">
        <f>YEAR(Table6[[#This Row],[Date]])+IF(MONTH(Table6[[#This Row],[Date]])&gt;=4,1,0)</f>
        <v>2026</v>
      </c>
      <c r="C661" s="79">
        <f>YEAR(Table6[[#This Row],[Date]])</f>
        <v>2025</v>
      </c>
      <c r="D661" s="79" t="s">
        <v>344</v>
      </c>
      <c r="E661" s="284">
        <f>Table6[[#This Row],[Date]]-DAY(Table6[[#This Row],[Date]])+1</f>
        <v>45778</v>
      </c>
      <c r="F661" s="285">
        <v>45799</v>
      </c>
      <c r="G661" s="79" t="s">
        <v>82</v>
      </c>
      <c r="H661" s="79" t="str">
        <f>IFERROR(_xlfn.XLOOKUP(Table6[[#This Row],[Affected Feeder ]],'Basic Data'!$A:$A,'Basic Data'!$B:$B),"")</f>
        <v>PWEPL</v>
      </c>
      <c r="I661" s="79" t="str">
        <f>IFERROR(_xlfn.XLOOKUP(Table6[[#This Row],[Affected Feeder ]],'Basic Data'!$A:$A,'Basic Data'!$C:$C),"")</f>
        <v>MSEDCL</v>
      </c>
      <c r="J661" s="295">
        <f>IFERROR(_xlfn.XLOOKUP(Table6[[#This Row],[Affected Feeder ]],'Basic Data'!$A:$A,'Basic Data'!$E:$E),"")</f>
        <v>2.2727272727272728E-2</v>
      </c>
      <c r="K661" s="296" t="s">
        <v>171</v>
      </c>
      <c r="L661" s="297">
        <v>0.9243055555555556</v>
      </c>
      <c r="M661" s="297">
        <v>0.9243055555555556</v>
      </c>
      <c r="N661" s="297">
        <v>0.93819444444444444</v>
      </c>
      <c r="O661" s="19">
        <f>(Table6[[#This Row],[Work Start TimeStamp]]-Table6[[#This Row],[Fault Start TimeStamp]])*24</f>
        <v>0</v>
      </c>
      <c r="P661" s="19">
        <f>(Table6[[#This Row],[Fault Clearance time]]-Table6[[#This Row],[Fault Start TimeStamp]])*24</f>
        <v>0.33333333333333215</v>
      </c>
      <c r="Q661" s="19">
        <f>(Table6[[#This Row],[Fault Clearance time]]-Table6[[#This Row],[Fault Start TimeStamp]])*24</f>
        <v>0.33333333333333215</v>
      </c>
      <c r="R661" s="79" t="s">
        <v>353</v>
      </c>
      <c r="S661" s="79" t="s">
        <v>339</v>
      </c>
      <c r="T661" s="298">
        <f>IFERROR(Table6[[#This Row],[Breakdown Time]]*Table6[[#This Row],[Plant Equivalent Weightage]],"")</f>
        <v>7.5757575757575491E-3</v>
      </c>
      <c r="U661" s="79" t="s">
        <v>421</v>
      </c>
      <c r="W661" s="79">
        <v>72</v>
      </c>
    </row>
    <row r="662" spans="1:23">
      <c r="A662" s="79">
        <f t="shared" si="10"/>
        <v>661</v>
      </c>
      <c r="B662" s="79">
        <f>YEAR(Table6[[#This Row],[Date]])+IF(MONTH(Table6[[#This Row],[Date]])&gt;=4,1,0)</f>
        <v>2026</v>
      </c>
      <c r="C662" s="79">
        <f>YEAR(Table6[[#This Row],[Date]])</f>
        <v>2025</v>
      </c>
      <c r="D662" s="79" t="s">
        <v>344</v>
      </c>
      <c r="E662" s="284">
        <f>Table6[[#This Row],[Date]]-DAY(Table6[[#This Row],[Date]])+1</f>
        <v>45778</v>
      </c>
      <c r="F662" s="285">
        <v>45799</v>
      </c>
      <c r="G662" s="79" t="s">
        <v>93</v>
      </c>
      <c r="H662" s="79" t="str">
        <f>IFERROR(_xlfn.XLOOKUP(Table6[[#This Row],[Affected Feeder ]],'Basic Data'!$A:$A,'Basic Data'!$B:$B),"")</f>
        <v>PWEPL</v>
      </c>
      <c r="I662" s="79" t="str">
        <f>IFERROR(_xlfn.XLOOKUP(Table6[[#This Row],[Affected Feeder ]],'Basic Data'!$A:$A,'Basic Data'!$C:$C),"")</f>
        <v>MSEDCL</v>
      </c>
      <c r="J662" s="295">
        <f>IFERROR(_xlfn.XLOOKUP(Table6[[#This Row],[Affected Feeder ]],'Basic Data'!$A:$A,'Basic Data'!$E:$E),"")</f>
        <v>2.2727272727272728E-2</v>
      </c>
      <c r="K662" s="296" t="s">
        <v>171</v>
      </c>
      <c r="L662" s="297">
        <v>0.9243055555555556</v>
      </c>
      <c r="M662" s="297">
        <v>0.9243055555555556</v>
      </c>
      <c r="N662" s="297">
        <v>0.93819444444444444</v>
      </c>
      <c r="O662" s="19">
        <f>(Table6[[#This Row],[Work Start TimeStamp]]-Table6[[#This Row],[Fault Start TimeStamp]])*24</f>
        <v>0</v>
      </c>
      <c r="P662" s="19">
        <f>(Table6[[#This Row],[Fault Clearance time]]-Table6[[#This Row],[Fault Start TimeStamp]])*24</f>
        <v>0.33333333333333215</v>
      </c>
      <c r="Q662" s="19">
        <f>(Table6[[#This Row],[Fault Clearance time]]-Table6[[#This Row],[Fault Start TimeStamp]])*24</f>
        <v>0.33333333333333215</v>
      </c>
      <c r="R662" s="79" t="s">
        <v>353</v>
      </c>
      <c r="S662" s="79" t="s">
        <v>339</v>
      </c>
      <c r="T662" s="298">
        <f>IFERROR(Table6[[#This Row],[Breakdown Time]]*Table6[[#This Row],[Plant Equivalent Weightage]],"")</f>
        <v>7.5757575757575491E-3</v>
      </c>
      <c r="U662" s="79" t="s">
        <v>421</v>
      </c>
      <c r="W662" s="79">
        <v>72</v>
      </c>
    </row>
    <row r="663" spans="1:23">
      <c r="A663" s="79">
        <f t="shared" si="10"/>
        <v>662</v>
      </c>
      <c r="B663" s="79">
        <f>YEAR(Table6[[#This Row],[Date]])+IF(MONTH(Table6[[#This Row],[Date]])&gt;=4,1,0)</f>
        <v>2026</v>
      </c>
      <c r="C663" s="79">
        <f>YEAR(Table6[[#This Row],[Date]])</f>
        <v>2025</v>
      </c>
      <c r="D663" s="79" t="s">
        <v>344</v>
      </c>
      <c r="E663" s="284">
        <f>Table6[[#This Row],[Date]]-DAY(Table6[[#This Row],[Date]])+1</f>
        <v>45778</v>
      </c>
      <c r="F663" s="285">
        <v>45799</v>
      </c>
      <c r="G663" s="79" t="s">
        <v>102</v>
      </c>
      <c r="H663" s="79" t="str">
        <f>IFERROR(_xlfn.XLOOKUP(Table6[[#This Row],[Affected Feeder ]],'Basic Data'!$A:$A,'Basic Data'!$B:$B),"")</f>
        <v>PWEPL</v>
      </c>
      <c r="I663" s="79" t="str">
        <f>IFERROR(_xlfn.XLOOKUP(Table6[[#This Row],[Affected Feeder ]],'Basic Data'!$A:$A,'Basic Data'!$C:$C),"")</f>
        <v>MSEDCL</v>
      </c>
      <c r="J663" s="295">
        <f>IFERROR(_xlfn.XLOOKUP(Table6[[#This Row],[Affected Feeder ]],'Basic Data'!$A:$A,'Basic Data'!$E:$E),"")</f>
        <v>2.2727272727272728E-2</v>
      </c>
      <c r="K663" s="296" t="s">
        <v>171</v>
      </c>
      <c r="L663" s="297">
        <v>0.9243055555555556</v>
      </c>
      <c r="M663" s="297">
        <v>0.9243055555555556</v>
      </c>
      <c r="N663" s="297">
        <v>0.93819444444444444</v>
      </c>
      <c r="O663" s="19">
        <f>(Table6[[#This Row],[Work Start TimeStamp]]-Table6[[#This Row],[Fault Start TimeStamp]])*24</f>
        <v>0</v>
      </c>
      <c r="P663" s="19">
        <f>(Table6[[#This Row],[Fault Clearance time]]-Table6[[#This Row],[Fault Start TimeStamp]])*24</f>
        <v>0.33333333333333215</v>
      </c>
      <c r="Q663" s="19">
        <f>(Table6[[#This Row],[Fault Clearance time]]-Table6[[#This Row],[Fault Start TimeStamp]])*24</f>
        <v>0.33333333333333215</v>
      </c>
      <c r="R663" s="79" t="s">
        <v>353</v>
      </c>
      <c r="S663" s="79" t="s">
        <v>339</v>
      </c>
      <c r="T663" s="298">
        <f>IFERROR(Table6[[#This Row],[Breakdown Time]]*Table6[[#This Row],[Plant Equivalent Weightage]],"")</f>
        <v>7.5757575757575491E-3</v>
      </c>
      <c r="U663" s="79" t="s">
        <v>421</v>
      </c>
      <c r="W663" s="79">
        <v>72</v>
      </c>
    </row>
    <row r="664" spans="1:23">
      <c r="A664" s="79">
        <f t="shared" si="10"/>
        <v>663</v>
      </c>
      <c r="B664" s="79">
        <f>YEAR(Table6[[#This Row],[Date]])+IF(MONTH(Table6[[#This Row],[Date]])&gt;=4,1,0)</f>
        <v>2026</v>
      </c>
      <c r="C664" s="79">
        <f>YEAR(Table6[[#This Row],[Date]])</f>
        <v>2025</v>
      </c>
      <c r="D664" s="79" t="s">
        <v>344</v>
      </c>
      <c r="E664" s="284">
        <f>Table6[[#This Row],[Date]]-DAY(Table6[[#This Row],[Date]])+1</f>
        <v>45778</v>
      </c>
      <c r="F664" s="285">
        <v>45799</v>
      </c>
      <c r="G664" s="79" t="s">
        <v>119</v>
      </c>
      <c r="H664" s="79" t="str">
        <f>IFERROR(_xlfn.XLOOKUP(Table6[[#This Row],[Affected Feeder ]],'Basic Data'!$A:$A,'Basic Data'!$B:$B),"")</f>
        <v>PWEPL</v>
      </c>
      <c r="I664" s="79" t="str">
        <f>IFERROR(_xlfn.XLOOKUP(Table6[[#This Row],[Affected Feeder ]],'Basic Data'!$A:$A,'Basic Data'!$C:$C),"")</f>
        <v>MSEDCL</v>
      </c>
      <c r="J664" s="295">
        <f>IFERROR(_xlfn.XLOOKUP(Table6[[#This Row],[Affected Feeder ]],'Basic Data'!$A:$A,'Basic Data'!$E:$E),"")</f>
        <v>2.2727272727272728E-2</v>
      </c>
      <c r="K664" s="296" t="s">
        <v>171</v>
      </c>
      <c r="L664" s="297">
        <v>0.9243055555555556</v>
      </c>
      <c r="M664" s="297">
        <v>0.9243055555555556</v>
      </c>
      <c r="N664" s="297">
        <v>0.93819444444444444</v>
      </c>
      <c r="O664" s="19">
        <f>(Table6[[#This Row],[Work Start TimeStamp]]-Table6[[#This Row],[Fault Start TimeStamp]])*24</f>
        <v>0</v>
      </c>
      <c r="P664" s="19">
        <f>(Table6[[#This Row],[Fault Clearance time]]-Table6[[#This Row],[Fault Start TimeStamp]])*24</f>
        <v>0.33333333333333215</v>
      </c>
      <c r="Q664" s="19">
        <f>(Table6[[#This Row],[Fault Clearance time]]-Table6[[#This Row],[Fault Start TimeStamp]])*24</f>
        <v>0.33333333333333215</v>
      </c>
      <c r="R664" s="79" t="s">
        <v>353</v>
      </c>
      <c r="S664" s="79" t="s">
        <v>339</v>
      </c>
      <c r="T664" s="298">
        <f>IFERROR(Table6[[#This Row],[Breakdown Time]]*Table6[[#This Row],[Plant Equivalent Weightage]],"")</f>
        <v>7.5757575757575491E-3</v>
      </c>
      <c r="U664" s="79" t="s">
        <v>421</v>
      </c>
      <c r="W664" s="79">
        <v>72</v>
      </c>
    </row>
    <row r="665" spans="1:23">
      <c r="A665" s="79">
        <f t="shared" si="10"/>
        <v>664</v>
      </c>
      <c r="B665" s="79">
        <f>YEAR(Table6[[#This Row],[Date]])+IF(MONTH(Table6[[#This Row],[Date]])&gt;=4,1,0)</f>
        <v>2026</v>
      </c>
      <c r="C665" s="79">
        <f>YEAR(Table6[[#This Row],[Date]])</f>
        <v>2025</v>
      </c>
      <c r="D665" s="79" t="s">
        <v>344</v>
      </c>
      <c r="E665" s="284">
        <f>Table6[[#This Row],[Date]]-DAY(Table6[[#This Row],[Date]])+1</f>
        <v>45778</v>
      </c>
      <c r="F665" s="285">
        <v>45799</v>
      </c>
      <c r="G665" s="79" t="s">
        <v>103</v>
      </c>
      <c r="H665" s="79" t="str">
        <f>IFERROR(_xlfn.XLOOKUP(Table6[[#This Row],[Affected Feeder ]],'Basic Data'!$A:$A,'Basic Data'!$B:$B),"")</f>
        <v>PWEPL</v>
      </c>
      <c r="I665" s="79" t="str">
        <f>IFERROR(_xlfn.XLOOKUP(Table6[[#This Row],[Affected Feeder ]],'Basic Data'!$A:$A,'Basic Data'!$C:$C),"")</f>
        <v>MSEDCL</v>
      </c>
      <c r="J665" s="295">
        <f>IFERROR(_xlfn.XLOOKUP(Table6[[#This Row],[Affected Feeder ]],'Basic Data'!$A:$A,'Basic Data'!$E:$E),"")</f>
        <v>2.2727272727272728E-2</v>
      </c>
      <c r="K665" s="296" t="s">
        <v>171</v>
      </c>
      <c r="L665" s="297">
        <v>0.9243055555555556</v>
      </c>
      <c r="M665" s="297">
        <v>0.9243055555555556</v>
      </c>
      <c r="N665" s="297">
        <v>0.93819444444444444</v>
      </c>
      <c r="O665" s="19">
        <f>(Table6[[#This Row],[Work Start TimeStamp]]-Table6[[#This Row],[Fault Start TimeStamp]])*24</f>
        <v>0</v>
      </c>
      <c r="P665" s="19">
        <f>(Table6[[#This Row],[Fault Clearance time]]-Table6[[#This Row],[Fault Start TimeStamp]])*24</f>
        <v>0.33333333333333215</v>
      </c>
      <c r="Q665" s="19">
        <f>(Table6[[#This Row],[Fault Clearance time]]-Table6[[#This Row],[Fault Start TimeStamp]])*24</f>
        <v>0.33333333333333215</v>
      </c>
      <c r="R665" s="79" t="s">
        <v>353</v>
      </c>
      <c r="S665" s="79" t="s">
        <v>339</v>
      </c>
      <c r="T665" s="298">
        <f>IFERROR(Table6[[#This Row],[Breakdown Time]]*Table6[[#This Row],[Plant Equivalent Weightage]],"")</f>
        <v>7.5757575757575491E-3</v>
      </c>
      <c r="U665" s="79" t="s">
        <v>421</v>
      </c>
      <c r="W665" s="79">
        <v>72</v>
      </c>
    </row>
    <row r="666" spans="1:23">
      <c r="A666" s="79">
        <f t="shared" si="10"/>
        <v>665</v>
      </c>
      <c r="B666" s="79">
        <f>YEAR(Table6[[#This Row],[Date]])+IF(MONTH(Table6[[#This Row],[Date]])&gt;=4,1,0)</f>
        <v>2026</v>
      </c>
      <c r="C666" s="79">
        <f>YEAR(Table6[[#This Row],[Date]])</f>
        <v>2025</v>
      </c>
      <c r="D666" s="79" t="s">
        <v>344</v>
      </c>
      <c r="E666" s="284">
        <f>Table6[[#This Row],[Date]]-DAY(Table6[[#This Row],[Date]])+1</f>
        <v>45778</v>
      </c>
      <c r="F666" s="285">
        <v>45799</v>
      </c>
      <c r="G666" s="79" t="s">
        <v>105</v>
      </c>
      <c r="H666" s="79" t="str">
        <f>IFERROR(_xlfn.XLOOKUP(Table6[[#This Row],[Affected Feeder ]],'Basic Data'!$A:$A,'Basic Data'!$B:$B),"")</f>
        <v>PWEPL</v>
      </c>
      <c r="I666" s="79" t="str">
        <f>IFERROR(_xlfn.XLOOKUP(Table6[[#This Row],[Affected Feeder ]],'Basic Data'!$A:$A,'Basic Data'!$C:$C),"")</f>
        <v>MSEDCL</v>
      </c>
      <c r="J666" s="295">
        <f>IFERROR(_xlfn.XLOOKUP(Table6[[#This Row],[Affected Feeder ]],'Basic Data'!$A:$A,'Basic Data'!$E:$E),"")</f>
        <v>2.2727272727272728E-2</v>
      </c>
      <c r="K666" s="296" t="s">
        <v>171</v>
      </c>
      <c r="L666" s="297">
        <v>0.9243055555555556</v>
      </c>
      <c r="M666" s="297">
        <v>0.9243055555555556</v>
      </c>
      <c r="N666" s="297">
        <v>0.93819444444444444</v>
      </c>
      <c r="O666" s="19">
        <f>(Table6[[#This Row],[Work Start TimeStamp]]-Table6[[#This Row],[Fault Start TimeStamp]])*24</f>
        <v>0</v>
      </c>
      <c r="P666" s="19">
        <f>(Table6[[#This Row],[Fault Clearance time]]-Table6[[#This Row],[Fault Start TimeStamp]])*24</f>
        <v>0.33333333333333215</v>
      </c>
      <c r="Q666" s="19">
        <f>(Table6[[#This Row],[Fault Clearance time]]-Table6[[#This Row],[Fault Start TimeStamp]])*24</f>
        <v>0.33333333333333215</v>
      </c>
      <c r="R666" s="79" t="s">
        <v>353</v>
      </c>
      <c r="S666" s="79" t="s">
        <v>339</v>
      </c>
      <c r="T666" s="298">
        <f>IFERROR(Table6[[#This Row],[Breakdown Time]]*Table6[[#This Row],[Plant Equivalent Weightage]],"")</f>
        <v>7.5757575757575491E-3</v>
      </c>
      <c r="U666" s="79" t="s">
        <v>421</v>
      </c>
      <c r="W666" s="79">
        <v>72</v>
      </c>
    </row>
    <row r="667" spans="1:23">
      <c r="A667" s="79">
        <f t="shared" si="10"/>
        <v>666</v>
      </c>
      <c r="B667" s="79">
        <f>YEAR(Table6[[#This Row],[Date]])+IF(MONTH(Table6[[#This Row],[Date]])&gt;=4,1,0)</f>
        <v>2026</v>
      </c>
      <c r="C667" s="79">
        <f>YEAR(Table6[[#This Row],[Date]])</f>
        <v>2025</v>
      </c>
      <c r="D667" s="79" t="s">
        <v>344</v>
      </c>
      <c r="E667" s="284">
        <f>Table6[[#This Row],[Date]]-DAY(Table6[[#This Row],[Date]])+1</f>
        <v>45778</v>
      </c>
      <c r="F667" s="285">
        <v>45799</v>
      </c>
      <c r="G667" s="79" t="s">
        <v>115</v>
      </c>
      <c r="H667" s="79" t="str">
        <f>IFERROR(_xlfn.XLOOKUP(Table6[[#This Row],[Affected Feeder ]],'Basic Data'!$A:$A,'Basic Data'!$B:$B),"")</f>
        <v>PWEPL</v>
      </c>
      <c r="I667" s="79" t="str">
        <f>IFERROR(_xlfn.XLOOKUP(Table6[[#This Row],[Affected Feeder ]],'Basic Data'!$A:$A,'Basic Data'!$C:$C),"")</f>
        <v>MSEDCL</v>
      </c>
      <c r="J667" s="295">
        <f>IFERROR(_xlfn.XLOOKUP(Table6[[#This Row],[Affected Feeder ]],'Basic Data'!$A:$A,'Basic Data'!$E:$E),"")</f>
        <v>2.2727272727272728E-2</v>
      </c>
      <c r="K667" s="296" t="s">
        <v>171</v>
      </c>
      <c r="L667" s="297">
        <v>0.9243055555555556</v>
      </c>
      <c r="M667" s="297">
        <v>0.9243055555555556</v>
      </c>
      <c r="N667" s="297">
        <v>0.93819444444444444</v>
      </c>
      <c r="O667" s="19">
        <f>(Table6[[#This Row],[Work Start TimeStamp]]-Table6[[#This Row],[Fault Start TimeStamp]])*24</f>
        <v>0</v>
      </c>
      <c r="P667" s="19">
        <f>(Table6[[#This Row],[Fault Clearance time]]-Table6[[#This Row],[Fault Start TimeStamp]])*24</f>
        <v>0.33333333333333215</v>
      </c>
      <c r="Q667" s="19">
        <f>(Table6[[#This Row],[Fault Clearance time]]-Table6[[#This Row],[Fault Start TimeStamp]])*24</f>
        <v>0.33333333333333215</v>
      </c>
      <c r="R667" s="79" t="s">
        <v>353</v>
      </c>
      <c r="S667" s="79" t="s">
        <v>339</v>
      </c>
      <c r="T667" s="298">
        <f>IFERROR(Table6[[#This Row],[Breakdown Time]]*Table6[[#This Row],[Plant Equivalent Weightage]],"")</f>
        <v>7.5757575757575491E-3</v>
      </c>
      <c r="U667" s="79" t="s">
        <v>421</v>
      </c>
      <c r="W667" s="79">
        <v>72</v>
      </c>
    </row>
    <row r="668" spans="1:23">
      <c r="A668" s="79">
        <f t="shared" si="10"/>
        <v>667</v>
      </c>
      <c r="B668" s="79">
        <f>YEAR(Table6[[#This Row],[Date]])+IF(MONTH(Table6[[#This Row],[Date]])&gt;=4,1,0)</f>
        <v>2026</v>
      </c>
      <c r="C668" s="79">
        <f>YEAR(Table6[[#This Row],[Date]])</f>
        <v>2025</v>
      </c>
      <c r="D668" s="79" t="s">
        <v>344</v>
      </c>
      <c r="E668" s="284">
        <f>Table6[[#This Row],[Date]]-DAY(Table6[[#This Row],[Date]])+1</f>
        <v>45778</v>
      </c>
      <c r="F668" s="285">
        <v>45799</v>
      </c>
      <c r="G668" s="79" t="s">
        <v>116</v>
      </c>
      <c r="H668" s="79" t="str">
        <f>IFERROR(_xlfn.XLOOKUP(Table6[[#This Row],[Affected Feeder ]],'Basic Data'!$A:$A,'Basic Data'!$B:$B),"")</f>
        <v>PWEPL</v>
      </c>
      <c r="I668" s="79" t="str">
        <f>IFERROR(_xlfn.XLOOKUP(Table6[[#This Row],[Affected Feeder ]],'Basic Data'!$A:$A,'Basic Data'!$C:$C),"")</f>
        <v>MSEDCL</v>
      </c>
      <c r="J668" s="295">
        <f>IFERROR(_xlfn.XLOOKUP(Table6[[#This Row],[Affected Feeder ]],'Basic Data'!$A:$A,'Basic Data'!$E:$E),"")</f>
        <v>2.2727272727272728E-2</v>
      </c>
      <c r="K668" s="296" t="s">
        <v>171</v>
      </c>
      <c r="L668" s="297">
        <v>0.9243055555555556</v>
      </c>
      <c r="M668" s="297">
        <v>0.9243055555555556</v>
      </c>
      <c r="N668" s="297">
        <v>0.93819444444444444</v>
      </c>
      <c r="O668" s="19">
        <f>(Table6[[#This Row],[Work Start TimeStamp]]-Table6[[#This Row],[Fault Start TimeStamp]])*24</f>
        <v>0</v>
      </c>
      <c r="P668" s="19">
        <f>(Table6[[#This Row],[Fault Clearance time]]-Table6[[#This Row],[Fault Start TimeStamp]])*24</f>
        <v>0.33333333333333215</v>
      </c>
      <c r="Q668" s="19">
        <f>(Table6[[#This Row],[Fault Clearance time]]-Table6[[#This Row],[Fault Start TimeStamp]])*24</f>
        <v>0.33333333333333215</v>
      </c>
      <c r="R668" s="79" t="s">
        <v>353</v>
      </c>
      <c r="S668" s="79" t="s">
        <v>339</v>
      </c>
      <c r="T668" s="298">
        <f>IFERROR(Table6[[#This Row],[Breakdown Time]]*Table6[[#This Row],[Plant Equivalent Weightage]],"")</f>
        <v>7.5757575757575491E-3</v>
      </c>
      <c r="U668" s="79" t="s">
        <v>421</v>
      </c>
      <c r="W668" s="79">
        <v>72</v>
      </c>
    </row>
    <row r="669" spans="1:23">
      <c r="A669" s="79">
        <f t="shared" si="10"/>
        <v>668</v>
      </c>
      <c r="B669" s="79">
        <f>YEAR(Table6[[#This Row],[Date]])+IF(MONTH(Table6[[#This Row],[Date]])&gt;=4,1,0)</f>
        <v>2026</v>
      </c>
      <c r="C669" s="79">
        <f>YEAR(Table6[[#This Row],[Date]])</f>
        <v>2025</v>
      </c>
      <c r="D669" s="79" t="s">
        <v>344</v>
      </c>
      <c r="E669" s="284">
        <f>Table6[[#This Row],[Date]]-DAY(Table6[[#This Row],[Date]])+1</f>
        <v>45778</v>
      </c>
      <c r="F669" s="285">
        <v>45799</v>
      </c>
      <c r="G669" s="79" t="s">
        <v>117</v>
      </c>
      <c r="H669" s="79" t="str">
        <f>IFERROR(_xlfn.XLOOKUP(Table6[[#This Row],[Affected Feeder ]],'Basic Data'!$A:$A,'Basic Data'!$B:$B),"")</f>
        <v>PWEPL</v>
      </c>
      <c r="I669" s="79" t="str">
        <f>IFERROR(_xlfn.XLOOKUP(Table6[[#This Row],[Affected Feeder ]],'Basic Data'!$A:$A,'Basic Data'!$C:$C),"")</f>
        <v>MSEDCL</v>
      </c>
      <c r="J669" s="295">
        <f>IFERROR(_xlfn.XLOOKUP(Table6[[#This Row],[Affected Feeder ]],'Basic Data'!$A:$A,'Basic Data'!$E:$E),"")</f>
        <v>2.2727272727272728E-2</v>
      </c>
      <c r="K669" s="296" t="s">
        <v>171</v>
      </c>
      <c r="L669" s="297">
        <v>0.9243055555555556</v>
      </c>
      <c r="M669" s="297">
        <v>0.9243055555555556</v>
      </c>
      <c r="N669" s="297">
        <v>0.93819444444444444</v>
      </c>
      <c r="O669" s="19">
        <f>(Table6[[#This Row],[Work Start TimeStamp]]-Table6[[#This Row],[Fault Start TimeStamp]])*24</f>
        <v>0</v>
      </c>
      <c r="P669" s="19">
        <f>(Table6[[#This Row],[Fault Clearance time]]-Table6[[#This Row],[Fault Start TimeStamp]])*24</f>
        <v>0.33333333333333215</v>
      </c>
      <c r="Q669" s="19">
        <f>(Table6[[#This Row],[Fault Clearance time]]-Table6[[#This Row],[Fault Start TimeStamp]])*24</f>
        <v>0.33333333333333215</v>
      </c>
      <c r="R669" s="79" t="s">
        <v>353</v>
      </c>
      <c r="S669" s="79" t="s">
        <v>339</v>
      </c>
      <c r="T669" s="298">
        <f>IFERROR(Table6[[#This Row],[Breakdown Time]]*Table6[[#This Row],[Plant Equivalent Weightage]],"")</f>
        <v>7.5757575757575491E-3</v>
      </c>
      <c r="U669" s="79" t="s">
        <v>421</v>
      </c>
      <c r="W669" s="79">
        <v>72</v>
      </c>
    </row>
    <row r="670" spans="1:23">
      <c r="A670" s="79">
        <f t="shared" si="10"/>
        <v>669</v>
      </c>
      <c r="B670" s="79">
        <f>YEAR(Table6[[#This Row],[Date]])+IF(MONTH(Table6[[#This Row],[Date]])&gt;=4,1,0)</f>
        <v>2026</v>
      </c>
      <c r="C670" s="79">
        <f>YEAR(Table6[[#This Row],[Date]])</f>
        <v>2025</v>
      </c>
      <c r="D670" s="79" t="s">
        <v>344</v>
      </c>
      <c r="E670" s="284">
        <f>Table6[[#This Row],[Date]]-DAY(Table6[[#This Row],[Date]])+1</f>
        <v>45778</v>
      </c>
      <c r="F670" s="285">
        <v>45799</v>
      </c>
      <c r="G670" s="79" t="s">
        <v>118</v>
      </c>
      <c r="H670" s="79" t="str">
        <f>IFERROR(_xlfn.XLOOKUP(Table6[[#This Row],[Affected Feeder ]],'Basic Data'!$A:$A,'Basic Data'!$B:$B),"")</f>
        <v>PWEPL</v>
      </c>
      <c r="I670" s="79" t="str">
        <f>IFERROR(_xlfn.XLOOKUP(Table6[[#This Row],[Affected Feeder ]],'Basic Data'!$A:$A,'Basic Data'!$C:$C),"")</f>
        <v>MSEDCL</v>
      </c>
      <c r="J670" s="295">
        <f>IFERROR(_xlfn.XLOOKUP(Table6[[#This Row],[Affected Feeder ]],'Basic Data'!$A:$A,'Basic Data'!$E:$E),"")</f>
        <v>2.2727272727272728E-2</v>
      </c>
      <c r="K670" s="296" t="s">
        <v>171</v>
      </c>
      <c r="L670" s="297">
        <v>0.9243055555555556</v>
      </c>
      <c r="M670" s="297">
        <v>0.9243055555555556</v>
      </c>
      <c r="N670" s="297">
        <v>0.93819444444444444</v>
      </c>
      <c r="O670" s="19">
        <f>(Table6[[#This Row],[Work Start TimeStamp]]-Table6[[#This Row],[Fault Start TimeStamp]])*24</f>
        <v>0</v>
      </c>
      <c r="P670" s="19">
        <f>(Table6[[#This Row],[Fault Clearance time]]-Table6[[#This Row],[Fault Start TimeStamp]])*24</f>
        <v>0.33333333333333215</v>
      </c>
      <c r="Q670" s="19">
        <f>(Table6[[#This Row],[Fault Clearance time]]-Table6[[#This Row],[Fault Start TimeStamp]])*24</f>
        <v>0.33333333333333215</v>
      </c>
      <c r="R670" s="79" t="s">
        <v>353</v>
      </c>
      <c r="S670" s="79" t="s">
        <v>339</v>
      </c>
      <c r="T670" s="298">
        <f>IFERROR(Table6[[#This Row],[Breakdown Time]]*Table6[[#This Row],[Plant Equivalent Weightage]],"")</f>
        <v>7.5757575757575491E-3</v>
      </c>
      <c r="U670" s="79" t="s">
        <v>421</v>
      </c>
      <c r="W670" s="79">
        <v>72</v>
      </c>
    </row>
    <row r="671" spans="1:23">
      <c r="A671" s="79">
        <f t="shared" si="10"/>
        <v>670</v>
      </c>
      <c r="B671" s="79">
        <f>YEAR(Table6[[#This Row],[Date]])+IF(MONTH(Table6[[#This Row],[Date]])&gt;=4,1,0)</f>
        <v>2026</v>
      </c>
      <c r="C671" s="79">
        <f>YEAR(Table6[[#This Row],[Date]])</f>
        <v>2025</v>
      </c>
      <c r="D671" s="79" t="s">
        <v>344</v>
      </c>
      <c r="E671" s="284">
        <f>Table6[[#This Row],[Date]]-DAY(Table6[[#This Row],[Date]])+1</f>
        <v>45778</v>
      </c>
      <c r="F671" s="285">
        <v>45800</v>
      </c>
      <c r="G671" s="79" t="s">
        <v>406</v>
      </c>
      <c r="H671" s="79" t="str">
        <f>IFERROR(_xlfn.XLOOKUP(Table6[[#This Row],[Affected Feeder ]],'Basic Data'!$A:$A,'Basic Data'!$B:$B),"")</f>
        <v>PWEPL</v>
      </c>
      <c r="I671" s="79" t="str">
        <f>IFERROR(_xlfn.XLOOKUP(Table6[[#This Row],[Affected Feeder ]],'Basic Data'!$A:$A,'Basic Data'!$C:$C),"")</f>
        <v>MSEDCL</v>
      </c>
      <c r="J671" s="295">
        <f>IFERROR(_xlfn.XLOOKUP(Table6[[#This Row],[Affected Feeder ]],'Basic Data'!$A:$A,'Basic Data'!$E:$E),"")</f>
        <v>0.29545454545454541</v>
      </c>
      <c r="K671" s="296" t="s">
        <v>419</v>
      </c>
      <c r="L671" s="297">
        <v>5.8333333333333327E-2</v>
      </c>
      <c r="M671" s="297">
        <v>5.8333333333333327E-2</v>
      </c>
      <c r="N671" s="297">
        <v>7.2222222222222229E-2</v>
      </c>
      <c r="O671" s="19">
        <f>(Table6[[#This Row],[Work Start TimeStamp]]-Table6[[#This Row],[Fault Start TimeStamp]])*24</f>
        <v>0</v>
      </c>
      <c r="P671" s="19">
        <f>(Table6[[#This Row],[Fault Clearance time]]-Table6[[#This Row],[Fault Start TimeStamp]])*24</f>
        <v>0.33333333333333365</v>
      </c>
      <c r="Q671" s="19">
        <f>(Table6[[#This Row],[Fault Clearance time]]-Table6[[#This Row],[Fault Start TimeStamp]])*24</f>
        <v>0.33333333333333365</v>
      </c>
      <c r="R671" s="79" t="s">
        <v>420</v>
      </c>
      <c r="S671" s="79" t="s">
        <v>339</v>
      </c>
      <c r="T671" s="298">
        <f>IFERROR(Table6[[#This Row],[Breakdown Time]]*Table6[[#This Row],[Plant Equivalent Weightage]],"")</f>
        <v>9.8484848484848564E-2</v>
      </c>
      <c r="U671" s="79" t="s">
        <v>421</v>
      </c>
      <c r="W671" s="79">
        <v>1248</v>
      </c>
    </row>
    <row r="672" spans="1:23">
      <c r="A672" s="79">
        <f t="shared" si="10"/>
        <v>671</v>
      </c>
      <c r="B672" s="79">
        <f>YEAR(Table6[[#This Row],[Date]])+IF(MONTH(Table6[[#This Row],[Date]])&gt;=4,1,0)</f>
        <v>2026</v>
      </c>
      <c r="C672" s="79">
        <f>YEAR(Table6[[#This Row],[Date]])</f>
        <v>2025</v>
      </c>
      <c r="D672" s="79" t="s">
        <v>344</v>
      </c>
      <c r="E672" s="284">
        <f>Table6[[#This Row],[Date]]-DAY(Table6[[#This Row],[Date]])+1</f>
        <v>45778</v>
      </c>
      <c r="F672" s="285">
        <v>45800</v>
      </c>
      <c r="G672" s="79" t="s">
        <v>76</v>
      </c>
      <c r="H672" s="79" t="str">
        <f>IFERROR(_xlfn.XLOOKUP(Table6[[#This Row],[Affected Feeder ]],'Basic Data'!$A:$A,'Basic Data'!$B:$B),"")</f>
        <v>PWEPL</v>
      </c>
      <c r="I672" s="79" t="str">
        <f>IFERROR(_xlfn.XLOOKUP(Table6[[#This Row],[Affected Feeder ]],'Basic Data'!$A:$A,'Basic Data'!$C:$C),"")</f>
        <v>MSEDCL</v>
      </c>
      <c r="J672" s="295">
        <f>IFERROR(_xlfn.XLOOKUP(Table6[[#This Row],[Affected Feeder ]],'Basic Data'!$A:$A,'Basic Data'!$E:$E),"")</f>
        <v>2.2727272727272728E-2</v>
      </c>
      <c r="K672" s="296" t="s">
        <v>171</v>
      </c>
      <c r="L672" s="297">
        <v>7.2222222222222229E-2</v>
      </c>
      <c r="M672" s="297">
        <v>7.2222222222222229E-2</v>
      </c>
      <c r="N672" s="297">
        <v>7.7777777777777779E-2</v>
      </c>
      <c r="O672" s="19">
        <f>(Table6[[#This Row],[Work Start TimeStamp]]-Table6[[#This Row],[Fault Start TimeStamp]])*24</f>
        <v>0</v>
      </c>
      <c r="P672" s="19">
        <f>(Table6[[#This Row],[Fault Clearance time]]-Table6[[#This Row],[Fault Start TimeStamp]])*24</f>
        <v>0.13333333333333319</v>
      </c>
      <c r="Q672" s="19">
        <f>(Table6[[#This Row],[Fault Clearance time]]-Table6[[#This Row],[Fault Start TimeStamp]])*24</f>
        <v>0.13333333333333319</v>
      </c>
      <c r="R672" s="79" t="s">
        <v>353</v>
      </c>
      <c r="S672" s="79" t="s">
        <v>339</v>
      </c>
      <c r="T672" s="298">
        <f>IFERROR(Table6[[#This Row],[Breakdown Time]]*Table6[[#This Row],[Plant Equivalent Weightage]],"")</f>
        <v>3.0303030303030273E-3</v>
      </c>
      <c r="U672" s="79" t="s">
        <v>421</v>
      </c>
      <c r="W672" s="79">
        <v>96</v>
      </c>
    </row>
    <row r="673" spans="1:23">
      <c r="A673" s="79">
        <f t="shared" si="10"/>
        <v>672</v>
      </c>
      <c r="B673" s="79">
        <f>YEAR(Table6[[#This Row],[Date]])+IF(MONTH(Table6[[#This Row],[Date]])&gt;=4,1,0)</f>
        <v>2026</v>
      </c>
      <c r="C673" s="79">
        <f>YEAR(Table6[[#This Row],[Date]])</f>
        <v>2025</v>
      </c>
      <c r="D673" s="79" t="s">
        <v>344</v>
      </c>
      <c r="E673" s="284">
        <f>Table6[[#This Row],[Date]]-DAY(Table6[[#This Row],[Date]])+1</f>
        <v>45778</v>
      </c>
      <c r="F673" s="285">
        <v>45800</v>
      </c>
      <c r="G673" s="79" t="s">
        <v>77</v>
      </c>
      <c r="H673" s="79" t="str">
        <f>IFERROR(_xlfn.XLOOKUP(Table6[[#This Row],[Affected Feeder ]],'Basic Data'!$A:$A,'Basic Data'!$B:$B),"")</f>
        <v>PWEPL</v>
      </c>
      <c r="I673" s="79" t="str">
        <f>IFERROR(_xlfn.XLOOKUP(Table6[[#This Row],[Affected Feeder ]],'Basic Data'!$A:$A,'Basic Data'!$C:$C),"")</f>
        <v>MSEDCL</v>
      </c>
      <c r="J673" s="295">
        <f>IFERROR(_xlfn.XLOOKUP(Table6[[#This Row],[Affected Feeder ]],'Basic Data'!$A:$A,'Basic Data'!$E:$E),"")</f>
        <v>2.2727272727272728E-2</v>
      </c>
      <c r="K673" s="296" t="s">
        <v>171</v>
      </c>
      <c r="L673" s="297">
        <v>7.2222222222222229E-2</v>
      </c>
      <c r="M673" s="297">
        <v>7.2222222222222229E-2</v>
      </c>
      <c r="N673" s="297">
        <v>7.7777777777777779E-2</v>
      </c>
      <c r="O673" s="19">
        <f>(Table6[[#This Row],[Work Start TimeStamp]]-Table6[[#This Row],[Fault Start TimeStamp]])*24</f>
        <v>0</v>
      </c>
      <c r="P673" s="19">
        <f>(Table6[[#This Row],[Fault Clearance time]]-Table6[[#This Row],[Fault Start TimeStamp]])*24</f>
        <v>0.13333333333333319</v>
      </c>
      <c r="Q673" s="19">
        <f>(Table6[[#This Row],[Fault Clearance time]]-Table6[[#This Row],[Fault Start TimeStamp]])*24</f>
        <v>0.13333333333333319</v>
      </c>
      <c r="R673" s="79" t="s">
        <v>353</v>
      </c>
      <c r="S673" s="79" t="s">
        <v>339</v>
      </c>
      <c r="T673" s="298">
        <f>IFERROR(Table6[[#This Row],[Breakdown Time]]*Table6[[#This Row],[Plant Equivalent Weightage]],"")</f>
        <v>3.0303030303030273E-3</v>
      </c>
      <c r="U673" s="79" t="s">
        <v>421</v>
      </c>
      <c r="W673" s="79">
        <v>96</v>
      </c>
    </row>
    <row r="674" spans="1:23">
      <c r="A674" s="79">
        <f t="shared" si="10"/>
        <v>673</v>
      </c>
      <c r="B674" s="79">
        <f>YEAR(Table6[[#This Row],[Date]])+IF(MONTH(Table6[[#This Row],[Date]])&gt;=4,1,0)</f>
        <v>2026</v>
      </c>
      <c r="C674" s="79">
        <f>YEAR(Table6[[#This Row],[Date]])</f>
        <v>2025</v>
      </c>
      <c r="D674" s="79" t="s">
        <v>344</v>
      </c>
      <c r="E674" s="284">
        <f>Table6[[#This Row],[Date]]-DAY(Table6[[#This Row],[Date]])+1</f>
        <v>45778</v>
      </c>
      <c r="F674" s="285">
        <v>45800</v>
      </c>
      <c r="G674" s="79" t="s">
        <v>78</v>
      </c>
      <c r="H674" s="79" t="str">
        <f>IFERROR(_xlfn.XLOOKUP(Table6[[#This Row],[Affected Feeder ]],'Basic Data'!$A:$A,'Basic Data'!$B:$B),"")</f>
        <v>PWEPL</v>
      </c>
      <c r="I674" s="79" t="str">
        <f>IFERROR(_xlfn.XLOOKUP(Table6[[#This Row],[Affected Feeder ]],'Basic Data'!$A:$A,'Basic Data'!$C:$C),"")</f>
        <v>MSEDCL</v>
      </c>
      <c r="J674" s="295">
        <f>IFERROR(_xlfn.XLOOKUP(Table6[[#This Row],[Affected Feeder ]],'Basic Data'!$A:$A,'Basic Data'!$E:$E),"")</f>
        <v>2.2727272727272728E-2</v>
      </c>
      <c r="K674" s="296" t="s">
        <v>171</v>
      </c>
      <c r="L674" s="297">
        <v>7.2222222222222229E-2</v>
      </c>
      <c r="M674" s="297">
        <v>7.2222222222222229E-2</v>
      </c>
      <c r="N674" s="297">
        <v>7.7777777777777779E-2</v>
      </c>
      <c r="O674" s="19">
        <f>(Table6[[#This Row],[Work Start TimeStamp]]-Table6[[#This Row],[Fault Start TimeStamp]])*24</f>
        <v>0</v>
      </c>
      <c r="P674" s="19">
        <f>(Table6[[#This Row],[Fault Clearance time]]-Table6[[#This Row],[Fault Start TimeStamp]])*24</f>
        <v>0.13333333333333319</v>
      </c>
      <c r="Q674" s="19">
        <f>(Table6[[#This Row],[Fault Clearance time]]-Table6[[#This Row],[Fault Start TimeStamp]])*24</f>
        <v>0.13333333333333319</v>
      </c>
      <c r="R674" s="79" t="s">
        <v>353</v>
      </c>
      <c r="S674" s="79" t="s">
        <v>339</v>
      </c>
      <c r="T674" s="298">
        <f>IFERROR(Table6[[#This Row],[Breakdown Time]]*Table6[[#This Row],[Plant Equivalent Weightage]],"")</f>
        <v>3.0303030303030273E-3</v>
      </c>
      <c r="U674" s="79" t="s">
        <v>421</v>
      </c>
      <c r="W674" s="79">
        <v>96</v>
      </c>
    </row>
    <row r="675" spans="1:23">
      <c r="A675" s="79">
        <f t="shared" si="10"/>
        <v>674</v>
      </c>
      <c r="B675" s="79">
        <f>YEAR(Table6[[#This Row],[Date]])+IF(MONTH(Table6[[#This Row],[Date]])&gt;=4,1,0)</f>
        <v>2026</v>
      </c>
      <c r="C675" s="79">
        <f>YEAR(Table6[[#This Row],[Date]])</f>
        <v>2025</v>
      </c>
      <c r="D675" s="79" t="s">
        <v>344</v>
      </c>
      <c r="E675" s="284">
        <f>Table6[[#This Row],[Date]]-DAY(Table6[[#This Row],[Date]])+1</f>
        <v>45778</v>
      </c>
      <c r="F675" s="285">
        <v>45800</v>
      </c>
      <c r="G675" s="79" t="s">
        <v>82</v>
      </c>
      <c r="H675" s="79" t="str">
        <f>IFERROR(_xlfn.XLOOKUP(Table6[[#This Row],[Affected Feeder ]],'Basic Data'!$A:$A,'Basic Data'!$B:$B),"")</f>
        <v>PWEPL</v>
      </c>
      <c r="I675" s="79" t="str">
        <f>IFERROR(_xlfn.XLOOKUP(Table6[[#This Row],[Affected Feeder ]],'Basic Data'!$A:$A,'Basic Data'!$C:$C),"")</f>
        <v>MSEDCL</v>
      </c>
      <c r="J675" s="295">
        <f>IFERROR(_xlfn.XLOOKUP(Table6[[#This Row],[Affected Feeder ]],'Basic Data'!$A:$A,'Basic Data'!$E:$E),"")</f>
        <v>2.2727272727272728E-2</v>
      </c>
      <c r="K675" s="296" t="s">
        <v>171</v>
      </c>
      <c r="L675" s="297">
        <v>7.2222222222222229E-2</v>
      </c>
      <c r="M675" s="297">
        <v>7.2222222222222229E-2</v>
      </c>
      <c r="N675" s="297">
        <v>7.7777777777777779E-2</v>
      </c>
      <c r="O675" s="19">
        <f>(Table6[[#This Row],[Work Start TimeStamp]]-Table6[[#This Row],[Fault Start TimeStamp]])*24</f>
        <v>0</v>
      </c>
      <c r="P675" s="19">
        <f>(Table6[[#This Row],[Fault Clearance time]]-Table6[[#This Row],[Fault Start TimeStamp]])*24</f>
        <v>0.13333333333333319</v>
      </c>
      <c r="Q675" s="19">
        <f>(Table6[[#This Row],[Fault Clearance time]]-Table6[[#This Row],[Fault Start TimeStamp]])*24</f>
        <v>0.13333333333333319</v>
      </c>
      <c r="R675" s="79" t="s">
        <v>353</v>
      </c>
      <c r="S675" s="79" t="s">
        <v>339</v>
      </c>
      <c r="T675" s="298">
        <f>IFERROR(Table6[[#This Row],[Breakdown Time]]*Table6[[#This Row],[Plant Equivalent Weightage]],"")</f>
        <v>3.0303030303030273E-3</v>
      </c>
      <c r="U675" s="79" t="s">
        <v>421</v>
      </c>
      <c r="W675" s="79">
        <v>96</v>
      </c>
    </row>
    <row r="676" spans="1:23">
      <c r="A676" s="79">
        <f t="shared" si="10"/>
        <v>675</v>
      </c>
      <c r="B676" s="79">
        <f>YEAR(Table6[[#This Row],[Date]])+IF(MONTH(Table6[[#This Row],[Date]])&gt;=4,1,0)</f>
        <v>2026</v>
      </c>
      <c r="C676" s="79">
        <f>YEAR(Table6[[#This Row],[Date]])</f>
        <v>2025</v>
      </c>
      <c r="D676" s="79" t="s">
        <v>344</v>
      </c>
      <c r="E676" s="284">
        <f>Table6[[#This Row],[Date]]-DAY(Table6[[#This Row],[Date]])+1</f>
        <v>45778</v>
      </c>
      <c r="F676" s="285">
        <v>45800</v>
      </c>
      <c r="G676" s="79" t="s">
        <v>93</v>
      </c>
      <c r="H676" s="79" t="str">
        <f>IFERROR(_xlfn.XLOOKUP(Table6[[#This Row],[Affected Feeder ]],'Basic Data'!$A:$A,'Basic Data'!$B:$B),"")</f>
        <v>PWEPL</v>
      </c>
      <c r="I676" s="79" t="str">
        <f>IFERROR(_xlfn.XLOOKUP(Table6[[#This Row],[Affected Feeder ]],'Basic Data'!$A:$A,'Basic Data'!$C:$C),"")</f>
        <v>MSEDCL</v>
      </c>
      <c r="J676" s="295">
        <f>IFERROR(_xlfn.XLOOKUP(Table6[[#This Row],[Affected Feeder ]],'Basic Data'!$A:$A,'Basic Data'!$E:$E),"")</f>
        <v>2.2727272727272728E-2</v>
      </c>
      <c r="K676" s="296" t="s">
        <v>171</v>
      </c>
      <c r="L676" s="297">
        <v>7.2222222222222229E-2</v>
      </c>
      <c r="M676" s="297">
        <v>7.2222222222222229E-2</v>
      </c>
      <c r="N676" s="297">
        <v>7.7777777777777779E-2</v>
      </c>
      <c r="O676" s="19">
        <f>(Table6[[#This Row],[Work Start TimeStamp]]-Table6[[#This Row],[Fault Start TimeStamp]])*24</f>
        <v>0</v>
      </c>
      <c r="P676" s="19">
        <f>(Table6[[#This Row],[Fault Clearance time]]-Table6[[#This Row],[Fault Start TimeStamp]])*24</f>
        <v>0.13333333333333319</v>
      </c>
      <c r="Q676" s="19">
        <f>(Table6[[#This Row],[Fault Clearance time]]-Table6[[#This Row],[Fault Start TimeStamp]])*24</f>
        <v>0.13333333333333319</v>
      </c>
      <c r="R676" s="79" t="s">
        <v>353</v>
      </c>
      <c r="S676" s="79" t="s">
        <v>339</v>
      </c>
      <c r="T676" s="298">
        <f>IFERROR(Table6[[#This Row],[Breakdown Time]]*Table6[[#This Row],[Plant Equivalent Weightage]],"")</f>
        <v>3.0303030303030273E-3</v>
      </c>
      <c r="U676" s="79" t="s">
        <v>421</v>
      </c>
      <c r="W676" s="79">
        <v>96</v>
      </c>
    </row>
    <row r="677" spans="1:23">
      <c r="A677" s="79">
        <f t="shared" si="10"/>
        <v>676</v>
      </c>
      <c r="B677" s="79">
        <f>YEAR(Table6[[#This Row],[Date]])+IF(MONTH(Table6[[#This Row],[Date]])&gt;=4,1,0)</f>
        <v>2026</v>
      </c>
      <c r="C677" s="79">
        <f>YEAR(Table6[[#This Row],[Date]])</f>
        <v>2025</v>
      </c>
      <c r="D677" s="79" t="s">
        <v>344</v>
      </c>
      <c r="E677" s="284">
        <f>Table6[[#This Row],[Date]]-DAY(Table6[[#This Row],[Date]])+1</f>
        <v>45778</v>
      </c>
      <c r="F677" s="285">
        <v>45800</v>
      </c>
      <c r="G677" s="79" t="s">
        <v>102</v>
      </c>
      <c r="H677" s="79" t="str">
        <f>IFERROR(_xlfn.XLOOKUP(Table6[[#This Row],[Affected Feeder ]],'Basic Data'!$A:$A,'Basic Data'!$B:$B),"")</f>
        <v>PWEPL</v>
      </c>
      <c r="I677" s="79" t="str">
        <f>IFERROR(_xlfn.XLOOKUP(Table6[[#This Row],[Affected Feeder ]],'Basic Data'!$A:$A,'Basic Data'!$C:$C),"")</f>
        <v>MSEDCL</v>
      </c>
      <c r="J677" s="295">
        <f>IFERROR(_xlfn.XLOOKUP(Table6[[#This Row],[Affected Feeder ]],'Basic Data'!$A:$A,'Basic Data'!$E:$E),"")</f>
        <v>2.2727272727272728E-2</v>
      </c>
      <c r="K677" s="296" t="s">
        <v>171</v>
      </c>
      <c r="L677" s="297">
        <v>7.2222222222222229E-2</v>
      </c>
      <c r="M677" s="297">
        <v>7.2222222222222229E-2</v>
      </c>
      <c r="N677" s="297">
        <v>7.7777777777777779E-2</v>
      </c>
      <c r="O677" s="19">
        <f>(Table6[[#This Row],[Work Start TimeStamp]]-Table6[[#This Row],[Fault Start TimeStamp]])*24</f>
        <v>0</v>
      </c>
      <c r="P677" s="19">
        <f>(Table6[[#This Row],[Fault Clearance time]]-Table6[[#This Row],[Fault Start TimeStamp]])*24</f>
        <v>0.13333333333333319</v>
      </c>
      <c r="Q677" s="19">
        <f>(Table6[[#This Row],[Fault Clearance time]]-Table6[[#This Row],[Fault Start TimeStamp]])*24</f>
        <v>0.13333333333333319</v>
      </c>
      <c r="R677" s="79" t="s">
        <v>353</v>
      </c>
      <c r="S677" s="79" t="s">
        <v>339</v>
      </c>
      <c r="T677" s="298">
        <f>IFERROR(Table6[[#This Row],[Breakdown Time]]*Table6[[#This Row],[Plant Equivalent Weightage]],"")</f>
        <v>3.0303030303030273E-3</v>
      </c>
      <c r="U677" s="79" t="s">
        <v>421</v>
      </c>
      <c r="W677" s="79">
        <v>96</v>
      </c>
    </row>
    <row r="678" spans="1:23">
      <c r="A678" s="79">
        <f t="shared" si="10"/>
        <v>677</v>
      </c>
      <c r="B678" s="79">
        <f>YEAR(Table6[[#This Row],[Date]])+IF(MONTH(Table6[[#This Row],[Date]])&gt;=4,1,0)</f>
        <v>2026</v>
      </c>
      <c r="C678" s="79">
        <f>YEAR(Table6[[#This Row],[Date]])</f>
        <v>2025</v>
      </c>
      <c r="D678" s="79" t="s">
        <v>344</v>
      </c>
      <c r="E678" s="284">
        <f>Table6[[#This Row],[Date]]-DAY(Table6[[#This Row],[Date]])+1</f>
        <v>45778</v>
      </c>
      <c r="F678" s="285">
        <v>45800</v>
      </c>
      <c r="G678" s="79" t="s">
        <v>119</v>
      </c>
      <c r="H678" s="79" t="str">
        <f>IFERROR(_xlfn.XLOOKUP(Table6[[#This Row],[Affected Feeder ]],'Basic Data'!$A:$A,'Basic Data'!$B:$B),"")</f>
        <v>PWEPL</v>
      </c>
      <c r="I678" s="79" t="str">
        <f>IFERROR(_xlfn.XLOOKUP(Table6[[#This Row],[Affected Feeder ]],'Basic Data'!$A:$A,'Basic Data'!$C:$C),"")</f>
        <v>MSEDCL</v>
      </c>
      <c r="J678" s="295">
        <f>IFERROR(_xlfn.XLOOKUP(Table6[[#This Row],[Affected Feeder ]],'Basic Data'!$A:$A,'Basic Data'!$E:$E),"")</f>
        <v>2.2727272727272728E-2</v>
      </c>
      <c r="K678" s="296" t="s">
        <v>171</v>
      </c>
      <c r="L678" s="297">
        <v>7.2222222222222229E-2</v>
      </c>
      <c r="M678" s="297">
        <v>7.2222222222222229E-2</v>
      </c>
      <c r="N678" s="297">
        <v>7.7777777777777779E-2</v>
      </c>
      <c r="O678" s="19">
        <f>(Table6[[#This Row],[Work Start TimeStamp]]-Table6[[#This Row],[Fault Start TimeStamp]])*24</f>
        <v>0</v>
      </c>
      <c r="P678" s="19">
        <f>(Table6[[#This Row],[Fault Clearance time]]-Table6[[#This Row],[Fault Start TimeStamp]])*24</f>
        <v>0.13333333333333319</v>
      </c>
      <c r="Q678" s="19">
        <f>(Table6[[#This Row],[Fault Clearance time]]-Table6[[#This Row],[Fault Start TimeStamp]])*24</f>
        <v>0.13333333333333319</v>
      </c>
      <c r="R678" s="79" t="s">
        <v>353</v>
      </c>
      <c r="S678" s="79" t="s">
        <v>339</v>
      </c>
      <c r="T678" s="298">
        <f>IFERROR(Table6[[#This Row],[Breakdown Time]]*Table6[[#This Row],[Plant Equivalent Weightage]],"")</f>
        <v>3.0303030303030273E-3</v>
      </c>
      <c r="U678" s="79" t="s">
        <v>421</v>
      </c>
      <c r="W678" s="79">
        <v>96</v>
      </c>
    </row>
    <row r="679" spans="1:23">
      <c r="A679" s="79">
        <f t="shared" si="10"/>
        <v>678</v>
      </c>
      <c r="B679" s="79">
        <f>YEAR(Table6[[#This Row],[Date]])+IF(MONTH(Table6[[#This Row],[Date]])&gt;=4,1,0)</f>
        <v>2026</v>
      </c>
      <c r="C679" s="79">
        <f>YEAR(Table6[[#This Row],[Date]])</f>
        <v>2025</v>
      </c>
      <c r="D679" s="79" t="s">
        <v>344</v>
      </c>
      <c r="E679" s="284">
        <f>Table6[[#This Row],[Date]]-DAY(Table6[[#This Row],[Date]])+1</f>
        <v>45778</v>
      </c>
      <c r="F679" s="285">
        <v>45800</v>
      </c>
      <c r="G679" s="79" t="s">
        <v>103</v>
      </c>
      <c r="H679" s="79" t="str">
        <f>IFERROR(_xlfn.XLOOKUP(Table6[[#This Row],[Affected Feeder ]],'Basic Data'!$A:$A,'Basic Data'!$B:$B),"")</f>
        <v>PWEPL</v>
      </c>
      <c r="I679" s="79" t="str">
        <f>IFERROR(_xlfn.XLOOKUP(Table6[[#This Row],[Affected Feeder ]],'Basic Data'!$A:$A,'Basic Data'!$C:$C),"")</f>
        <v>MSEDCL</v>
      </c>
      <c r="J679" s="295">
        <f>IFERROR(_xlfn.XLOOKUP(Table6[[#This Row],[Affected Feeder ]],'Basic Data'!$A:$A,'Basic Data'!$E:$E),"")</f>
        <v>2.2727272727272728E-2</v>
      </c>
      <c r="K679" s="296" t="s">
        <v>171</v>
      </c>
      <c r="L679" s="297">
        <v>7.2222222222222229E-2</v>
      </c>
      <c r="M679" s="297">
        <v>7.2222222222222229E-2</v>
      </c>
      <c r="N679" s="297">
        <v>7.7777777777777779E-2</v>
      </c>
      <c r="O679" s="19">
        <f>(Table6[[#This Row],[Work Start TimeStamp]]-Table6[[#This Row],[Fault Start TimeStamp]])*24</f>
        <v>0</v>
      </c>
      <c r="P679" s="19">
        <f>(Table6[[#This Row],[Fault Clearance time]]-Table6[[#This Row],[Fault Start TimeStamp]])*24</f>
        <v>0.13333333333333319</v>
      </c>
      <c r="Q679" s="19">
        <f>(Table6[[#This Row],[Fault Clearance time]]-Table6[[#This Row],[Fault Start TimeStamp]])*24</f>
        <v>0.13333333333333319</v>
      </c>
      <c r="R679" s="79" t="s">
        <v>353</v>
      </c>
      <c r="S679" s="79" t="s">
        <v>339</v>
      </c>
      <c r="T679" s="298">
        <f>IFERROR(Table6[[#This Row],[Breakdown Time]]*Table6[[#This Row],[Plant Equivalent Weightage]],"")</f>
        <v>3.0303030303030273E-3</v>
      </c>
      <c r="U679" s="79" t="s">
        <v>421</v>
      </c>
      <c r="W679" s="79">
        <v>96</v>
      </c>
    </row>
    <row r="680" spans="1:23">
      <c r="A680" s="79">
        <f t="shared" si="10"/>
        <v>679</v>
      </c>
      <c r="B680" s="79">
        <f>YEAR(Table6[[#This Row],[Date]])+IF(MONTH(Table6[[#This Row],[Date]])&gt;=4,1,0)</f>
        <v>2026</v>
      </c>
      <c r="C680" s="79">
        <f>YEAR(Table6[[#This Row],[Date]])</f>
        <v>2025</v>
      </c>
      <c r="D680" s="79" t="s">
        <v>344</v>
      </c>
      <c r="E680" s="284">
        <f>Table6[[#This Row],[Date]]-DAY(Table6[[#This Row],[Date]])+1</f>
        <v>45778</v>
      </c>
      <c r="F680" s="285">
        <v>45800</v>
      </c>
      <c r="G680" s="79" t="s">
        <v>105</v>
      </c>
      <c r="H680" s="79" t="str">
        <f>IFERROR(_xlfn.XLOOKUP(Table6[[#This Row],[Affected Feeder ]],'Basic Data'!$A:$A,'Basic Data'!$B:$B),"")</f>
        <v>PWEPL</v>
      </c>
      <c r="I680" s="79" t="str">
        <f>IFERROR(_xlfn.XLOOKUP(Table6[[#This Row],[Affected Feeder ]],'Basic Data'!$A:$A,'Basic Data'!$C:$C),"")</f>
        <v>MSEDCL</v>
      </c>
      <c r="J680" s="295">
        <f>IFERROR(_xlfn.XLOOKUP(Table6[[#This Row],[Affected Feeder ]],'Basic Data'!$A:$A,'Basic Data'!$E:$E),"")</f>
        <v>2.2727272727272728E-2</v>
      </c>
      <c r="K680" s="296" t="s">
        <v>171</v>
      </c>
      <c r="L680" s="297">
        <v>7.2222222222222229E-2</v>
      </c>
      <c r="M680" s="297">
        <v>7.2222222222222229E-2</v>
      </c>
      <c r="N680" s="297">
        <v>7.7777777777777779E-2</v>
      </c>
      <c r="O680" s="19">
        <f>(Table6[[#This Row],[Work Start TimeStamp]]-Table6[[#This Row],[Fault Start TimeStamp]])*24</f>
        <v>0</v>
      </c>
      <c r="P680" s="19">
        <f>(Table6[[#This Row],[Fault Clearance time]]-Table6[[#This Row],[Fault Start TimeStamp]])*24</f>
        <v>0.13333333333333319</v>
      </c>
      <c r="Q680" s="19">
        <f>(Table6[[#This Row],[Fault Clearance time]]-Table6[[#This Row],[Fault Start TimeStamp]])*24</f>
        <v>0.13333333333333319</v>
      </c>
      <c r="R680" s="79" t="s">
        <v>353</v>
      </c>
      <c r="S680" s="79" t="s">
        <v>339</v>
      </c>
      <c r="T680" s="298">
        <f>IFERROR(Table6[[#This Row],[Breakdown Time]]*Table6[[#This Row],[Plant Equivalent Weightage]],"")</f>
        <v>3.0303030303030273E-3</v>
      </c>
      <c r="U680" s="79" t="s">
        <v>421</v>
      </c>
      <c r="W680" s="79">
        <v>96</v>
      </c>
    </row>
    <row r="681" spans="1:23">
      <c r="A681" s="79">
        <f t="shared" si="10"/>
        <v>680</v>
      </c>
      <c r="B681" s="79">
        <f>YEAR(Table6[[#This Row],[Date]])+IF(MONTH(Table6[[#This Row],[Date]])&gt;=4,1,0)</f>
        <v>2026</v>
      </c>
      <c r="C681" s="79">
        <f>YEAR(Table6[[#This Row],[Date]])</f>
        <v>2025</v>
      </c>
      <c r="D681" s="79" t="s">
        <v>344</v>
      </c>
      <c r="E681" s="284">
        <f>Table6[[#This Row],[Date]]-DAY(Table6[[#This Row],[Date]])+1</f>
        <v>45778</v>
      </c>
      <c r="F681" s="285">
        <v>45800</v>
      </c>
      <c r="G681" s="79" t="s">
        <v>115</v>
      </c>
      <c r="H681" s="79" t="str">
        <f>IFERROR(_xlfn.XLOOKUP(Table6[[#This Row],[Affected Feeder ]],'Basic Data'!$A:$A,'Basic Data'!$B:$B),"")</f>
        <v>PWEPL</v>
      </c>
      <c r="I681" s="79" t="str">
        <f>IFERROR(_xlfn.XLOOKUP(Table6[[#This Row],[Affected Feeder ]],'Basic Data'!$A:$A,'Basic Data'!$C:$C),"")</f>
        <v>MSEDCL</v>
      </c>
      <c r="J681" s="295">
        <f>IFERROR(_xlfn.XLOOKUP(Table6[[#This Row],[Affected Feeder ]],'Basic Data'!$A:$A,'Basic Data'!$E:$E),"")</f>
        <v>2.2727272727272728E-2</v>
      </c>
      <c r="K681" s="296" t="s">
        <v>171</v>
      </c>
      <c r="L681" s="297">
        <v>7.2222222222222229E-2</v>
      </c>
      <c r="M681" s="297">
        <v>7.2222222222222229E-2</v>
      </c>
      <c r="N681" s="297">
        <v>7.7777777777777779E-2</v>
      </c>
      <c r="O681" s="19">
        <f>(Table6[[#This Row],[Work Start TimeStamp]]-Table6[[#This Row],[Fault Start TimeStamp]])*24</f>
        <v>0</v>
      </c>
      <c r="P681" s="19">
        <f>(Table6[[#This Row],[Fault Clearance time]]-Table6[[#This Row],[Fault Start TimeStamp]])*24</f>
        <v>0.13333333333333319</v>
      </c>
      <c r="Q681" s="19">
        <f>(Table6[[#This Row],[Fault Clearance time]]-Table6[[#This Row],[Fault Start TimeStamp]])*24</f>
        <v>0.13333333333333319</v>
      </c>
      <c r="R681" s="79" t="s">
        <v>353</v>
      </c>
      <c r="S681" s="79" t="s">
        <v>339</v>
      </c>
      <c r="T681" s="298">
        <f>IFERROR(Table6[[#This Row],[Breakdown Time]]*Table6[[#This Row],[Plant Equivalent Weightage]],"")</f>
        <v>3.0303030303030273E-3</v>
      </c>
      <c r="U681" s="79" t="s">
        <v>421</v>
      </c>
      <c r="W681" s="79">
        <v>96</v>
      </c>
    </row>
    <row r="682" spans="1:23">
      <c r="A682" s="79">
        <f t="shared" si="10"/>
        <v>681</v>
      </c>
      <c r="B682" s="79">
        <f>YEAR(Table6[[#This Row],[Date]])+IF(MONTH(Table6[[#This Row],[Date]])&gt;=4,1,0)</f>
        <v>2026</v>
      </c>
      <c r="C682" s="79">
        <f>YEAR(Table6[[#This Row],[Date]])</f>
        <v>2025</v>
      </c>
      <c r="D682" s="79" t="s">
        <v>344</v>
      </c>
      <c r="E682" s="284">
        <f>Table6[[#This Row],[Date]]-DAY(Table6[[#This Row],[Date]])+1</f>
        <v>45778</v>
      </c>
      <c r="F682" s="285">
        <v>45800</v>
      </c>
      <c r="G682" s="79" t="s">
        <v>116</v>
      </c>
      <c r="H682" s="79" t="str">
        <f>IFERROR(_xlfn.XLOOKUP(Table6[[#This Row],[Affected Feeder ]],'Basic Data'!$A:$A,'Basic Data'!$B:$B),"")</f>
        <v>PWEPL</v>
      </c>
      <c r="I682" s="79" t="str">
        <f>IFERROR(_xlfn.XLOOKUP(Table6[[#This Row],[Affected Feeder ]],'Basic Data'!$A:$A,'Basic Data'!$C:$C),"")</f>
        <v>MSEDCL</v>
      </c>
      <c r="J682" s="295">
        <f>IFERROR(_xlfn.XLOOKUP(Table6[[#This Row],[Affected Feeder ]],'Basic Data'!$A:$A,'Basic Data'!$E:$E),"")</f>
        <v>2.2727272727272728E-2</v>
      </c>
      <c r="K682" s="296" t="s">
        <v>171</v>
      </c>
      <c r="L682" s="297">
        <v>7.2222222222222229E-2</v>
      </c>
      <c r="M682" s="297">
        <v>7.2222222222222229E-2</v>
      </c>
      <c r="N682" s="297">
        <v>7.7777777777777779E-2</v>
      </c>
      <c r="O682" s="19">
        <f>(Table6[[#This Row],[Work Start TimeStamp]]-Table6[[#This Row],[Fault Start TimeStamp]])*24</f>
        <v>0</v>
      </c>
      <c r="P682" s="19">
        <f>(Table6[[#This Row],[Fault Clearance time]]-Table6[[#This Row],[Fault Start TimeStamp]])*24</f>
        <v>0.13333333333333319</v>
      </c>
      <c r="Q682" s="19">
        <f>(Table6[[#This Row],[Fault Clearance time]]-Table6[[#This Row],[Fault Start TimeStamp]])*24</f>
        <v>0.13333333333333319</v>
      </c>
      <c r="R682" s="79" t="s">
        <v>353</v>
      </c>
      <c r="S682" s="79" t="s">
        <v>339</v>
      </c>
      <c r="T682" s="298">
        <f>IFERROR(Table6[[#This Row],[Breakdown Time]]*Table6[[#This Row],[Plant Equivalent Weightage]],"")</f>
        <v>3.0303030303030273E-3</v>
      </c>
      <c r="U682" s="79" t="s">
        <v>421</v>
      </c>
      <c r="W682" s="79">
        <v>96</v>
      </c>
    </row>
    <row r="683" spans="1:23">
      <c r="A683" s="79">
        <f t="shared" si="10"/>
        <v>682</v>
      </c>
      <c r="B683" s="79">
        <f>YEAR(Table6[[#This Row],[Date]])+IF(MONTH(Table6[[#This Row],[Date]])&gt;=4,1,0)</f>
        <v>2026</v>
      </c>
      <c r="C683" s="79">
        <f>YEAR(Table6[[#This Row],[Date]])</f>
        <v>2025</v>
      </c>
      <c r="D683" s="79" t="s">
        <v>344</v>
      </c>
      <c r="E683" s="284">
        <f>Table6[[#This Row],[Date]]-DAY(Table6[[#This Row],[Date]])+1</f>
        <v>45778</v>
      </c>
      <c r="F683" s="285">
        <v>45800</v>
      </c>
      <c r="G683" s="79" t="s">
        <v>117</v>
      </c>
      <c r="H683" s="79" t="str">
        <f>IFERROR(_xlfn.XLOOKUP(Table6[[#This Row],[Affected Feeder ]],'Basic Data'!$A:$A,'Basic Data'!$B:$B),"")</f>
        <v>PWEPL</v>
      </c>
      <c r="I683" s="79" t="str">
        <f>IFERROR(_xlfn.XLOOKUP(Table6[[#This Row],[Affected Feeder ]],'Basic Data'!$A:$A,'Basic Data'!$C:$C),"")</f>
        <v>MSEDCL</v>
      </c>
      <c r="J683" s="295">
        <f>IFERROR(_xlfn.XLOOKUP(Table6[[#This Row],[Affected Feeder ]],'Basic Data'!$A:$A,'Basic Data'!$E:$E),"")</f>
        <v>2.2727272727272728E-2</v>
      </c>
      <c r="K683" s="296" t="s">
        <v>171</v>
      </c>
      <c r="L683" s="297">
        <v>7.2222222222222229E-2</v>
      </c>
      <c r="M683" s="297">
        <v>7.2222222222222229E-2</v>
      </c>
      <c r="N683" s="297">
        <v>7.7777777777777779E-2</v>
      </c>
      <c r="O683" s="19">
        <f>(Table6[[#This Row],[Work Start TimeStamp]]-Table6[[#This Row],[Fault Start TimeStamp]])*24</f>
        <v>0</v>
      </c>
      <c r="P683" s="19">
        <f>(Table6[[#This Row],[Fault Clearance time]]-Table6[[#This Row],[Fault Start TimeStamp]])*24</f>
        <v>0.13333333333333319</v>
      </c>
      <c r="Q683" s="19">
        <f>(Table6[[#This Row],[Fault Clearance time]]-Table6[[#This Row],[Fault Start TimeStamp]])*24</f>
        <v>0.13333333333333319</v>
      </c>
      <c r="R683" s="79" t="s">
        <v>353</v>
      </c>
      <c r="S683" s="79" t="s">
        <v>339</v>
      </c>
      <c r="T683" s="298">
        <f>IFERROR(Table6[[#This Row],[Breakdown Time]]*Table6[[#This Row],[Plant Equivalent Weightage]],"")</f>
        <v>3.0303030303030273E-3</v>
      </c>
      <c r="U683" s="79" t="s">
        <v>421</v>
      </c>
      <c r="W683" s="79">
        <v>96</v>
      </c>
    </row>
    <row r="684" spans="1:23">
      <c r="A684" s="79">
        <f t="shared" si="10"/>
        <v>683</v>
      </c>
      <c r="B684" s="79">
        <f>YEAR(Table6[[#This Row],[Date]])+IF(MONTH(Table6[[#This Row],[Date]])&gt;=4,1,0)</f>
        <v>2026</v>
      </c>
      <c r="C684" s="79">
        <f>YEAR(Table6[[#This Row],[Date]])</f>
        <v>2025</v>
      </c>
      <c r="D684" s="79" t="s">
        <v>344</v>
      </c>
      <c r="E684" s="284">
        <f>Table6[[#This Row],[Date]]-DAY(Table6[[#This Row],[Date]])+1</f>
        <v>45778</v>
      </c>
      <c r="F684" s="285">
        <v>45800</v>
      </c>
      <c r="G684" s="79" t="s">
        <v>118</v>
      </c>
      <c r="H684" s="79" t="str">
        <f>IFERROR(_xlfn.XLOOKUP(Table6[[#This Row],[Affected Feeder ]],'Basic Data'!$A:$A,'Basic Data'!$B:$B),"")</f>
        <v>PWEPL</v>
      </c>
      <c r="I684" s="79" t="str">
        <f>IFERROR(_xlfn.XLOOKUP(Table6[[#This Row],[Affected Feeder ]],'Basic Data'!$A:$A,'Basic Data'!$C:$C),"")</f>
        <v>MSEDCL</v>
      </c>
      <c r="J684" s="295">
        <f>IFERROR(_xlfn.XLOOKUP(Table6[[#This Row],[Affected Feeder ]],'Basic Data'!$A:$A,'Basic Data'!$E:$E),"")</f>
        <v>2.2727272727272728E-2</v>
      </c>
      <c r="K684" s="296" t="s">
        <v>171</v>
      </c>
      <c r="L684" s="297">
        <v>7.2222222222222229E-2</v>
      </c>
      <c r="M684" s="297">
        <v>7.2222222222222229E-2</v>
      </c>
      <c r="N684" s="297">
        <v>7.7777777777777779E-2</v>
      </c>
      <c r="O684" s="19">
        <f>(Table6[[#This Row],[Work Start TimeStamp]]-Table6[[#This Row],[Fault Start TimeStamp]])*24</f>
        <v>0</v>
      </c>
      <c r="P684" s="19">
        <f>(Table6[[#This Row],[Fault Clearance time]]-Table6[[#This Row],[Fault Start TimeStamp]])*24</f>
        <v>0.13333333333333319</v>
      </c>
      <c r="Q684" s="19">
        <f>(Table6[[#This Row],[Fault Clearance time]]-Table6[[#This Row],[Fault Start TimeStamp]])*24</f>
        <v>0.13333333333333319</v>
      </c>
      <c r="R684" s="79" t="s">
        <v>353</v>
      </c>
      <c r="S684" s="79" t="s">
        <v>339</v>
      </c>
      <c r="T684" s="298">
        <f>IFERROR(Table6[[#This Row],[Breakdown Time]]*Table6[[#This Row],[Plant Equivalent Weightage]],"")</f>
        <v>3.0303030303030273E-3</v>
      </c>
      <c r="U684" s="79" t="s">
        <v>421</v>
      </c>
      <c r="W684" s="79">
        <v>96</v>
      </c>
    </row>
    <row r="685" spans="1:23">
      <c r="A685" s="79">
        <f t="shared" si="10"/>
        <v>684</v>
      </c>
      <c r="B685" s="79">
        <f>YEAR(Table6[[#This Row],[Date]])+IF(MONTH(Table6[[#This Row],[Date]])&gt;=4,1,0)</f>
        <v>2026</v>
      </c>
      <c r="C685" s="79">
        <f>YEAR(Table6[[#This Row],[Date]])</f>
        <v>2025</v>
      </c>
      <c r="D685" s="79" t="s">
        <v>344</v>
      </c>
      <c r="E685" s="284">
        <f>Table6[[#This Row],[Date]]-DAY(Table6[[#This Row],[Date]])+1</f>
        <v>45778</v>
      </c>
      <c r="F685" s="285">
        <v>45800</v>
      </c>
      <c r="G685" s="79" t="s">
        <v>406</v>
      </c>
      <c r="H685" s="79" t="str">
        <f>IFERROR(_xlfn.XLOOKUP(Table6[[#This Row],[Affected Feeder ]],'Basic Data'!$A:$A,'Basic Data'!$B:$B),"")</f>
        <v>PWEPL</v>
      </c>
      <c r="I685" s="79" t="str">
        <f>IFERROR(_xlfn.XLOOKUP(Table6[[#This Row],[Affected Feeder ]],'Basic Data'!$A:$A,'Basic Data'!$C:$C),"")</f>
        <v>MSEDCL</v>
      </c>
      <c r="J685" s="295">
        <f>IFERROR(_xlfn.XLOOKUP(Table6[[#This Row],[Affected Feeder ]],'Basic Data'!$A:$A,'Basic Data'!$E:$E),"")</f>
        <v>0.29545454545454541</v>
      </c>
      <c r="K685" s="296" t="s">
        <v>419</v>
      </c>
      <c r="L685" s="297">
        <v>7.7777777777777779E-2</v>
      </c>
      <c r="M685" s="297">
        <v>7.7777777777777779E-2</v>
      </c>
      <c r="N685" s="297">
        <v>0.20486111111111113</v>
      </c>
      <c r="O685" s="19">
        <f>(Table6[[#This Row],[Work Start TimeStamp]]-Table6[[#This Row],[Fault Start TimeStamp]])*24</f>
        <v>0</v>
      </c>
      <c r="P685" s="19">
        <f>(Table6[[#This Row],[Fault Clearance time]]-Table6[[#This Row],[Fault Start TimeStamp]])*24</f>
        <v>3.0500000000000007</v>
      </c>
      <c r="Q685" s="19">
        <f>(Table6[[#This Row],[Fault Clearance time]]-Table6[[#This Row],[Fault Start TimeStamp]])*24</f>
        <v>3.0500000000000007</v>
      </c>
      <c r="R685" s="79" t="s">
        <v>834</v>
      </c>
      <c r="S685" s="79" t="s">
        <v>339</v>
      </c>
      <c r="T685" s="298">
        <f>IFERROR(Table6[[#This Row],[Breakdown Time]]*Table6[[#This Row],[Plant Equivalent Weightage]],"")</f>
        <v>0.90113636363636374</v>
      </c>
      <c r="U685" s="79" t="s">
        <v>421</v>
      </c>
      <c r="W685" s="79">
        <v>18067</v>
      </c>
    </row>
    <row r="686" spans="1:23">
      <c r="A686" s="79">
        <f t="shared" si="10"/>
        <v>685</v>
      </c>
      <c r="B686" s="79">
        <f>YEAR(Table6[[#This Row],[Date]])+IF(MONTH(Table6[[#This Row],[Date]])&gt;=4,1,0)</f>
        <v>2026</v>
      </c>
      <c r="C686" s="79">
        <f>YEAR(Table6[[#This Row],[Date]])</f>
        <v>2025</v>
      </c>
      <c r="D686" s="79" t="s">
        <v>344</v>
      </c>
      <c r="E686" s="284">
        <f>Table6[[#This Row],[Date]]-DAY(Table6[[#This Row],[Date]])+1</f>
        <v>45778</v>
      </c>
      <c r="F686" s="285">
        <v>45800</v>
      </c>
      <c r="G686" s="79" t="s">
        <v>76</v>
      </c>
      <c r="H686" s="79" t="str">
        <f>IFERROR(_xlfn.XLOOKUP(Table6[[#This Row],[Affected Feeder ]],'Basic Data'!$A:$A,'Basic Data'!$B:$B),"")</f>
        <v>PWEPL</v>
      </c>
      <c r="I686" s="79" t="str">
        <f>IFERROR(_xlfn.XLOOKUP(Table6[[#This Row],[Affected Feeder ]],'Basic Data'!$A:$A,'Basic Data'!$C:$C),"")</f>
        <v>MSEDCL</v>
      </c>
      <c r="J686" s="295">
        <f>IFERROR(_xlfn.XLOOKUP(Table6[[#This Row],[Affected Feeder ]],'Basic Data'!$A:$A,'Basic Data'!$E:$E),"")</f>
        <v>2.2727272727272728E-2</v>
      </c>
      <c r="K686" s="296" t="s">
        <v>171</v>
      </c>
      <c r="L686" s="297">
        <v>0.20486111111111113</v>
      </c>
      <c r="M686" s="297">
        <v>0.20486111111111113</v>
      </c>
      <c r="N686" s="297">
        <v>0.21875</v>
      </c>
      <c r="O686" s="19">
        <f>(Table6[[#This Row],[Work Start TimeStamp]]-Table6[[#This Row],[Fault Start TimeStamp]])*24</f>
        <v>0</v>
      </c>
      <c r="P686" s="19">
        <f>(Table6[[#This Row],[Fault Clearance time]]-Table6[[#This Row],[Fault Start TimeStamp]])*24</f>
        <v>0.33333333333333282</v>
      </c>
      <c r="Q686" s="19">
        <f>(Table6[[#This Row],[Fault Clearance time]]-Table6[[#This Row],[Fault Start TimeStamp]])*24</f>
        <v>0.33333333333333282</v>
      </c>
      <c r="R686" s="79" t="s">
        <v>353</v>
      </c>
      <c r="S686" s="79" t="s">
        <v>339</v>
      </c>
      <c r="T686" s="298">
        <f>IFERROR(Table6[[#This Row],[Breakdown Time]]*Table6[[#This Row],[Plant Equivalent Weightage]],"")</f>
        <v>7.5757575757575638E-3</v>
      </c>
      <c r="U686" s="79" t="s">
        <v>421</v>
      </c>
      <c r="W686" s="79">
        <v>150</v>
      </c>
    </row>
    <row r="687" spans="1:23">
      <c r="A687" s="79">
        <f t="shared" si="10"/>
        <v>686</v>
      </c>
      <c r="B687" s="79">
        <f>YEAR(Table6[[#This Row],[Date]])+IF(MONTH(Table6[[#This Row],[Date]])&gt;=4,1,0)</f>
        <v>2026</v>
      </c>
      <c r="C687" s="79">
        <f>YEAR(Table6[[#This Row],[Date]])</f>
        <v>2025</v>
      </c>
      <c r="D687" s="79" t="s">
        <v>344</v>
      </c>
      <c r="E687" s="284">
        <f>Table6[[#This Row],[Date]]-DAY(Table6[[#This Row],[Date]])+1</f>
        <v>45778</v>
      </c>
      <c r="F687" s="285">
        <v>45800</v>
      </c>
      <c r="G687" s="79" t="s">
        <v>77</v>
      </c>
      <c r="H687" s="79" t="str">
        <f>IFERROR(_xlfn.XLOOKUP(Table6[[#This Row],[Affected Feeder ]],'Basic Data'!$A:$A,'Basic Data'!$B:$B),"")</f>
        <v>PWEPL</v>
      </c>
      <c r="I687" s="79" t="str">
        <f>IFERROR(_xlfn.XLOOKUP(Table6[[#This Row],[Affected Feeder ]],'Basic Data'!$A:$A,'Basic Data'!$C:$C),"")</f>
        <v>MSEDCL</v>
      </c>
      <c r="J687" s="295">
        <f>IFERROR(_xlfn.XLOOKUP(Table6[[#This Row],[Affected Feeder ]],'Basic Data'!$A:$A,'Basic Data'!$E:$E),"")</f>
        <v>2.2727272727272728E-2</v>
      </c>
      <c r="K687" s="296" t="s">
        <v>171</v>
      </c>
      <c r="L687" s="297">
        <v>0.20486111111111113</v>
      </c>
      <c r="M687" s="297">
        <v>0.20486111111111113</v>
      </c>
      <c r="N687" s="297">
        <v>0.21875</v>
      </c>
      <c r="O687" s="19">
        <f>(Table6[[#This Row],[Work Start TimeStamp]]-Table6[[#This Row],[Fault Start TimeStamp]])*24</f>
        <v>0</v>
      </c>
      <c r="P687" s="19">
        <f>(Table6[[#This Row],[Fault Clearance time]]-Table6[[#This Row],[Fault Start TimeStamp]])*24</f>
        <v>0.33333333333333282</v>
      </c>
      <c r="Q687" s="19">
        <f>(Table6[[#This Row],[Fault Clearance time]]-Table6[[#This Row],[Fault Start TimeStamp]])*24</f>
        <v>0.33333333333333282</v>
      </c>
      <c r="R687" s="79" t="s">
        <v>353</v>
      </c>
      <c r="S687" s="79" t="s">
        <v>339</v>
      </c>
      <c r="T687" s="298">
        <f>IFERROR(Table6[[#This Row],[Breakdown Time]]*Table6[[#This Row],[Plant Equivalent Weightage]],"")</f>
        <v>7.5757575757575638E-3</v>
      </c>
      <c r="U687" s="79" t="s">
        <v>421</v>
      </c>
      <c r="W687" s="79">
        <v>150</v>
      </c>
    </row>
    <row r="688" spans="1:23">
      <c r="A688" s="79">
        <f t="shared" si="10"/>
        <v>687</v>
      </c>
      <c r="B688" s="79">
        <f>YEAR(Table6[[#This Row],[Date]])+IF(MONTH(Table6[[#This Row],[Date]])&gt;=4,1,0)</f>
        <v>2026</v>
      </c>
      <c r="C688" s="79">
        <f>YEAR(Table6[[#This Row],[Date]])</f>
        <v>2025</v>
      </c>
      <c r="D688" s="79" t="s">
        <v>344</v>
      </c>
      <c r="E688" s="284">
        <f>Table6[[#This Row],[Date]]-DAY(Table6[[#This Row],[Date]])+1</f>
        <v>45778</v>
      </c>
      <c r="F688" s="285">
        <v>45800</v>
      </c>
      <c r="G688" s="79" t="s">
        <v>78</v>
      </c>
      <c r="H688" s="79" t="str">
        <f>IFERROR(_xlfn.XLOOKUP(Table6[[#This Row],[Affected Feeder ]],'Basic Data'!$A:$A,'Basic Data'!$B:$B),"")</f>
        <v>PWEPL</v>
      </c>
      <c r="I688" s="79" t="str">
        <f>IFERROR(_xlfn.XLOOKUP(Table6[[#This Row],[Affected Feeder ]],'Basic Data'!$A:$A,'Basic Data'!$C:$C),"")</f>
        <v>MSEDCL</v>
      </c>
      <c r="J688" s="295">
        <f>IFERROR(_xlfn.XLOOKUP(Table6[[#This Row],[Affected Feeder ]],'Basic Data'!$A:$A,'Basic Data'!$E:$E),"")</f>
        <v>2.2727272727272728E-2</v>
      </c>
      <c r="K688" s="296" t="s">
        <v>171</v>
      </c>
      <c r="L688" s="297">
        <v>0.20486111111111113</v>
      </c>
      <c r="M688" s="297">
        <v>0.20486111111111113</v>
      </c>
      <c r="N688" s="297">
        <v>0.21875</v>
      </c>
      <c r="O688" s="19">
        <f>(Table6[[#This Row],[Work Start TimeStamp]]-Table6[[#This Row],[Fault Start TimeStamp]])*24</f>
        <v>0</v>
      </c>
      <c r="P688" s="19">
        <f>(Table6[[#This Row],[Fault Clearance time]]-Table6[[#This Row],[Fault Start TimeStamp]])*24</f>
        <v>0.33333333333333282</v>
      </c>
      <c r="Q688" s="19">
        <f>(Table6[[#This Row],[Fault Clearance time]]-Table6[[#This Row],[Fault Start TimeStamp]])*24</f>
        <v>0.33333333333333282</v>
      </c>
      <c r="R688" s="79" t="s">
        <v>353</v>
      </c>
      <c r="S688" s="79" t="s">
        <v>339</v>
      </c>
      <c r="T688" s="298">
        <f>IFERROR(Table6[[#This Row],[Breakdown Time]]*Table6[[#This Row],[Plant Equivalent Weightage]],"")</f>
        <v>7.5757575757575638E-3</v>
      </c>
      <c r="U688" s="79" t="s">
        <v>421</v>
      </c>
      <c r="W688" s="79">
        <v>150</v>
      </c>
    </row>
    <row r="689" spans="1:23">
      <c r="A689" s="79">
        <f t="shared" si="10"/>
        <v>688</v>
      </c>
      <c r="B689" s="79">
        <f>YEAR(Table6[[#This Row],[Date]])+IF(MONTH(Table6[[#This Row],[Date]])&gt;=4,1,0)</f>
        <v>2026</v>
      </c>
      <c r="C689" s="79">
        <f>YEAR(Table6[[#This Row],[Date]])</f>
        <v>2025</v>
      </c>
      <c r="D689" s="79" t="s">
        <v>344</v>
      </c>
      <c r="E689" s="284">
        <f>Table6[[#This Row],[Date]]-DAY(Table6[[#This Row],[Date]])+1</f>
        <v>45778</v>
      </c>
      <c r="F689" s="285">
        <v>45800</v>
      </c>
      <c r="G689" s="79" t="s">
        <v>82</v>
      </c>
      <c r="H689" s="79" t="str">
        <f>IFERROR(_xlfn.XLOOKUP(Table6[[#This Row],[Affected Feeder ]],'Basic Data'!$A:$A,'Basic Data'!$B:$B),"")</f>
        <v>PWEPL</v>
      </c>
      <c r="I689" s="79" t="str">
        <f>IFERROR(_xlfn.XLOOKUP(Table6[[#This Row],[Affected Feeder ]],'Basic Data'!$A:$A,'Basic Data'!$C:$C),"")</f>
        <v>MSEDCL</v>
      </c>
      <c r="J689" s="295">
        <f>IFERROR(_xlfn.XLOOKUP(Table6[[#This Row],[Affected Feeder ]],'Basic Data'!$A:$A,'Basic Data'!$E:$E),"")</f>
        <v>2.2727272727272728E-2</v>
      </c>
      <c r="K689" s="296" t="s">
        <v>171</v>
      </c>
      <c r="L689" s="297">
        <v>0.20486111111111113</v>
      </c>
      <c r="M689" s="297">
        <v>0.20486111111111113</v>
      </c>
      <c r="N689" s="297">
        <v>0.21875</v>
      </c>
      <c r="O689" s="19">
        <f>(Table6[[#This Row],[Work Start TimeStamp]]-Table6[[#This Row],[Fault Start TimeStamp]])*24</f>
        <v>0</v>
      </c>
      <c r="P689" s="19">
        <f>(Table6[[#This Row],[Fault Clearance time]]-Table6[[#This Row],[Fault Start TimeStamp]])*24</f>
        <v>0.33333333333333282</v>
      </c>
      <c r="Q689" s="19">
        <f>(Table6[[#This Row],[Fault Clearance time]]-Table6[[#This Row],[Fault Start TimeStamp]])*24</f>
        <v>0.33333333333333282</v>
      </c>
      <c r="R689" s="79" t="s">
        <v>353</v>
      </c>
      <c r="S689" s="79" t="s">
        <v>339</v>
      </c>
      <c r="T689" s="298">
        <f>IFERROR(Table6[[#This Row],[Breakdown Time]]*Table6[[#This Row],[Plant Equivalent Weightage]],"")</f>
        <v>7.5757575757575638E-3</v>
      </c>
      <c r="U689" s="79" t="s">
        <v>421</v>
      </c>
      <c r="W689" s="79">
        <v>150</v>
      </c>
    </row>
    <row r="690" spans="1:23">
      <c r="A690" s="79">
        <f t="shared" si="10"/>
        <v>689</v>
      </c>
      <c r="B690" s="79">
        <f>YEAR(Table6[[#This Row],[Date]])+IF(MONTH(Table6[[#This Row],[Date]])&gt;=4,1,0)</f>
        <v>2026</v>
      </c>
      <c r="C690" s="79">
        <f>YEAR(Table6[[#This Row],[Date]])</f>
        <v>2025</v>
      </c>
      <c r="D690" s="79" t="s">
        <v>344</v>
      </c>
      <c r="E690" s="284">
        <f>Table6[[#This Row],[Date]]-DAY(Table6[[#This Row],[Date]])+1</f>
        <v>45778</v>
      </c>
      <c r="F690" s="285">
        <v>45800</v>
      </c>
      <c r="G690" s="79" t="s">
        <v>93</v>
      </c>
      <c r="H690" s="79" t="str">
        <f>IFERROR(_xlfn.XLOOKUP(Table6[[#This Row],[Affected Feeder ]],'Basic Data'!$A:$A,'Basic Data'!$B:$B),"")</f>
        <v>PWEPL</v>
      </c>
      <c r="I690" s="79" t="str">
        <f>IFERROR(_xlfn.XLOOKUP(Table6[[#This Row],[Affected Feeder ]],'Basic Data'!$A:$A,'Basic Data'!$C:$C),"")</f>
        <v>MSEDCL</v>
      </c>
      <c r="J690" s="295">
        <f>IFERROR(_xlfn.XLOOKUP(Table6[[#This Row],[Affected Feeder ]],'Basic Data'!$A:$A,'Basic Data'!$E:$E),"")</f>
        <v>2.2727272727272728E-2</v>
      </c>
      <c r="K690" s="296" t="s">
        <v>171</v>
      </c>
      <c r="L690" s="297">
        <v>0.20486111111111113</v>
      </c>
      <c r="M690" s="297">
        <v>0.20486111111111113</v>
      </c>
      <c r="N690" s="297">
        <v>0.21875</v>
      </c>
      <c r="O690" s="19">
        <f>(Table6[[#This Row],[Work Start TimeStamp]]-Table6[[#This Row],[Fault Start TimeStamp]])*24</f>
        <v>0</v>
      </c>
      <c r="P690" s="19">
        <f>(Table6[[#This Row],[Fault Clearance time]]-Table6[[#This Row],[Fault Start TimeStamp]])*24</f>
        <v>0.33333333333333282</v>
      </c>
      <c r="Q690" s="19">
        <f>(Table6[[#This Row],[Fault Clearance time]]-Table6[[#This Row],[Fault Start TimeStamp]])*24</f>
        <v>0.33333333333333282</v>
      </c>
      <c r="R690" s="79" t="s">
        <v>353</v>
      </c>
      <c r="S690" s="79" t="s">
        <v>339</v>
      </c>
      <c r="T690" s="298">
        <f>IFERROR(Table6[[#This Row],[Breakdown Time]]*Table6[[#This Row],[Plant Equivalent Weightage]],"")</f>
        <v>7.5757575757575638E-3</v>
      </c>
      <c r="U690" s="79" t="s">
        <v>421</v>
      </c>
      <c r="W690" s="79">
        <v>150</v>
      </c>
    </row>
    <row r="691" spans="1:23">
      <c r="A691" s="79">
        <f t="shared" si="10"/>
        <v>690</v>
      </c>
      <c r="B691" s="79">
        <f>YEAR(Table6[[#This Row],[Date]])+IF(MONTH(Table6[[#This Row],[Date]])&gt;=4,1,0)</f>
        <v>2026</v>
      </c>
      <c r="C691" s="79">
        <f>YEAR(Table6[[#This Row],[Date]])</f>
        <v>2025</v>
      </c>
      <c r="D691" s="79" t="s">
        <v>344</v>
      </c>
      <c r="E691" s="284">
        <f>Table6[[#This Row],[Date]]-DAY(Table6[[#This Row],[Date]])+1</f>
        <v>45778</v>
      </c>
      <c r="F691" s="285">
        <v>45800</v>
      </c>
      <c r="G691" s="79" t="s">
        <v>102</v>
      </c>
      <c r="H691" s="79" t="str">
        <f>IFERROR(_xlfn.XLOOKUP(Table6[[#This Row],[Affected Feeder ]],'Basic Data'!$A:$A,'Basic Data'!$B:$B),"")</f>
        <v>PWEPL</v>
      </c>
      <c r="I691" s="79" t="str">
        <f>IFERROR(_xlfn.XLOOKUP(Table6[[#This Row],[Affected Feeder ]],'Basic Data'!$A:$A,'Basic Data'!$C:$C),"")</f>
        <v>MSEDCL</v>
      </c>
      <c r="J691" s="295">
        <f>IFERROR(_xlfn.XLOOKUP(Table6[[#This Row],[Affected Feeder ]],'Basic Data'!$A:$A,'Basic Data'!$E:$E),"")</f>
        <v>2.2727272727272728E-2</v>
      </c>
      <c r="K691" s="296" t="s">
        <v>171</v>
      </c>
      <c r="L691" s="297">
        <v>0.20486111111111113</v>
      </c>
      <c r="M691" s="297">
        <v>0.20486111111111113</v>
      </c>
      <c r="N691" s="297">
        <v>0.21875</v>
      </c>
      <c r="O691" s="19">
        <f>(Table6[[#This Row],[Work Start TimeStamp]]-Table6[[#This Row],[Fault Start TimeStamp]])*24</f>
        <v>0</v>
      </c>
      <c r="P691" s="19">
        <f>(Table6[[#This Row],[Fault Clearance time]]-Table6[[#This Row],[Fault Start TimeStamp]])*24</f>
        <v>0.33333333333333282</v>
      </c>
      <c r="Q691" s="19">
        <f>(Table6[[#This Row],[Fault Clearance time]]-Table6[[#This Row],[Fault Start TimeStamp]])*24</f>
        <v>0.33333333333333282</v>
      </c>
      <c r="R691" s="79" t="s">
        <v>353</v>
      </c>
      <c r="S691" s="79" t="s">
        <v>339</v>
      </c>
      <c r="T691" s="298">
        <f>IFERROR(Table6[[#This Row],[Breakdown Time]]*Table6[[#This Row],[Plant Equivalent Weightage]],"")</f>
        <v>7.5757575757575638E-3</v>
      </c>
      <c r="U691" s="79" t="s">
        <v>421</v>
      </c>
      <c r="W691" s="79">
        <v>150</v>
      </c>
    </row>
    <row r="692" spans="1:23">
      <c r="A692" s="79">
        <f t="shared" si="10"/>
        <v>691</v>
      </c>
      <c r="B692" s="79">
        <f>YEAR(Table6[[#This Row],[Date]])+IF(MONTH(Table6[[#This Row],[Date]])&gt;=4,1,0)</f>
        <v>2026</v>
      </c>
      <c r="C692" s="79">
        <f>YEAR(Table6[[#This Row],[Date]])</f>
        <v>2025</v>
      </c>
      <c r="D692" s="79" t="s">
        <v>344</v>
      </c>
      <c r="E692" s="284">
        <f>Table6[[#This Row],[Date]]-DAY(Table6[[#This Row],[Date]])+1</f>
        <v>45778</v>
      </c>
      <c r="F692" s="285">
        <v>45800</v>
      </c>
      <c r="G692" s="79" t="s">
        <v>119</v>
      </c>
      <c r="H692" s="79" t="str">
        <f>IFERROR(_xlfn.XLOOKUP(Table6[[#This Row],[Affected Feeder ]],'Basic Data'!$A:$A,'Basic Data'!$B:$B),"")</f>
        <v>PWEPL</v>
      </c>
      <c r="I692" s="79" t="str">
        <f>IFERROR(_xlfn.XLOOKUP(Table6[[#This Row],[Affected Feeder ]],'Basic Data'!$A:$A,'Basic Data'!$C:$C),"")</f>
        <v>MSEDCL</v>
      </c>
      <c r="J692" s="295">
        <f>IFERROR(_xlfn.XLOOKUP(Table6[[#This Row],[Affected Feeder ]],'Basic Data'!$A:$A,'Basic Data'!$E:$E),"")</f>
        <v>2.2727272727272728E-2</v>
      </c>
      <c r="K692" s="296" t="s">
        <v>171</v>
      </c>
      <c r="L692" s="297">
        <v>0.20486111111111113</v>
      </c>
      <c r="M692" s="297">
        <v>0.20486111111111113</v>
      </c>
      <c r="N692" s="297">
        <v>0.21875</v>
      </c>
      <c r="O692" s="19">
        <f>(Table6[[#This Row],[Work Start TimeStamp]]-Table6[[#This Row],[Fault Start TimeStamp]])*24</f>
        <v>0</v>
      </c>
      <c r="P692" s="19">
        <f>(Table6[[#This Row],[Fault Clearance time]]-Table6[[#This Row],[Fault Start TimeStamp]])*24</f>
        <v>0.33333333333333282</v>
      </c>
      <c r="Q692" s="19">
        <f>(Table6[[#This Row],[Fault Clearance time]]-Table6[[#This Row],[Fault Start TimeStamp]])*24</f>
        <v>0.33333333333333282</v>
      </c>
      <c r="R692" s="79" t="s">
        <v>353</v>
      </c>
      <c r="S692" s="79" t="s">
        <v>339</v>
      </c>
      <c r="T692" s="298">
        <f>IFERROR(Table6[[#This Row],[Breakdown Time]]*Table6[[#This Row],[Plant Equivalent Weightage]],"")</f>
        <v>7.5757575757575638E-3</v>
      </c>
      <c r="U692" s="79" t="s">
        <v>421</v>
      </c>
      <c r="W692" s="79">
        <v>150</v>
      </c>
    </row>
    <row r="693" spans="1:23">
      <c r="A693" s="79">
        <f t="shared" si="10"/>
        <v>692</v>
      </c>
      <c r="B693" s="79">
        <f>YEAR(Table6[[#This Row],[Date]])+IF(MONTH(Table6[[#This Row],[Date]])&gt;=4,1,0)</f>
        <v>2026</v>
      </c>
      <c r="C693" s="79">
        <f>YEAR(Table6[[#This Row],[Date]])</f>
        <v>2025</v>
      </c>
      <c r="D693" s="79" t="s">
        <v>344</v>
      </c>
      <c r="E693" s="284">
        <f>Table6[[#This Row],[Date]]-DAY(Table6[[#This Row],[Date]])+1</f>
        <v>45778</v>
      </c>
      <c r="F693" s="285">
        <v>45800</v>
      </c>
      <c r="G693" s="79" t="s">
        <v>103</v>
      </c>
      <c r="H693" s="79" t="str">
        <f>IFERROR(_xlfn.XLOOKUP(Table6[[#This Row],[Affected Feeder ]],'Basic Data'!$A:$A,'Basic Data'!$B:$B),"")</f>
        <v>PWEPL</v>
      </c>
      <c r="I693" s="79" t="str">
        <f>IFERROR(_xlfn.XLOOKUP(Table6[[#This Row],[Affected Feeder ]],'Basic Data'!$A:$A,'Basic Data'!$C:$C),"")</f>
        <v>MSEDCL</v>
      </c>
      <c r="J693" s="295">
        <f>IFERROR(_xlfn.XLOOKUP(Table6[[#This Row],[Affected Feeder ]],'Basic Data'!$A:$A,'Basic Data'!$E:$E),"")</f>
        <v>2.2727272727272728E-2</v>
      </c>
      <c r="K693" s="296" t="s">
        <v>171</v>
      </c>
      <c r="L693" s="297">
        <v>0.20486111111111113</v>
      </c>
      <c r="M693" s="297">
        <v>0.20486111111111113</v>
      </c>
      <c r="N693" s="297">
        <v>0.21875</v>
      </c>
      <c r="O693" s="19">
        <f>(Table6[[#This Row],[Work Start TimeStamp]]-Table6[[#This Row],[Fault Start TimeStamp]])*24</f>
        <v>0</v>
      </c>
      <c r="P693" s="19">
        <f>(Table6[[#This Row],[Fault Clearance time]]-Table6[[#This Row],[Fault Start TimeStamp]])*24</f>
        <v>0.33333333333333282</v>
      </c>
      <c r="Q693" s="19">
        <f>(Table6[[#This Row],[Fault Clearance time]]-Table6[[#This Row],[Fault Start TimeStamp]])*24</f>
        <v>0.33333333333333282</v>
      </c>
      <c r="R693" s="79" t="s">
        <v>353</v>
      </c>
      <c r="S693" s="79" t="s">
        <v>339</v>
      </c>
      <c r="T693" s="298">
        <f>IFERROR(Table6[[#This Row],[Breakdown Time]]*Table6[[#This Row],[Plant Equivalent Weightage]],"")</f>
        <v>7.5757575757575638E-3</v>
      </c>
      <c r="U693" s="79" t="s">
        <v>421</v>
      </c>
      <c r="W693" s="79">
        <v>150</v>
      </c>
    </row>
    <row r="694" spans="1:23">
      <c r="A694" s="79">
        <f t="shared" si="10"/>
        <v>693</v>
      </c>
      <c r="B694" s="79">
        <f>YEAR(Table6[[#This Row],[Date]])+IF(MONTH(Table6[[#This Row],[Date]])&gt;=4,1,0)</f>
        <v>2026</v>
      </c>
      <c r="C694" s="79">
        <f>YEAR(Table6[[#This Row],[Date]])</f>
        <v>2025</v>
      </c>
      <c r="D694" s="79" t="s">
        <v>344</v>
      </c>
      <c r="E694" s="284">
        <f>Table6[[#This Row],[Date]]-DAY(Table6[[#This Row],[Date]])+1</f>
        <v>45778</v>
      </c>
      <c r="F694" s="285">
        <v>45800</v>
      </c>
      <c r="G694" s="79" t="s">
        <v>105</v>
      </c>
      <c r="H694" s="79" t="str">
        <f>IFERROR(_xlfn.XLOOKUP(Table6[[#This Row],[Affected Feeder ]],'Basic Data'!$A:$A,'Basic Data'!$B:$B),"")</f>
        <v>PWEPL</v>
      </c>
      <c r="I694" s="79" t="str">
        <f>IFERROR(_xlfn.XLOOKUP(Table6[[#This Row],[Affected Feeder ]],'Basic Data'!$A:$A,'Basic Data'!$C:$C),"")</f>
        <v>MSEDCL</v>
      </c>
      <c r="J694" s="295">
        <f>IFERROR(_xlfn.XLOOKUP(Table6[[#This Row],[Affected Feeder ]],'Basic Data'!$A:$A,'Basic Data'!$E:$E),"")</f>
        <v>2.2727272727272728E-2</v>
      </c>
      <c r="K694" s="296" t="s">
        <v>171</v>
      </c>
      <c r="L694" s="297">
        <v>0.20486111111111113</v>
      </c>
      <c r="M694" s="297">
        <v>0.20486111111111113</v>
      </c>
      <c r="N694" s="297">
        <v>0.21875</v>
      </c>
      <c r="O694" s="19">
        <f>(Table6[[#This Row],[Work Start TimeStamp]]-Table6[[#This Row],[Fault Start TimeStamp]])*24</f>
        <v>0</v>
      </c>
      <c r="P694" s="19">
        <f>(Table6[[#This Row],[Fault Clearance time]]-Table6[[#This Row],[Fault Start TimeStamp]])*24</f>
        <v>0.33333333333333282</v>
      </c>
      <c r="Q694" s="19">
        <f>(Table6[[#This Row],[Fault Clearance time]]-Table6[[#This Row],[Fault Start TimeStamp]])*24</f>
        <v>0.33333333333333282</v>
      </c>
      <c r="R694" s="79" t="s">
        <v>353</v>
      </c>
      <c r="S694" s="79" t="s">
        <v>339</v>
      </c>
      <c r="T694" s="298">
        <f>IFERROR(Table6[[#This Row],[Breakdown Time]]*Table6[[#This Row],[Plant Equivalent Weightage]],"")</f>
        <v>7.5757575757575638E-3</v>
      </c>
      <c r="U694" s="79" t="s">
        <v>421</v>
      </c>
      <c r="W694" s="79">
        <v>150</v>
      </c>
    </row>
    <row r="695" spans="1:23">
      <c r="A695" s="79">
        <f t="shared" si="10"/>
        <v>694</v>
      </c>
      <c r="B695" s="79">
        <f>YEAR(Table6[[#This Row],[Date]])+IF(MONTH(Table6[[#This Row],[Date]])&gt;=4,1,0)</f>
        <v>2026</v>
      </c>
      <c r="C695" s="79">
        <f>YEAR(Table6[[#This Row],[Date]])</f>
        <v>2025</v>
      </c>
      <c r="D695" s="79" t="s">
        <v>344</v>
      </c>
      <c r="E695" s="284">
        <f>Table6[[#This Row],[Date]]-DAY(Table6[[#This Row],[Date]])+1</f>
        <v>45778</v>
      </c>
      <c r="F695" s="285">
        <v>45800</v>
      </c>
      <c r="G695" s="79" t="s">
        <v>115</v>
      </c>
      <c r="H695" s="79" t="str">
        <f>IFERROR(_xlfn.XLOOKUP(Table6[[#This Row],[Affected Feeder ]],'Basic Data'!$A:$A,'Basic Data'!$B:$B),"")</f>
        <v>PWEPL</v>
      </c>
      <c r="I695" s="79" t="str">
        <f>IFERROR(_xlfn.XLOOKUP(Table6[[#This Row],[Affected Feeder ]],'Basic Data'!$A:$A,'Basic Data'!$C:$C),"")</f>
        <v>MSEDCL</v>
      </c>
      <c r="J695" s="295">
        <f>IFERROR(_xlfn.XLOOKUP(Table6[[#This Row],[Affected Feeder ]],'Basic Data'!$A:$A,'Basic Data'!$E:$E),"")</f>
        <v>2.2727272727272728E-2</v>
      </c>
      <c r="K695" s="296" t="s">
        <v>171</v>
      </c>
      <c r="L695" s="297">
        <v>0.20486111111111113</v>
      </c>
      <c r="M695" s="297">
        <v>0.20486111111111113</v>
      </c>
      <c r="N695" s="297">
        <v>0.21875</v>
      </c>
      <c r="O695" s="19">
        <f>(Table6[[#This Row],[Work Start TimeStamp]]-Table6[[#This Row],[Fault Start TimeStamp]])*24</f>
        <v>0</v>
      </c>
      <c r="P695" s="19">
        <f>(Table6[[#This Row],[Fault Clearance time]]-Table6[[#This Row],[Fault Start TimeStamp]])*24</f>
        <v>0.33333333333333282</v>
      </c>
      <c r="Q695" s="19">
        <f>(Table6[[#This Row],[Fault Clearance time]]-Table6[[#This Row],[Fault Start TimeStamp]])*24</f>
        <v>0.33333333333333282</v>
      </c>
      <c r="R695" s="79" t="s">
        <v>353</v>
      </c>
      <c r="S695" s="79" t="s">
        <v>339</v>
      </c>
      <c r="T695" s="298">
        <f>IFERROR(Table6[[#This Row],[Breakdown Time]]*Table6[[#This Row],[Plant Equivalent Weightage]],"")</f>
        <v>7.5757575757575638E-3</v>
      </c>
      <c r="U695" s="79" t="s">
        <v>421</v>
      </c>
      <c r="W695" s="79">
        <v>150</v>
      </c>
    </row>
    <row r="696" spans="1:23">
      <c r="A696" s="79">
        <f t="shared" si="10"/>
        <v>695</v>
      </c>
      <c r="B696" s="79">
        <f>YEAR(Table6[[#This Row],[Date]])+IF(MONTH(Table6[[#This Row],[Date]])&gt;=4,1,0)</f>
        <v>2026</v>
      </c>
      <c r="C696" s="79">
        <f>YEAR(Table6[[#This Row],[Date]])</f>
        <v>2025</v>
      </c>
      <c r="D696" s="79" t="s">
        <v>344</v>
      </c>
      <c r="E696" s="284">
        <f>Table6[[#This Row],[Date]]-DAY(Table6[[#This Row],[Date]])+1</f>
        <v>45778</v>
      </c>
      <c r="F696" s="285">
        <v>45800</v>
      </c>
      <c r="G696" s="79" t="s">
        <v>116</v>
      </c>
      <c r="H696" s="79" t="str">
        <f>IFERROR(_xlfn.XLOOKUP(Table6[[#This Row],[Affected Feeder ]],'Basic Data'!$A:$A,'Basic Data'!$B:$B),"")</f>
        <v>PWEPL</v>
      </c>
      <c r="I696" s="79" t="str">
        <f>IFERROR(_xlfn.XLOOKUP(Table6[[#This Row],[Affected Feeder ]],'Basic Data'!$A:$A,'Basic Data'!$C:$C),"")</f>
        <v>MSEDCL</v>
      </c>
      <c r="J696" s="295">
        <f>IFERROR(_xlfn.XLOOKUP(Table6[[#This Row],[Affected Feeder ]],'Basic Data'!$A:$A,'Basic Data'!$E:$E),"")</f>
        <v>2.2727272727272728E-2</v>
      </c>
      <c r="K696" s="296" t="s">
        <v>171</v>
      </c>
      <c r="L696" s="297">
        <v>0.20486111111111113</v>
      </c>
      <c r="M696" s="297">
        <v>0.20486111111111113</v>
      </c>
      <c r="N696" s="297">
        <v>0.21875</v>
      </c>
      <c r="O696" s="19">
        <f>(Table6[[#This Row],[Work Start TimeStamp]]-Table6[[#This Row],[Fault Start TimeStamp]])*24</f>
        <v>0</v>
      </c>
      <c r="P696" s="19">
        <f>(Table6[[#This Row],[Fault Clearance time]]-Table6[[#This Row],[Fault Start TimeStamp]])*24</f>
        <v>0.33333333333333282</v>
      </c>
      <c r="Q696" s="19">
        <f>(Table6[[#This Row],[Fault Clearance time]]-Table6[[#This Row],[Fault Start TimeStamp]])*24</f>
        <v>0.33333333333333282</v>
      </c>
      <c r="R696" s="79" t="s">
        <v>353</v>
      </c>
      <c r="S696" s="79" t="s">
        <v>339</v>
      </c>
      <c r="T696" s="298">
        <f>IFERROR(Table6[[#This Row],[Breakdown Time]]*Table6[[#This Row],[Plant Equivalent Weightage]],"")</f>
        <v>7.5757575757575638E-3</v>
      </c>
      <c r="U696" s="79" t="s">
        <v>421</v>
      </c>
      <c r="W696" s="79">
        <v>150</v>
      </c>
    </row>
    <row r="697" spans="1:23">
      <c r="A697" s="79">
        <f t="shared" si="10"/>
        <v>696</v>
      </c>
      <c r="B697" s="79">
        <f>YEAR(Table6[[#This Row],[Date]])+IF(MONTH(Table6[[#This Row],[Date]])&gt;=4,1,0)</f>
        <v>2026</v>
      </c>
      <c r="C697" s="79">
        <f>YEAR(Table6[[#This Row],[Date]])</f>
        <v>2025</v>
      </c>
      <c r="D697" s="79" t="s">
        <v>344</v>
      </c>
      <c r="E697" s="284">
        <f>Table6[[#This Row],[Date]]-DAY(Table6[[#This Row],[Date]])+1</f>
        <v>45778</v>
      </c>
      <c r="F697" s="285">
        <v>45800</v>
      </c>
      <c r="G697" s="79" t="s">
        <v>117</v>
      </c>
      <c r="H697" s="79" t="str">
        <f>IFERROR(_xlfn.XLOOKUP(Table6[[#This Row],[Affected Feeder ]],'Basic Data'!$A:$A,'Basic Data'!$B:$B),"")</f>
        <v>PWEPL</v>
      </c>
      <c r="I697" s="79" t="str">
        <f>IFERROR(_xlfn.XLOOKUP(Table6[[#This Row],[Affected Feeder ]],'Basic Data'!$A:$A,'Basic Data'!$C:$C),"")</f>
        <v>MSEDCL</v>
      </c>
      <c r="J697" s="295">
        <f>IFERROR(_xlfn.XLOOKUP(Table6[[#This Row],[Affected Feeder ]],'Basic Data'!$A:$A,'Basic Data'!$E:$E),"")</f>
        <v>2.2727272727272728E-2</v>
      </c>
      <c r="K697" s="296" t="s">
        <v>171</v>
      </c>
      <c r="L697" s="297">
        <v>0.20486111111111113</v>
      </c>
      <c r="M697" s="297">
        <v>0.20486111111111113</v>
      </c>
      <c r="N697" s="297">
        <v>0.21875</v>
      </c>
      <c r="O697" s="19">
        <f>(Table6[[#This Row],[Work Start TimeStamp]]-Table6[[#This Row],[Fault Start TimeStamp]])*24</f>
        <v>0</v>
      </c>
      <c r="P697" s="19">
        <f>(Table6[[#This Row],[Fault Clearance time]]-Table6[[#This Row],[Fault Start TimeStamp]])*24</f>
        <v>0.33333333333333282</v>
      </c>
      <c r="Q697" s="19">
        <f>(Table6[[#This Row],[Fault Clearance time]]-Table6[[#This Row],[Fault Start TimeStamp]])*24</f>
        <v>0.33333333333333282</v>
      </c>
      <c r="R697" s="79" t="s">
        <v>353</v>
      </c>
      <c r="S697" s="79" t="s">
        <v>339</v>
      </c>
      <c r="T697" s="298">
        <f>IFERROR(Table6[[#This Row],[Breakdown Time]]*Table6[[#This Row],[Plant Equivalent Weightage]],"")</f>
        <v>7.5757575757575638E-3</v>
      </c>
      <c r="U697" s="79" t="s">
        <v>421</v>
      </c>
      <c r="W697" s="79">
        <v>150</v>
      </c>
    </row>
    <row r="698" spans="1:23">
      <c r="A698" s="79">
        <f t="shared" si="10"/>
        <v>697</v>
      </c>
      <c r="B698" s="79">
        <f>YEAR(Table6[[#This Row],[Date]])+IF(MONTH(Table6[[#This Row],[Date]])&gt;=4,1,0)</f>
        <v>2026</v>
      </c>
      <c r="C698" s="79">
        <f>YEAR(Table6[[#This Row],[Date]])</f>
        <v>2025</v>
      </c>
      <c r="D698" s="79" t="s">
        <v>344</v>
      </c>
      <c r="E698" s="284">
        <f>Table6[[#This Row],[Date]]-DAY(Table6[[#This Row],[Date]])+1</f>
        <v>45778</v>
      </c>
      <c r="F698" s="285">
        <v>45800</v>
      </c>
      <c r="G698" s="79" t="s">
        <v>118</v>
      </c>
      <c r="H698" s="79" t="str">
        <f>IFERROR(_xlfn.XLOOKUP(Table6[[#This Row],[Affected Feeder ]],'Basic Data'!$A:$A,'Basic Data'!$B:$B),"")</f>
        <v>PWEPL</v>
      </c>
      <c r="I698" s="79" t="str">
        <f>IFERROR(_xlfn.XLOOKUP(Table6[[#This Row],[Affected Feeder ]],'Basic Data'!$A:$A,'Basic Data'!$C:$C),"")</f>
        <v>MSEDCL</v>
      </c>
      <c r="J698" s="295">
        <f>IFERROR(_xlfn.XLOOKUP(Table6[[#This Row],[Affected Feeder ]],'Basic Data'!$A:$A,'Basic Data'!$E:$E),"")</f>
        <v>2.2727272727272728E-2</v>
      </c>
      <c r="K698" s="296" t="s">
        <v>171</v>
      </c>
      <c r="L698" s="297">
        <v>0.20486111111111113</v>
      </c>
      <c r="M698" s="297">
        <v>0.20486111111111113</v>
      </c>
      <c r="N698" s="297">
        <v>0.21875</v>
      </c>
      <c r="O698" s="19">
        <f>(Table6[[#This Row],[Work Start TimeStamp]]-Table6[[#This Row],[Fault Start TimeStamp]])*24</f>
        <v>0</v>
      </c>
      <c r="P698" s="19">
        <f>(Table6[[#This Row],[Fault Clearance time]]-Table6[[#This Row],[Fault Start TimeStamp]])*24</f>
        <v>0.33333333333333282</v>
      </c>
      <c r="Q698" s="19">
        <f>(Table6[[#This Row],[Fault Clearance time]]-Table6[[#This Row],[Fault Start TimeStamp]])*24</f>
        <v>0.33333333333333282</v>
      </c>
      <c r="R698" s="79" t="s">
        <v>353</v>
      </c>
      <c r="S698" s="79" t="s">
        <v>339</v>
      </c>
      <c r="T698" s="298">
        <f>IFERROR(Table6[[#This Row],[Breakdown Time]]*Table6[[#This Row],[Plant Equivalent Weightage]],"")</f>
        <v>7.5757575757575638E-3</v>
      </c>
      <c r="U698" s="79" t="s">
        <v>421</v>
      </c>
      <c r="W698" s="79">
        <v>150</v>
      </c>
    </row>
    <row r="699" spans="1:23">
      <c r="A699" s="79">
        <f t="shared" si="10"/>
        <v>698</v>
      </c>
      <c r="B699" s="79">
        <f>YEAR(Table6[[#This Row],[Date]])+IF(MONTH(Table6[[#This Row],[Date]])&gt;=4,1,0)</f>
        <v>2026</v>
      </c>
      <c r="C699" s="79">
        <f>YEAR(Table6[[#This Row],[Date]])</f>
        <v>2025</v>
      </c>
      <c r="D699" s="79" t="s">
        <v>344</v>
      </c>
      <c r="E699" s="284">
        <f>Table6[[#This Row],[Date]]-DAY(Table6[[#This Row],[Date]])+1</f>
        <v>45778</v>
      </c>
      <c r="F699" s="285">
        <v>45800</v>
      </c>
      <c r="G699" s="79" t="s">
        <v>80</v>
      </c>
      <c r="H699" s="79" t="str">
        <f>IFERROR(_xlfn.XLOOKUP(Table6[[#This Row],[Affected Feeder ]],'Basic Data'!$A:$A,'Basic Data'!$B:$B),"")</f>
        <v>PWEPL</v>
      </c>
      <c r="I699" s="79" t="str">
        <f>IFERROR(_xlfn.XLOOKUP(Table6[[#This Row],[Affected Feeder ]],'Basic Data'!$A:$A,'Basic Data'!$C:$C),"")</f>
        <v>MSEDCL</v>
      </c>
      <c r="J699" s="295">
        <f>IFERROR(_xlfn.XLOOKUP(Table6[[#This Row],[Affected Feeder ]],'Basic Data'!$A:$A,'Basic Data'!$E:$E),"")</f>
        <v>2.2727272727272728E-2</v>
      </c>
      <c r="K699" s="296" t="s">
        <v>830</v>
      </c>
      <c r="L699" s="297">
        <v>0.48541666666666666</v>
      </c>
      <c r="M699" s="297">
        <v>0.48541666666666666</v>
      </c>
      <c r="N699" s="297">
        <v>0.49444444444444446</v>
      </c>
      <c r="O699" s="19">
        <f>(Table6[[#This Row],[Work Start TimeStamp]]-Table6[[#This Row],[Fault Start TimeStamp]])*24</f>
        <v>0</v>
      </c>
      <c r="P699" s="19">
        <f>(Table6[[#This Row],[Fault Clearance time]]-Table6[[#This Row],[Fault Start TimeStamp]])*24</f>
        <v>0.21666666666666723</v>
      </c>
      <c r="Q699" s="19">
        <f>(Table6[[#This Row],[Fault Clearance time]]-Table6[[#This Row],[Fault Start TimeStamp]])*24</f>
        <v>0.21666666666666723</v>
      </c>
      <c r="R699" s="79" t="s">
        <v>818</v>
      </c>
      <c r="S699" s="79" t="s">
        <v>339</v>
      </c>
      <c r="T699" s="298">
        <f>IFERROR(Table6[[#This Row],[Breakdown Time]]*Table6[[#This Row],[Plant Equivalent Weightage]],"")</f>
        <v>4.9242424242424369E-3</v>
      </c>
      <c r="U699" s="79" t="s">
        <v>421</v>
      </c>
      <c r="W699" s="79">
        <v>219</v>
      </c>
    </row>
    <row r="700" spans="1:23">
      <c r="A700" s="79">
        <f t="shared" si="10"/>
        <v>699</v>
      </c>
      <c r="B700" s="79">
        <f>YEAR(Table6[[#This Row],[Date]])+IF(MONTH(Table6[[#This Row],[Date]])&gt;=4,1,0)</f>
        <v>2026</v>
      </c>
      <c r="C700" s="79">
        <f>YEAR(Table6[[#This Row],[Date]])</f>
        <v>2025</v>
      </c>
      <c r="D700" s="79" t="s">
        <v>344</v>
      </c>
      <c r="E700" s="284">
        <f>Table6[[#This Row],[Date]]-DAY(Table6[[#This Row],[Date]])+1</f>
        <v>45778</v>
      </c>
      <c r="F700" s="285">
        <v>45800</v>
      </c>
      <c r="G700" s="79" t="s">
        <v>80</v>
      </c>
      <c r="H700" s="79" t="str">
        <f>IFERROR(_xlfn.XLOOKUP(Table6[[#This Row],[Affected Feeder ]],'Basic Data'!$A:$A,'Basic Data'!$B:$B),"")</f>
        <v>PWEPL</v>
      </c>
      <c r="I700" s="79" t="str">
        <f>IFERROR(_xlfn.XLOOKUP(Table6[[#This Row],[Affected Feeder ]],'Basic Data'!$A:$A,'Basic Data'!$C:$C),"")</f>
        <v>MSEDCL</v>
      </c>
      <c r="J700" s="295">
        <f>IFERROR(_xlfn.XLOOKUP(Table6[[#This Row],[Affected Feeder ]],'Basic Data'!$A:$A,'Basic Data'!$E:$E),"")</f>
        <v>2.2727272727272728E-2</v>
      </c>
      <c r="K700" s="296" t="s">
        <v>171</v>
      </c>
      <c r="L700" s="297">
        <v>0.49444444444444446</v>
      </c>
      <c r="M700" s="297">
        <v>0.49444444444444446</v>
      </c>
      <c r="N700" s="297">
        <v>0.5083333333333333</v>
      </c>
      <c r="O700" s="19">
        <f>(Table6[[#This Row],[Work Start TimeStamp]]-Table6[[#This Row],[Fault Start TimeStamp]])*24</f>
        <v>0</v>
      </c>
      <c r="P700" s="19">
        <f>(Table6[[#This Row],[Fault Clearance time]]-Table6[[#This Row],[Fault Start TimeStamp]])*24</f>
        <v>0.33333333333333215</v>
      </c>
      <c r="Q700" s="19">
        <f>(Table6[[#This Row],[Fault Clearance time]]-Table6[[#This Row],[Fault Start TimeStamp]])*24</f>
        <v>0.33333333333333215</v>
      </c>
      <c r="R700" s="79" t="s">
        <v>353</v>
      </c>
      <c r="S700" s="79" t="s">
        <v>339</v>
      </c>
      <c r="T700" s="298">
        <f>IFERROR(Table6[[#This Row],[Breakdown Time]]*Table6[[#This Row],[Plant Equivalent Weightage]],"")</f>
        <v>7.5757575757575491E-3</v>
      </c>
      <c r="U700" s="79" t="s">
        <v>416</v>
      </c>
      <c r="W700" s="79">
        <v>34</v>
      </c>
    </row>
    <row r="701" spans="1:23">
      <c r="A701" s="79">
        <f t="shared" si="10"/>
        <v>700</v>
      </c>
      <c r="B701" s="79">
        <f>YEAR(Table6[[#This Row],[Date]])+IF(MONTH(Table6[[#This Row],[Date]])&gt;=4,1,0)</f>
        <v>2026</v>
      </c>
      <c r="C701" s="79">
        <f>YEAR(Table6[[#This Row],[Date]])</f>
        <v>2025</v>
      </c>
      <c r="D701" s="79" t="s">
        <v>344</v>
      </c>
      <c r="E701" s="284">
        <f>Table6[[#This Row],[Date]]-DAY(Table6[[#This Row],[Date]])+1</f>
        <v>45778</v>
      </c>
      <c r="F701" s="285">
        <v>45802</v>
      </c>
      <c r="G701" s="79" t="s">
        <v>406</v>
      </c>
      <c r="H701" s="79" t="str">
        <f>IFERROR(_xlfn.XLOOKUP(Table6[[#This Row],[Affected Feeder ]],'Basic Data'!$A:$A,'Basic Data'!$B:$B),"")</f>
        <v>PWEPL</v>
      </c>
      <c r="I701" s="79" t="str">
        <f>IFERROR(_xlfn.XLOOKUP(Table6[[#This Row],[Affected Feeder ]],'Basic Data'!$A:$A,'Basic Data'!$C:$C),"")</f>
        <v>MSEDCL</v>
      </c>
      <c r="J701" s="295">
        <f>IFERROR(_xlfn.XLOOKUP(Table6[[#This Row],[Affected Feeder ]],'Basic Data'!$A:$A,'Basic Data'!$E:$E),"")</f>
        <v>0.29545454545454541</v>
      </c>
      <c r="K701" s="296" t="s">
        <v>419</v>
      </c>
      <c r="L701" s="297">
        <v>0.10902777777777778</v>
      </c>
      <c r="M701" s="297">
        <v>0.10902777777777778</v>
      </c>
      <c r="N701" s="297">
        <v>0.15763888888888888</v>
      </c>
      <c r="O701" s="19">
        <f>(Table6[[#This Row],[Work Start TimeStamp]]-Table6[[#This Row],[Fault Start TimeStamp]])*24</f>
        <v>0</v>
      </c>
      <c r="P701" s="19">
        <f>(Table6[[#This Row],[Fault Clearance time]]-Table6[[#This Row],[Fault Start TimeStamp]])*24</f>
        <v>1.1666666666666665</v>
      </c>
      <c r="Q701" s="19">
        <f>(Table6[[#This Row],[Fault Clearance time]]-Table6[[#This Row],[Fault Start TimeStamp]])*24</f>
        <v>1.1666666666666665</v>
      </c>
      <c r="R701" s="79" t="s">
        <v>865</v>
      </c>
      <c r="S701" s="79" t="s">
        <v>339</v>
      </c>
      <c r="T701" s="298">
        <f>IFERROR(Table6[[#This Row],[Breakdown Time]]*Table6[[#This Row],[Plant Equivalent Weightage]],"")</f>
        <v>0.34469696969696961</v>
      </c>
      <c r="U701" s="79" t="s">
        <v>421</v>
      </c>
      <c r="W701" s="79">
        <v>899</v>
      </c>
    </row>
    <row r="702" spans="1:23">
      <c r="A702" s="79">
        <f t="shared" si="10"/>
        <v>701</v>
      </c>
      <c r="B702" s="79">
        <f>YEAR(Table6[[#This Row],[Date]])+IF(MONTH(Table6[[#This Row],[Date]])&gt;=4,1,0)</f>
        <v>2026</v>
      </c>
      <c r="C702" s="79">
        <f>YEAR(Table6[[#This Row],[Date]])</f>
        <v>2025</v>
      </c>
      <c r="D702" s="79" t="s">
        <v>344</v>
      </c>
      <c r="E702" s="284">
        <f>Table6[[#This Row],[Date]]-DAY(Table6[[#This Row],[Date]])+1</f>
        <v>45778</v>
      </c>
      <c r="F702" s="285">
        <v>45802</v>
      </c>
      <c r="G702" s="79" t="s">
        <v>76</v>
      </c>
      <c r="H702" s="79" t="str">
        <f>IFERROR(_xlfn.XLOOKUP(Table6[[#This Row],[Affected Feeder ]],'Basic Data'!$A:$A,'Basic Data'!$B:$B),"")</f>
        <v>PWEPL</v>
      </c>
      <c r="I702" s="79" t="str">
        <f>IFERROR(_xlfn.XLOOKUP(Table6[[#This Row],[Affected Feeder ]],'Basic Data'!$A:$A,'Basic Data'!$C:$C),"")</f>
        <v>MSEDCL</v>
      </c>
      <c r="J702" s="295">
        <f>IFERROR(_xlfn.XLOOKUP(Table6[[#This Row],[Affected Feeder ]],'Basic Data'!$A:$A,'Basic Data'!$E:$E),"")</f>
        <v>2.2727272727272728E-2</v>
      </c>
      <c r="K702" s="296" t="s">
        <v>171</v>
      </c>
      <c r="L702" s="297">
        <v>0.15763888888888888</v>
      </c>
      <c r="M702" s="297">
        <v>0.15763888888888888</v>
      </c>
      <c r="N702" s="297">
        <v>0.17152777777777775</v>
      </c>
      <c r="O702" s="19">
        <f>(Table6[[#This Row],[Work Start TimeStamp]]-Table6[[#This Row],[Fault Start TimeStamp]])*24</f>
        <v>0</v>
      </c>
      <c r="P702" s="19">
        <f>(Table6[[#This Row],[Fault Clearance time]]-Table6[[#This Row],[Fault Start TimeStamp]])*24</f>
        <v>0.33333333333333282</v>
      </c>
      <c r="Q702" s="19">
        <f>(Table6[[#This Row],[Fault Clearance time]]-Table6[[#This Row],[Fault Start TimeStamp]])*24</f>
        <v>0.33333333333333282</v>
      </c>
      <c r="R702" s="79" t="s">
        <v>353</v>
      </c>
      <c r="S702" s="79" t="s">
        <v>339</v>
      </c>
      <c r="T702" s="298">
        <f>IFERROR(Table6[[#This Row],[Breakdown Time]]*Table6[[#This Row],[Plant Equivalent Weightage]],"")</f>
        <v>7.5757575757575638E-3</v>
      </c>
      <c r="U702" s="79" t="s">
        <v>421</v>
      </c>
      <c r="W702" s="79">
        <v>20</v>
      </c>
    </row>
    <row r="703" spans="1:23">
      <c r="A703" s="79">
        <f t="shared" si="10"/>
        <v>702</v>
      </c>
      <c r="B703" s="79">
        <f>YEAR(Table6[[#This Row],[Date]])+IF(MONTH(Table6[[#This Row],[Date]])&gt;=4,1,0)</f>
        <v>2026</v>
      </c>
      <c r="C703" s="79">
        <f>YEAR(Table6[[#This Row],[Date]])</f>
        <v>2025</v>
      </c>
      <c r="D703" s="79" t="s">
        <v>344</v>
      </c>
      <c r="E703" s="284">
        <f>Table6[[#This Row],[Date]]-DAY(Table6[[#This Row],[Date]])+1</f>
        <v>45778</v>
      </c>
      <c r="F703" s="285">
        <v>45802</v>
      </c>
      <c r="G703" s="79" t="s">
        <v>77</v>
      </c>
      <c r="H703" s="79" t="str">
        <f>IFERROR(_xlfn.XLOOKUP(Table6[[#This Row],[Affected Feeder ]],'Basic Data'!$A:$A,'Basic Data'!$B:$B),"")</f>
        <v>PWEPL</v>
      </c>
      <c r="I703" s="79" t="str">
        <f>IFERROR(_xlfn.XLOOKUP(Table6[[#This Row],[Affected Feeder ]],'Basic Data'!$A:$A,'Basic Data'!$C:$C),"")</f>
        <v>MSEDCL</v>
      </c>
      <c r="J703" s="295">
        <f>IFERROR(_xlfn.XLOOKUP(Table6[[#This Row],[Affected Feeder ]],'Basic Data'!$A:$A,'Basic Data'!$E:$E),"")</f>
        <v>2.2727272727272728E-2</v>
      </c>
      <c r="K703" s="296" t="s">
        <v>171</v>
      </c>
      <c r="L703" s="297">
        <v>0.15763888888888888</v>
      </c>
      <c r="M703" s="297">
        <v>0.15763888888888888</v>
      </c>
      <c r="N703" s="297">
        <v>0.17152777777777775</v>
      </c>
      <c r="O703" s="19">
        <f>(Table6[[#This Row],[Work Start TimeStamp]]-Table6[[#This Row],[Fault Start TimeStamp]])*24</f>
        <v>0</v>
      </c>
      <c r="P703" s="19">
        <f>(Table6[[#This Row],[Fault Clearance time]]-Table6[[#This Row],[Fault Start TimeStamp]])*24</f>
        <v>0.33333333333333282</v>
      </c>
      <c r="Q703" s="19">
        <f>(Table6[[#This Row],[Fault Clearance time]]-Table6[[#This Row],[Fault Start TimeStamp]])*24</f>
        <v>0.33333333333333282</v>
      </c>
      <c r="R703" s="79" t="s">
        <v>353</v>
      </c>
      <c r="S703" s="79" t="s">
        <v>339</v>
      </c>
      <c r="T703" s="298">
        <f>IFERROR(Table6[[#This Row],[Breakdown Time]]*Table6[[#This Row],[Plant Equivalent Weightage]],"")</f>
        <v>7.5757575757575638E-3</v>
      </c>
      <c r="U703" s="79" t="s">
        <v>421</v>
      </c>
      <c r="W703" s="79">
        <v>20</v>
      </c>
    </row>
    <row r="704" spans="1:23">
      <c r="A704" s="79">
        <f t="shared" si="10"/>
        <v>703</v>
      </c>
      <c r="B704" s="79">
        <f>YEAR(Table6[[#This Row],[Date]])+IF(MONTH(Table6[[#This Row],[Date]])&gt;=4,1,0)</f>
        <v>2026</v>
      </c>
      <c r="C704" s="79">
        <f>YEAR(Table6[[#This Row],[Date]])</f>
        <v>2025</v>
      </c>
      <c r="D704" s="79" t="s">
        <v>344</v>
      </c>
      <c r="E704" s="284">
        <f>Table6[[#This Row],[Date]]-DAY(Table6[[#This Row],[Date]])+1</f>
        <v>45778</v>
      </c>
      <c r="F704" s="285">
        <v>45802</v>
      </c>
      <c r="G704" s="79" t="s">
        <v>78</v>
      </c>
      <c r="H704" s="79" t="str">
        <f>IFERROR(_xlfn.XLOOKUP(Table6[[#This Row],[Affected Feeder ]],'Basic Data'!$A:$A,'Basic Data'!$B:$B),"")</f>
        <v>PWEPL</v>
      </c>
      <c r="I704" s="79" t="str">
        <f>IFERROR(_xlfn.XLOOKUP(Table6[[#This Row],[Affected Feeder ]],'Basic Data'!$A:$A,'Basic Data'!$C:$C),"")</f>
        <v>MSEDCL</v>
      </c>
      <c r="J704" s="295">
        <f>IFERROR(_xlfn.XLOOKUP(Table6[[#This Row],[Affected Feeder ]],'Basic Data'!$A:$A,'Basic Data'!$E:$E),"")</f>
        <v>2.2727272727272728E-2</v>
      </c>
      <c r="K704" s="296" t="s">
        <v>171</v>
      </c>
      <c r="L704" s="297">
        <v>0.15763888888888888</v>
      </c>
      <c r="M704" s="297">
        <v>0.15763888888888888</v>
      </c>
      <c r="N704" s="297">
        <v>0.17152777777777775</v>
      </c>
      <c r="O704" s="19">
        <f>(Table6[[#This Row],[Work Start TimeStamp]]-Table6[[#This Row],[Fault Start TimeStamp]])*24</f>
        <v>0</v>
      </c>
      <c r="P704" s="19">
        <f>(Table6[[#This Row],[Fault Clearance time]]-Table6[[#This Row],[Fault Start TimeStamp]])*24</f>
        <v>0.33333333333333282</v>
      </c>
      <c r="Q704" s="19">
        <f>(Table6[[#This Row],[Fault Clearance time]]-Table6[[#This Row],[Fault Start TimeStamp]])*24</f>
        <v>0.33333333333333282</v>
      </c>
      <c r="R704" s="79" t="s">
        <v>353</v>
      </c>
      <c r="S704" s="79" t="s">
        <v>339</v>
      </c>
      <c r="T704" s="298">
        <f>IFERROR(Table6[[#This Row],[Breakdown Time]]*Table6[[#This Row],[Plant Equivalent Weightage]],"")</f>
        <v>7.5757575757575638E-3</v>
      </c>
      <c r="U704" s="79" t="s">
        <v>421</v>
      </c>
      <c r="W704" s="79">
        <v>20</v>
      </c>
    </row>
    <row r="705" spans="1:23">
      <c r="A705" s="79">
        <f t="shared" si="10"/>
        <v>704</v>
      </c>
      <c r="B705" s="79">
        <f>YEAR(Table6[[#This Row],[Date]])+IF(MONTH(Table6[[#This Row],[Date]])&gt;=4,1,0)</f>
        <v>2026</v>
      </c>
      <c r="C705" s="79">
        <f>YEAR(Table6[[#This Row],[Date]])</f>
        <v>2025</v>
      </c>
      <c r="D705" s="79" t="s">
        <v>344</v>
      </c>
      <c r="E705" s="284">
        <f>Table6[[#This Row],[Date]]-DAY(Table6[[#This Row],[Date]])+1</f>
        <v>45778</v>
      </c>
      <c r="F705" s="285">
        <v>45802</v>
      </c>
      <c r="G705" s="79" t="s">
        <v>82</v>
      </c>
      <c r="H705" s="79" t="str">
        <f>IFERROR(_xlfn.XLOOKUP(Table6[[#This Row],[Affected Feeder ]],'Basic Data'!$A:$A,'Basic Data'!$B:$B),"")</f>
        <v>PWEPL</v>
      </c>
      <c r="I705" s="79" t="str">
        <f>IFERROR(_xlfn.XLOOKUP(Table6[[#This Row],[Affected Feeder ]],'Basic Data'!$A:$A,'Basic Data'!$C:$C),"")</f>
        <v>MSEDCL</v>
      </c>
      <c r="J705" s="295">
        <f>IFERROR(_xlfn.XLOOKUP(Table6[[#This Row],[Affected Feeder ]],'Basic Data'!$A:$A,'Basic Data'!$E:$E),"")</f>
        <v>2.2727272727272728E-2</v>
      </c>
      <c r="K705" s="296" t="s">
        <v>171</v>
      </c>
      <c r="L705" s="297">
        <v>0.15763888888888888</v>
      </c>
      <c r="M705" s="297">
        <v>0.15763888888888888</v>
      </c>
      <c r="N705" s="297">
        <v>0.17152777777777775</v>
      </c>
      <c r="O705" s="19">
        <f>(Table6[[#This Row],[Work Start TimeStamp]]-Table6[[#This Row],[Fault Start TimeStamp]])*24</f>
        <v>0</v>
      </c>
      <c r="P705" s="19">
        <f>(Table6[[#This Row],[Fault Clearance time]]-Table6[[#This Row],[Fault Start TimeStamp]])*24</f>
        <v>0.33333333333333282</v>
      </c>
      <c r="Q705" s="19">
        <f>(Table6[[#This Row],[Fault Clearance time]]-Table6[[#This Row],[Fault Start TimeStamp]])*24</f>
        <v>0.33333333333333282</v>
      </c>
      <c r="R705" s="79" t="s">
        <v>353</v>
      </c>
      <c r="S705" s="79" t="s">
        <v>339</v>
      </c>
      <c r="T705" s="298">
        <f>IFERROR(Table6[[#This Row],[Breakdown Time]]*Table6[[#This Row],[Plant Equivalent Weightage]],"")</f>
        <v>7.5757575757575638E-3</v>
      </c>
      <c r="U705" s="79" t="s">
        <v>421</v>
      </c>
      <c r="W705" s="79">
        <v>20</v>
      </c>
    </row>
    <row r="706" spans="1:23">
      <c r="A706" s="79">
        <f t="shared" si="10"/>
        <v>705</v>
      </c>
      <c r="B706" s="79">
        <f>YEAR(Table6[[#This Row],[Date]])+IF(MONTH(Table6[[#This Row],[Date]])&gt;=4,1,0)</f>
        <v>2026</v>
      </c>
      <c r="C706" s="79">
        <f>YEAR(Table6[[#This Row],[Date]])</f>
        <v>2025</v>
      </c>
      <c r="D706" s="79" t="s">
        <v>344</v>
      </c>
      <c r="E706" s="284">
        <f>Table6[[#This Row],[Date]]-DAY(Table6[[#This Row],[Date]])+1</f>
        <v>45778</v>
      </c>
      <c r="F706" s="285">
        <v>45802</v>
      </c>
      <c r="G706" s="79" t="s">
        <v>93</v>
      </c>
      <c r="H706" s="79" t="str">
        <f>IFERROR(_xlfn.XLOOKUP(Table6[[#This Row],[Affected Feeder ]],'Basic Data'!$A:$A,'Basic Data'!$B:$B),"")</f>
        <v>PWEPL</v>
      </c>
      <c r="I706" s="79" t="str">
        <f>IFERROR(_xlfn.XLOOKUP(Table6[[#This Row],[Affected Feeder ]],'Basic Data'!$A:$A,'Basic Data'!$C:$C),"")</f>
        <v>MSEDCL</v>
      </c>
      <c r="J706" s="295">
        <f>IFERROR(_xlfn.XLOOKUP(Table6[[#This Row],[Affected Feeder ]],'Basic Data'!$A:$A,'Basic Data'!$E:$E),"")</f>
        <v>2.2727272727272728E-2</v>
      </c>
      <c r="K706" s="296" t="s">
        <v>171</v>
      </c>
      <c r="L706" s="297">
        <v>0.15763888888888888</v>
      </c>
      <c r="M706" s="297">
        <v>0.15763888888888888</v>
      </c>
      <c r="N706" s="297">
        <v>0.17152777777777775</v>
      </c>
      <c r="O706" s="19">
        <f>(Table6[[#This Row],[Work Start TimeStamp]]-Table6[[#This Row],[Fault Start TimeStamp]])*24</f>
        <v>0</v>
      </c>
      <c r="P706" s="19">
        <f>(Table6[[#This Row],[Fault Clearance time]]-Table6[[#This Row],[Fault Start TimeStamp]])*24</f>
        <v>0.33333333333333282</v>
      </c>
      <c r="Q706" s="19">
        <f>(Table6[[#This Row],[Fault Clearance time]]-Table6[[#This Row],[Fault Start TimeStamp]])*24</f>
        <v>0.33333333333333282</v>
      </c>
      <c r="R706" s="79" t="s">
        <v>353</v>
      </c>
      <c r="S706" s="79" t="s">
        <v>339</v>
      </c>
      <c r="T706" s="298">
        <f>IFERROR(Table6[[#This Row],[Breakdown Time]]*Table6[[#This Row],[Plant Equivalent Weightage]],"")</f>
        <v>7.5757575757575638E-3</v>
      </c>
      <c r="U706" s="79" t="s">
        <v>421</v>
      </c>
      <c r="W706" s="79">
        <v>20</v>
      </c>
    </row>
    <row r="707" spans="1:23">
      <c r="A707" s="79">
        <f t="shared" si="10"/>
        <v>706</v>
      </c>
      <c r="B707" s="79">
        <f>YEAR(Table6[[#This Row],[Date]])+IF(MONTH(Table6[[#This Row],[Date]])&gt;=4,1,0)</f>
        <v>2026</v>
      </c>
      <c r="C707" s="79">
        <f>YEAR(Table6[[#This Row],[Date]])</f>
        <v>2025</v>
      </c>
      <c r="D707" s="79" t="s">
        <v>344</v>
      </c>
      <c r="E707" s="284">
        <f>Table6[[#This Row],[Date]]-DAY(Table6[[#This Row],[Date]])+1</f>
        <v>45778</v>
      </c>
      <c r="F707" s="285">
        <v>45802</v>
      </c>
      <c r="G707" s="79" t="s">
        <v>102</v>
      </c>
      <c r="H707" s="79" t="str">
        <f>IFERROR(_xlfn.XLOOKUP(Table6[[#This Row],[Affected Feeder ]],'Basic Data'!$A:$A,'Basic Data'!$B:$B),"")</f>
        <v>PWEPL</v>
      </c>
      <c r="I707" s="79" t="str">
        <f>IFERROR(_xlfn.XLOOKUP(Table6[[#This Row],[Affected Feeder ]],'Basic Data'!$A:$A,'Basic Data'!$C:$C),"")</f>
        <v>MSEDCL</v>
      </c>
      <c r="J707" s="295">
        <f>IFERROR(_xlfn.XLOOKUP(Table6[[#This Row],[Affected Feeder ]],'Basic Data'!$A:$A,'Basic Data'!$E:$E),"")</f>
        <v>2.2727272727272728E-2</v>
      </c>
      <c r="K707" s="296" t="s">
        <v>171</v>
      </c>
      <c r="L707" s="297">
        <v>0.15763888888888888</v>
      </c>
      <c r="M707" s="297">
        <v>0.15763888888888888</v>
      </c>
      <c r="N707" s="297">
        <v>0.17152777777777775</v>
      </c>
      <c r="O707" s="19">
        <f>(Table6[[#This Row],[Work Start TimeStamp]]-Table6[[#This Row],[Fault Start TimeStamp]])*24</f>
        <v>0</v>
      </c>
      <c r="P707" s="19">
        <f>(Table6[[#This Row],[Fault Clearance time]]-Table6[[#This Row],[Fault Start TimeStamp]])*24</f>
        <v>0.33333333333333282</v>
      </c>
      <c r="Q707" s="19">
        <f>(Table6[[#This Row],[Fault Clearance time]]-Table6[[#This Row],[Fault Start TimeStamp]])*24</f>
        <v>0.33333333333333282</v>
      </c>
      <c r="R707" s="79" t="s">
        <v>353</v>
      </c>
      <c r="S707" s="79" t="s">
        <v>339</v>
      </c>
      <c r="T707" s="298">
        <f>IFERROR(Table6[[#This Row],[Breakdown Time]]*Table6[[#This Row],[Plant Equivalent Weightage]],"")</f>
        <v>7.5757575757575638E-3</v>
      </c>
      <c r="U707" s="79" t="s">
        <v>421</v>
      </c>
      <c r="W707" s="79">
        <v>20</v>
      </c>
    </row>
    <row r="708" spans="1:23">
      <c r="A708" s="79">
        <f t="shared" ref="A708:A771" si="11">A707+1</f>
        <v>707</v>
      </c>
      <c r="B708" s="79">
        <f>YEAR(Table6[[#This Row],[Date]])+IF(MONTH(Table6[[#This Row],[Date]])&gt;=4,1,0)</f>
        <v>2026</v>
      </c>
      <c r="C708" s="79">
        <f>YEAR(Table6[[#This Row],[Date]])</f>
        <v>2025</v>
      </c>
      <c r="D708" s="79" t="s">
        <v>344</v>
      </c>
      <c r="E708" s="284">
        <f>Table6[[#This Row],[Date]]-DAY(Table6[[#This Row],[Date]])+1</f>
        <v>45778</v>
      </c>
      <c r="F708" s="285">
        <v>45802</v>
      </c>
      <c r="G708" s="79" t="s">
        <v>119</v>
      </c>
      <c r="H708" s="79" t="str">
        <f>IFERROR(_xlfn.XLOOKUP(Table6[[#This Row],[Affected Feeder ]],'Basic Data'!$A:$A,'Basic Data'!$B:$B),"")</f>
        <v>PWEPL</v>
      </c>
      <c r="I708" s="79" t="str">
        <f>IFERROR(_xlfn.XLOOKUP(Table6[[#This Row],[Affected Feeder ]],'Basic Data'!$A:$A,'Basic Data'!$C:$C),"")</f>
        <v>MSEDCL</v>
      </c>
      <c r="J708" s="295">
        <f>IFERROR(_xlfn.XLOOKUP(Table6[[#This Row],[Affected Feeder ]],'Basic Data'!$A:$A,'Basic Data'!$E:$E),"")</f>
        <v>2.2727272727272728E-2</v>
      </c>
      <c r="K708" s="296" t="s">
        <v>171</v>
      </c>
      <c r="L708" s="297">
        <v>0.15763888888888888</v>
      </c>
      <c r="M708" s="297">
        <v>0.15763888888888888</v>
      </c>
      <c r="N708" s="297">
        <v>0.17152777777777775</v>
      </c>
      <c r="O708" s="19">
        <f>(Table6[[#This Row],[Work Start TimeStamp]]-Table6[[#This Row],[Fault Start TimeStamp]])*24</f>
        <v>0</v>
      </c>
      <c r="P708" s="19">
        <f>(Table6[[#This Row],[Fault Clearance time]]-Table6[[#This Row],[Fault Start TimeStamp]])*24</f>
        <v>0.33333333333333282</v>
      </c>
      <c r="Q708" s="19">
        <f>(Table6[[#This Row],[Fault Clearance time]]-Table6[[#This Row],[Fault Start TimeStamp]])*24</f>
        <v>0.33333333333333282</v>
      </c>
      <c r="R708" s="79" t="s">
        <v>353</v>
      </c>
      <c r="S708" s="79" t="s">
        <v>339</v>
      </c>
      <c r="T708" s="298">
        <f>IFERROR(Table6[[#This Row],[Breakdown Time]]*Table6[[#This Row],[Plant Equivalent Weightage]],"")</f>
        <v>7.5757575757575638E-3</v>
      </c>
      <c r="U708" s="79" t="s">
        <v>421</v>
      </c>
      <c r="W708" s="79">
        <v>20</v>
      </c>
    </row>
    <row r="709" spans="1:23">
      <c r="A709" s="79">
        <f t="shared" si="11"/>
        <v>708</v>
      </c>
      <c r="B709" s="79">
        <f>YEAR(Table6[[#This Row],[Date]])+IF(MONTH(Table6[[#This Row],[Date]])&gt;=4,1,0)</f>
        <v>2026</v>
      </c>
      <c r="C709" s="79">
        <f>YEAR(Table6[[#This Row],[Date]])</f>
        <v>2025</v>
      </c>
      <c r="D709" s="79" t="s">
        <v>344</v>
      </c>
      <c r="E709" s="284">
        <f>Table6[[#This Row],[Date]]-DAY(Table6[[#This Row],[Date]])+1</f>
        <v>45778</v>
      </c>
      <c r="F709" s="285">
        <v>45802</v>
      </c>
      <c r="G709" s="79" t="s">
        <v>103</v>
      </c>
      <c r="H709" s="79" t="str">
        <f>IFERROR(_xlfn.XLOOKUP(Table6[[#This Row],[Affected Feeder ]],'Basic Data'!$A:$A,'Basic Data'!$B:$B),"")</f>
        <v>PWEPL</v>
      </c>
      <c r="I709" s="79" t="str">
        <f>IFERROR(_xlfn.XLOOKUP(Table6[[#This Row],[Affected Feeder ]],'Basic Data'!$A:$A,'Basic Data'!$C:$C),"")</f>
        <v>MSEDCL</v>
      </c>
      <c r="J709" s="295">
        <f>IFERROR(_xlfn.XLOOKUP(Table6[[#This Row],[Affected Feeder ]],'Basic Data'!$A:$A,'Basic Data'!$E:$E),"")</f>
        <v>2.2727272727272728E-2</v>
      </c>
      <c r="K709" s="296" t="s">
        <v>171</v>
      </c>
      <c r="L709" s="297">
        <v>0.15763888888888888</v>
      </c>
      <c r="M709" s="297">
        <v>0.15763888888888888</v>
      </c>
      <c r="N709" s="297">
        <v>0.17152777777777775</v>
      </c>
      <c r="O709" s="19">
        <f>(Table6[[#This Row],[Work Start TimeStamp]]-Table6[[#This Row],[Fault Start TimeStamp]])*24</f>
        <v>0</v>
      </c>
      <c r="P709" s="19">
        <f>(Table6[[#This Row],[Fault Clearance time]]-Table6[[#This Row],[Fault Start TimeStamp]])*24</f>
        <v>0.33333333333333282</v>
      </c>
      <c r="Q709" s="19">
        <f>(Table6[[#This Row],[Fault Clearance time]]-Table6[[#This Row],[Fault Start TimeStamp]])*24</f>
        <v>0.33333333333333282</v>
      </c>
      <c r="R709" s="79" t="s">
        <v>353</v>
      </c>
      <c r="S709" s="79" t="s">
        <v>339</v>
      </c>
      <c r="T709" s="298">
        <f>IFERROR(Table6[[#This Row],[Breakdown Time]]*Table6[[#This Row],[Plant Equivalent Weightage]],"")</f>
        <v>7.5757575757575638E-3</v>
      </c>
      <c r="U709" s="79" t="s">
        <v>421</v>
      </c>
      <c r="W709" s="79">
        <v>20</v>
      </c>
    </row>
    <row r="710" spans="1:23">
      <c r="A710" s="79">
        <f t="shared" si="11"/>
        <v>709</v>
      </c>
      <c r="B710" s="79">
        <f>YEAR(Table6[[#This Row],[Date]])+IF(MONTH(Table6[[#This Row],[Date]])&gt;=4,1,0)</f>
        <v>2026</v>
      </c>
      <c r="C710" s="79">
        <f>YEAR(Table6[[#This Row],[Date]])</f>
        <v>2025</v>
      </c>
      <c r="D710" s="79" t="s">
        <v>344</v>
      </c>
      <c r="E710" s="284">
        <f>Table6[[#This Row],[Date]]-DAY(Table6[[#This Row],[Date]])+1</f>
        <v>45778</v>
      </c>
      <c r="F710" s="285">
        <v>45802</v>
      </c>
      <c r="G710" s="79" t="s">
        <v>105</v>
      </c>
      <c r="H710" s="79" t="str">
        <f>IFERROR(_xlfn.XLOOKUP(Table6[[#This Row],[Affected Feeder ]],'Basic Data'!$A:$A,'Basic Data'!$B:$B),"")</f>
        <v>PWEPL</v>
      </c>
      <c r="I710" s="79" t="str">
        <f>IFERROR(_xlfn.XLOOKUP(Table6[[#This Row],[Affected Feeder ]],'Basic Data'!$A:$A,'Basic Data'!$C:$C),"")</f>
        <v>MSEDCL</v>
      </c>
      <c r="J710" s="295">
        <f>IFERROR(_xlfn.XLOOKUP(Table6[[#This Row],[Affected Feeder ]],'Basic Data'!$A:$A,'Basic Data'!$E:$E),"")</f>
        <v>2.2727272727272728E-2</v>
      </c>
      <c r="K710" s="296" t="s">
        <v>171</v>
      </c>
      <c r="L710" s="297">
        <v>0.15763888888888888</v>
      </c>
      <c r="M710" s="297">
        <v>0.15763888888888888</v>
      </c>
      <c r="N710" s="297">
        <v>0.17152777777777775</v>
      </c>
      <c r="O710" s="19">
        <f>(Table6[[#This Row],[Work Start TimeStamp]]-Table6[[#This Row],[Fault Start TimeStamp]])*24</f>
        <v>0</v>
      </c>
      <c r="P710" s="19">
        <f>(Table6[[#This Row],[Fault Clearance time]]-Table6[[#This Row],[Fault Start TimeStamp]])*24</f>
        <v>0.33333333333333282</v>
      </c>
      <c r="Q710" s="19">
        <f>(Table6[[#This Row],[Fault Clearance time]]-Table6[[#This Row],[Fault Start TimeStamp]])*24</f>
        <v>0.33333333333333282</v>
      </c>
      <c r="R710" s="79" t="s">
        <v>353</v>
      </c>
      <c r="S710" s="79" t="s">
        <v>339</v>
      </c>
      <c r="T710" s="298">
        <f>IFERROR(Table6[[#This Row],[Breakdown Time]]*Table6[[#This Row],[Plant Equivalent Weightage]],"")</f>
        <v>7.5757575757575638E-3</v>
      </c>
      <c r="U710" s="79" t="s">
        <v>421</v>
      </c>
      <c r="W710" s="79">
        <v>20</v>
      </c>
    </row>
    <row r="711" spans="1:23">
      <c r="A711" s="79">
        <f t="shared" si="11"/>
        <v>710</v>
      </c>
      <c r="B711" s="79">
        <f>YEAR(Table6[[#This Row],[Date]])+IF(MONTH(Table6[[#This Row],[Date]])&gt;=4,1,0)</f>
        <v>2026</v>
      </c>
      <c r="C711" s="79">
        <f>YEAR(Table6[[#This Row],[Date]])</f>
        <v>2025</v>
      </c>
      <c r="D711" s="79" t="s">
        <v>344</v>
      </c>
      <c r="E711" s="284">
        <f>Table6[[#This Row],[Date]]-DAY(Table6[[#This Row],[Date]])+1</f>
        <v>45778</v>
      </c>
      <c r="F711" s="285">
        <v>45802</v>
      </c>
      <c r="G711" s="79" t="s">
        <v>115</v>
      </c>
      <c r="H711" s="79" t="str">
        <f>IFERROR(_xlfn.XLOOKUP(Table6[[#This Row],[Affected Feeder ]],'Basic Data'!$A:$A,'Basic Data'!$B:$B),"")</f>
        <v>PWEPL</v>
      </c>
      <c r="I711" s="79" t="str">
        <f>IFERROR(_xlfn.XLOOKUP(Table6[[#This Row],[Affected Feeder ]],'Basic Data'!$A:$A,'Basic Data'!$C:$C),"")</f>
        <v>MSEDCL</v>
      </c>
      <c r="J711" s="295">
        <f>IFERROR(_xlfn.XLOOKUP(Table6[[#This Row],[Affected Feeder ]],'Basic Data'!$A:$A,'Basic Data'!$E:$E),"")</f>
        <v>2.2727272727272728E-2</v>
      </c>
      <c r="K711" s="296" t="s">
        <v>171</v>
      </c>
      <c r="L711" s="297">
        <v>0.15763888888888888</v>
      </c>
      <c r="M711" s="297">
        <v>0.15763888888888888</v>
      </c>
      <c r="N711" s="297">
        <v>0.17152777777777775</v>
      </c>
      <c r="O711" s="19">
        <f>(Table6[[#This Row],[Work Start TimeStamp]]-Table6[[#This Row],[Fault Start TimeStamp]])*24</f>
        <v>0</v>
      </c>
      <c r="P711" s="19">
        <f>(Table6[[#This Row],[Fault Clearance time]]-Table6[[#This Row],[Fault Start TimeStamp]])*24</f>
        <v>0.33333333333333282</v>
      </c>
      <c r="Q711" s="19">
        <f>(Table6[[#This Row],[Fault Clearance time]]-Table6[[#This Row],[Fault Start TimeStamp]])*24</f>
        <v>0.33333333333333282</v>
      </c>
      <c r="R711" s="79" t="s">
        <v>353</v>
      </c>
      <c r="S711" s="79" t="s">
        <v>339</v>
      </c>
      <c r="T711" s="298">
        <f>IFERROR(Table6[[#This Row],[Breakdown Time]]*Table6[[#This Row],[Plant Equivalent Weightage]],"")</f>
        <v>7.5757575757575638E-3</v>
      </c>
      <c r="U711" s="79" t="s">
        <v>421</v>
      </c>
      <c r="W711" s="79">
        <v>20</v>
      </c>
    </row>
    <row r="712" spans="1:23">
      <c r="A712" s="79">
        <f t="shared" si="11"/>
        <v>711</v>
      </c>
      <c r="B712" s="79">
        <f>YEAR(Table6[[#This Row],[Date]])+IF(MONTH(Table6[[#This Row],[Date]])&gt;=4,1,0)</f>
        <v>2026</v>
      </c>
      <c r="C712" s="79">
        <f>YEAR(Table6[[#This Row],[Date]])</f>
        <v>2025</v>
      </c>
      <c r="D712" s="79" t="s">
        <v>344</v>
      </c>
      <c r="E712" s="284">
        <f>Table6[[#This Row],[Date]]-DAY(Table6[[#This Row],[Date]])+1</f>
        <v>45778</v>
      </c>
      <c r="F712" s="285">
        <v>45802</v>
      </c>
      <c r="G712" s="79" t="s">
        <v>116</v>
      </c>
      <c r="H712" s="79" t="str">
        <f>IFERROR(_xlfn.XLOOKUP(Table6[[#This Row],[Affected Feeder ]],'Basic Data'!$A:$A,'Basic Data'!$B:$B),"")</f>
        <v>PWEPL</v>
      </c>
      <c r="I712" s="79" t="str">
        <f>IFERROR(_xlfn.XLOOKUP(Table6[[#This Row],[Affected Feeder ]],'Basic Data'!$A:$A,'Basic Data'!$C:$C),"")</f>
        <v>MSEDCL</v>
      </c>
      <c r="J712" s="295">
        <f>IFERROR(_xlfn.XLOOKUP(Table6[[#This Row],[Affected Feeder ]],'Basic Data'!$A:$A,'Basic Data'!$E:$E),"")</f>
        <v>2.2727272727272728E-2</v>
      </c>
      <c r="K712" s="296" t="s">
        <v>171</v>
      </c>
      <c r="L712" s="297">
        <v>0.15763888888888888</v>
      </c>
      <c r="M712" s="297">
        <v>0.15763888888888888</v>
      </c>
      <c r="N712" s="297">
        <v>0.17152777777777775</v>
      </c>
      <c r="O712" s="19">
        <f>(Table6[[#This Row],[Work Start TimeStamp]]-Table6[[#This Row],[Fault Start TimeStamp]])*24</f>
        <v>0</v>
      </c>
      <c r="P712" s="19">
        <f>(Table6[[#This Row],[Fault Clearance time]]-Table6[[#This Row],[Fault Start TimeStamp]])*24</f>
        <v>0.33333333333333282</v>
      </c>
      <c r="Q712" s="19">
        <f>(Table6[[#This Row],[Fault Clearance time]]-Table6[[#This Row],[Fault Start TimeStamp]])*24</f>
        <v>0.33333333333333282</v>
      </c>
      <c r="R712" s="79" t="s">
        <v>353</v>
      </c>
      <c r="S712" s="79" t="s">
        <v>339</v>
      </c>
      <c r="T712" s="298">
        <f>IFERROR(Table6[[#This Row],[Breakdown Time]]*Table6[[#This Row],[Plant Equivalent Weightage]],"")</f>
        <v>7.5757575757575638E-3</v>
      </c>
      <c r="U712" s="79" t="s">
        <v>421</v>
      </c>
      <c r="W712" s="79">
        <v>20</v>
      </c>
    </row>
    <row r="713" spans="1:23">
      <c r="A713" s="79">
        <f t="shared" si="11"/>
        <v>712</v>
      </c>
      <c r="B713" s="79">
        <f>YEAR(Table6[[#This Row],[Date]])+IF(MONTH(Table6[[#This Row],[Date]])&gt;=4,1,0)</f>
        <v>2026</v>
      </c>
      <c r="C713" s="79">
        <f>YEAR(Table6[[#This Row],[Date]])</f>
        <v>2025</v>
      </c>
      <c r="D713" s="79" t="s">
        <v>344</v>
      </c>
      <c r="E713" s="284">
        <f>Table6[[#This Row],[Date]]-DAY(Table6[[#This Row],[Date]])+1</f>
        <v>45778</v>
      </c>
      <c r="F713" s="285">
        <v>45802</v>
      </c>
      <c r="G713" s="79" t="s">
        <v>117</v>
      </c>
      <c r="H713" s="79" t="str">
        <f>IFERROR(_xlfn.XLOOKUP(Table6[[#This Row],[Affected Feeder ]],'Basic Data'!$A:$A,'Basic Data'!$B:$B),"")</f>
        <v>PWEPL</v>
      </c>
      <c r="I713" s="79" t="str">
        <f>IFERROR(_xlfn.XLOOKUP(Table6[[#This Row],[Affected Feeder ]],'Basic Data'!$A:$A,'Basic Data'!$C:$C),"")</f>
        <v>MSEDCL</v>
      </c>
      <c r="J713" s="295">
        <f>IFERROR(_xlfn.XLOOKUP(Table6[[#This Row],[Affected Feeder ]],'Basic Data'!$A:$A,'Basic Data'!$E:$E),"")</f>
        <v>2.2727272727272728E-2</v>
      </c>
      <c r="K713" s="296" t="s">
        <v>171</v>
      </c>
      <c r="L713" s="297">
        <v>0.15763888888888888</v>
      </c>
      <c r="M713" s="297">
        <v>0.15763888888888888</v>
      </c>
      <c r="N713" s="297">
        <v>0.17152777777777775</v>
      </c>
      <c r="O713" s="19">
        <f>(Table6[[#This Row],[Work Start TimeStamp]]-Table6[[#This Row],[Fault Start TimeStamp]])*24</f>
        <v>0</v>
      </c>
      <c r="P713" s="19">
        <f>(Table6[[#This Row],[Fault Clearance time]]-Table6[[#This Row],[Fault Start TimeStamp]])*24</f>
        <v>0.33333333333333282</v>
      </c>
      <c r="Q713" s="19">
        <f>(Table6[[#This Row],[Fault Clearance time]]-Table6[[#This Row],[Fault Start TimeStamp]])*24</f>
        <v>0.33333333333333282</v>
      </c>
      <c r="R713" s="79" t="s">
        <v>353</v>
      </c>
      <c r="S713" s="79" t="s">
        <v>339</v>
      </c>
      <c r="T713" s="298">
        <f>IFERROR(Table6[[#This Row],[Breakdown Time]]*Table6[[#This Row],[Plant Equivalent Weightage]],"")</f>
        <v>7.5757575757575638E-3</v>
      </c>
      <c r="U713" s="79" t="s">
        <v>421</v>
      </c>
      <c r="W713" s="79">
        <v>20</v>
      </c>
    </row>
    <row r="714" spans="1:23">
      <c r="A714" s="79">
        <f t="shared" si="11"/>
        <v>713</v>
      </c>
      <c r="B714" s="79">
        <f>YEAR(Table6[[#This Row],[Date]])+IF(MONTH(Table6[[#This Row],[Date]])&gt;=4,1,0)</f>
        <v>2026</v>
      </c>
      <c r="C714" s="79">
        <f>YEAR(Table6[[#This Row],[Date]])</f>
        <v>2025</v>
      </c>
      <c r="D714" s="79" t="s">
        <v>344</v>
      </c>
      <c r="E714" s="284">
        <f>Table6[[#This Row],[Date]]-DAY(Table6[[#This Row],[Date]])+1</f>
        <v>45778</v>
      </c>
      <c r="F714" s="285">
        <v>45802</v>
      </c>
      <c r="G714" s="79" t="s">
        <v>118</v>
      </c>
      <c r="H714" s="79" t="str">
        <f>IFERROR(_xlfn.XLOOKUP(Table6[[#This Row],[Affected Feeder ]],'Basic Data'!$A:$A,'Basic Data'!$B:$B),"")</f>
        <v>PWEPL</v>
      </c>
      <c r="I714" s="79" t="str">
        <f>IFERROR(_xlfn.XLOOKUP(Table6[[#This Row],[Affected Feeder ]],'Basic Data'!$A:$A,'Basic Data'!$C:$C),"")</f>
        <v>MSEDCL</v>
      </c>
      <c r="J714" s="295">
        <f>IFERROR(_xlfn.XLOOKUP(Table6[[#This Row],[Affected Feeder ]],'Basic Data'!$A:$A,'Basic Data'!$E:$E),"")</f>
        <v>2.2727272727272728E-2</v>
      </c>
      <c r="K714" s="296" t="s">
        <v>171</v>
      </c>
      <c r="L714" s="297">
        <v>0.15763888888888888</v>
      </c>
      <c r="M714" s="297">
        <v>0.15763888888888888</v>
      </c>
      <c r="N714" s="297">
        <v>0.17152777777777775</v>
      </c>
      <c r="O714" s="19">
        <f>(Table6[[#This Row],[Work Start TimeStamp]]-Table6[[#This Row],[Fault Start TimeStamp]])*24</f>
        <v>0</v>
      </c>
      <c r="P714" s="19">
        <f>(Table6[[#This Row],[Fault Clearance time]]-Table6[[#This Row],[Fault Start TimeStamp]])*24</f>
        <v>0.33333333333333282</v>
      </c>
      <c r="Q714" s="19">
        <f>(Table6[[#This Row],[Fault Clearance time]]-Table6[[#This Row],[Fault Start TimeStamp]])*24</f>
        <v>0.33333333333333282</v>
      </c>
      <c r="R714" s="79" t="s">
        <v>353</v>
      </c>
      <c r="S714" s="79" t="s">
        <v>339</v>
      </c>
      <c r="T714" s="298">
        <f>IFERROR(Table6[[#This Row],[Breakdown Time]]*Table6[[#This Row],[Plant Equivalent Weightage]],"")</f>
        <v>7.5757575757575638E-3</v>
      </c>
      <c r="U714" s="79" t="s">
        <v>421</v>
      </c>
      <c r="W714" s="79">
        <v>20</v>
      </c>
    </row>
    <row r="715" spans="1:23">
      <c r="A715" s="79">
        <f t="shared" si="11"/>
        <v>714</v>
      </c>
      <c r="B715" s="79">
        <f>YEAR(Table6[[#This Row],[Date]])+IF(MONTH(Table6[[#This Row],[Date]])&gt;=4,1,0)</f>
        <v>2026</v>
      </c>
      <c r="C715" s="79">
        <f>YEAR(Table6[[#This Row],[Date]])</f>
        <v>2025</v>
      </c>
      <c r="D715" s="79" t="s">
        <v>344</v>
      </c>
      <c r="E715" s="284">
        <f>Table6[[#This Row],[Date]]-DAY(Table6[[#This Row],[Date]])+1</f>
        <v>45778</v>
      </c>
      <c r="F715" s="285">
        <v>45803</v>
      </c>
      <c r="G715" s="79" t="s">
        <v>406</v>
      </c>
      <c r="H715" s="79" t="str">
        <f>IFERROR(_xlfn.XLOOKUP(Table6[[#This Row],[Affected Feeder ]],'Basic Data'!$A:$A,'Basic Data'!$B:$B),"")</f>
        <v>PWEPL</v>
      </c>
      <c r="I715" s="79" t="str">
        <f>IFERROR(_xlfn.XLOOKUP(Table6[[#This Row],[Affected Feeder ]],'Basic Data'!$A:$A,'Basic Data'!$C:$C),"")</f>
        <v>MSEDCL</v>
      </c>
      <c r="J715" s="295">
        <f>IFERROR(_xlfn.XLOOKUP(Table6[[#This Row],[Affected Feeder ]],'Basic Data'!$A:$A,'Basic Data'!$E:$E),"")</f>
        <v>0.29545454545454541</v>
      </c>
      <c r="K715" s="296" t="s">
        <v>447</v>
      </c>
      <c r="L715" s="297">
        <v>0.24236111111111111</v>
      </c>
      <c r="M715" s="297">
        <v>0.24236111111111111</v>
      </c>
      <c r="N715" s="297">
        <v>0.26180555555555557</v>
      </c>
      <c r="O715" s="19">
        <f>(Table6[[#This Row],[Work Start TimeStamp]]-Table6[[#This Row],[Fault Start TimeStamp]])*24</f>
        <v>0</v>
      </c>
      <c r="P715" s="19">
        <f>(Table6[[#This Row],[Fault Clearance time]]-Table6[[#This Row],[Fault Start TimeStamp]])*24</f>
        <v>0.46666666666666701</v>
      </c>
      <c r="Q715" s="19">
        <f>(Table6[[#This Row],[Fault Clearance time]]-Table6[[#This Row],[Fault Start TimeStamp]])*24</f>
        <v>0.46666666666666701</v>
      </c>
      <c r="R715" s="79" t="s">
        <v>420</v>
      </c>
      <c r="S715" s="79" t="s">
        <v>339</v>
      </c>
      <c r="T715" s="298">
        <f>IFERROR(Table6[[#This Row],[Breakdown Time]]*Table6[[#This Row],[Plant Equivalent Weightage]],"")</f>
        <v>0.13787878787878796</v>
      </c>
      <c r="U715" s="79" t="s">
        <v>421</v>
      </c>
      <c r="W715" s="79">
        <v>3324</v>
      </c>
    </row>
    <row r="716" spans="1:23">
      <c r="A716" s="79">
        <f t="shared" si="11"/>
        <v>715</v>
      </c>
      <c r="B716" s="79">
        <f>YEAR(Table6[[#This Row],[Date]])+IF(MONTH(Table6[[#This Row],[Date]])&gt;=4,1,0)</f>
        <v>2026</v>
      </c>
      <c r="C716" s="79">
        <f>YEAR(Table6[[#This Row],[Date]])</f>
        <v>2025</v>
      </c>
      <c r="D716" s="79" t="s">
        <v>344</v>
      </c>
      <c r="E716" s="284">
        <f>Table6[[#This Row],[Date]]-DAY(Table6[[#This Row],[Date]])+1</f>
        <v>45778</v>
      </c>
      <c r="F716" s="285">
        <v>45803</v>
      </c>
      <c r="G716" s="79" t="s">
        <v>76</v>
      </c>
      <c r="H716" s="79" t="str">
        <f>IFERROR(_xlfn.XLOOKUP(Table6[[#This Row],[Affected Feeder ]],'Basic Data'!$A:$A,'Basic Data'!$B:$B),"")</f>
        <v>PWEPL</v>
      </c>
      <c r="I716" s="79" t="str">
        <f>IFERROR(_xlfn.XLOOKUP(Table6[[#This Row],[Affected Feeder ]],'Basic Data'!$A:$A,'Basic Data'!$C:$C),"")</f>
        <v>MSEDCL</v>
      </c>
      <c r="J716" s="295">
        <f>IFERROR(_xlfn.XLOOKUP(Table6[[#This Row],[Affected Feeder ]],'Basic Data'!$A:$A,'Basic Data'!$E:$E),"")</f>
        <v>2.2727272727272728E-2</v>
      </c>
      <c r="K716" s="296" t="s">
        <v>171</v>
      </c>
      <c r="L716" s="297">
        <v>0.26180555555555557</v>
      </c>
      <c r="M716" s="297">
        <v>0.26180555555555557</v>
      </c>
      <c r="N716" s="297">
        <v>0.27569444444444446</v>
      </c>
      <c r="O716" s="19">
        <f>(Table6[[#This Row],[Work Start TimeStamp]]-Table6[[#This Row],[Fault Start TimeStamp]])*24</f>
        <v>0</v>
      </c>
      <c r="P716" s="19">
        <f>(Table6[[#This Row],[Fault Clearance time]]-Table6[[#This Row],[Fault Start TimeStamp]])*24</f>
        <v>0.33333333333333348</v>
      </c>
      <c r="Q716" s="19">
        <f>(Table6[[#This Row],[Fault Clearance time]]-Table6[[#This Row],[Fault Start TimeStamp]])*24</f>
        <v>0.33333333333333348</v>
      </c>
      <c r="R716" s="79" t="s">
        <v>353</v>
      </c>
      <c r="S716" s="79" t="s">
        <v>339</v>
      </c>
      <c r="T716" s="298">
        <f>IFERROR(Table6[[#This Row],[Breakdown Time]]*Table6[[#This Row],[Plant Equivalent Weightage]],"")</f>
        <v>7.5757575757575794E-3</v>
      </c>
      <c r="U716" s="79" t="s">
        <v>421</v>
      </c>
      <c r="W716" s="79">
        <v>183</v>
      </c>
    </row>
    <row r="717" spans="1:23">
      <c r="A717" s="79">
        <f t="shared" si="11"/>
        <v>716</v>
      </c>
      <c r="B717" s="79">
        <f>YEAR(Table6[[#This Row],[Date]])+IF(MONTH(Table6[[#This Row],[Date]])&gt;=4,1,0)</f>
        <v>2026</v>
      </c>
      <c r="C717" s="79">
        <f>YEAR(Table6[[#This Row],[Date]])</f>
        <v>2025</v>
      </c>
      <c r="D717" s="79" t="s">
        <v>344</v>
      </c>
      <c r="E717" s="284">
        <f>Table6[[#This Row],[Date]]-DAY(Table6[[#This Row],[Date]])+1</f>
        <v>45778</v>
      </c>
      <c r="F717" s="285">
        <v>45803</v>
      </c>
      <c r="G717" s="79" t="s">
        <v>77</v>
      </c>
      <c r="H717" s="79" t="str">
        <f>IFERROR(_xlfn.XLOOKUP(Table6[[#This Row],[Affected Feeder ]],'Basic Data'!$A:$A,'Basic Data'!$B:$B),"")</f>
        <v>PWEPL</v>
      </c>
      <c r="I717" s="79" t="str">
        <f>IFERROR(_xlfn.XLOOKUP(Table6[[#This Row],[Affected Feeder ]],'Basic Data'!$A:$A,'Basic Data'!$C:$C),"")</f>
        <v>MSEDCL</v>
      </c>
      <c r="J717" s="295">
        <f>IFERROR(_xlfn.XLOOKUP(Table6[[#This Row],[Affected Feeder ]],'Basic Data'!$A:$A,'Basic Data'!$E:$E),"")</f>
        <v>2.2727272727272728E-2</v>
      </c>
      <c r="K717" s="296" t="s">
        <v>171</v>
      </c>
      <c r="L717" s="297">
        <v>0.26180555555555557</v>
      </c>
      <c r="M717" s="297">
        <v>0.26180555555555557</v>
      </c>
      <c r="N717" s="297">
        <v>0.27569444444444446</v>
      </c>
      <c r="O717" s="19">
        <f>(Table6[[#This Row],[Work Start TimeStamp]]-Table6[[#This Row],[Fault Start TimeStamp]])*24</f>
        <v>0</v>
      </c>
      <c r="P717" s="19">
        <f>(Table6[[#This Row],[Fault Clearance time]]-Table6[[#This Row],[Fault Start TimeStamp]])*24</f>
        <v>0.33333333333333348</v>
      </c>
      <c r="Q717" s="19">
        <f>(Table6[[#This Row],[Fault Clearance time]]-Table6[[#This Row],[Fault Start TimeStamp]])*24</f>
        <v>0.33333333333333348</v>
      </c>
      <c r="R717" s="79" t="s">
        <v>353</v>
      </c>
      <c r="S717" s="79" t="s">
        <v>339</v>
      </c>
      <c r="T717" s="298">
        <f>IFERROR(Table6[[#This Row],[Breakdown Time]]*Table6[[#This Row],[Plant Equivalent Weightage]],"")</f>
        <v>7.5757575757575794E-3</v>
      </c>
      <c r="U717" s="79" t="s">
        <v>421</v>
      </c>
      <c r="W717" s="79">
        <v>183</v>
      </c>
    </row>
    <row r="718" spans="1:23">
      <c r="A718" s="79">
        <f t="shared" si="11"/>
        <v>717</v>
      </c>
      <c r="B718" s="79">
        <f>YEAR(Table6[[#This Row],[Date]])+IF(MONTH(Table6[[#This Row],[Date]])&gt;=4,1,0)</f>
        <v>2026</v>
      </c>
      <c r="C718" s="79">
        <f>YEAR(Table6[[#This Row],[Date]])</f>
        <v>2025</v>
      </c>
      <c r="D718" s="79" t="s">
        <v>344</v>
      </c>
      <c r="E718" s="284">
        <f>Table6[[#This Row],[Date]]-DAY(Table6[[#This Row],[Date]])+1</f>
        <v>45778</v>
      </c>
      <c r="F718" s="285">
        <v>45803</v>
      </c>
      <c r="G718" s="79" t="s">
        <v>78</v>
      </c>
      <c r="H718" s="79" t="str">
        <f>IFERROR(_xlfn.XLOOKUP(Table6[[#This Row],[Affected Feeder ]],'Basic Data'!$A:$A,'Basic Data'!$B:$B),"")</f>
        <v>PWEPL</v>
      </c>
      <c r="I718" s="79" t="str">
        <f>IFERROR(_xlfn.XLOOKUP(Table6[[#This Row],[Affected Feeder ]],'Basic Data'!$A:$A,'Basic Data'!$C:$C),"")</f>
        <v>MSEDCL</v>
      </c>
      <c r="J718" s="295">
        <f>IFERROR(_xlfn.XLOOKUP(Table6[[#This Row],[Affected Feeder ]],'Basic Data'!$A:$A,'Basic Data'!$E:$E),"")</f>
        <v>2.2727272727272728E-2</v>
      </c>
      <c r="K718" s="296" t="s">
        <v>171</v>
      </c>
      <c r="L718" s="297">
        <v>0.26180555555555557</v>
      </c>
      <c r="M718" s="297">
        <v>0.26180555555555557</v>
      </c>
      <c r="N718" s="297">
        <v>0.27569444444444446</v>
      </c>
      <c r="O718" s="19">
        <f>(Table6[[#This Row],[Work Start TimeStamp]]-Table6[[#This Row],[Fault Start TimeStamp]])*24</f>
        <v>0</v>
      </c>
      <c r="P718" s="19">
        <f>(Table6[[#This Row],[Fault Clearance time]]-Table6[[#This Row],[Fault Start TimeStamp]])*24</f>
        <v>0.33333333333333348</v>
      </c>
      <c r="Q718" s="19">
        <f>(Table6[[#This Row],[Fault Clearance time]]-Table6[[#This Row],[Fault Start TimeStamp]])*24</f>
        <v>0.33333333333333348</v>
      </c>
      <c r="R718" s="79" t="s">
        <v>353</v>
      </c>
      <c r="S718" s="79" t="s">
        <v>339</v>
      </c>
      <c r="T718" s="298">
        <f>IFERROR(Table6[[#This Row],[Breakdown Time]]*Table6[[#This Row],[Plant Equivalent Weightage]],"")</f>
        <v>7.5757575757575794E-3</v>
      </c>
      <c r="U718" s="79" t="s">
        <v>421</v>
      </c>
      <c r="W718" s="79">
        <v>183</v>
      </c>
    </row>
    <row r="719" spans="1:23">
      <c r="A719" s="79">
        <f t="shared" si="11"/>
        <v>718</v>
      </c>
      <c r="B719" s="79">
        <f>YEAR(Table6[[#This Row],[Date]])+IF(MONTH(Table6[[#This Row],[Date]])&gt;=4,1,0)</f>
        <v>2026</v>
      </c>
      <c r="C719" s="79">
        <f>YEAR(Table6[[#This Row],[Date]])</f>
        <v>2025</v>
      </c>
      <c r="D719" s="79" t="s">
        <v>344</v>
      </c>
      <c r="E719" s="284">
        <f>Table6[[#This Row],[Date]]-DAY(Table6[[#This Row],[Date]])+1</f>
        <v>45778</v>
      </c>
      <c r="F719" s="285">
        <v>45803</v>
      </c>
      <c r="G719" s="79" t="s">
        <v>82</v>
      </c>
      <c r="H719" s="79" t="str">
        <f>IFERROR(_xlfn.XLOOKUP(Table6[[#This Row],[Affected Feeder ]],'Basic Data'!$A:$A,'Basic Data'!$B:$B),"")</f>
        <v>PWEPL</v>
      </c>
      <c r="I719" s="79" t="str">
        <f>IFERROR(_xlfn.XLOOKUP(Table6[[#This Row],[Affected Feeder ]],'Basic Data'!$A:$A,'Basic Data'!$C:$C),"")</f>
        <v>MSEDCL</v>
      </c>
      <c r="J719" s="295">
        <f>IFERROR(_xlfn.XLOOKUP(Table6[[#This Row],[Affected Feeder ]],'Basic Data'!$A:$A,'Basic Data'!$E:$E),"")</f>
        <v>2.2727272727272728E-2</v>
      </c>
      <c r="K719" s="296" t="s">
        <v>171</v>
      </c>
      <c r="L719" s="297">
        <v>0.26180555555555557</v>
      </c>
      <c r="M719" s="297">
        <v>0.26180555555555557</v>
      </c>
      <c r="N719" s="297">
        <v>0.27569444444444446</v>
      </c>
      <c r="O719" s="19">
        <f>(Table6[[#This Row],[Work Start TimeStamp]]-Table6[[#This Row],[Fault Start TimeStamp]])*24</f>
        <v>0</v>
      </c>
      <c r="P719" s="19">
        <f>(Table6[[#This Row],[Fault Clearance time]]-Table6[[#This Row],[Fault Start TimeStamp]])*24</f>
        <v>0.33333333333333348</v>
      </c>
      <c r="Q719" s="19">
        <f>(Table6[[#This Row],[Fault Clearance time]]-Table6[[#This Row],[Fault Start TimeStamp]])*24</f>
        <v>0.33333333333333348</v>
      </c>
      <c r="R719" s="79" t="s">
        <v>353</v>
      </c>
      <c r="S719" s="79" t="s">
        <v>339</v>
      </c>
      <c r="T719" s="298">
        <f>IFERROR(Table6[[#This Row],[Breakdown Time]]*Table6[[#This Row],[Plant Equivalent Weightage]],"")</f>
        <v>7.5757575757575794E-3</v>
      </c>
      <c r="U719" s="79" t="s">
        <v>421</v>
      </c>
      <c r="W719" s="79">
        <v>183</v>
      </c>
    </row>
    <row r="720" spans="1:23">
      <c r="A720" s="79">
        <f t="shared" si="11"/>
        <v>719</v>
      </c>
      <c r="B720" s="79">
        <f>YEAR(Table6[[#This Row],[Date]])+IF(MONTH(Table6[[#This Row],[Date]])&gt;=4,1,0)</f>
        <v>2026</v>
      </c>
      <c r="C720" s="79">
        <f>YEAR(Table6[[#This Row],[Date]])</f>
        <v>2025</v>
      </c>
      <c r="D720" s="79" t="s">
        <v>344</v>
      </c>
      <c r="E720" s="284">
        <f>Table6[[#This Row],[Date]]-DAY(Table6[[#This Row],[Date]])+1</f>
        <v>45778</v>
      </c>
      <c r="F720" s="285">
        <v>45803</v>
      </c>
      <c r="G720" s="79" t="s">
        <v>93</v>
      </c>
      <c r="H720" s="79" t="str">
        <f>IFERROR(_xlfn.XLOOKUP(Table6[[#This Row],[Affected Feeder ]],'Basic Data'!$A:$A,'Basic Data'!$B:$B),"")</f>
        <v>PWEPL</v>
      </c>
      <c r="I720" s="79" t="str">
        <f>IFERROR(_xlfn.XLOOKUP(Table6[[#This Row],[Affected Feeder ]],'Basic Data'!$A:$A,'Basic Data'!$C:$C),"")</f>
        <v>MSEDCL</v>
      </c>
      <c r="J720" s="295">
        <f>IFERROR(_xlfn.XLOOKUP(Table6[[#This Row],[Affected Feeder ]],'Basic Data'!$A:$A,'Basic Data'!$E:$E),"")</f>
        <v>2.2727272727272728E-2</v>
      </c>
      <c r="K720" s="296" t="s">
        <v>171</v>
      </c>
      <c r="L720" s="297">
        <v>0.26180555555555557</v>
      </c>
      <c r="M720" s="297">
        <v>0.26180555555555557</v>
      </c>
      <c r="N720" s="297">
        <v>0.27569444444444446</v>
      </c>
      <c r="O720" s="19">
        <f>(Table6[[#This Row],[Work Start TimeStamp]]-Table6[[#This Row],[Fault Start TimeStamp]])*24</f>
        <v>0</v>
      </c>
      <c r="P720" s="19">
        <f>(Table6[[#This Row],[Fault Clearance time]]-Table6[[#This Row],[Fault Start TimeStamp]])*24</f>
        <v>0.33333333333333348</v>
      </c>
      <c r="Q720" s="19">
        <f>(Table6[[#This Row],[Fault Clearance time]]-Table6[[#This Row],[Fault Start TimeStamp]])*24</f>
        <v>0.33333333333333348</v>
      </c>
      <c r="R720" s="79" t="s">
        <v>353</v>
      </c>
      <c r="S720" s="79" t="s">
        <v>339</v>
      </c>
      <c r="T720" s="298">
        <f>IFERROR(Table6[[#This Row],[Breakdown Time]]*Table6[[#This Row],[Plant Equivalent Weightage]],"")</f>
        <v>7.5757575757575794E-3</v>
      </c>
      <c r="U720" s="79" t="s">
        <v>421</v>
      </c>
      <c r="W720" s="79">
        <v>183</v>
      </c>
    </row>
    <row r="721" spans="1:23">
      <c r="A721" s="79">
        <f t="shared" si="11"/>
        <v>720</v>
      </c>
      <c r="B721" s="79">
        <f>YEAR(Table6[[#This Row],[Date]])+IF(MONTH(Table6[[#This Row],[Date]])&gt;=4,1,0)</f>
        <v>2026</v>
      </c>
      <c r="C721" s="79">
        <f>YEAR(Table6[[#This Row],[Date]])</f>
        <v>2025</v>
      </c>
      <c r="D721" s="79" t="s">
        <v>344</v>
      </c>
      <c r="E721" s="284">
        <f>Table6[[#This Row],[Date]]-DAY(Table6[[#This Row],[Date]])+1</f>
        <v>45778</v>
      </c>
      <c r="F721" s="285">
        <v>45803</v>
      </c>
      <c r="G721" s="79" t="s">
        <v>102</v>
      </c>
      <c r="H721" s="79" t="str">
        <f>IFERROR(_xlfn.XLOOKUP(Table6[[#This Row],[Affected Feeder ]],'Basic Data'!$A:$A,'Basic Data'!$B:$B),"")</f>
        <v>PWEPL</v>
      </c>
      <c r="I721" s="79" t="str">
        <f>IFERROR(_xlfn.XLOOKUP(Table6[[#This Row],[Affected Feeder ]],'Basic Data'!$A:$A,'Basic Data'!$C:$C),"")</f>
        <v>MSEDCL</v>
      </c>
      <c r="J721" s="295">
        <f>IFERROR(_xlfn.XLOOKUP(Table6[[#This Row],[Affected Feeder ]],'Basic Data'!$A:$A,'Basic Data'!$E:$E),"")</f>
        <v>2.2727272727272728E-2</v>
      </c>
      <c r="K721" s="296" t="s">
        <v>171</v>
      </c>
      <c r="L721" s="297">
        <v>0.26180555555555557</v>
      </c>
      <c r="M721" s="297">
        <v>0.26180555555555557</v>
      </c>
      <c r="N721" s="297">
        <v>0.27569444444444446</v>
      </c>
      <c r="O721" s="19">
        <f>(Table6[[#This Row],[Work Start TimeStamp]]-Table6[[#This Row],[Fault Start TimeStamp]])*24</f>
        <v>0</v>
      </c>
      <c r="P721" s="19">
        <f>(Table6[[#This Row],[Fault Clearance time]]-Table6[[#This Row],[Fault Start TimeStamp]])*24</f>
        <v>0.33333333333333348</v>
      </c>
      <c r="Q721" s="19">
        <f>(Table6[[#This Row],[Fault Clearance time]]-Table6[[#This Row],[Fault Start TimeStamp]])*24</f>
        <v>0.33333333333333348</v>
      </c>
      <c r="R721" s="79" t="s">
        <v>353</v>
      </c>
      <c r="S721" s="79" t="s">
        <v>339</v>
      </c>
      <c r="T721" s="298">
        <f>IFERROR(Table6[[#This Row],[Breakdown Time]]*Table6[[#This Row],[Plant Equivalent Weightage]],"")</f>
        <v>7.5757575757575794E-3</v>
      </c>
      <c r="U721" s="79" t="s">
        <v>421</v>
      </c>
      <c r="W721" s="79">
        <v>183</v>
      </c>
    </row>
    <row r="722" spans="1:23">
      <c r="A722" s="79">
        <f t="shared" si="11"/>
        <v>721</v>
      </c>
      <c r="B722" s="79">
        <f>YEAR(Table6[[#This Row],[Date]])+IF(MONTH(Table6[[#This Row],[Date]])&gt;=4,1,0)</f>
        <v>2026</v>
      </c>
      <c r="C722" s="79">
        <f>YEAR(Table6[[#This Row],[Date]])</f>
        <v>2025</v>
      </c>
      <c r="D722" s="79" t="s">
        <v>344</v>
      </c>
      <c r="E722" s="284">
        <f>Table6[[#This Row],[Date]]-DAY(Table6[[#This Row],[Date]])+1</f>
        <v>45778</v>
      </c>
      <c r="F722" s="285">
        <v>45803</v>
      </c>
      <c r="G722" s="79" t="s">
        <v>119</v>
      </c>
      <c r="H722" s="79" t="str">
        <f>IFERROR(_xlfn.XLOOKUP(Table6[[#This Row],[Affected Feeder ]],'Basic Data'!$A:$A,'Basic Data'!$B:$B),"")</f>
        <v>PWEPL</v>
      </c>
      <c r="I722" s="79" t="str">
        <f>IFERROR(_xlfn.XLOOKUP(Table6[[#This Row],[Affected Feeder ]],'Basic Data'!$A:$A,'Basic Data'!$C:$C),"")</f>
        <v>MSEDCL</v>
      </c>
      <c r="J722" s="295">
        <f>IFERROR(_xlfn.XLOOKUP(Table6[[#This Row],[Affected Feeder ]],'Basic Data'!$A:$A,'Basic Data'!$E:$E),"")</f>
        <v>2.2727272727272728E-2</v>
      </c>
      <c r="K722" s="296" t="s">
        <v>171</v>
      </c>
      <c r="L722" s="297">
        <v>0.26180555555555557</v>
      </c>
      <c r="M722" s="297">
        <v>0.26180555555555557</v>
      </c>
      <c r="N722" s="297">
        <v>0.27569444444444446</v>
      </c>
      <c r="O722" s="19">
        <f>(Table6[[#This Row],[Work Start TimeStamp]]-Table6[[#This Row],[Fault Start TimeStamp]])*24</f>
        <v>0</v>
      </c>
      <c r="P722" s="19">
        <f>(Table6[[#This Row],[Fault Clearance time]]-Table6[[#This Row],[Fault Start TimeStamp]])*24</f>
        <v>0.33333333333333348</v>
      </c>
      <c r="Q722" s="19">
        <f>(Table6[[#This Row],[Fault Clearance time]]-Table6[[#This Row],[Fault Start TimeStamp]])*24</f>
        <v>0.33333333333333348</v>
      </c>
      <c r="R722" s="79" t="s">
        <v>353</v>
      </c>
      <c r="S722" s="79" t="s">
        <v>339</v>
      </c>
      <c r="T722" s="298">
        <f>IFERROR(Table6[[#This Row],[Breakdown Time]]*Table6[[#This Row],[Plant Equivalent Weightage]],"")</f>
        <v>7.5757575757575794E-3</v>
      </c>
      <c r="U722" s="79" t="s">
        <v>421</v>
      </c>
      <c r="W722" s="79">
        <v>183</v>
      </c>
    </row>
    <row r="723" spans="1:23">
      <c r="A723" s="79">
        <f t="shared" si="11"/>
        <v>722</v>
      </c>
      <c r="B723" s="79">
        <f>YEAR(Table6[[#This Row],[Date]])+IF(MONTH(Table6[[#This Row],[Date]])&gt;=4,1,0)</f>
        <v>2026</v>
      </c>
      <c r="C723" s="79">
        <f>YEAR(Table6[[#This Row],[Date]])</f>
        <v>2025</v>
      </c>
      <c r="D723" s="79" t="s">
        <v>344</v>
      </c>
      <c r="E723" s="284">
        <f>Table6[[#This Row],[Date]]-DAY(Table6[[#This Row],[Date]])+1</f>
        <v>45778</v>
      </c>
      <c r="F723" s="285">
        <v>45803</v>
      </c>
      <c r="G723" s="79" t="s">
        <v>103</v>
      </c>
      <c r="H723" s="79" t="str">
        <f>IFERROR(_xlfn.XLOOKUP(Table6[[#This Row],[Affected Feeder ]],'Basic Data'!$A:$A,'Basic Data'!$B:$B),"")</f>
        <v>PWEPL</v>
      </c>
      <c r="I723" s="79" t="str">
        <f>IFERROR(_xlfn.XLOOKUP(Table6[[#This Row],[Affected Feeder ]],'Basic Data'!$A:$A,'Basic Data'!$C:$C),"")</f>
        <v>MSEDCL</v>
      </c>
      <c r="J723" s="295">
        <f>IFERROR(_xlfn.XLOOKUP(Table6[[#This Row],[Affected Feeder ]],'Basic Data'!$A:$A,'Basic Data'!$E:$E),"")</f>
        <v>2.2727272727272728E-2</v>
      </c>
      <c r="K723" s="296" t="s">
        <v>171</v>
      </c>
      <c r="L723" s="297">
        <v>0.26180555555555557</v>
      </c>
      <c r="M723" s="297">
        <v>0.26180555555555557</v>
      </c>
      <c r="N723" s="297">
        <v>0.27569444444444446</v>
      </c>
      <c r="O723" s="19">
        <f>(Table6[[#This Row],[Work Start TimeStamp]]-Table6[[#This Row],[Fault Start TimeStamp]])*24</f>
        <v>0</v>
      </c>
      <c r="P723" s="19">
        <f>(Table6[[#This Row],[Fault Clearance time]]-Table6[[#This Row],[Fault Start TimeStamp]])*24</f>
        <v>0.33333333333333348</v>
      </c>
      <c r="Q723" s="19">
        <f>(Table6[[#This Row],[Fault Clearance time]]-Table6[[#This Row],[Fault Start TimeStamp]])*24</f>
        <v>0.33333333333333348</v>
      </c>
      <c r="R723" s="79" t="s">
        <v>353</v>
      </c>
      <c r="S723" s="79" t="s">
        <v>339</v>
      </c>
      <c r="T723" s="298">
        <f>IFERROR(Table6[[#This Row],[Breakdown Time]]*Table6[[#This Row],[Plant Equivalent Weightage]],"")</f>
        <v>7.5757575757575794E-3</v>
      </c>
      <c r="U723" s="79" t="s">
        <v>421</v>
      </c>
      <c r="W723" s="79">
        <v>183</v>
      </c>
    </row>
    <row r="724" spans="1:23">
      <c r="A724" s="79">
        <f t="shared" si="11"/>
        <v>723</v>
      </c>
      <c r="B724" s="79">
        <f>YEAR(Table6[[#This Row],[Date]])+IF(MONTH(Table6[[#This Row],[Date]])&gt;=4,1,0)</f>
        <v>2026</v>
      </c>
      <c r="C724" s="79">
        <f>YEAR(Table6[[#This Row],[Date]])</f>
        <v>2025</v>
      </c>
      <c r="D724" s="79" t="s">
        <v>344</v>
      </c>
      <c r="E724" s="284">
        <f>Table6[[#This Row],[Date]]-DAY(Table6[[#This Row],[Date]])+1</f>
        <v>45778</v>
      </c>
      <c r="F724" s="285">
        <v>45803</v>
      </c>
      <c r="G724" s="79" t="s">
        <v>105</v>
      </c>
      <c r="H724" s="79" t="str">
        <f>IFERROR(_xlfn.XLOOKUP(Table6[[#This Row],[Affected Feeder ]],'Basic Data'!$A:$A,'Basic Data'!$B:$B),"")</f>
        <v>PWEPL</v>
      </c>
      <c r="I724" s="79" t="str">
        <f>IFERROR(_xlfn.XLOOKUP(Table6[[#This Row],[Affected Feeder ]],'Basic Data'!$A:$A,'Basic Data'!$C:$C),"")</f>
        <v>MSEDCL</v>
      </c>
      <c r="J724" s="295">
        <f>IFERROR(_xlfn.XLOOKUP(Table6[[#This Row],[Affected Feeder ]],'Basic Data'!$A:$A,'Basic Data'!$E:$E),"")</f>
        <v>2.2727272727272728E-2</v>
      </c>
      <c r="K724" s="296" t="s">
        <v>171</v>
      </c>
      <c r="L724" s="297">
        <v>0.26180555555555557</v>
      </c>
      <c r="M724" s="297">
        <v>0.26180555555555557</v>
      </c>
      <c r="N724" s="297">
        <v>0.27569444444444446</v>
      </c>
      <c r="O724" s="19">
        <f>(Table6[[#This Row],[Work Start TimeStamp]]-Table6[[#This Row],[Fault Start TimeStamp]])*24</f>
        <v>0</v>
      </c>
      <c r="P724" s="19">
        <f>(Table6[[#This Row],[Fault Clearance time]]-Table6[[#This Row],[Fault Start TimeStamp]])*24</f>
        <v>0.33333333333333348</v>
      </c>
      <c r="Q724" s="19">
        <f>(Table6[[#This Row],[Fault Clearance time]]-Table6[[#This Row],[Fault Start TimeStamp]])*24</f>
        <v>0.33333333333333348</v>
      </c>
      <c r="R724" s="79" t="s">
        <v>353</v>
      </c>
      <c r="S724" s="79" t="s">
        <v>339</v>
      </c>
      <c r="T724" s="298">
        <f>IFERROR(Table6[[#This Row],[Breakdown Time]]*Table6[[#This Row],[Plant Equivalent Weightage]],"")</f>
        <v>7.5757575757575794E-3</v>
      </c>
      <c r="U724" s="79" t="s">
        <v>421</v>
      </c>
      <c r="W724" s="79">
        <v>183</v>
      </c>
    </row>
    <row r="725" spans="1:23">
      <c r="A725" s="79">
        <f t="shared" si="11"/>
        <v>724</v>
      </c>
      <c r="B725" s="79">
        <f>YEAR(Table6[[#This Row],[Date]])+IF(MONTH(Table6[[#This Row],[Date]])&gt;=4,1,0)</f>
        <v>2026</v>
      </c>
      <c r="C725" s="79">
        <f>YEAR(Table6[[#This Row],[Date]])</f>
        <v>2025</v>
      </c>
      <c r="D725" s="79" t="s">
        <v>344</v>
      </c>
      <c r="E725" s="284">
        <f>Table6[[#This Row],[Date]]-DAY(Table6[[#This Row],[Date]])+1</f>
        <v>45778</v>
      </c>
      <c r="F725" s="285">
        <v>45803</v>
      </c>
      <c r="G725" s="79" t="s">
        <v>115</v>
      </c>
      <c r="H725" s="79" t="str">
        <f>IFERROR(_xlfn.XLOOKUP(Table6[[#This Row],[Affected Feeder ]],'Basic Data'!$A:$A,'Basic Data'!$B:$B),"")</f>
        <v>PWEPL</v>
      </c>
      <c r="I725" s="79" t="str">
        <f>IFERROR(_xlfn.XLOOKUP(Table6[[#This Row],[Affected Feeder ]],'Basic Data'!$A:$A,'Basic Data'!$C:$C),"")</f>
        <v>MSEDCL</v>
      </c>
      <c r="J725" s="295">
        <f>IFERROR(_xlfn.XLOOKUP(Table6[[#This Row],[Affected Feeder ]],'Basic Data'!$A:$A,'Basic Data'!$E:$E),"")</f>
        <v>2.2727272727272728E-2</v>
      </c>
      <c r="K725" s="296" t="s">
        <v>171</v>
      </c>
      <c r="L725" s="297">
        <v>0.26180555555555557</v>
      </c>
      <c r="M725" s="297">
        <v>0.26180555555555557</v>
      </c>
      <c r="N725" s="297">
        <v>0.27569444444444446</v>
      </c>
      <c r="O725" s="19">
        <f>(Table6[[#This Row],[Work Start TimeStamp]]-Table6[[#This Row],[Fault Start TimeStamp]])*24</f>
        <v>0</v>
      </c>
      <c r="P725" s="19">
        <f>(Table6[[#This Row],[Fault Clearance time]]-Table6[[#This Row],[Fault Start TimeStamp]])*24</f>
        <v>0.33333333333333348</v>
      </c>
      <c r="Q725" s="19">
        <f>(Table6[[#This Row],[Fault Clearance time]]-Table6[[#This Row],[Fault Start TimeStamp]])*24</f>
        <v>0.33333333333333348</v>
      </c>
      <c r="R725" s="79" t="s">
        <v>353</v>
      </c>
      <c r="S725" s="79" t="s">
        <v>339</v>
      </c>
      <c r="T725" s="298">
        <f>IFERROR(Table6[[#This Row],[Breakdown Time]]*Table6[[#This Row],[Plant Equivalent Weightage]],"")</f>
        <v>7.5757575757575794E-3</v>
      </c>
      <c r="U725" s="79" t="s">
        <v>421</v>
      </c>
      <c r="W725" s="79">
        <v>183</v>
      </c>
    </row>
    <row r="726" spans="1:23">
      <c r="A726" s="79">
        <f t="shared" si="11"/>
        <v>725</v>
      </c>
      <c r="B726" s="79">
        <f>YEAR(Table6[[#This Row],[Date]])+IF(MONTH(Table6[[#This Row],[Date]])&gt;=4,1,0)</f>
        <v>2026</v>
      </c>
      <c r="C726" s="79">
        <f>YEAR(Table6[[#This Row],[Date]])</f>
        <v>2025</v>
      </c>
      <c r="D726" s="79" t="s">
        <v>344</v>
      </c>
      <c r="E726" s="284">
        <f>Table6[[#This Row],[Date]]-DAY(Table6[[#This Row],[Date]])+1</f>
        <v>45778</v>
      </c>
      <c r="F726" s="285">
        <v>45803</v>
      </c>
      <c r="G726" s="79" t="s">
        <v>116</v>
      </c>
      <c r="H726" s="79" t="str">
        <f>IFERROR(_xlfn.XLOOKUP(Table6[[#This Row],[Affected Feeder ]],'Basic Data'!$A:$A,'Basic Data'!$B:$B),"")</f>
        <v>PWEPL</v>
      </c>
      <c r="I726" s="79" t="str">
        <f>IFERROR(_xlfn.XLOOKUP(Table6[[#This Row],[Affected Feeder ]],'Basic Data'!$A:$A,'Basic Data'!$C:$C),"")</f>
        <v>MSEDCL</v>
      </c>
      <c r="J726" s="295">
        <f>IFERROR(_xlfn.XLOOKUP(Table6[[#This Row],[Affected Feeder ]],'Basic Data'!$A:$A,'Basic Data'!$E:$E),"")</f>
        <v>2.2727272727272728E-2</v>
      </c>
      <c r="K726" s="296" t="s">
        <v>171</v>
      </c>
      <c r="L726" s="297">
        <v>0.26180555555555557</v>
      </c>
      <c r="M726" s="297">
        <v>0.26180555555555557</v>
      </c>
      <c r="N726" s="297">
        <v>0.27569444444444446</v>
      </c>
      <c r="O726" s="19">
        <f>(Table6[[#This Row],[Work Start TimeStamp]]-Table6[[#This Row],[Fault Start TimeStamp]])*24</f>
        <v>0</v>
      </c>
      <c r="P726" s="19">
        <f>(Table6[[#This Row],[Fault Clearance time]]-Table6[[#This Row],[Fault Start TimeStamp]])*24</f>
        <v>0.33333333333333348</v>
      </c>
      <c r="Q726" s="19">
        <f>(Table6[[#This Row],[Fault Clearance time]]-Table6[[#This Row],[Fault Start TimeStamp]])*24</f>
        <v>0.33333333333333348</v>
      </c>
      <c r="R726" s="79" t="s">
        <v>353</v>
      </c>
      <c r="S726" s="79" t="s">
        <v>339</v>
      </c>
      <c r="T726" s="298">
        <f>IFERROR(Table6[[#This Row],[Breakdown Time]]*Table6[[#This Row],[Plant Equivalent Weightage]],"")</f>
        <v>7.5757575757575794E-3</v>
      </c>
      <c r="U726" s="79" t="s">
        <v>421</v>
      </c>
      <c r="W726" s="79">
        <v>183</v>
      </c>
    </row>
    <row r="727" spans="1:23">
      <c r="A727" s="79">
        <f t="shared" si="11"/>
        <v>726</v>
      </c>
      <c r="B727" s="79">
        <f>YEAR(Table6[[#This Row],[Date]])+IF(MONTH(Table6[[#This Row],[Date]])&gt;=4,1,0)</f>
        <v>2026</v>
      </c>
      <c r="C727" s="79">
        <f>YEAR(Table6[[#This Row],[Date]])</f>
        <v>2025</v>
      </c>
      <c r="D727" s="79" t="s">
        <v>344</v>
      </c>
      <c r="E727" s="284">
        <f>Table6[[#This Row],[Date]]-DAY(Table6[[#This Row],[Date]])+1</f>
        <v>45778</v>
      </c>
      <c r="F727" s="285">
        <v>45803</v>
      </c>
      <c r="G727" s="79" t="s">
        <v>117</v>
      </c>
      <c r="H727" s="79" t="str">
        <f>IFERROR(_xlfn.XLOOKUP(Table6[[#This Row],[Affected Feeder ]],'Basic Data'!$A:$A,'Basic Data'!$B:$B),"")</f>
        <v>PWEPL</v>
      </c>
      <c r="I727" s="79" t="str">
        <f>IFERROR(_xlfn.XLOOKUP(Table6[[#This Row],[Affected Feeder ]],'Basic Data'!$A:$A,'Basic Data'!$C:$C),"")</f>
        <v>MSEDCL</v>
      </c>
      <c r="J727" s="295">
        <f>IFERROR(_xlfn.XLOOKUP(Table6[[#This Row],[Affected Feeder ]],'Basic Data'!$A:$A,'Basic Data'!$E:$E),"")</f>
        <v>2.2727272727272728E-2</v>
      </c>
      <c r="K727" s="296" t="s">
        <v>171</v>
      </c>
      <c r="L727" s="297">
        <v>0.26180555555555557</v>
      </c>
      <c r="M727" s="297">
        <v>0.26180555555555557</v>
      </c>
      <c r="N727" s="297">
        <v>0.27569444444444446</v>
      </c>
      <c r="O727" s="19">
        <f>(Table6[[#This Row],[Work Start TimeStamp]]-Table6[[#This Row],[Fault Start TimeStamp]])*24</f>
        <v>0</v>
      </c>
      <c r="P727" s="19">
        <f>(Table6[[#This Row],[Fault Clearance time]]-Table6[[#This Row],[Fault Start TimeStamp]])*24</f>
        <v>0.33333333333333348</v>
      </c>
      <c r="Q727" s="19">
        <f>(Table6[[#This Row],[Fault Clearance time]]-Table6[[#This Row],[Fault Start TimeStamp]])*24</f>
        <v>0.33333333333333348</v>
      </c>
      <c r="R727" s="79" t="s">
        <v>353</v>
      </c>
      <c r="S727" s="79" t="s">
        <v>339</v>
      </c>
      <c r="T727" s="298">
        <f>IFERROR(Table6[[#This Row],[Breakdown Time]]*Table6[[#This Row],[Plant Equivalent Weightage]],"")</f>
        <v>7.5757575757575794E-3</v>
      </c>
      <c r="U727" s="79" t="s">
        <v>421</v>
      </c>
      <c r="W727" s="79">
        <v>183</v>
      </c>
    </row>
    <row r="728" spans="1:23">
      <c r="A728" s="79">
        <f t="shared" si="11"/>
        <v>727</v>
      </c>
      <c r="B728" s="79">
        <f>YEAR(Table6[[#This Row],[Date]])+IF(MONTH(Table6[[#This Row],[Date]])&gt;=4,1,0)</f>
        <v>2026</v>
      </c>
      <c r="C728" s="79">
        <f>YEAR(Table6[[#This Row],[Date]])</f>
        <v>2025</v>
      </c>
      <c r="D728" s="79" t="s">
        <v>344</v>
      </c>
      <c r="E728" s="284">
        <f>Table6[[#This Row],[Date]]-DAY(Table6[[#This Row],[Date]])+1</f>
        <v>45778</v>
      </c>
      <c r="F728" s="285">
        <v>45803</v>
      </c>
      <c r="G728" s="79" t="s">
        <v>118</v>
      </c>
      <c r="H728" s="79" t="str">
        <f>IFERROR(_xlfn.XLOOKUP(Table6[[#This Row],[Affected Feeder ]],'Basic Data'!$A:$A,'Basic Data'!$B:$B),"")</f>
        <v>PWEPL</v>
      </c>
      <c r="I728" s="79" t="str">
        <f>IFERROR(_xlfn.XLOOKUP(Table6[[#This Row],[Affected Feeder ]],'Basic Data'!$A:$A,'Basic Data'!$C:$C),"")</f>
        <v>MSEDCL</v>
      </c>
      <c r="J728" s="295">
        <f>IFERROR(_xlfn.XLOOKUP(Table6[[#This Row],[Affected Feeder ]],'Basic Data'!$A:$A,'Basic Data'!$E:$E),"")</f>
        <v>2.2727272727272728E-2</v>
      </c>
      <c r="K728" s="296" t="s">
        <v>171</v>
      </c>
      <c r="L728" s="297">
        <v>0.26180555555555557</v>
      </c>
      <c r="M728" s="297">
        <v>0.26180555555555557</v>
      </c>
      <c r="N728" s="297">
        <v>0.27569444444444446</v>
      </c>
      <c r="O728" s="19">
        <f>(Table6[[#This Row],[Work Start TimeStamp]]-Table6[[#This Row],[Fault Start TimeStamp]])*24</f>
        <v>0</v>
      </c>
      <c r="P728" s="19">
        <f>(Table6[[#This Row],[Fault Clearance time]]-Table6[[#This Row],[Fault Start TimeStamp]])*24</f>
        <v>0.33333333333333348</v>
      </c>
      <c r="Q728" s="19">
        <f>(Table6[[#This Row],[Fault Clearance time]]-Table6[[#This Row],[Fault Start TimeStamp]])*24</f>
        <v>0.33333333333333348</v>
      </c>
      <c r="R728" s="79" t="s">
        <v>353</v>
      </c>
      <c r="S728" s="79" t="s">
        <v>339</v>
      </c>
      <c r="T728" s="298">
        <f>IFERROR(Table6[[#This Row],[Breakdown Time]]*Table6[[#This Row],[Plant Equivalent Weightage]],"")</f>
        <v>7.5757575757575794E-3</v>
      </c>
      <c r="U728" s="79" t="s">
        <v>421</v>
      </c>
      <c r="W728" s="79">
        <v>183</v>
      </c>
    </row>
    <row r="729" spans="1:23">
      <c r="A729" s="79">
        <f t="shared" si="11"/>
        <v>728</v>
      </c>
      <c r="B729" s="79">
        <f>YEAR(Table6[[#This Row],[Date]])+IF(MONTH(Table6[[#This Row],[Date]])&gt;=4,1,0)</f>
        <v>2026</v>
      </c>
      <c r="C729" s="79">
        <f>YEAR(Table6[[#This Row],[Date]])</f>
        <v>2025</v>
      </c>
      <c r="D729" s="79" t="s">
        <v>344</v>
      </c>
      <c r="E729" s="284">
        <f>Table6[[#This Row],[Date]]-DAY(Table6[[#This Row],[Date]])+1</f>
        <v>45778</v>
      </c>
      <c r="F729" s="285">
        <v>45803</v>
      </c>
      <c r="G729" s="79" t="s">
        <v>406</v>
      </c>
      <c r="H729" s="79" t="str">
        <f>IFERROR(_xlfn.XLOOKUP(Table6[[#This Row],[Affected Feeder ]],'Basic Data'!$A:$A,'Basic Data'!$B:$B),"")</f>
        <v>PWEPL</v>
      </c>
      <c r="I729" s="79" t="str">
        <f>IFERROR(_xlfn.XLOOKUP(Table6[[#This Row],[Affected Feeder ]],'Basic Data'!$A:$A,'Basic Data'!$C:$C),"")</f>
        <v>MSEDCL</v>
      </c>
      <c r="J729" s="295">
        <f>IFERROR(_xlfn.XLOOKUP(Table6[[#This Row],[Affected Feeder ]],'Basic Data'!$A:$A,'Basic Data'!$E:$E),"")</f>
        <v>0.29545454545454541</v>
      </c>
      <c r="K729" s="296" t="s">
        <v>447</v>
      </c>
      <c r="L729" s="297">
        <v>0.40763888888888888</v>
      </c>
      <c r="M729" s="297">
        <v>0.40763888888888888</v>
      </c>
      <c r="N729" s="297">
        <v>0.42708333333333331</v>
      </c>
      <c r="O729" s="19">
        <f>(Table6[[#This Row],[Work Start TimeStamp]]-Table6[[#This Row],[Fault Start TimeStamp]])*24</f>
        <v>0</v>
      </c>
      <c r="P729" s="19">
        <f>(Table6[[#This Row],[Fault Clearance time]]-Table6[[#This Row],[Fault Start TimeStamp]])*24</f>
        <v>0.46666666666666634</v>
      </c>
      <c r="Q729" s="19">
        <f>(Table6[[#This Row],[Fault Clearance time]]-Table6[[#This Row],[Fault Start TimeStamp]])*24</f>
        <v>0.46666666666666634</v>
      </c>
      <c r="R729" s="79" t="s">
        <v>420</v>
      </c>
      <c r="S729" s="79" t="s">
        <v>339</v>
      </c>
      <c r="T729" s="298">
        <f>IFERROR(Table6[[#This Row],[Breakdown Time]]*Table6[[#This Row],[Plant Equivalent Weightage]],"")</f>
        <v>0.13787878787878777</v>
      </c>
      <c r="U729" s="79" t="s">
        <v>421</v>
      </c>
      <c r="W729" s="79">
        <v>8936</v>
      </c>
    </row>
    <row r="730" spans="1:23">
      <c r="A730" s="79">
        <f t="shared" si="11"/>
        <v>729</v>
      </c>
      <c r="B730" s="79">
        <f>YEAR(Table6[[#This Row],[Date]])+IF(MONTH(Table6[[#This Row],[Date]])&gt;=4,1,0)</f>
        <v>2026</v>
      </c>
      <c r="C730" s="79">
        <f>YEAR(Table6[[#This Row],[Date]])</f>
        <v>2025</v>
      </c>
      <c r="D730" s="79" t="s">
        <v>344</v>
      </c>
      <c r="E730" s="284">
        <f>Table6[[#This Row],[Date]]-DAY(Table6[[#This Row],[Date]])+1</f>
        <v>45778</v>
      </c>
      <c r="F730" s="285">
        <v>45803</v>
      </c>
      <c r="G730" s="79" t="s">
        <v>76</v>
      </c>
      <c r="H730" s="79" t="str">
        <f>IFERROR(_xlfn.XLOOKUP(Table6[[#This Row],[Affected Feeder ]],'Basic Data'!$A:$A,'Basic Data'!$B:$B),"")</f>
        <v>PWEPL</v>
      </c>
      <c r="I730" s="79" t="str">
        <f>IFERROR(_xlfn.XLOOKUP(Table6[[#This Row],[Affected Feeder ]],'Basic Data'!$A:$A,'Basic Data'!$C:$C),"")</f>
        <v>MSEDCL</v>
      </c>
      <c r="J730" s="295">
        <f>IFERROR(_xlfn.XLOOKUP(Table6[[#This Row],[Affected Feeder ]],'Basic Data'!$A:$A,'Basic Data'!$E:$E),"")</f>
        <v>2.2727272727272728E-2</v>
      </c>
      <c r="K730" s="296" t="s">
        <v>171</v>
      </c>
      <c r="L730" s="297">
        <v>0.42708333333333331</v>
      </c>
      <c r="M730" s="297">
        <v>0.42708333333333331</v>
      </c>
      <c r="N730" s="297">
        <v>0.44097222222222227</v>
      </c>
      <c r="O730" s="19">
        <f>(Table6[[#This Row],[Work Start TimeStamp]]-Table6[[#This Row],[Fault Start TimeStamp]])*24</f>
        <v>0</v>
      </c>
      <c r="P730" s="19">
        <f>(Table6[[#This Row],[Fault Clearance time]]-Table6[[#This Row],[Fault Start TimeStamp]])*24</f>
        <v>0.33333333333333481</v>
      </c>
      <c r="Q730" s="19">
        <f>(Table6[[#This Row],[Fault Clearance time]]-Table6[[#This Row],[Fault Start TimeStamp]])*24</f>
        <v>0.33333333333333481</v>
      </c>
      <c r="R730" s="79" t="s">
        <v>353</v>
      </c>
      <c r="S730" s="79" t="s">
        <v>339</v>
      </c>
      <c r="T730" s="298">
        <f>IFERROR(Table6[[#This Row],[Breakdown Time]]*Table6[[#This Row],[Plant Equivalent Weightage]],"")</f>
        <v>7.5757575757576098E-3</v>
      </c>
      <c r="U730" s="79" t="s">
        <v>421</v>
      </c>
      <c r="W730" s="79">
        <v>491</v>
      </c>
    </row>
    <row r="731" spans="1:23">
      <c r="A731" s="79">
        <f t="shared" si="11"/>
        <v>730</v>
      </c>
      <c r="B731" s="79">
        <f>YEAR(Table6[[#This Row],[Date]])+IF(MONTH(Table6[[#This Row],[Date]])&gt;=4,1,0)</f>
        <v>2026</v>
      </c>
      <c r="C731" s="79">
        <f>YEAR(Table6[[#This Row],[Date]])</f>
        <v>2025</v>
      </c>
      <c r="D731" s="79" t="s">
        <v>344</v>
      </c>
      <c r="E731" s="284">
        <f>Table6[[#This Row],[Date]]-DAY(Table6[[#This Row],[Date]])+1</f>
        <v>45778</v>
      </c>
      <c r="F731" s="285">
        <v>45803</v>
      </c>
      <c r="G731" s="79" t="s">
        <v>77</v>
      </c>
      <c r="H731" s="79" t="str">
        <f>IFERROR(_xlfn.XLOOKUP(Table6[[#This Row],[Affected Feeder ]],'Basic Data'!$A:$A,'Basic Data'!$B:$B),"")</f>
        <v>PWEPL</v>
      </c>
      <c r="I731" s="79" t="str">
        <f>IFERROR(_xlfn.XLOOKUP(Table6[[#This Row],[Affected Feeder ]],'Basic Data'!$A:$A,'Basic Data'!$C:$C),"")</f>
        <v>MSEDCL</v>
      </c>
      <c r="J731" s="295">
        <f>IFERROR(_xlfn.XLOOKUP(Table6[[#This Row],[Affected Feeder ]],'Basic Data'!$A:$A,'Basic Data'!$E:$E),"")</f>
        <v>2.2727272727272728E-2</v>
      </c>
      <c r="K731" s="296" t="s">
        <v>171</v>
      </c>
      <c r="L731" s="297">
        <v>0.42708333333333331</v>
      </c>
      <c r="M731" s="297">
        <v>0.42708333333333331</v>
      </c>
      <c r="N731" s="297">
        <v>0.44097222222222227</v>
      </c>
      <c r="O731" s="19">
        <f>(Table6[[#This Row],[Work Start TimeStamp]]-Table6[[#This Row],[Fault Start TimeStamp]])*24</f>
        <v>0</v>
      </c>
      <c r="P731" s="19">
        <f>(Table6[[#This Row],[Fault Clearance time]]-Table6[[#This Row],[Fault Start TimeStamp]])*24</f>
        <v>0.33333333333333481</v>
      </c>
      <c r="Q731" s="19">
        <f>(Table6[[#This Row],[Fault Clearance time]]-Table6[[#This Row],[Fault Start TimeStamp]])*24</f>
        <v>0.33333333333333481</v>
      </c>
      <c r="R731" s="79" t="s">
        <v>353</v>
      </c>
      <c r="S731" s="79" t="s">
        <v>339</v>
      </c>
      <c r="T731" s="298">
        <f>IFERROR(Table6[[#This Row],[Breakdown Time]]*Table6[[#This Row],[Plant Equivalent Weightage]],"")</f>
        <v>7.5757575757576098E-3</v>
      </c>
      <c r="U731" s="79" t="s">
        <v>421</v>
      </c>
      <c r="W731" s="79">
        <v>491</v>
      </c>
    </row>
    <row r="732" spans="1:23">
      <c r="A732" s="79">
        <f t="shared" si="11"/>
        <v>731</v>
      </c>
      <c r="B732" s="79">
        <f>YEAR(Table6[[#This Row],[Date]])+IF(MONTH(Table6[[#This Row],[Date]])&gt;=4,1,0)</f>
        <v>2026</v>
      </c>
      <c r="C732" s="79">
        <f>YEAR(Table6[[#This Row],[Date]])</f>
        <v>2025</v>
      </c>
      <c r="D732" s="79" t="s">
        <v>344</v>
      </c>
      <c r="E732" s="284">
        <f>Table6[[#This Row],[Date]]-DAY(Table6[[#This Row],[Date]])+1</f>
        <v>45778</v>
      </c>
      <c r="F732" s="285">
        <v>45803</v>
      </c>
      <c r="G732" s="79" t="s">
        <v>78</v>
      </c>
      <c r="H732" s="79" t="str">
        <f>IFERROR(_xlfn.XLOOKUP(Table6[[#This Row],[Affected Feeder ]],'Basic Data'!$A:$A,'Basic Data'!$B:$B),"")</f>
        <v>PWEPL</v>
      </c>
      <c r="I732" s="79" t="str">
        <f>IFERROR(_xlfn.XLOOKUP(Table6[[#This Row],[Affected Feeder ]],'Basic Data'!$A:$A,'Basic Data'!$C:$C),"")</f>
        <v>MSEDCL</v>
      </c>
      <c r="J732" s="295">
        <f>IFERROR(_xlfn.XLOOKUP(Table6[[#This Row],[Affected Feeder ]],'Basic Data'!$A:$A,'Basic Data'!$E:$E),"")</f>
        <v>2.2727272727272728E-2</v>
      </c>
      <c r="K732" s="296" t="s">
        <v>171</v>
      </c>
      <c r="L732" s="297">
        <v>0.42708333333333331</v>
      </c>
      <c r="M732" s="297">
        <v>0.42708333333333331</v>
      </c>
      <c r="N732" s="297">
        <v>0.44097222222222227</v>
      </c>
      <c r="O732" s="19">
        <f>(Table6[[#This Row],[Work Start TimeStamp]]-Table6[[#This Row],[Fault Start TimeStamp]])*24</f>
        <v>0</v>
      </c>
      <c r="P732" s="19">
        <f>(Table6[[#This Row],[Fault Clearance time]]-Table6[[#This Row],[Fault Start TimeStamp]])*24</f>
        <v>0.33333333333333481</v>
      </c>
      <c r="Q732" s="19">
        <f>(Table6[[#This Row],[Fault Clearance time]]-Table6[[#This Row],[Fault Start TimeStamp]])*24</f>
        <v>0.33333333333333481</v>
      </c>
      <c r="R732" s="79" t="s">
        <v>353</v>
      </c>
      <c r="S732" s="79" t="s">
        <v>339</v>
      </c>
      <c r="T732" s="298">
        <f>IFERROR(Table6[[#This Row],[Breakdown Time]]*Table6[[#This Row],[Plant Equivalent Weightage]],"")</f>
        <v>7.5757575757576098E-3</v>
      </c>
      <c r="U732" s="79" t="s">
        <v>421</v>
      </c>
      <c r="W732" s="79">
        <v>491</v>
      </c>
    </row>
    <row r="733" spans="1:23">
      <c r="A733" s="79">
        <f t="shared" si="11"/>
        <v>732</v>
      </c>
      <c r="B733" s="79">
        <f>YEAR(Table6[[#This Row],[Date]])+IF(MONTH(Table6[[#This Row],[Date]])&gt;=4,1,0)</f>
        <v>2026</v>
      </c>
      <c r="C733" s="79">
        <f>YEAR(Table6[[#This Row],[Date]])</f>
        <v>2025</v>
      </c>
      <c r="D733" s="79" t="s">
        <v>344</v>
      </c>
      <c r="E733" s="284">
        <f>Table6[[#This Row],[Date]]-DAY(Table6[[#This Row],[Date]])+1</f>
        <v>45778</v>
      </c>
      <c r="F733" s="285">
        <v>45803</v>
      </c>
      <c r="G733" s="79" t="s">
        <v>82</v>
      </c>
      <c r="H733" s="79" t="str">
        <f>IFERROR(_xlfn.XLOOKUP(Table6[[#This Row],[Affected Feeder ]],'Basic Data'!$A:$A,'Basic Data'!$B:$B),"")</f>
        <v>PWEPL</v>
      </c>
      <c r="I733" s="79" t="str">
        <f>IFERROR(_xlfn.XLOOKUP(Table6[[#This Row],[Affected Feeder ]],'Basic Data'!$A:$A,'Basic Data'!$C:$C),"")</f>
        <v>MSEDCL</v>
      </c>
      <c r="J733" s="295">
        <f>IFERROR(_xlfn.XLOOKUP(Table6[[#This Row],[Affected Feeder ]],'Basic Data'!$A:$A,'Basic Data'!$E:$E),"")</f>
        <v>2.2727272727272728E-2</v>
      </c>
      <c r="K733" s="296" t="s">
        <v>171</v>
      </c>
      <c r="L733" s="297">
        <v>0.42708333333333331</v>
      </c>
      <c r="M733" s="297">
        <v>0.42708333333333331</v>
      </c>
      <c r="N733" s="297">
        <v>0.44097222222222227</v>
      </c>
      <c r="O733" s="19">
        <f>(Table6[[#This Row],[Work Start TimeStamp]]-Table6[[#This Row],[Fault Start TimeStamp]])*24</f>
        <v>0</v>
      </c>
      <c r="P733" s="19">
        <f>(Table6[[#This Row],[Fault Clearance time]]-Table6[[#This Row],[Fault Start TimeStamp]])*24</f>
        <v>0.33333333333333481</v>
      </c>
      <c r="Q733" s="19">
        <f>(Table6[[#This Row],[Fault Clearance time]]-Table6[[#This Row],[Fault Start TimeStamp]])*24</f>
        <v>0.33333333333333481</v>
      </c>
      <c r="R733" s="79" t="s">
        <v>353</v>
      </c>
      <c r="S733" s="79" t="s">
        <v>339</v>
      </c>
      <c r="T733" s="298">
        <f>IFERROR(Table6[[#This Row],[Breakdown Time]]*Table6[[#This Row],[Plant Equivalent Weightage]],"")</f>
        <v>7.5757575757576098E-3</v>
      </c>
      <c r="U733" s="79" t="s">
        <v>421</v>
      </c>
      <c r="W733" s="79">
        <v>491</v>
      </c>
    </row>
    <row r="734" spans="1:23">
      <c r="A734" s="79">
        <f t="shared" si="11"/>
        <v>733</v>
      </c>
      <c r="B734" s="79">
        <f>YEAR(Table6[[#This Row],[Date]])+IF(MONTH(Table6[[#This Row],[Date]])&gt;=4,1,0)</f>
        <v>2026</v>
      </c>
      <c r="C734" s="79">
        <f>YEAR(Table6[[#This Row],[Date]])</f>
        <v>2025</v>
      </c>
      <c r="D734" s="79" t="s">
        <v>344</v>
      </c>
      <c r="E734" s="284">
        <f>Table6[[#This Row],[Date]]-DAY(Table6[[#This Row],[Date]])+1</f>
        <v>45778</v>
      </c>
      <c r="F734" s="285">
        <v>45803</v>
      </c>
      <c r="G734" s="79" t="s">
        <v>93</v>
      </c>
      <c r="H734" s="79" t="str">
        <f>IFERROR(_xlfn.XLOOKUP(Table6[[#This Row],[Affected Feeder ]],'Basic Data'!$A:$A,'Basic Data'!$B:$B),"")</f>
        <v>PWEPL</v>
      </c>
      <c r="I734" s="79" t="str">
        <f>IFERROR(_xlfn.XLOOKUP(Table6[[#This Row],[Affected Feeder ]],'Basic Data'!$A:$A,'Basic Data'!$C:$C),"")</f>
        <v>MSEDCL</v>
      </c>
      <c r="J734" s="295">
        <f>IFERROR(_xlfn.XLOOKUP(Table6[[#This Row],[Affected Feeder ]],'Basic Data'!$A:$A,'Basic Data'!$E:$E),"")</f>
        <v>2.2727272727272728E-2</v>
      </c>
      <c r="K734" s="296" t="s">
        <v>171</v>
      </c>
      <c r="L734" s="297">
        <v>0.42708333333333331</v>
      </c>
      <c r="M734" s="297">
        <v>0.42708333333333331</v>
      </c>
      <c r="N734" s="297">
        <v>0.44097222222222227</v>
      </c>
      <c r="O734" s="19">
        <f>(Table6[[#This Row],[Work Start TimeStamp]]-Table6[[#This Row],[Fault Start TimeStamp]])*24</f>
        <v>0</v>
      </c>
      <c r="P734" s="19">
        <f>(Table6[[#This Row],[Fault Clearance time]]-Table6[[#This Row],[Fault Start TimeStamp]])*24</f>
        <v>0.33333333333333481</v>
      </c>
      <c r="Q734" s="19">
        <f>(Table6[[#This Row],[Fault Clearance time]]-Table6[[#This Row],[Fault Start TimeStamp]])*24</f>
        <v>0.33333333333333481</v>
      </c>
      <c r="R734" s="79" t="s">
        <v>353</v>
      </c>
      <c r="S734" s="79" t="s">
        <v>339</v>
      </c>
      <c r="T734" s="298">
        <f>IFERROR(Table6[[#This Row],[Breakdown Time]]*Table6[[#This Row],[Plant Equivalent Weightage]],"")</f>
        <v>7.5757575757576098E-3</v>
      </c>
      <c r="U734" s="79" t="s">
        <v>421</v>
      </c>
      <c r="W734" s="79">
        <v>491</v>
      </c>
    </row>
    <row r="735" spans="1:23">
      <c r="A735" s="79">
        <f t="shared" si="11"/>
        <v>734</v>
      </c>
      <c r="B735" s="79">
        <f>YEAR(Table6[[#This Row],[Date]])+IF(MONTH(Table6[[#This Row],[Date]])&gt;=4,1,0)</f>
        <v>2026</v>
      </c>
      <c r="C735" s="79">
        <f>YEAR(Table6[[#This Row],[Date]])</f>
        <v>2025</v>
      </c>
      <c r="D735" s="79" t="s">
        <v>344</v>
      </c>
      <c r="E735" s="284">
        <f>Table6[[#This Row],[Date]]-DAY(Table6[[#This Row],[Date]])+1</f>
        <v>45778</v>
      </c>
      <c r="F735" s="285">
        <v>45803</v>
      </c>
      <c r="G735" s="79" t="s">
        <v>102</v>
      </c>
      <c r="H735" s="79" t="str">
        <f>IFERROR(_xlfn.XLOOKUP(Table6[[#This Row],[Affected Feeder ]],'Basic Data'!$A:$A,'Basic Data'!$B:$B),"")</f>
        <v>PWEPL</v>
      </c>
      <c r="I735" s="79" t="str">
        <f>IFERROR(_xlfn.XLOOKUP(Table6[[#This Row],[Affected Feeder ]],'Basic Data'!$A:$A,'Basic Data'!$C:$C),"")</f>
        <v>MSEDCL</v>
      </c>
      <c r="J735" s="295">
        <f>IFERROR(_xlfn.XLOOKUP(Table6[[#This Row],[Affected Feeder ]],'Basic Data'!$A:$A,'Basic Data'!$E:$E),"")</f>
        <v>2.2727272727272728E-2</v>
      </c>
      <c r="K735" s="296" t="s">
        <v>171</v>
      </c>
      <c r="L735" s="297">
        <v>0.42708333333333331</v>
      </c>
      <c r="M735" s="297">
        <v>0.42708333333333331</v>
      </c>
      <c r="N735" s="297">
        <v>0.44097222222222227</v>
      </c>
      <c r="O735" s="19">
        <f>(Table6[[#This Row],[Work Start TimeStamp]]-Table6[[#This Row],[Fault Start TimeStamp]])*24</f>
        <v>0</v>
      </c>
      <c r="P735" s="19">
        <f>(Table6[[#This Row],[Fault Clearance time]]-Table6[[#This Row],[Fault Start TimeStamp]])*24</f>
        <v>0.33333333333333481</v>
      </c>
      <c r="Q735" s="19">
        <f>(Table6[[#This Row],[Fault Clearance time]]-Table6[[#This Row],[Fault Start TimeStamp]])*24</f>
        <v>0.33333333333333481</v>
      </c>
      <c r="R735" s="79" t="s">
        <v>353</v>
      </c>
      <c r="S735" s="79" t="s">
        <v>339</v>
      </c>
      <c r="T735" s="298">
        <f>IFERROR(Table6[[#This Row],[Breakdown Time]]*Table6[[#This Row],[Plant Equivalent Weightage]],"")</f>
        <v>7.5757575757576098E-3</v>
      </c>
      <c r="U735" s="79" t="s">
        <v>421</v>
      </c>
      <c r="W735" s="79">
        <v>491</v>
      </c>
    </row>
    <row r="736" spans="1:23">
      <c r="A736" s="79">
        <f t="shared" si="11"/>
        <v>735</v>
      </c>
      <c r="B736" s="79">
        <f>YEAR(Table6[[#This Row],[Date]])+IF(MONTH(Table6[[#This Row],[Date]])&gt;=4,1,0)</f>
        <v>2026</v>
      </c>
      <c r="C736" s="79">
        <f>YEAR(Table6[[#This Row],[Date]])</f>
        <v>2025</v>
      </c>
      <c r="D736" s="79" t="s">
        <v>344</v>
      </c>
      <c r="E736" s="284">
        <f>Table6[[#This Row],[Date]]-DAY(Table6[[#This Row],[Date]])+1</f>
        <v>45778</v>
      </c>
      <c r="F736" s="285">
        <v>45803</v>
      </c>
      <c r="G736" s="79" t="s">
        <v>119</v>
      </c>
      <c r="H736" s="79" t="str">
        <f>IFERROR(_xlfn.XLOOKUP(Table6[[#This Row],[Affected Feeder ]],'Basic Data'!$A:$A,'Basic Data'!$B:$B),"")</f>
        <v>PWEPL</v>
      </c>
      <c r="I736" s="79" t="str">
        <f>IFERROR(_xlfn.XLOOKUP(Table6[[#This Row],[Affected Feeder ]],'Basic Data'!$A:$A,'Basic Data'!$C:$C),"")</f>
        <v>MSEDCL</v>
      </c>
      <c r="J736" s="295">
        <f>IFERROR(_xlfn.XLOOKUP(Table6[[#This Row],[Affected Feeder ]],'Basic Data'!$A:$A,'Basic Data'!$E:$E),"")</f>
        <v>2.2727272727272728E-2</v>
      </c>
      <c r="K736" s="296" t="s">
        <v>171</v>
      </c>
      <c r="L736" s="297">
        <v>0.42708333333333331</v>
      </c>
      <c r="M736" s="297">
        <v>0.42708333333333331</v>
      </c>
      <c r="N736" s="297">
        <v>0.44097222222222227</v>
      </c>
      <c r="O736" s="19">
        <f>(Table6[[#This Row],[Work Start TimeStamp]]-Table6[[#This Row],[Fault Start TimeStamp]])*24</f>
        <v>0</v>
      </c>
      <c r="P736" s="19">
        <f>(Table6[[#This Row],[Fault Clearance time]]-Table6[[#This Row],[Fault Start TimeStamp]])*24</f>
        <v>0.33333333333333481</v>
      </c>
      <c r="Q736" s="19">
        <f>(Table6[[#This Row],[Fault Clearance time]]-Table6[[#This Row],[Fault Start TimeStamp]])*24</f>
        <v>0.33333333333333481</v>
      </c>
      <c r="R736" s="79" t="s">
        <v>353</v>
      </c>
      <c r="S736" s="79" t="s">
        <v>339</v>
      </c>
      <c r="T736" s="298">
        <f>IFERROR(Table6[[#This Row],[Breakdown Time]]*Table6[[#This Row],[Plant Equivalent Weightage]],"")</f>
        <v>7.5757575757576098E-3</v>
      </c>
      <c r="U736" s="79" t="s">
        <v>421</v>
      </c>
      <c r="W736" s="79">
        <v>491</v>
      </c>
    </row>
    <row r="737" spans="1:23">
      <c r="A737" s="79">
        <f t="shared" si="11"/>
        <v>736</v>
      </c>
      <c r="B737" s="79">
        <f>YEAR(Table6[[#This Row],[Date]])+IF(MONTH(Table6[[#This Row],[Date]])&gt;=4,1,0)</f>
        <v>2026</v>
      </c>
      <c r="C737" s="79">
        <f>YEAR(Table6[[#This Row],[Date]])</f>
        <v>2025</v>
      </c>
      <c r="D737" s="79" t="s">
        <v>344</v>
      </c>
      <c r="E737" s="284">
        <f>Table6[[#This Row],[Date]]-DAY(Table6[[#This Row],[Date]])+1</f>
        <v>45778</v>
      </c>
      <c r="F737" s="285">
        <v>45803</v>
      </c>
      <c r="G737" s="79" t="s">
        <v>103</v>
      </c>
      <c r="H737" s="79" t="str">
        <f>IFERROR(_xlfn.XLOOKUP(Table6[[#This Row],[Affected Feeder ]],'Basic Data'!$A:$A,'Basic Data'!$B:$B),"")</f>
        <v>PWEPL</v>
      </c>
      <c r="I737" s="79" t="str">
        <f>IFERROR(_xlfn.XLOOKUP(Table6[[#This Row],[Affected Feeder ]],'Basic Data'!$A:$A,'Basic Data'!$C:$C),"")</f>
        <v>MSEDCL</v>
      </c>
      <c r="J737" s="295">
        <f>IFERROR(_xlfn.XLOOKUP(Table6[[#This Row],[Affected Feeder ]],'Basic Data'!$A:$A,'Basic Data'!$E:$E),"")</f>
        <v>2.2727272727272728E-2</v>
      </c>
      <c r="K737" s="296" t="s">
        <v>171</v>
      </c>
      <c r="L737" s="297">
        <v>0.42708333333333331</v>
      </c>
      <c r="M737" s="297">
        <v>0.42708333333333331</v>
      </c>
      <c r="N737" s="297">
        <v>0.44097222222222227</v>
      </c>
      <c r="O737" s="19">
        <f>(Table6[[#This Row],[Work Start TimeStamp]]-Table6[[#This Row],[Fault Start TimeStamp]])*24</f>
        <v>0</v>
      </c>
      <c r="P737" s="19">
        <f>(Table6[[#This Row],[Fault Clearance time]]-Table6[[#This Row],[Fault Start TimeStamp]])*24</f>
        <v>0.33333333333333481</v>
      </c>
      <c r="Q737" s="19">
        <f>(Table6[[#This Row],[Fault Clearance time]]-Table6[[#This Row],[Fault Start TimeStamp]])*24</f>
        <v>0.33333333333333481</v>
      </c>
      <c r="R737" s="79" t="s">
        <v>353</v>
      </c>
      <c r="S737" s="79" t="s">
        <v>339</v>
      </c>
      <c r="T737" s="298">
        <f>IFERROR(Table6[[#This Row],[Breakdown Time]]*Table6[[#This Row],[Plant Equivalent Weightage]],"")</f>
        <v>7.5757575757576098E-3</v>
      </c>
      <c r="U737" s="79" t="s">
        <v>421</v>
      </c>
      <c r="W737" s="79">
        <v>491</v>
      </c>
    </row>
    <row r="738" spans="1:23">
      <c r="A738" s="79">
        <f t="shared" si="11"/>
        <v>737</v>
      </c>
      <c r="B738" s="79">
        <f>YEAR(Table6[[#This Row],[Date]])+IF(MONTH(Table6[[#This Row],[Date]])&gt;=4,1,0)</f>
        <v>2026</v>
      </c>
      <c r="C738" s="79">
        <f>YEAR(Table6[[#This Row],[Date]])</f>
        <v>2025</v>
      </c>
      <c r="D738" s="79" t="s">
        <v>344</v>
      </c>
      <c r="E738" s="284">
        <f>Table6[[#This Row],[Date]]-DAY(Table6[[#This Row],[Date]])+1</f>
        <v>45778</v>
      </c>
      <c r="F738" s="285">
        <v>45803</v>
      </c>
      <c r="G738" s="79" t="s">
        <v>105</v>
      </c>
      <c r="H738" s="79" t="str">
        <f>IFERROR(_xlfn.XLOOKUP(Table6[[#This Row],[Affected Feeder ]],'Basic Data'!$A:$A,'Basic Data'!$B:$B),"")</f>
        <v>PWEPL</v>
      </c>
      <c r="I738" s="79" t="str">
        <f>IFERROR(_xlfn.XLOOKUP(Table6[[#This Row],[Affected Feeder ]],'Basic Data'!$A:$A,'Basic Data'!$C:$C),"")</f>
        <v>MSEDCL</v>
      </c>
      <c r="J738" s="295">
        <f>IFERROR(_xlfn.XLOOKUP(Table6[[#This Row],[Affected Feeder ]],'Basic Data'!$A:$A,'Basic Data'!$E:$E),"")</f>
        <v>2.2727272727272728E-2</v>
      </c>
      <c r="K738" s="296" t="s">
        <v>171</v>
      </c>
      <c r="L738" s="297">
        <v>0.42708333333333331</v>
      </c>
      <c r="M738" s="297">
        <v>0.42708333333333331</v>
      </c>
      <c r="N738" s="297">
        <v>0.44097222222222227</v>
      </c>
      <c r="O738" s="19">
        <f>(Table6[[#This Row],[Work Start TimeStamp]]-Table6[[#This Row],[Fault Start TimeStamp]])*24</f>
        <v>0</v>
      </c>
      <c r="P738" s="19">
        <f>(Table6[[#This Row],[Fault Clearance time]]-Table6[[#This Row],[Fault Start TimeStamp]])*24</f>
        <v>0.33333333333333481</v>
      </c>
      <c r="Q738" s="19">
        <f>(Table6[[#This Row],[Fault Clearance time]]-Table6[[#This Row],[Fault Start TimeStamp]])*24</f>
        <v>0.33333333333333481</v>
      </c>
      <c r="R738" s="79" t="s">
        <v>353</v>
      </c>
      <c r="S738" s="79" t="s">
        <v>339</v>
      </c>
      <c r="T738" s="298">
        <f>IFERROR(Table6[[#This Row],[Breakdown Time]]*Table6[[#This Row],[Plant Equivalent Weightage]],"")</f>
        <v>7.5757575757576098E-3</v>
      </c>
      <c r="U738" s="79" t="s">
        <v>421</v>
      </c>
      <c r="W738" s="79">
        <v>491</v>
      </c>
    </row>
    <row r="739" spans="1:23">
      <c r="A739" s="79">
        <f t="shared" si="11"/>
        <v>738</v>
      </c>
      <c r="B739" s="79">
        <f>YEAR(Table6[[#This Row],[Date]])+IF(MONTH(Table6[[#This Row],[Date]])&gt;=4,1,0)</f>
        <v>2026</v>
      </c>
      <c r="C739" s="79">
        <f>YEAR(Table6[[#This Row],[Date]])</f>
        <v>2025</v>
      </c>
      <c r="D739" s="79" t="s">
        <v>344</v>
      </c>
      <c r="E739" s="284">
        <f>Table6[[#This Row],[Date]]-DAY(Table6[[#This Row],[Date]])+1</f>
        <v>45778</v>
      </c>
      <c r="F739" s="285">
        <v>45803</v>
      </c>
      <c r="G739" s="79" t="s">
        <v>115</v>
      </c>
      <c r="H739" s="79" t="str">
        <f>IFERROR(_xlfn.XLOOKUP(Table6[[#This Row],[Affected Feeder ]],'Basic Data'!$A:$A,'Basic Data'!$B:$B),"")</f>
        <v>PWEPL</v>
      </c>
      <c r="I739" s="79" t="str">
        <f>IFERROR(_xlfn.XLOOKUP(Table6[[#This Row],[Affected Feeder ]],'Basic Data'!$A:$A,'Basic Data'!$C:$C),"")</f>
        <v>MSEDCL</v>
      </c>
      <c r="J739" s="295">
        <f>IFERROR(_xlfn.XLOOKUP(Table6[[#This Row],[Affected Feeder ]],'Basic Data'!$A:$A,'Basic Data'!$E:$E),"")</f>
        <v>2.2727272727272728E-2</v>
      </c>
      <c r="K739" s="296" t="s">
        <v>171</v>
      </c>
      <c r="L739" s="297">
        <v>0.42708333333333331</v>
      </c>
      <c r="M739" s="297">
        <v>0.42708333333333331</v>
      </c>
      <c r="N739" s="297">
        <v>0.44097222222222227</v>
      </c>
      <c r="O739" s="19">
        <f>(Table6[[#This Row],[Work Start TimeStamp]]-Table6[[#This Row],[Fault Start TimeStamp]])*24</f>
        <v>0</v>
      </c>
      <c r="P739" s="19">
        <f>(Table6[[#This Row],[Fault Clearance time]]-Table6[[#This Row],[Fault Start TimeStamp]])*24</f>
        <v>0.33333333333333481</v>
      </c>
      <c r="Q739" s="19">
        <f>(Table6[[#This Row],[Fault Clearance time]]-Table6[[#This Row],[Fault Start TimeStamp]])*24</f>
        <v>0.33333333333333481</v>
      </c>
      <c r="R739" s="79" t="s">
        <v>353</v>
      </c>
      <c r="S739" s="79" t="s">
        <v>339</v>
      </c>
      <c r="T739" s="298">
        <f>IFERROR(Table6[[#This Row],[Breakdown Time]]*Table6[[#This Row],[Plant Equivalent Weightage]],"")</f>
        <v>7.5757575757576098E-3</v>
      </c>
      <c r="U739" s="79" t="s">
        <v>421</v>
      </c>
      <c r="W739" s="79">
        <v>491</v>
      </c>
    </row>
    <row r="740" spans="1:23">
      <c r="A740" s="79">
        <f t="shared" si="11"/>
        <v>739</v>
      </c>
      <c r="B740" s="79">
        <f>YEAR(Table6[[#This Row],[Date]])+IF(MONTH(Table6[[#This Row],[Date]])&gt;=4,1,0)</f>
        <v>2026</v>
      </c>
      <c r="C740" s="79">
        <f>YEAR(Table6[[#This Row],[Date]])</f>
        <v>2025</v>
      </c>
      <c r="D740" s="79" t="s">
        <v>344</v>
      </c>
      <c r="E740" s="284">
        <f>Table6[[#This Row],[Date]]-DAY(Table6[[#This Row],[Date]])+1</f>
        <v>45778</v>
      </c>
      <c r="F740" s="285">
        <v>45803</v>
      </c>
      <c r="G740" s="79" t="s">
        <v>116</v>
      </c>
      <c r="H740" s="79" t="str">
        <f>IFERROR(_xlfn.XLOOKUP(Table6[[#This Row],[Affected Feeder ]],'Basic Data'!$A:$A,'Basic Data'!$B:$B),"")</f>
        <v>PWEPL</v>
      </c>
      <c r="I740" s="79" t="str">
        <f>IFERROR(_xlfn.XLOOKUP(Table6[[#This Row],[Affected Feeder ]],'Basic Data'!$A:$A,'Basic Data'!$C:$C),"")</f>
        <v>MSEDCL</v>
      </c>
      <c r="J740" s="295">
        <f>IFERROR(_xlfn.XLOOKUP(Table6[[#This Row],[Affected Feeder ]],'Basic Data'!$A:$A,'Basic Data'!$E:$E),"")</f>
        <v>2.2727272727272728E-2</v>
      </c>
      <c r="K740" s="296" t="s">
        <v>171</v>
      </c>
      <c r="L740" s="297">
        <v>0.42708333333333331</v>
      </c>
      <c r="M740" s="297">
        <v>0.42708333333333331</v>
      </c>
      <c r="N740" s="297">
        <v>0.44097222222222227</v>
      </c>
      <c r="O740" s="19">
        <f>(Table6[[#This Row],[Work Start TimeStamp]]-Table6[[#This Row],[Fault Start TimeStamp]])*24</f>
        <v>0</v>
      </c>
      <c r="P740" s="19">
        <f>(Table6[[#This Row],[Fault Clearance time]]-Table6[[#This Row],[Fault Start TimeStamp]])*24</f>
        <v>0.33333333333333481</v>
      </c>
      <c r="Q740" s="19">
        <f>(Table6[[#This Row],[Fault Clearance time]]-Table6[[#This Row],[Fault Start TimeStamp]])*24</f>
        <v>0.33333333333333481</v>
      </c>
      <c r="R740" s="79" t="s">
        <v>353</v>
      </c>
      <c r="S740" s="79" t="s">
        <v>339</v>
      </c>
      <c r="T740" s="298">
        <f>IFERROR(Table6[[#This Row],[Breakdown Time]]*Table6[[#This Row],[Plant Equivalent Weightage]],"")</f>
        <v>7.5757575757576098E-3</v>
      </c>
      <c r="U740" s="79" t="s">
        <v>421</v>
      </c>
      <c r="W740" s="79">
        <v>491</v>
      </c>
    </row>
    <row r="741" spans="1:23">
      <c r="A741" s="79">
        <f t="shared" si="11"/>
        <v>740</v>
      </c>
      <c r="B741" s="79">
        <f>YEAR(Table6[[#This Row],[Date]])+IF(MONTH(Table6[[#This Row],[Date]])&gt;=4,1,0)</f>
        <v>2026</v>
      </c>
      <c r="C741" s="79">
        <f>YEAR(Table6[[#This Row],[Date]])</f>
        <v>2025</v>
      </c>
      <c r="D741" s="79" t="s">
        <v>344</v>
      </c>
      <c r="E741" s="284">
        <f>Table6[[#This Row],[Date]]-DAY(Table6[[#This Row],[Date]])+1</f>
        <v>45778</v>
      </c>
      <c r="F741" s="285">
        <v>45803</v>
      </c>
      <c r="G741" s="79" t="s">
        <v>117</v>
      </c>
      <c r="H741" s="79" t="str">
        <f>IFERROR(_xlfn.XLOOKUP(Table6[[#This Row],[Affected Feeder ]],'Basic Data'!$A:$A,'Basic Data'!$B:$B),"")</f>
        <v>PWEPL</v>
      </c>
      <c r="I741" s="79" t="str">
        <f>IFERROR(_xlfn.XLOOKUP(Table6[[#This Row],[Affected Feeder ]],'Basic Data'!$A:$A,'Basic Data'!$C:$C),"")</f>
        <v>MSEDCL</v>
      </c>
      <c r="J741" s="295">
        <f>IFERROR(_xlfn.XLOOKUP(Table6[[#This Row],[Affected Feeder ]],'Basic Data'!$A:$A,'Basic Data'!$E:$E),"")</f>
        <v>2.2727272727272728E-2</v>
      </c>
      <c r="K741" s="296" t="s">
        <v>171</v>
      </c>
      <c r="L741" s="297">
        <v>0.42708333333333331</v>
      </c>
      <c r="M741" s="297">
        <v>0.42708333333333331</v>
      </c>
      <c r="N741" s="297">
        <v>0.44097222222222227</v>
      </c>
      <c r="O741" s="19">
        <f>(Table6[[#This Row],[Work Start TimeStamp]]-Table6[[#This Row],[Fault Start TimeStamp]])*24</f>
        <v>0</v>
      </c>
      <c r="P741" s="19">
        <f>(Table6[[#This Row],[Fault Clearance time]]-Table6[[#This Row],[Fault Start TimeStamp]])*24</f>
        <v>0.33333333333333481</v>
      </c>
      <c r="Q741" s="19">
        <f>(Table6[[#This Row],[Fault Clearance time]]-Table6[[#This Row],[Fault Start TimeStamp]])*24</f>
        <v>0.33333333333333481</v>
      </c>
      <c r="R741" s="79" t="s">
        <v>353</v>
      </c>
      <c r="S741" s="79" t="s">
        <v>339</v>
      </c>
      <c r="T741" s="298">
        <f>IFERROR(Table6[[#This Row],[Breakdown Time]]*Table6[[#This Row],[Plant Equivalent Weightage]],"")</f>
        <v>7.5757575757576098E-3</v>
      </c>
      <c r="U741" s="79" t="s">
        <v>421</v>
      </c>
      <c r="W741" s="79">
        <v>491</v>
      </c>
    </row>
    <row r="742" spans="1:23">
      <c r="A742" s="79">
        <f t="shared" si="11"/>
        <v>741</v>
      </c>
      <c r="B742" s="79">
        <f>YEAR(Table6[[#This Row],[Date]])+IF(MONTH(Table6[[#This Row],[Date]])&gt;=4,1,0)</f>
        <v>2026</v>
      </c>
      <c r="C742" s="79">
        <f>YEAR(Table6[[#This Row],[Date]])</f>
        <v>2025</v>
      </c>
      <c r="D742" s="79" t="s">
        <v>344</v>
      </c>
      <c r="E742" s="284">
        <f>Table6[[#This Row],[Date]]-DAY(Table6[[#This Row],[Date]])+1</f>
        <v>45778</v>
      </c>
      <c r="F742" s="285">
        <v>45803</v>
      </c>
      <c r="G742" s="79" t="s">
        <v>118</v>
      </c>
      <c r="H742" s="79" t="str">
        <f>IFERROR(_xlfn.XLOOKUP(Table6[[#This Row],[Affected Feeder ]],'Basic Data'!$A:$A,'Basic Data'!$B:$B),"")</f>
        <v>PWEPL</v>
      </c>
      <c r="I742" s="79" t="str">
        <f>IFERROR(_xlfn.XLOOKUP(Table6[[#This Row],[Affected Feeder ]],'Basic Data'!$A:$A,'Basic Data'!$C:$C),"")</f>
        <v>MSEDCL</v>
      </c>
      <c r="J742" s="295">
        <f>IFERROR(_xlfn.XLOOKUP(Table6[[#This Row],[Affected Feeder ]],'Basic Data'!$A:$A,'Basic Data'!$E:$E),"")</f>
        <v>2.2727272727272728E-2</v>
      </c>
      <c r="K742" s="296" t="s">
        <v>171</v>
      </c>
      <c r="L742" s="297">
        <v>0.42708333333333331</v>
      </c>
      <c r="M742" s="297">
        <v>0.42708333333333331</v>
      </c>
      <c r="N742" s="297">
        <v>0.44097222222222227</v>
      </c>
      <c r="O742" s="19">
        <f>(Table6[[#This Row],[Work Start TimeStamp]]-Table6[[#This Row],[Fault Start TimeStamp]])*24</f>
        <v>0</v>
      </c>
      <c r="P742" s="19">
        <f>(Table6[[#This Row],[Fault Clearance time]]-Table6[[#This Row],[Fault Start TimeStamp]])*24</f>
        <v>0.33333333333333481</v>
      </c>
      <c r="Q742" s="19">
        <f>(Table6[[#This Row],[Fault Clearance time]]-Table6[[#This Row],[Fault Start TimeStamp]])*24</f>
        <v>0.33333333333333481</v>
      </c>
      <c r="R742" s="79" t="s">
        <v>353</v>
      </c>
      <c r="S742" s="79" t="s">
        <v>339</v>
      </c>
      <c r="T742" s="298">
        <f>IFERROR(Table6[[#This Row],[Breakdown Time]]*Table6[[#This Row],[Plant Equivalent Weightage]],"")</f>
        <v>7.5757575757576098E-3</v>
      </c>
      <c r="U742" s="79" t="s">
        <v>421</v>
      </c>
      <c r="W742" s="79">
        <v>491</v>
      </c>
    </row>
    <row r="743" spans="1:23">
      <c r="A743" s="79">
        <f t="shared" si="11"/>
        <v>742</v>
      </c>
      <c r="B743" s="79">
        <f>YEAR(Table6[[#This Row],[Date]])+IF(MONTH(Table6[[#This Row],[Date]])&gt;=4,1,0)</f>
        <v>2026</v>
      </c>
      <c r="C743" s="79">
        <f>YEAR(Table6[[#This Row],[Date]])</f>
        <v>2025</v>
      </c>
      <c r="D743" s="79" t="s">
        <v>344</v>
      </c>
      <c r="E743" s="284">
        <f>Table6[[#This Row],[Date]]-DAY(Table6[[#This Row],[Date]])+1</f>
        <v>45778</v>
      </c>
      <c r="F743" s="285">
        <v>45803</v>
      </c>
      <c r="G743" s="79" t="s">
        <v>406</v>
      </c>
      <c r="H743" s="79" t="str">
        <f>IFERROR(_xlfn.XLOOKUP(Table6[[#This Row],[Affected Feeder ]],'Basic Data'!$A:$A,'Basic Data'!$B:$B),"")</f>
        <v>PWEPL</v>
      </c>
      <c r="I743" s="79" t="str">
        <f>IFERROR(_xlfn.XLOOKUP(Table6[[#This Row],[Affected Feeder ]],'Basic Data'!$A:$A,'Basic Data'!$C:$C),"")</f>
        <v>MSEDCL</v>
      </c>
      <c r="J743" s="295">
        <f>IFERROR(_xlfn.XLOOKUP(Table6[[#This Row],[Affected Feeder ]],'Basic Data'!$A:$A,'Basic Data'!$E:$E),"")</f>
        <v>0.29545454545454541</v>
      </c>
      <c r="K743" s="296" t="s">
        <v>447</v>
      </c>
      <c r="L743" s="297">
        <v>0.7597222222222223</v>
      </c>
      <c r="M743" s="297">
        <v>0.7597222222222223</v>
      </c>
      <c r="N743" s="297">
        <v>0.7680555555555556</v>
      </c>
      <c r="O743" s="19">
        <f>(Table6[[#This Row],[Work Start TimeStamp]]-Table6[[#This Row],[Fault Start TimeStamp]])*24</f>
        <v>0</v>
      </c>
      <c r="P743" s="19">
        <f>(Table6[[#This Row],[Fault Clearance time]]-Table6[[#This Row],[Fault Start TimeStamp]])*24</f>
        <v>0.19999999999999929</v>
      </c>
      <c r="Q743" s="19">
        <f>(Table6[[#This Row],[Fault Clearance time]]-Table6[[#This Row],[Fault Start TimeStamp]])*24</f>
        <v>0.19999999999999929</v>
      </c>
      <c r="R743" s="79" t="s">
        <v>420</v>
      </c>
      <c r="S743" s="79" t="s">
        <v>339</v>
      </c>
      <c r="T743" s="298">
        <f>IFERROR(Table6[[#This Row],[Breakdown Time]]*Table6[[#This Row],[Plant Equivalent Weightage]],"")</f>
        <v>5.9090909090908875E-2</v>
      </c>
      <c r="U743" s="79" t="s">
        <v>421</v>
      </c>
      <c r="W743" s="79">
        <v>1953</v>
      </c>
    </row>
    <row r="744" spans="1:23">
      <c r="A744" s="79">
        <f t="shared" si="11"/>
        <v>743</v>
      </c>
      <c r="B744" s="79">
        <f>YEAR(Table6[[#This Row],[Date]])+IF(MONTH(Table6[[#This Row],[Date]])&gt;=4,1,0)</f>
        <v>2026</v>
      </c>
      <c r="C744" s="79">
        <f>YEAR(Table6[[#This Row],[Date]])</f>
        <v>2025</v>
      </c>
      <c r="D744" s="79" t="s">
        <v>344</v>
      </c>
      <c r="E744" s="284">
        <f>Table6[[#This Row],[Date]]-DAY(Table6[[#This Row],[Date]])+1</f>
        <v>45778</v>
      </c>
      <c r="F744" s="285">
        <v>45803</v>
      </c>
      <c r="G744" s="79" t="s">
        <v>76</v>
      </c>
      <c r="H744" s="79" t="str">
        <f>IFERROR(_xlfn.XLOOKUP(Table6[[#This Row],[Affected Feeder ]],'Basic Data'!$A:$A,'Basic Data'!$B:$B),"")</f>
        <v>PWEPL</v>
      </c>
      <c r="I744" s="79" t="str">
        <f>IFERROR(_xlfn.XLOOKUP(Table6[[#This Row],[Affected Feeder ]],'Basic Data'!$A:$A,'Basic Data'!$C:$C),"")</f>
        <v>MSEDCL</v>
      </c>
      <c r="J744" s="295">
        <f>IFERROR(_xlfn.XLOOKUP(Table6[[#This Row],[Affected Feeder ]],'Basic Data'!$A:$A,'Basic Data'!$E:$E),"")</f>
        <v>2.2727272727272728E-2</v>
      </c>
      <c r="K744" s="296" t="s">
        <v>171</v>
      </c>
      <c r="L744" s="297">
        <v>0.7680555555555556</v>
      </c>
      <c r="M744" s="297">
        <v>0.7680555555555556</v>
      </c>
      <c r="N744" s="297">
        <v>0.78194444444444444</v>
      </c>
      <c r="O744" s="19">
        <f>(Table6[[#This Row],[Work Start TimeStamp]]-Table6[[#This Row],[Fault Start TimeStamp]])*24</f>
        <v>0</v>
      </c>
      <c r="P744" s="19">
        <f>(Table6[[#This Row],[Fault Clearance time]]-Table6[[#This Row],[Fault Start TimeStamp]])*24</f>
        <v>0.33333333333333215</v>
      </c>
      <c r="Q744" s="19">
        <f>(Table6[[#This Row],[Fault Clearance time]]-Table6[[#This Row],[Fault Start TimeStamp]])*24</f>
        <v>0.33333333333333215</v>
      </c>
      <c r="R744" s="79" t="s">
        <v>353</v>
      </c>
      <c r="S744" s="79" t="s">
        <v>339</v>
      </c>
      <c r="T744" s="298">
        <f>IFERROR(Table6[[#This Row],[Breakdown Time]]*Table6[[#This Row],[Plant Equivalent Weightage]],"")</f>
        <v>7.5757575757575491E-3</v>
      </c>
      <c r="U744" s="79" t="s">
        <v>421</v>
      </c>
      <c r="W744" s="79">
        <v>250</v>
      </c>
    </row>
    <row r="745" spans="1:23">
      <c r="A745" s="79">
        <f t="shared" si="11"/>
        <v>744</v>
      </c>
      <c r="B745" s="79">
        <f>YEAR(Table6[[#This Row],[Date]])+IF(MONTH(Table6[[#This Row],[Date]])&gt;=4,1,0)</f>
        <v>2026</v>
      </c>
      <c r="C745" s="79">
        <f>YEAR(Table6[[#This Row],[Date]])</f>
        <v>2025</v>
      </c>
      <c r="D745" s="79" t="s">
        <v>344</v>
      </c>
      <c r="E745" s="284">
        <f>Table6[[#This Row],[Date]]-DAY(Table6[[#This Row],[Date]])+1</f>
        <v>45778</v>
      </c>
      <c r="F745" s="285">
        <v>45803</v>
      </c>
      <c r="G745" s="79" t="s">
        <v>77</v>
      </c>
      <c r="H745" s="79" t="str">
        <f>IFERROR(_xlfn.XLOOKUP(Table6[[#This Row],[Affected Feeder ]],'Basic Data'!$A:$A,'Basic Data'!$B:$B),"")</f>
        <v>PWEPL</v>
      </c>
      <c r="I745" s="79" t="str">
        <f>IFERROR(_xlfn.XLOOKUP(Table6[[#This Row],[Affected Feeder ]],'Basic Data'!$A:$A,'Basic Data'!$C:$C),"")</f>
        <v>MSEDCL</v>
      </c>
      <c r="J745" s="295">
        <f>IFERROR(_xlfn.XLOOKUP(Table6[[#This Row],[Affected Feeder ]],'Basic Data'!$A:$A,'Basic Data'!$E:$E),"")</f>
        <v>2.2727272727272728E-2</v>
      </c>
      <c r="K745" s="296" t="s">
        <v>171</v>
      </c>
      <c r="L745" s="297">
        <v>0.7680555555555556</v>
      </c>
      <c r="M745" s="297">
        <v>0.7680555555555556</v>
      </c>
      <c r="N745" s="297">
        <v>0.78194444444444444</v>
      </c>
      <c r="O745" s="19">
        <f>(Table6[[#This Row],[Work Start TimeStamp]]-Table6[[#This Row],[Fault Start TimeStamp]])*24</f>
        <v>0</v>
      </c>
      <c r="P745" s="19">
        <f>(Table6[[#This Row],[Fault Clearance time]]-Table6[[#This Row],[Fault Start TimeStamp]])*24</f>
        <v>0.33333333333333215</v>
      </c>
      <c r="Q745" s="19">
        <f>(Table6[[#This Row],[Fault Clearance time]]-Table6[[#This Row],[Fault Start TimeStamp]])*24</f>
        <v>0.33333333333333215</v>
      </c>
      <c r="R745" s="79" t="s">
        <v>353</v>
      </c>
      <c r="S745" s="79" t="s">
        <v>339</v>
      </c>
      <c r="T745" s="298">
        <f>IFERROR(Table6[[#This Row],[Breakdown Time]]*Table6[[#This Row],[Plant Equivalent Weightage]],"")</f>
        <v>7.5757575757575491E-3</v>
      </c>
      <c r="U745" s="79" t="s">
        <v>421</v>
      </c>
      <c r="W745" s="79">
        <v>250</v>
      </c>
    </row>
    <row r="746" spans="1:23">
      <c r="A746" s="79">
        <f t="shared" si="11"/>
        <v>745</v>
      </c>
      <c r="B746" s="79">
        <f>YEAR(Table6[[#This Row],[Date]])+IF(MONTH(Table6[[#This Row],[Date]])&gt;=4,1,0)</f>
        <v>2026</v>
      </c>
      <c r="C746" s="79">
        <f>YEAR(Table6[[#This Row],[Date]])</f>
        <v>2025</v>
      </c>
      <c r="D746" s="79" t="s">
        <v>344</v>
      </c>
      <c r="E746" s="284">
        <f>Table6[[#This Row],[Date]]-DAY(Table6[[#This Row],[Date]])+1</f>
        <v>45778</v>
      </c>
      <c r="F746" s="285">
        <v>45803</v>
      </c>
      <c r="G746" s="79" t="s">
        <v>78</v>
      </c>
      <c r="H746" s="79" t="str">
        <f>IFERROR(_xlfn.XLOOKUP(Table6[[#This Row],[Affected Feeder ]],'Basic Data'!$A:$A,'Basic Data'!$B:$B),"")</f>
        <v>PWEPL</v>
      </c>
      <c r="I746" s="79" t="str">
        <f>IFERROR(_xlfn.XLOOKUP(Table6[[#This Row],[Affected Feeder ]],'Basic Data'!$A:$A,'Basic Data'!$C:$C),"")</f>
        <v>MSEDCL</v>
      </c>
      <c r="J746" s="295">
        <f>IFERROR(_xlfn.XLOOKUP(Table6[[#This Row],[Affected Feeder ]],'Basic Data'!$A:$A,'Basic Data'!$E:$E),"")</f>
        <v>2.2727272727272728E-2</v>
      </c>
      <c r="K746" s="296" t="s">
        <v>171</v>
      </c>
      <c r="L746" s="297">
        <v>0.7680555555555556</v>
      </c>
      <c r="M746" s="297">
        <v>0.7680555555555556</v>
      </c>
      <c r="N746" s="297">
        <v>0.78194444444444444</v>
      </c>
      <c r="O746" s="19">
        <f>(Table6[[#This Row],[Work Start TimeStamp]]-Table6[[#This Row],[Fault Start TimeStamp]])*24</f>
        <v>0</v>
      </c>
      <c r="P746" s="19">
        <f>(Table6[[#This Row],[Fault Clearance time]]-Table6[[#This Row],[Fault Start TimeStamp]])*24</f>
        <v>0.33333333333333215</v>
      </c>
      <c r="Q746" s="19">
        <f>(Table6[[#This Row],[Fault Clearance time]]-Table6[[#This Row],[Fault Start TimeStamp]])*24</f>
        <v>0.33333333333333215</v>
      </c>
      <c r="R746" s="79" t="s">
        <v>353</v>
      </c>
      <c r="S746" s="79" t="s">
        <v>339</v>
      </c>
      <c r="T746" s="298">
        <f>IFERROR(Table6[[#This Row],[Breakdown Time]]*Table6[[#This Row],[Plant Equivalent Weightage]],"")</f>
        <v>7.5757575757575491E-3</v>
      </c>
      <c r="U746" s="79" t="s">
        <v>421</v>
      </c>
      <c r="W746" s="79">
        <v>250</v>
      </c>
    </row>
    <row r="747" spans="1:23">
      <c r="A747" s="79">
        <f t="shared" si="11"/>
        <v>746</v>
      </c>
      <c r="B747" s="79">
        <f>YEAR(Table6[[#This Row],[Date]])+IF(MONTH(Table6[[#This Row],[Date]])&gt;=4,1,0)</f>
        <v>2026</v>
      </c>
      <c r="C747" s="79">
        <f>YEAR(Table6[[#This Row],[Date]])</f>
        <v>2025</v>
      </c>
      <c r="D747" s="79" t="s">
        <v>344</v>
      </c>
      <c r="E747" s="284">
        <f>Table6[[#This Row],[Date]]-DAY(Table6[[#This Row],[Date]])+1</f>
        <v>45778</v>
      </c>
      <c r="F747" s="285">
        <v>45803</v>
      </c>
      <c r="G747" s="79" t="s">
        <v>82</v>
      </c>
      <c r="H747" s="79" t="str">
        <f>IFERROR(_xlfn.XLOOKUP(Table6[[#This Row],[Affected Feeder ]],'Basic Data'!$A:$A,'Basic Data'!$B:$B),"")</f>
        <v>PWEPL</v>
      </c>
      <c r="I747" s="79" t="str">
        <f>IFERROR(_xlfn.XLOOKUP(Table6[[#This Row],[Affected Feeder ]],'Basic Data'!$A:$A,'Basic Data'!$C:$C),"")</f>
        <v>MSEDCL</v>
      </c>
      <c r="J747" s="295">
        <f>IFERROR(_xlfn.XLOOKUP(Table6[[#This Row],[Affected Feeder ]],'Basic Data'!$A:$A,'Basic Data'!$E:$E),"")</f>
        <v>2.2727272727272728E-2</v>
      </c>
      <c r="K747" s="296" t="s">
        <v>171</v>
      </c>
      <c r="L747" s="297">
        <v>0.7680555555555556</v>
      </c>
      <c r="M747" s="297">
        <v>0.7680555555555556</v>
      </c>
      <c r="N747" s="297">
        <v>0.78194444444444444</v>
      </c>
      <c r="O747" s="19">
        <f>(Table6[[#This Row],[Work Start TimeStamp]]-Table6[[#This Row],[Fault Start TimeStamp]])*24</f>
        <v>0</v>
      </c>
      <c r="P747" s="19">
        <f>(Table6[[#This Row],[Fault Clearance time]]-Table6[[#This Row],[Fault Start TimeStamp]])*24</f>
        <v>0.33333333333333215</v>
      </c>
      <c r="Q747" s="19">
        <f>(Table6[[#This Row],[Fault Clearance time]]-Table6[[#This Row],[Fault Start TimeStamp]])*24</f>
        <v>0.33333333333333215</v>
      </c>
      <c r="R747" s="79" t="s">
        <v>353</v>
      </c>
      <c r="S747" s="79" t="s">
        <v>339</v>
      </c>
      <c r="T747" s="298">
        <f>IFERROR(Table6[[#This Row],[Breakdown Time]]*Table6[[#This Row],[Plant Equivalent Weightage]],"")</f>
        <v>7.5757575757575491E-3</v>
      </c>
      <c r="U747" s="79" t="s">
        <v>421</v>
      </c>
      <c r="W747" s="79">
        <v>250</v>
      </c>
    </row>
    <row r="748" spans="1:23">
      <c r="A748" s="79">
        <f t="shared" si="11"/>
        <v>747</v>
      </c>
      <c r="B748" s="79">
        <f>YEAR(Table6[[#This Row],[Date]])+IF(MONTH(Table6[[#This Row],[Date]])&gt;=4,1,0)</f>
        <v>2026</v>
      </c>
      <c r="C748" s="79">
        <f>YEAR(Table6[[#This Row],[Date]])</f>
        <v>2025</v>
      </c>
      <c r="D748" s="79" t="s">
        <v>344</v>
      </c>
      <c r="E748" s="284">
        <f>Table6[[#This Row],[Date]]-DAY(Table6[[#This Row],[Date]])+1</f>
        <v>45778</v>
      </c>
      <c r="F748" s="285">
        <v>45803</v>
      </c>
      <c r="G748" s="79" t="s">
        <v>93</v>
      </c>
      <c r="H748" s="79" t="str">
        <f>IFERROR(_xlfn.XLOOKUP(Table6[[#This Row],[Affected Feeder ]],'Basic Data'!$A:$A,'Basic Data'!$B:$B),"")</f>
        <v>PWEPL</v>
      </c>
      <c r="I748" s="79" t="str">
        <f>IFERROR(_xlfn.XLOOKUP(Table6[[#This Row],[Affected Feeder ]],'Basic Data'!$A:$A,'Basic Data'!$C:$C),"")</f>
        <v>MSEDCL</v>
      </c>
      <c r="J748" s="295">
        <f>IFERROR(_xlfn.XLOOKUP(Table6[[#This Row],[Affected Feeder ]],'Basic Data'!$A:$A,'Basic Data'!$E:$E),"")</f>
        <v>2.2727272727272728E-2</v>
      </c>
      <c r="K748" s="296" t="s">
        <v>171</v>
      </c>
      <c r="L748" s="297">
        <v>0.7680555555555556</v>
      </c>
      <c r="M748" s="297">
        <v>0.7680555555555556</v>
      </c>
      <c r="N748" s="297">
        <v>0.78194444444444444</v>
      </c>
      <c r="O748" s="19">
        <f>(Table6[[#This Row],[Work Start TimeStamp]]-Table6[[#This Row],[Fault Start TimeStamp]])*24</f>
        <v>0</v>
      </c>
      <c r="P748" s="19">
        <f>(Table6[[#This Row],[Fault Clearance time]]-Table6[[#This Row],[Fault Start TimeStamp]])*24</f>
        <v>0.33333333333333215</v>
      </c>
      <c r="Q748" s="19">
        <f>(Table6[[#This Row],[Fault Clearance time]]-Table6[[#This Row],[Fault Start TimeStamp]])*24</f>
        <v>0.33333333333333215</v>
      </c>
      <c r="R748" s="79" t="s">
        <v>353</v>
      </c>
      <c r="S748" s="79" t="s">
        <v>339</v>
      </c>
      <c r="T748" s="298">
        <f>IFERROR(Table6[[#This Row],[Breakdown Time]]*Table6[[#This Row],[Plant Equivalent Weightage]],"")</f>
        <v>7.5757575757575491E-3</v>
      </c>
      <c r="U748" s="79" t="s">
        <v>421</v>
      </c>
      <c r="W748" s="79">
        <v>250</v>
      </c>
    </row>
    <row r="749" spans="1:23">
      <c r="A749" s="79">
        <f t="shared" si="11"/>
        <v>748</v>
      </c>
      <c r="B749" s="79">
        <f>YEAR(Table6[[#This Row],[Date]])+IF(MONTH(Table6[[#This Row],[Date]])&gt;=4,1,0)</f>
        <v>2026</v>
      </c>
      <c r="C749" s="79">
        <f>YEAR(Table6[[#This Row],[Date]])</f>
        <v>2025</v>
      </c>
      <c r="D749" s="79" t="s">
        <v>344</v>
      </c>
      <c r="E749" s="284">
        <f>Table6[[#This Row],[Date]]-DAY(Table6[[#This Row],[Date]])+1</f>
        <v>45778</v>
      </c>
      <c r="F749" s="285">
        <v>45803</v>
      </c>
      <c r="G749" s="79" t="s">
        <v>102</v>
      </c>
      <c r="H749" s="79" t="str">
        <f>IFERROR(_xlfn.XLOOKUP(Table6[[#This Row],[Affected Feeder ]],'Basic Data'!$A:$A,'Basic Data'!$B:$B),"")</f>
        <v>PWEPL</v>
      </c>
      <c r="I749" s="79" t="str">
        <f>IFERROR(_xlfn.XLOOKUP(Table6[[#This Row],[Affected Feeder ]],'Basic Data'!$A:$A,'Basic Data'!$C:$C),"")</f>
        <v>MSEDCL</v>
      </c>
      <c r="J749" s="295">
        <f>IFERROR(_xlfn.XLOOKUP(Table6[[#This Row],[Affected Feeder ]],'Basic Data'!$A:$A,'Basic Data'!$E:$E),"")</f>
        <v>2.2727272727272728E-2</v>
      </c>
      <c r="K749" s="296" t="s">
        <v>171</v>
      </c>
      <c r="L749" s="297">
        <v>0.7680555555555556</v>
      </c>
      <c r="M749" s="297">
        <v>0.7680555555555556</v>
      </c>
      <c r="N749" s="297">
        <v>0.78194444444444444</v>
      </c>
      <c r="O749" s="19">
        <f>(Table6[[#This Row],[Work Start TimeStamp]]-Table6[[#This Row],[Fault Start TimeStamp]])*24</f>
        <v>0</v>
      </c>
      <c r="P749" s="19">
        <f>(Table6[[#This Row],[Fault Clearance time]]-Table6[[#This Row],[Fault Start TimeStamp]])*24</f>
        <v>0.33333333333333215</v>
      </c>
      <c r="Q749" s="19">
        <f>(Table6[[#This Row],[Fault Clearance time]]-Table6[[#This Row],[Fault Start TimeStamp]])*24</f>
        <v>0.33333333333333215</v>
      </c>
      <c r="R749" s="79" t="s">
        <v>353</v>
      </c>
      <c r="S749" s="79" t="s">
        <v>339</v>
      </c>
      <c r="T749" s="298">
        <f>IFERROR(Table6[[#This Row],[Breakdown Time]]*Table6[[#This Row],[Plant Equivalent Weightage]],"")</f>
        <v>7.5757575757575491E-3</v>
      </c>
      <c r="U749" s="79" t="s">
        <v>421</v>
      </c>
      <c r="W749" s="79">
        <v>250</v>
      </c>
    </row>
    <row r="750" spans="1:23">
      <c r="A750" s="79">
        <f t="shared" si="11"/>
        <v>749</v>
      </c>
      <c r="B750" s="79">
        <f>YEAR(Table6[[#This Row],[Date]])+IF(MONTH(Table6[[#This Row],[Date]])&gt;=4,1,0)</f>
        <v>2026</v>
      </c>
      <c r="C750" s="79">
        <f>YEAR(Table6[[#This Row],[Date]])</f>
        <v>2025</v>
      </c>
      <c r="D750" s="79" t="s">
        <v>344</v>
      </c>
      <c r="E750" s="284">
        <f>Table6[[#This Row],[Date]]-DAY(Table6[[#This Row],[Date]])+1</f>
        <v>45778</v>
      </c>
      <c r="F750" s="285">
        <v>45803</v>
      </c>
      <c r="G750" s="79" t="s">
        <v>119</v>
      </c>
      <c r="H750" s="79" t="str">
        <f>IFERROR(_xlfn.XLOOKUP(Table6[[#This Row],[Affected Feeder ]],'Basic Data'!$A:$A,'Basic Data'!$B:$B),"")</f>
        <v>PWEPL</v>
      </c>
      <c r="I750" s="79" t="str">
        <f>IFERROR(_xlfn.XLOOKUP(Table6[[#This Row],[Affected Feeder ]],'Basic Data'!$A:$A,'Basic Data'!$C:$C),"")</f>
        <v>MSEDCL</v>
      </c>
      <c r="J750" s="295">
        <f>IFERROR(_xlfn.XLOOKUP(Table6[[#This Row],[Affected Feeder ]],'Basic Data'!$A:$A,'Basic Data'!$E:$E),"")</f>
        <v>2.2727272727272728E-2</v>
      </c>
      <c r="K750" s="296" t="s">
        <v>171</v>
      </c>
      <c r="L750" s="297">
        <v>0.7680555555555556</v>
      </c>
      <c r="M750" s="297">
        <v>0.7680555555555556</v>
      </c>
      <c r="N750" s="297">
        <v>0.78194444444444444</v>
      </c>
      <c r="O750" s="19">
        <f>(Table6[[#This Row],[Work Start TimeStamp]]-Table6[[#This Row],[Fault Start TimeStamp]])*24</f>
        <v>0</v>
      </c>
      <c r="P750" s="19">
        <f>(Table6[[#This Row],[Fault Clearance time]]-Table6[[#This Row],[Fault Start TimeStamp]])*24</f>
        <v>0.33333333333333215</v>
      </c>
      <c r="Q750" s="19">
        <f>(Table6[[#This Row],[Fault Clearance time]]-Table6[[#This Row],[Fault Start TimeStamp]])*24</f>
        <v>0.33333333333333215</v>
      </c>
      <c r="R750" s="79" t="s">
        <v>353</v>
      </c>
      <c r="S750" s="79" t="s">
        <v>339</v>
      </c>
      <c r="T750" s="298">
        <f>IFERROR(Table6[[#This Row],[Breakdown Time]]*Table6[[#This Row],[Plant Equivalent Weightage]],"")</f>
        <v>7.5757575757575491E-3</v>
      </c>
      <c r="U750" s="79" t="s">
        <v>421</v>
      </c>
      <c r="W750" s="79">
        <v>250</v>
      </c>
    </row>
    <row r="751" spans="1:23">
      <c r="A751" s="79">
        <f t="shared" si="11"/>
        <v>750</v>
      </c>
      <c r="B751" s="79">
        <f>YEAR(Table6[[#This Row],[Date]])+IF(MONTH(Table6[[#This Row],[Date]])&gt;=4,1,0)</f>
        <v>2026</v>
      </c>
      <c r="C751" s="79">
        <f>YEAR(Table6[[#This Row],[Date]])</f>
        <v>2025</v>
      </c>
      <c r="D751" s="79" t="s">
        <v>344</v>
      </c>
      <c r="E751" s="284">
        <f>Table6[[#This Row],[Date]]-DAY(Table6[[#This Row],[Date]])+1</f>
        <v>45778</v>
      </c>
      <c r="F751" s="285">
        <v>45803</v>
      </c>
      <c r="G751" s="79" t="s">
        <v>103</v>
      </c>
      <c r="H751" s="79" t="str">
        <f>IFERROR(_xlfn.XLOOKUP(Table6[[#This Row],[Affected Feeder ]],'Basic Data'!$A:$A,'Basic Data'!$B:$B),"")</f>
        <v>PWEPL</v>
      </c>
      <c r="I751" s="79" t="str">
        <f>IFERROR(_xlfn.XLOOKUP(Table6[[#This Row],[Affected Feeder ]],'Basic Data'!$A:$A,'Basic Data'!$C:$C),"")</f>
        <v>MSEDCL</v>
      </c>
      <c r="J751" s="295">
        <f>IFERROR(_xlfn.XLOOKUP(Table6[[#This Row],[Affected Feeder ]],'Basic Data'!$A:$A,'Basic Data'!$E:$E),"")</f>
        <v>2.2727272727272728E-2</v>
      </c>
      <c r="K751" s="296" t="s">
        <v>171</v>
      </c>
      <c r="L751" s="297">
        <v>0.7680555555555556</v>
      </c>
      <c r="M751" s="297">
        <v>0.7680555555555556</v>
      </c>
      <c r="N751" s="297">
        <v>0.78194444444444444</v>
      </c>
      <c r="O751" s="19">
        <f>(Table6[[#This Row],[Work Start TimeStamp]]-Table6[[#This Row],[Fault Start TimeStamp]])*24</f>
        <v>0</v>
      </c>
      <c r="P751" s="19">
        <f>(Table6[[#This Row],[Fault Clearance time]]-Table6[[#This Row],[Fault Start TimeStamp]])*24</f>
        <v>0.33333333333333215</v>
      </c>
      <c r="Q751" s="19">
        <f>(Table6[[#This Row],[Fault Clearance time]]-Table6[[#This Row],[Fault Start TimeStamp]])*24</f>
        <v>0.33333333333333215</v>
      </c>
      <c r="R751" s="79" t="s">
        <v>353</v>
      </c>
      <c r="S751" s="79" t="s">
        <v>339</v>
      </c>
      <c r="T751" s="298">
        <f>IFERROR(Table6[[#This Row],[Breakdown Time]]*Table6[[#This Row],[Plant Equivalent Weightage]],"")</f>
        <v>7.5757575757575491E-3</v>
      </c>
      <c r="U751" s="79" t="s">
        <v>421</v>
      </c>
      <c r="W751" s="79">
        <v>250</v>
      </c>
    </row>
    <row r="752" spans="1:23">
      <c r="A752" s="79">
        <f t="shared" si="11"/>
        <v>751</v>
      </c>
      <c r="B752" s="79">
        <f>YEAR(Table6[[#This Row],[Date]])+IF(MONTH(Table6[[#This Row],[Date]])&gt;=4,1,0)</f>
        <v>2026</v>
      </c>
      <c r="C752" s="79">
        <f>YEAR(Table6[[#This Row],[Date]])</f>
        <v>2025</v>
      </c>
      <c r="D752" s="79" t="s">
        <v>344</v>
      </c>
      <c r="E752" s="284">
        <f>Table6[[#This Row],[Date]]-DAY(Table6[[#This Row],[Date]])+1</f>
        <v>45778</v>
      </c>
      <c r="F752" s="285">
        <v>45803</v>
      </c>
      <c r="G752" s="79" t="s">
        <v>105</v>
      </c>
      <c r="H752" s="79" t="str">
        <f>IFERROR(_xlfn.XLOOKUP(Table6[[#This Row],[Affected Feeder ]],'Basic Data'!$A:$A,'Basic Data'!$B:$B),"")</f>
        <v>PWEPL</v>
      </c>
      <c r="I752" s="79" t="str">
        <f>IFERROR(_xlfn.XLOOKUP(Table6[[#This Row],[Affected Feeder ]],'Basic Data'!$A:$A,'Basic Data'!$C:$C),"")</f>
        <v>MSEDCL</v>
      </c>
      <c r="J752" s="295">
        <f>IFERROR(_xlfn.XLOOKUP(Table6[[#This Row],[Affected Feeder ]],'Basic Data'!$A:$A,'Basic Data'!$E:$E),"")</f>
        <v>2.2727272727272728E-2</v>
      </c>
      <c r="K752" s="296" t="s">
        <v>171</v>
      </c>
      <c r="L752" s="297">
        <v>0.7680555555555556</v>
      </c>
      <c r="M752" s="297">
        <v>0.7680555555555556</v>
      </c>
      <c r="N752" s="297">
        <v>0.78194444444444444</v>
      </c>
      <c r="O752" s="19">
        <f>(Table6[[#This Row],[Work Start TimeStamp]]-Table6[[#This Row],[Fault Start TimeStamp]])*24</f>
        <v>0</v>
      </c>
      <c r="P752" s="19">
        <f>(Table6[[#This Row],[Fault Clearance time]]-Table6[[#This Row],[Fault Start TimeStamp]])*24</f>
        <v>0.33333333333333215</v>
      </c>
      <c r="Q752" s="19">
        <f>(Table6[[#This Row],[Fault Clearance time]]-Table6[[#This Row],[Fault Start TimeStamp]])*24</f>
        <v>0.33333333333333215</v>
      </c>
      <c r="R752" s="79" t="s">
        <v>353</v>
      </c>
      <c r="S752" s="79" t="s">
        <v>339</v>
      </c>
      <c r="T752" s="298">
        <f>IFERROR(Table6[[#This Row],[Breakdown Time]]*Table6[[#This Row],[Plant Equivalent Weightage]],"")</f>
        <v>7.5757575757575491E-3</v>
      </c>
      <c r="U752" s="79" t="s">
        <v>421</v>
      </c>
      <c r="W752" s="79">
        <v>250</v>
      </c>
    </row>
    <row r="753" spans="1:23">
      <c r="A753" s="79">
        <f t="shared" si="11"/>
        <v>752</v>
      </c>
      <c r="B753" s="79">
        <f>YEAR(Table6[[#This Row],[Date]])+IF(MONTH(Table6[[#This Row],[Date]])&gt;=4,1,0)</f>
        <v>2026</v>
      </c>
      <c r="C753" s="79">
        <f>YEAR(Table6[[#This Row],[Date]])</f>
        <v>2025</v>
      </c>
      <c r="D753" s="79" t="s">
        <v>344</v>
      </c>
      <c r="E753" s="284">
        <f>Table6[[#This Row],[Date]]-DAY(Table6[[#This Row],[Date]])+1</f>
        <v>45778</v>
      </c>
      <c r="F753" s="285">
        <v>45803</v>
      </c>
      <c r="G753" s="79" t="s">
        <v>115</v>
      </c>
      <c r="H753" s="79" t="str">
        <f>IFERROR(_xlfn.XLOOKUP(Table6[[#This Row],[Affected Feeder ]],'Basic Data'!$A:$A,'Basic Data'!$B:$B),"")</f>
        <v>PWEPL</v>
      </c>
      <c r="I753" s="79" t="str">
        <f>IFERROR(_xlfn.XLOOKUP(Table6[[#This Row],[Affected Feeder ]],'Basic Data'!$A:$A,'Basic Data'!$C:$C),"")</f>
        <v>MSEDCL</v>
      </c>
      <c r="J753" s="295">
        <f>IFERROR(_xlfn.XLOOKUP(Table6[[#This Row],[Affected Feeder ]],'Basic Data'!$A:$A,'Basic Data'!$E:$E),"")</f>
        <v>2.2727272727272728E-2</v>
      </c>
      <c r="K753" s="296" t="s">
        <v>171</v>
      </c>
      <c r="L753" s="297">
        <v>0.7680555555555556</v>
      </c>
      <c r="M753" s="297">
        <v>0.7680555555555556</v>
      </c>
      <c r="N753" s="297">
        <v>0.78194444444444444</v>
      </c>
      <c r="O753" s="19">
        <f>(Table6[[#This Row],[Work Start TimeStamp]]-Table6[[#This Row],[Fault Start TimeStamp]])*24</f>
        <v>0</v>
      </c>
      <c r="P753" s="19">
        <f>(Table6[[#This Row],[Fault Clearance time]]-Table6[[#This Row],[Fault Start TimeStamp]])*24</f>
        <v>0.33333333333333215</v>
      </c>
      <c r="Q753" s="19">
        <f>(Table6[[#This Row],[Fault Clearance time]]-Table6[[#This Row],[Fault Start TimeStamp]])*24</f>
        <v>0.33333333333333215</v>
      </c>
      <c r="R753" s="79" t="s">
        <v>353</v>
      </c>
      <c r="S753" s="79" t="s">
        <v>339</v>
      </c>
      <c r="T753" s="298">
        <f>IFERROR(Table6[[#This Row],[Breakdown Time]]*Table6[[#This Row],[Plant Equivalent Weightage]],"")</f>
        <v>7.5757575757575491E-3</v>
      </c>
      <c r="U753" s="79" t="s">
        <v>421</v>
      </c>
      <c r="W753" s="79">
        <v>250</v>
      </c>
    </row>
    <row r="754" spans="1:23">
      <c r="A754" s="79">
        <f t="shared" si="11"/>
        <v>753</v>
      </c>
      <c r="B754" s="79">
        <f>YEAR(Table6[[#This Row],[Date]])+IF(MONTH(Table6[[#This Row],[Date]])&gt;=4,1,0)</f>
        <v>2026</v>
      </c>
      <c r="C754" s="79">
        <f>YEAR(Table6[[#This Row],[Date]])</f>
        <v>2025</v>
      </c>
      <c r="D754" s="79" t="s">
        <v>344</v>
      </c>
      <c r="E754" s="284">
        <f>Table6[[#This Row],[Date]]-DAY(Table6[[#This Row],[Date]])+1</f>
        <v>45778</v>
      </c>
      <c r="F754" s="285">
        <v>45803</v>
      </c>
      <c r="G754" s="79" t="s">
        <v>116</v>
      </c>
      <c r="H754" s="79" t="str">
        <f>IFERROR(_xlfn.XLOOKUP(Table6[[#This Row],[Affected Feeder ]],'Basic Data'!$A:$A,'Basic Data'!$B:$B),"")</f>
        <v>PWEPL</v>
      </c>
      <c r="I754" s="79" t="str">
        <f>IFERROR(_xlfn.XLOOKUP(Table6[[#This Row],[Affected Feeder ]],'Basic Data'!$A:$A,'Basic Data'!$C:$C),"")</f>
        <v>MSEDCL</v>
      </c>
      <c r="J754" s="295">
        <f>IFERROR(_xlfn.XLOOKUP(Table6[[#This Row],[Affected Feeder ]],'Basic Data'!$A:$A,'Basic Data'!$E:$E),"")</f>
        <v>2.2727272727272728E-2</v>
      </c>
      <c r="K754" s="296" t="s">
        <v>171</v>
      </c>
      <c r="L754" s="297">
        <v>0.7680555555555556</v>
      </c>
      <c r="M754" s="297">
        <v>0.7680555555555556</v>
      </c>
      <c r="N754" s="297">
        <v>0.78194444444444444</v>
      </c>
      <c r="O754" s="19">
        <f>(Table6[[#This Row],[Work Start TimeStamp]]-Table6[[#This Row],[Fault Start TimeStamp]])*24</f>
        <v>0</v>
      </c>
      <c r="P754" s="19">
        <f>(Table6[[#This Row],[Fault Clearance time]]-Table6[[#This Row],[Fault Start TimeStamp]])*24</f>
        <v>0.33333333333333215</v>
      </c>
      <c r="Q754" s="19">
        <f>(Table6[[#This Row],[Fault Clearance time]]-Table6[[#This Row],[Fault Start TimeStamp]])*24</f>
        <v>0.33333333333333215</v>
      </c>
      <c r="R754" s="79" t="s">
        <v>353</v>
      </c>
      <c r="S754" s="79" t="s">
        <v>339</v>
      </c>
      <c r="T754" s="298">
        <f>IFERROR(Table6[[#This Row],[Breakdown Time]]*Table6[[#This Row],[Plant Equivalent Weightage]],"")</f>
        <v>7.5757575757575491E-3</v>
      </c>
      <c r="U754" s="79" t="s">
        <v>421</v>
      </c>
      <c r="W754" s="79">
        <v>250</v>
      </c>
    </row>
    <row r="755" spans="1:23">
      <c r="A755" s="79">
        <f t="shared" si="11"/>
        <v>754</v>
      </c>
      <c r="B755" s="79">
        <f>YEAR(Table6[[#This Row],[Date]])+IF(MONTH(Table6[[#This Row],[Date]])&gt;=4,1,0)</f>
        <v>2026</v>
      </c>
      <c r="C755" s="79">
        <f>YEAR(Table6[[#This Row],[Date]])</f>
        <v>2025</v>
      </c>
      <c r="D755" s="79" t="s">
        <v>344</v>
      </c>
      <c r="E755" s="284">
        <f>Table6[[#This Row],[Date]]-DAY(Table6[[#This Row],[Date]])+1</f>
        <v>45778</v>
      </c>
      <c r="F755" s="285">
        <v>45803</v>
      </c>
      <c r="G755" s="79" t="s">
        <v>117</v>
      </c>
      <c r="H755" s="79" t="str">
        <f>IFERROR(_xlfn.XLOOKUP(Table6[[#This Row],[Affected Feeder ]],'Basic Data'!$A:$A,'Basic Data'!$B:$B),"")</f>
        <v>PWEPL</v>
      </c>
      <c r="I755" s="79" t="str">
        <f>IFERROR(_xlfn.XLOOKUP(Table6[[#This Row],[Affected Feeder ]],'Basic Data'!$A:$A,'Basic Data'!$C:$C),"")</f>
        <v>MSEDCL</v>
      </c>
      <c r="J755" s="295">
        <f>IFERROR(_xlfn.XLOOKUP(Table6[[#This Row],[Affected Feeder ]],'Basic Data'!$A:$A,'Basic Data'!$E:$E),"")</f>
        <v>2.2727272727272728E-2</v>
      </c>
      <c r="K755" s="296" t="s">
        <v>171</v>
      </c>
      <c r="L755" s="297">
        <v>0.7680555555555556</v>
      </c>
      <c r="M755" s="297">
        <v>0.7680555555555556</v>
      </c>
      <c r="N755" s="297">
        <v>0.78194444444444444</v>
      </c>
      <c r="O755" s="19">
        <f>(Table6[[#This Row],[Work Start TimeStamp]]-Table6[[#This Row],[Fault Start TimeStamp]])*24</f>
        <v>0</v>
      </c>
      <c r="P755" s="19">
        <f>(Table6[[#This Row],[Fault Clearance time]]-Table6[[#This Row],[Fault Start TimeStamp]])*24</f>
        <v>0.33333333333333215</v>
      </c>
      <c r="Q755" s="19">
        <f>(Table6[[#This Row],[Fault Clearance time]]-Table6[[#This Row],[Fault Start TimeStamp]])*24</f>
        <v>0.33333333333333215</v>
      </c>
      <c r="R755" s="79" t="s">
        <v>353</v>
      </c>
      <c r="S755" s="79" t="s">
        <v>339</v>
      </c>
      <c r="T755" s="298">
        <f>IFERROR(Table6[[#This Row],[Breakdown Time]]*Table6[[#This Row],[Plant Equivalent Weightage]],"")</f>
        <v>7.5757575757575491E-3</v>
      </c>
      <c r="U755" s="79" t="s">
        <v>421</v>
      </c>
      <c r="W755" s="79">
        <v>250</v>
      </c>
    </row>
    <row r="756" spans="1:23">
      <c r="A756" s="79">
        <f t="shared" si="11"/>
        <v>755</v>
      </c>
      <c r="B756" s="79">
        <f>YEAR(Table6[[#This Row],[Date]])+IF(MONTH(Table6[[#This Row],[Date]])&gt;=4,1,0)</f>
        <v>2026</v>
      </c>
      <c r="C756" s="79">
        <f>YEAR(Table6[[#This Row],[Date]])</f>
        <v>2025</v>
      </c>
      <c r="D756" s="79" t="s">
        <v>344</v>
      </c>
      <c r="E756" s="284">
        <f>Table6[[#This Row],[Date]]-DAY(Table6[[#This Row],[Date]])+1</f>
        <v>45778</v>
      </c>
      <c r="F756" s="285">
        <v>45803</v>
      </c>
      <c r="G756" s="79" t="s">
        <v>118</v>
      </c>
      <c r="H756" s="79" t="str">
        <f>IFERROR(_xlfn.XLOOKUP(Table6[[#This Row],[Affected Feeder ]],'Basic Data'!$A:$A,'Basic Data'!$B:$B),"")</f>
        <v>PWEPL</v>
      </c>
      <c r="I756" s="79" t="str">
        <f>IFERROR(_xlfn.XLOOKUP(Table6[[#This Row],[Affected Feeder ]],'Basic Data'!$A:$A,'Basic Data'!$C:$C),"")</f>
        <v>MSEDCL</v>
      </c>
      <c r="J756" s="295">
        <f>IFERROR(_xlfn.XLOOKUP(Table6[[#This Row],[Affected Feeder ]],'Basic Data'!$A:$A,'Basic Data'!$E:$E),"")</f>
        <v>2.2727272727272728E-2</v>
      </c>
      <c r="K756" s="296" t="s">
        <v>171</v>
      </c>
      <c r="L756" s="297">
        <v>0.7680555555555556</v>
      </c>
      <c r="M756" s="297">
        <v>0.7680555555555556</v>
      </c>
      <c r="N756" s="297">
        <v>0.78194444444444444</v>
      </c>
      <c r="O756" s="19">
        <f>(Table6[[#This Row],[Work Start TimeStamp]]-Table6[[#This Row],[Fault Start TimeStamp]])*24</f>
        <v>0</v>
      </c>
      <c r="P756" s="19">
        <f>(Table6[[#This Row],[Fault Clearance time]]-Table6[[#This Row],[Fault Start TimeStamp]])*24</f>
        <v>0.33333333333333215</v>
      </c>
      <c r="Q756" s="19">
        <f>(Table6[[#This Row],[Fault Clearance time]]-Table6[[#This Row],[Fault Start TimeStamp]])*24</f>
        <v>0.33333333333333215</v>
      </c>
      <c r="R756" s="79" t="s">
        <v>353</v>
      </c>
      <c r="S756" s="79" t="s">
        <v>339</v>
      </c>
      <c r="T756" s="298">
        <f>IFERROR(Table6[[#This Row],[Breakdown Time]]*Table6[[#This Row],[Plant Equivalent Weightage]],"")</f>
        <v>7.5757575757575491E-3</v>
      </c>
      <c r="U756" s="79" t="s">
        <v>421</v>
      </c>
      <c r="W756" s="79">
        <v>250</v>
      </c>
    </row>
    <row r="757" spans="1:23">
      <c r="A757" s="79">
        <f t="shared" si="11"/>
        <v>756</v>
      </c>
      <c r="B757" s="79">
        <f>YEAR(Table6[[#This Row],[Date]])+IF(MONTH(Table6[[#This Row],[Date]])&gt;=4,1,0)</f>
        <v>2026</v>
      </c>
      <c r="C757" s="79">
        <f>YEAR(Table6[[#This Row],[Date]])</f>
        <v>2025</v>
      </c>
      <c r="D757" s="79" t="s">
        <v>344</v>
      </c>
      <c r="E757" s="284">
        <f>Table6[[#This Row],[Date]]-DAY(Table6[[#This Row],[Date]])+1</f>
        <v>45778</v>
      </c>
      <c r="F757" s="285">
        <v>45805</v>
      </c>
      <c r="G757" s="79" t="s">
        <v>405</v>
      </c>
      <c r="H757" s="79" t="str">
        <f>IFERROR(_xlfn.XLOOKUP(Table6[[#This Row],[Affected Feeder ]],'Basic Data'!$A:$A,'Basic Data'!$B:$B),"")</f>
        <v>PWEPL</v>
      </c>
      <c r="I757" s="79" t="str">
        <f>IFERROR(_xlfn.XLOOKUP(Table6[[#This Row],[Affected Feeder ]],'Basic Data'!$A:$A,'Basic Data'!$C:$C),"")</f>
        <v>MSEDCL</v>
      </c>
      <c r="J757" s="295">
        <f>IFERROR(_xlfn.XLOOKUP(Table6[[#This Row],[Affected Feeder ]],'Basic Data'!$A:$A,'Basic Data'!$E:$E),"")</f>
        <v>0.20454545454545453</v>
      </c>
      <c r="K757" s="296" t="s">
        <v>447</v>
      </c>
      <c r="L757" s="297">
        <v>0.72291666666666676</v>
      </c>
      <c r="M757" s="297">
        <v>0.72291666666666676</v>
      </c>
      <c r="N757" s="297">
        <v>0.90277777777777779</v>
      </c>
      <c r="O757" s="19">
        <f>(Table6[[#This Row],[Work Start TimeStamp]]-Table6[[#This Row],[Fault Start TimeStamp]])*24</f>
        <v>0</v>
      </c>
      <c r="P757" s="19">
        <f>(Table6[[#This Row],[Fault Clearance time]]-Table6[[#This Row],[Fault Start TimeStamp]])*24</f>
        <v>4.3166666666666647</v>
      </c>
      <c r="Q757" s="19">
        <f>(Table6[[#This Row],[Fault Clearance time]]-Table6[[#This Row],[Fault Start TimeStamp]])*24</f>
        <v>4.3166666666666647</v>
      </c>
      <c r="R757" s="79" t="s">
        <v>867</v>
      </c>
      <c r="S757" s="79" t="s">
        <v>339</v>
      </c>
      <c r="T757" s="298">
        <f>IFERROR(Table6[[#This Row],[Breakdown Time]]*Table6[[#This Row],[Plant Equivalent Weightage]],"")</f>
        <v>0.88295454545454499</v>
      </c>
      <c r="U757" s="79" t="s">
        <v>421</v>
      </c>
      <c r="W757" s="79">
        <v>16932</v>
      </c>
    </row>
    <row r="758" spans="1:23">
      <c r="A758" s="79">
        <f t="shared" si="11"/>
        <v>757</v>
      </c>
      <c r="B758" s="79">
        <f>YEAR(Table6[[#This Row],[Date]])+IF(MONTH(Table6[[#This Row],[Date]])&gt;=4,1,0)</f>
        <v>2026</v>
      </c>
      <c r="C758" s="79">
        <f>YEAR(Table6[[#This Row],[Date]])</f>
        <v>2025</v>
      </c>
      <c r="D758" s="79" t="s">
        <v>344</v>
      </c>
      <c r="E758" s="284">
        <f>Table6[[#This Row],[Date]]-DAY(Table6[[#This Row],[Date]])+1</f>
        <v>45778</v>
      </c>
      <c r="F758" s="285">
        <v>45805</v>
      </c>
      <c r="G758" s="79" t="s">
        <v>109</v>
      </c>
      <c r="H758" s="79" t="str">
        <f>IFERROR(_xlfn.XLOOKUP(Table6[[#This Row],[Affected Feeder ]],'Basic Data'!$A:$A,'Basic Data'!$B:$B),"")</f>
        <v>PWEPL</v>
      </c>
      <c r="I758" s="79" t="str">
        <f>IFERROR(_xlfn.XLOOKUP(Table6[[#This Row],[Affected Feeder ]],'Basic Data'!$A:$A,'Basic Data'!$C:$C),"")</f>
        <v>MSEDCL</v>
      </c>
      <c r="J758" s="295">
        <f>IFERROR(_xlfn.XLOOKUP(Table6[[#This Row],[Affected Feeder ]],'Basic Data'!$A:$A,'Basic Data'!$E:$E),"")</f>
        <v>2.2727272727272728E-2</v>
      </c>
      <c r="K758" s="296" t="s">
        <v>171</v>
      </c>
      <c r="L758" s="297">
        <v>0.90277777777777779</v>
      </c>
      <c r="M758" s="297">
        <v>0.90277777777777779</v>
      </c>
      <c r="N758" s="297">
        <v>0.91666666666666663</v>
      </c>
      <c r="O758" s="19">
        <f>(Table6[[#This Row],[Work Start TimeStamp]]-Table6[[#This Row],[Fault Start TimeStamp]])*24</f>
        <v>0</v>
      </c>
      <c r="P758" s="19">
        <f>(Table6[[#This Row],[Fault Clearance time]]-Table6[[#This Row],[Fault Start TimeStamp]])*24</f>
        <v>0.33333333333333215</v>
      </c>
      <c r="Q758" s="19">
        <f>(Table6[[#This Row],[Fault Clearance time]]-Table6[[#This Row],[Fault Start TimeStamp]])*24</f>
        <v>0.33333333333333215</v>
      </c>
      <c r="R758" s="79" t="s">
        <v>353</v>
      </c>
      <c r="S758" s="79" t="s">
        <v>339</v>
      </c>
      <c r="T758" s="298">
        <f>IFERROR(Table6[[#This Row],[Breakdown Time]]*Table6[[#This Row],[Plant Equivalent Weightage]],"")</f>
        <v>7.5757575757575491E-3</v>
      </c>
      <c r="U758" s="79" t="s">
        <v>421</v>
      </c>
      <c r="W758" s="79">
        <v>156</v>
      </c>
    </row>
    <row r="759" spans="1:23">
      <c r="A759" s="79">
        <f t="shared" si="11"/>
        <v>758</v>
      </c>
      <c r="B759" s="79">
        <f>YEAR(Table6[[#This Row],[Date]])+IF(MONTH(Table6[[#This Row],[Date]])&gt;=4,1,0)</f>
        <v>2026</v>
      </c>
      <c r="C759" s="79">
        <f>YEAR(Table6[[#This Row],[Date]])</f>
        <v>2025</v>
      </c>
      <c r="D759" s="79" t="s">
        <v>344</v>
      </c>
      <c r="E759" s="284">
        <f>Table6[[#This Row],[Date]]-DAY(Table6[[#This Row],[Date]])+1</f>
        <v>45778</v>
      </c>
      <c r="F759" s="285">
        <v>45805</v>
      </c>
      <c r="G759" s="79" t="s">
        <v>111</v>
      </c>
      <c r="H759" s="79" t="str">
        <f>IFERROR(_xlfn.XLOOKUP(Table6[[#This Row],[Affected Feeder ]],'Basic Data'!$A:$A,'Basic Data'!$B:$B),"")</f>
        <v>PWEPL</v>
      </c>
      <c r="I759" s="79" t="str">
        <f>IFERROR(_xlfn.XLOOKUP(Table6[[#This Row],[Affected Feeder ]],'Basic Data'!$A:$A,'Basic Data'!$C:$C),"")</f>
        <v>MSEDCL</v>
      </c>
      <c r="J759" s="295">
        <f>IFERROR(_xlfn.XLOOKUP(Table6[[#This Row],[Affected Feeder ]],'Basic Data'!$A:$A,'Basic Data'!$E:$E),"")</f>
        <v>2.2727272727272728E-2</v>
      </c>
      <c r="K759" s="296" t="s">
        <v>171</v>
      </c>
      <c r="L759" s="297">
        <v>0.90277777777777779</v>
      </c>
      <c r="M759" s="297">
        <v>0.90277777777777779</v>
      </c>
      <c r="N759" s="297">
        <v>0.91666666666666663</v>
      </c>
      <c r="O759" s="19">
        <f>(Table6[[#This Row],[Work Start TimeStamp]]-Table6[[#This Row],[Fault Start TimeStamp]])*24</f>
        <v>0</v>
      </c>
      <c r="P759" s="19">
        <f>(Table6[[#This Row],[Fault Clearance time]]-Table6[[#This Row],[Fault Start TimeStamp]])*24</f>
        <v>0.33333333333333215</v>
      </c>
      <c r="Q759" s="19">
        <f>(Table6[[#This Row],[Fault Clearance time]]-Table6[[#This Row],[Fault Start TimeStamp]])*24</f>
        <v>0.33333333333333215</v>
      </c>
      <c r="R759" s="79" t="s">
        <v>353</v>
      </c>
      <c r="S759" s="79" t="s">
        <v>339</v>
      </c>
      <c r="T759" s="298">
        <f>IFERROR(Table6[[#This Row],[Breakdown Time]]*Table6[[#This Row],[Plant Equivalent Weightage]],"")</f>
        <v>7.5757575757575491E-3</v>
      </c>
      <c r="U759" s="79" t="s">
        <v>421</v>
      </c>
      <c r="W759" s="79">
        <v>156</v>
      </c>
    </row>
    <row r="760" spans="1:23">
      <c r="A760" s="79">
        <f t="shared" si="11"/>
        <v>759</v>
      </c>
      <c r="B760" s="79">
        <f>YEAR(Table6[[#This Row],[Date]])+IF(MONTH(Table6[[#This Row],[Date]])&gt;=4,1,0)</f>
        <v>2026</v>
      </c>
      <c r="C760" s="79">
        <f>YEAR(Table6[[#This Row],[Date]])</f>
        <v>2025</v>
      </c>
      <c r="D760" s="79" t="s">
        <v>344</v>
      </c>
      <c r="E760" s="284">
        <f>Table6[[#This Row],[Date]]-DAY(Table6[[#This Row],[Date]])+1</f>
        <v>45778</v>
      </c>
      <c r="F760" s="285">
        <v>45805</v>
      </c>
      <c r="G760" s="79" t="s">
        <v>112</v>
      </c>
      <c r="H760" s="79" t="str">
        <f>IFERROR(_xlfn.XLOOKUP(Table6[[#This Row],[Affected Feeder ]],'Basic Data'!$A:$A,'Basic Data'!$B:$B),"")</f>
        <v>PWEPL</v>
      </c>
      <c r="I760" s="79" t="str">
        <f>IFERROR(_xlfn.XLOOKUP(Table6[[#This Row],[Affected Feeder ]],'Basic Data'!$A:$A,'Basic Data'!$C:$C),"")</f>
        <v>MSEDCL</v>
      </c>
      <c r="J760" s="295">
        <f>IFERROR(_xlfn.XLOOKUP(Table6[[#This Row],[Affected Feeder ]],'Basic Data'!$A:$A,'Basic Data'!$E:$E),"")</f>
        <v>2.2727272727272728E-2</v>
      </c>
      <c r="K760" s="296" t="s">
        <v>171</v>
      </c>
      <c r="L760" s="297">
        <v>0.90277777777777779</v>
      </c>
      <c r="M760" s="297">
        <v>0.90277777777777779</v>
      </c>
      <c r="N760" s="297">
        <v>0.91666666666666663</v>
      </c>
      <c r="O760" s="19">
        <f>(Table6[[#This Row],[Work Start TimeStamp]]-Table6[[#This Row],[Fault Start TimeStamp]])*24</f>
        <v>0</v>
      </c>
      <c r="P760" s="19">
        <f>(Table6[[#This Row],[Fault Clearance time]]-Table6[[#This Row],[Fault Start TimeStamp]])*24</f>
        <v>0.33333333333333215</v>
      </c>
      <c r="Q760" s="19">
        <f>(Table6[[#This Row],[Fault Clearance time]]-Table6[[#This Row],[Fault Start TimeStamp]])*24</f>
        <v>0.33333333333333215</v>
      </c>
      <c r="R760" s="79" t="s">
        <v>353</v>
      </c>
      <c r="S760" s="79" t="s">
        <v>339</v>
      </c>
      <c r="T760" s="298">
        <f>IFERROR(Table6[[#This Row],[Breakdown Time]]*Table6[[#This Row],[Plant Equivalent Weightage]],"")</f>
        <v>7.5757575757575491E-3</v>
      </c>
      <c r="U760" s="79" t="s">
        <v>421</v>
      </c>
      <c r="W760" s="79">
        <v>156</v>
      </c>
    </row>
    <row r="761" spans="1:23">
      <c r="A761" s="79">
        <f t="shared" si="11"/>
        <v>760</v>
      </c>
      <c r="B761" s="79">
        <f>YEAR(Table6[[#This Row],[Date]])+IF(MONTH(Table6[[#This Row],[Date]])&gt;=4,1,0)</f>
        <v>2026</v>
      </c>
      <c r="C761" s="79">
        <f>YEAR(Table6[[#This Row],[Date]])</f>
        <v>2025</v>
      </c>
      <c r="D761" s="79" t="s">
        <v>344</v>
      </c>
      <c r="E761" s="284">
        <f>Table6[[#This Row],[Date]]-DAY(Table6[[#This Row],[Date]])+1</f>
        <v>45778</v>
      </c>
      <c r="F761" s="285">
        <v>45805</v>
      </c>
      <c r="G761" s="79" t="s">
        <v>113</v>
      </c>
      <c r="H761" s="79" t="str">
        <f>IFERROR(_xlfn.XLOOKUP(Table6[[#This Row],[Affected Feeder ]],'Basic Data'!$A:$A,'Basic Data'!$B:$B),"")</f>
        <v>PWEPL</v>
      </c>
      <c r="I761" s="79" t="str">
        <f>IFERROR(_xlfn.XLOOKUP(Table6[[#This Row],[Affected Feeder ]],'Basic Data'!$A:$A,'Basic Data'!$C:$C),"")</f>
        <v>MSEDCL</v>
      </c>
      <c r="J761" s="295">
        <f>IFERROR(_xlfn.XLOOKUP(Table6[[#This Row],[Affected Feeder ]],'Basic Data'!$A:$A,'Basic Data'!$E:$E),"")</f>
        <v>2.2727272727272728E-2</v>
      </c>
      <c r="K761" s="296" t="s">
        <v>171</v>
      </c>
      <c r="L761" s="297">
        <v>0.90277777777777779</v>
      </c>
      <c r="M761" s="297">
        <v>0.90277777777777779</v>
      </c>
      <c r="N761" s="297">
        <v>0.91666666666666663</v>
      </c>
      <c r="O761" s="19">
        <f>(Table6[[#This Row],[Work Start TimeStamp]]-Table6[[#This Row],[Fault Start TimeStamp]])*24</f>
        <v>0</v>
      </c>
      <c r="P761" s="19">
        <f>(Table6[[#This Row],[Fault Clearance time]]-Table6[[#This Row],[Fault Start TimeStamp]])*24</f>
        <v>0.33333333333333215</v>
      </c>
      <c r="Q761" s="19">
        <f>(Table6[[#This Row],[Fault Clearance time]]-Table6[[#This Row],[Fault Start TimeStamp]])*24</f>
        <v>0.33333333333333215</v>
      </c>
      <c r="R761" s="79" t="s">
        <v>353</v>
      </c>
      <c r="S761" s="79" t="s">
        <v>339</v>
      </c>
      <c r="T761" s="298">
        <f>IFERROR(Table6[[#This Row],[Breakdown Time]]*Table6[[#This Row],[Plant Equivalent Weightage]],"")</f>
        <v>7.5757575757575491E-3</v>
      </c>
      <c r="U761" s="79" t="s">
        <v>421</v>
      </c>
      <c r="W761" s="79">
        <v>156</v>
      </c>
    </row>
    <row r="762" spans="1:23">
      <c r="A762" s="79">
        <f t="shared" si="11"/>
        <v>761</v>
      </c>
      <c r="B762" s="79">
        <f>YEAR(Table6[[#This Row],[Date]])+IF(MONTH(Table6[[#This Row],[Date]])&gt;=4,1,0)</f>
        <v>2026</v>
      </c>
      <c r="C762" s="79">
        <f>YEAR(Table6[[#This Row],[Date]])</f>
        <v>2025</v>
      </c>
      <c r="D762" s="79" t="s">
        <v>344</v>
      </c>
      <c r="E762" s="284">
        <f>Table6[[#This Row],[Date]]-DAY(Table6[[#This Row],[Date]])+1</f>
        <v>45778</v>
      </c>
      <c r="F762" s="285">
        <v>45805</v>
      </c>
      <c r="G762" s="79" t="s">
        <v>114</v>
      </c>
      <c r="H762" s="79" t="str">
        <f>IFERROR(_xlfn.XLOOKUP(Table6[[#This Row],[Affected Feeder ]],'Basic Data'!$A:$A,'Basic Data'!$B:$B),"")</f>
        <v>PWEPL</v>
      </c>
      <c r="I762" s="79" t="str">
        <f>IFERROR(_xlfn.XLOOKUP(Table6[[#This Row],[Affected Feeder ]],'Basic Data'!$A:$A,'Basic Data'!$C:$C),"")</f>
        <v>MSEDCL</v>
      </c>
      <c r="J762" s="295">
        <f>IFERROR(_xlfn.XLOOKUP(Table6[[#This Row],[Affected Feeder ]],'Basic Data'!$A:$A,'Basic Data'!$E:$E),"")</f>
        <v>2.2727272727272728E-2</v>
      </c>
      <c r="K762" s="296" t="s">
        <v>171</v>
      </c>
      <c r="L762" s="297">
        <v>0.90277777777777779</v>
      </c>
      <c r="M762" s="297">
        <v>0.90277777777777779</v>
      </c>
      <c r="N762" s="297">
        <v>0.91666666666666663</v>
      </c>
      <c r="O762" s="19">
        <f>(Table6[[#This Row],[Work Start TimeStamp]]-Table6[[#This Row],[Fault Start TimeStamp]])*24</f>
        <v>0</v>
      </c>
      <c r="P762" s="19">
        <f>(Table6[[#This Row],[Fault Clearance time]]-Table6[[#This Row],[Fault Start TimeStamp]])*24</f>
        <v>0.33333333333333215</v>
      </c>
      <c r="Q762" s="19">
        <f>(Table6[[#This Row],[Fault Clearance time]]-Table6[[#This Row],[Fault Start TimeStamp]])*24</f>
        <v>0.33333333333333215</v>
      </c>
      <c r="R762" s="79" t="s">
        <v>353</v>
      </c>
      <c r="S762" s="79" t="s">
        <v>339</v>
      </c>
      <c r="T762" s="298">
        <f>IFERROR(Table6[[#This Row],[Breakdown Time]]*Table6[[#This Row],[Plant Equivalent Weightage]],"")</f>
        <v>7.5757575757575491E-3</v>
      </c>
      <c r="U762" s="79" t="s">
        <v>421</v>
      </c>
      <c r="W762" s="79">
        <v>156</v>
      </c>
    </row>
    <row r="763" spans="1:23">
      <c r="A763" s="79">
        <f t="shared" si="11"/>
        <v>762</v>
      </c>
      <c r="B763" s="79">
        <f>YEAR(Table6[[#This Row],[Date]])+IF(MONTH(Table6[[#This Row],[Date]])&gt;=4,1,0)</f>
        <v>2026</v>
      </c>
      <c r="C763" s="79">
        <f>YEAR(Table6[[#This Row],[Date]])</f>
        <v>2025</v>
      </c>
      <c r="D763" s="79" t="s">
        <v>344</v>
      </c>
      <c r="E763" s="284">
        <f>Table6[[#This Row],[Date]]-DAY(Table6[[#This Row],[Date]])+1</f>
        <v>45778</v>
      </c>
      <c r="F763" s="285">
        <v>45805</v>
      </c>
      <c r="G763" s="79" t="s">
        <v>80</v>
      </c>
      <c r="H763" s="79" t="str">
        <f>IFERROR(_xlfn.XLOOKUP(Table6[[#This Row],[Affected Feeder ]],'Basic Data'!$A:$A,'Basic Data'!$B:$B),"")</f>
        <v>PWEPL</v>
      </c>
      <c r="I763" s="79" t="str">
        <f>IFERROR(_xlfn.XLOOKUP(Table6[[#This Row],[Affected Feeder ]],'Basic Data'!$A:$A,'Basic Data'!$C:$C),"")</f>
        <v>MSEDCL</v>
      </c>
      <c r="J763" s="295">
        <f>IFERROR(_xlfn.XLOOKUP(Table6[[#This Row],[Affected Feeder ]],'Basic Data'!$A:$A,'Basic Data'!$E:$E),"")</f>
        <v>2.2727272727272728E-2</v>
      </c>
      <c r="K763" s="296" t="s">
        <v>171</v>
      </c>
      <c r="L763" s="297">
        <v>0.90277777777777779</v>
      </c>
      <c r="M763" s="297">
        <v>0.90277777777777779</v>
      </c>
      <c r="N763" s="297">
        <v>0.91666666666666663</v>
      </c>
      <c r="O763" s="19">
        <f>(Table6[[#This Row],[Work Start TimeStamp]]-Table6[[#This Row],[Fault Start TimeStamp]])*24</f>
        <v>0</v>
      </c>
      <c r="P763" s="19">
        <f>(Table6[[#This Row],[Fault Clearance time]]-Table6[[#This Row],[Fault Start TimeStamp]])*24</f>
        <v>0.33333333333333215</v>
      </c>
      <c r="Q763" s="19">
        <f>(Table6[[#This Row],[Fault Clearance time]]-Table6[[#This Row],[Fault Start TimeStamp]])*24</f>
        <v>0.33333333333333215</v>
      </c>
      <c r="R763" s="79" t="s">
        <v>353</v>
      </c>
      <c r="S763" s="79" t="s">
        <v>339</v>
      </c>
      <c r="T763" s="298">
        <f>IFERROR(Table6[[#This Row],[Breakdown Time]]*Table6[[#This Row],[Plant Equivalent Weightage]],"")</f>
        <v>7.5757575757575491E-3</v>
      </c>
      <c r="U763" s="79" t="s">
        <v>421</v>
      </c>
      <c r="W763" s="79">
        <v>156</v>
      </c>
    </row>
    <row r="764" spans="1:23">
      <c r="A764" s="79">
        <f t="shared" si="11"/>
        <v>763</v>
      </c>
      <c r="B764" s="79">
        <f>YEAR(Table6[[#This Row],[Date]])+IF(MONTH(Table6[[#This Row],[Date]])&gt;=4,1,0)</f>
        <v>2026</v>
      </c>
      <c r="C764" s="79">
        <f>YEAR(Table6[[#This Row],[Date]])</f>
        <v>2025</v>
      </c>
      <c r="D764" s="79" t="s">
        <v>344</v>
      </c>
      <c r="E764" s="284">
        <f>Table6[[#This Row],[Date]]-DAY(Table6[[#This Row],[Date]])+1</f>
        <v>45778</v>
      </c>
      <c r="F764" s="285">
        <v>45805</v>
      </c>
      <c r="G764" s="79" t="s">
        <v>81</v>
      </c>
      <c r="H764" s="79" t="str">
        <f>IFERROR(_xlfn.XLOOKUP(Table6[[#This Row],[Affected Feeder ]],'Basic Data'!$A:$A,'Basic Data'!$B:$B),"")</f>
        <v>PWEPL</v>
      </c>
      <c r="I764" s="79" t="str">
        <f>IFERROR(_xlfn.XLOOKUP(Table6[[#This Row],[Affected Feeder ]],'Basic Data'!$A:$A,'Basic Data'!$C:$C),"")</f>
        <v>MSEDCL</v>
      </c>
      <c r="J764" s="295">
        <f>IFERROR(_xlfn.XLOOKUP(Table6[[#This Row],[Affected Feeder ]],'Basic Data'!$A:$A,'Basic Data'!$E:$E),"")</f>
        <v>2.2727272727272728E-2</v>
      </c>
      <c r="K764" s="296" t="s">
        <v>171</v>
      </c>
      <c r="L764" s="297">
        <v>0.90277777777777779</v>
      </c>
      <c r="M764" s="297">
        <v>0.90277777777777779</v>
      </c>
      <c r="N764" s="297">
        <v>0.91666666666666663</v>
      </c>
      <c r="O764" s="19">
        <f>(Table6[[#This Row],[Work Start TimeStamp]]-Table6[[#This Row],[Fault Start TimeStamp]])*24</f>
        <v>0</v>
      </c>
      <c r="P764" s="19">
        <f>(Table6[[#This Row],[Fault Clearance time]]-Table6[[#This Row],[Fault Start TimeStamp]])*24</f>
        <v>0.33333333333333215</v>
      </c>
      <c r="Q764" s="19">
        <f>(Table6[[#This Row],[Fault Clearance time]]-Table6[[#This Row],[Fault Start TimeStamp]])*24</f>
        <v>0.33333333333333215</v>
      </c>
      <c r="R764" s="79" t="s">
        <v>353</v>
      </c>
      <c r="S764" s="79" t="s">
        <v>339</v>
      </c>
      <c r="T764" s="298">
        <f>IFERROR(Table6[[#This Row],[Breakdown Time]]*Table6[[#This Row],[Plant Equivalent Weightage]],"")</f>
        <v>7.5757575757575491E-3</v>
      </c>
      <c r="U764" s="79" t="s">
        <v>421</v>
      </c>
      <c r="W764" s="79">
        <v>156</v>
      </c>
    </row>
    <row r="765" spans="1:23">
      <c r="A765" s="79">
        <f t="shared" si="11"/>
        <v>764</v>
      </c>
      <c r="B765" s="79">
        <f>YEAR(Table6[[#This Row],[Date]])+IF(MONTH(Table6[[#This Row],[Date]])&gt;=4,1,0)</f>
        <v>2026</v>
      </c>
      <c r="C765" s="79">
        <f>YEAR(Table6[[#This Row],[Date]])</f>
        <v>2025</v>
      </c>
      <c r="D765" s="79" t="s">
        <v>344</v>
      </c>
      <c r="E765" s="284">
        <f>Table6[[#This Row],[Date]]-DAY(Table6[[#This Row],[Date]])+1</f>
        <v>45778</v>
      </c>
      <c r="F765" s="285">
        <v>45805</v>
      </c>
      <c r="G765" s="79" t="s">
        <v>107</v>
      </c>
      <c r="H765" s="79" t="str">
        <f>IFERROR(_xlfn.XLOOKUP(Table6[[#This Row],[Affected Feeder ]],'Basic Data'!$A:$A,'Basic Data'!$B:$B),"")</f>
        <v>PWEPL</v>
      </c>
      <c r="I765" s="79" t="str">
        <f>IFERROR(_xlfn.XLOOKUP(Table6[[#This Row],[Affected Feeder ]],'Basic Data'!$A:$A,'Basic Data'!$C:$C),"")</f>
        <v>MSEDCL</v>
      </c>
      <c r="J765" s="295">
        <f>IFERROR(_xlfn.XLOOKUP(Table6[[#This Row],[Affected Feeder ]],'Basic Data'!$A:$A,'Basic Data'!$E:$E),"")</f>
        <v>2.2727272727272728E-2</v>
      </c>
      <c r="K765" s="296" t="s">
        <v>171</v>
      </c>
      <c r="L765" s="297">
        <v>0.90277777777777779</v>
      </c>
      <c r="M765" s="297">
        <v>0.90277777777777779</v>
      </c>
      <c r="N765" s="297">
        <v>0.91666666666666663</v>
      </c>
      <c r="O765" s="19">
        <f>(Table6[[#This Row],[Work Start TimeStamp]]-Table6[[#This Row],[Fault Start TimeStamp]])*24</f>
        <v>0</v>
      </c>
      <c r="P765" s="19">
        <f>(Table6[[#This Row],[Fault Clearance time]]-Table6[[#This Row],[Fault Start TimeStamp]])*24</f>
        <v>0.33333333333333215</v>
      </c>
      <c r="Q765" s="19">
        <f>(Table6[[#This Row],[Fault Clearance time]]-Table6[[#This Row],[Fault Start TimeStamp]])*24</f>
        <v>0.33333333333333215</v>
      </c>
      <c r="R765" s="79" t="s">
        <v>353</v>
      </c>
      <c r="S765" s="79" t="s">
        <v>339</v>
      </c>
      <c r="T765" s="298">
        <f>IFERROR(Table6[[#This Row],[Breakdown Time]]*Table6[[#This Row],[Plant Equivalent Weightage]],"")</f>
        <v>7.5757575757575491E-3</v>
      </c>
      <c r="U765" s="79" t="s">
        <v>421</v>
      </c>
      <c r="W765" s="79">
        <v>156</v>
      </c>
    </row>
    <row r="766" spans="1:23">
      <c r="A766" s="79">
        <f t="shared" si="11"/>
        <v>765</v>
      </c>
      <c r="B766" s="79">
        <f>YEAR(Table6[[#This Row],[Date]])+IF(MONTH(Table6[[#This Row],[Date]])&gt;=4,1,0)</f>
        <v>2026</v>
      </c>
      <c r="C766" s="79">
        <f>YEAR(Table6[[#This Row],[Date]])</f>
        <v>2025</v>
      </c>
      <c r="D766" s="79" t="s">
        <v>344</v>
      </c>
      <c r="E766" s="284">
        <f>Table6[[#This Row],[Date]]-DAY(Table6[[#This Row],[Date]])+1</f>
        <v>45778</v>
      </c>
      <c r="F766" s="285">
        <v>45805</v>
      </c>
      <c r="G766" s="79" t="s">
        <v>108</v>
      </c>
      <c r="H766" s="79" t="str">
        <f>IFERROR(_xlfn.XLOOKUP(Table6[[#This Row],[Affected Feeder ]],'Basic Data'!$A:$A,'Basic Data'!$B:$B),"")</f>
        <v>PWEPL</v>
      </c>
      <c r="I766" s="79" t="str">
        <f>IFERROR(_xlfn.XLOOKUP(Table6[[#This Row],[Affected Feeder ]],'Basic Data'!$A:$A,'Basic Data'!$C:$C),"")</f>
        <v>MSEDCL</v>
      </c>
      <c r="J766" s="295">
        <f>IFERROR(_xlfn.XLOOKUP(Table6[[#This Row],[Affected Feeder ]],'Basic Data'!$A:$A,'Basic Data'!$E:$E),"")</f>
        <v>2.2727272727272728E-2</v>
      </c>
      <c r="K766" s="296" t="s">
        <v>171</v>
      </c>
      <c r="L766" s="297">
        <v>0.90277777777777779</v>
      </c>
      <c r="M766" s="297">
        <v>0.90277777777777779</v>
      </c>
      <c r="N766" s="297">
        <v>0.91666666666666663</v>
      </c>
      <c r="O766" s="19">
        <f>(Table6[[#This Row],[Work Start TimeStamp]]-Table6[[#This Row],[Fault Start TimeStamp]])*24</f>
        <v>0</v>
      </c>
      <c r="P766" s="19">
        <f>(Table6[[#This Row],[Fault Clearance time]]-Table6[[#This Row],[Fault Start TimeStamp]])*24</f>
        <v>0.33333333333333215</v>
      </c>
      <c r="Q766" s="19">
        <f>(Table6[[#This Row],[Fault Clearance time]]-Table6[[#This Row],[Fault Start TimeStamp]])*24</f>
        <v>0.33333333333333215</v>
      </c>
      <c r="R766" s="79" t="s">
        <v>353</v>
      </c>
      <c r="S766" s="79" t="s">
        <v>339</v>
      </c>
      <c r="T766" s="298">
        <f>IFERROR(Table6[[#This Row],[Breakdown Time]]*Table6[[#This Row],[Plant Equivalent Weightage]],"")</f>
        <v>7.5757575757575491E-3</v>
      </c>
      <c r="U766" s="79" t="s">
        <v>421</v>
      </c>
      <c r="W766" s="79">
        <v>156</v>
      </c>
    </row>
    <row r="767" spans="1:23">
      <c r="A767" s="79">
        <f t="shared" si="11"/>
        <v>766</v>
      </c>
      <c r="B767" s="79">
        <f>YEAR(Table6[[#This Row],[Date]])+IF(MONTH(Table6[[#This Row],[Date]])&gt;=4,1,0)</f>
        <v>2026</v>
      </c>
      <c r="C767" s="79">
        <f>YEAR(Table6[[#This Row],[Date]])</f>
        <v>2025</v>
      </c>
      <c r="D767" s="79" t="s">
        <v>344</v>
      </c>
      <c r="E767" s="284">
        <f>Table6[[#This Row],[Date]]-DAY(Table6[[#This Row],[Date]])+1</f>
        <v>45778</v>
      </c>
      <c r="F767" s="285">
        <v>45807</v>
      </c>
      <c r="G767" s="79" t="s">
        <v>112</v>
      </c>
      <c r="H767" s="79" t="str">
        <f>IFERROR(_xlfn.XLOOKUP(Table6[[#This Row],[Affected Feeder ]],'Basic Data'!$A:$A,'Basic Data'!$B:$B),"")</f>
        <v>PWEPL</v>
      </c>
      <c r="I767" s="79" t="str">
        <f>IFERROR(_xlfn.XLOOKUP(Table6[[#This Row],[Affected Feeder ]],'Basic Data'!$A:$A,'Basic Data'!$C:$C),"")</f>
        <v>MSEDCL</v>
      </c>
      <c r="J767" s="295">
        <f>IFERROR(_xlfn.XLOOKUP(Table6[[#This Row],[Affected Feeder ]],'Basic Data'!$A:$A,'Basic Data'!$E:$E),"")</f>
        <v>2.2727272727272728E-2</v>
      </c>
      <c r="K767" s="296" t="s">
        <v>796</v>
      </c>
      <c r="L767" s="297">
        <v>0.73888888888888893</v>
      </c>
      <c r="M767" s="297">
        <v>0.73888888888888893</v>
      </c>
      <c r="N767" s="297">
        <v>0.76736111111111116</v>
      </c>
      <c r="O767" s="19">
        <f>(Table6[[#This Row],[Work Start TimeStamp]]-Table6[[#This Row],[Fault Start TimeStamp]])*24</f>
        <v>0</v>
      </c>
      <c r="P767" s="19">
        <f>(Table6[[#This Row],[Fault Clearance time]]-Table6[[#This Row],[Fault Start TimeStamp]])*24</f>
        <v>0.68333333333333357</v>
      </c>
      <c r="Q767" s="19">
        <f>(Table6[[#This Row],[Fault Clearance time]]-Table6[[#This Row],[Fault Start TimeStamp]])*24</f>
        <v>0.68333333333333357</v>
      </c>
      <c r="R767" s="79" t="s">
        <v>424</v>
      </c>
      <c r="S767" s="79" t="s">
        <v>339</v>
      </c>
      <c r="T767" s="298">
        <f>IFERROR(Table6[[#This Row],[Breakdown Time]]*Table6[[#This Row],[Plant Equivalent Weightage]],"")</f>
        <v>1.5530303030303037E-2</v>
      </c>
      <c r="U767" s="79" t="s">
        <v>421</v>
      </c>
      <c r="W767" s="79">
        <v>741</v>
      </c>
    </row>
    <row r="768" spans="1:23">
      <c r="A768" s="79">
        <f t="shared" si="11"/>
        <v>767</v>
      </c>
      <c r="B768" s="79">
        <f>YEAR(Table6[[#This Row],[Date]])+IF(MONTH(Table6[[#This Row],[Date]])&gt;=4,1,0)</f>
        <v>2026</v>
      </c>
      <c r="C768" s="79">
        <f>YEAR(Table6[[#This Row],[Date]])</f>
        <v>2025</v>
      </c>
      <c r="D768" s="79" t="s">
        <v>344</v>
      </c>
      <c r="E768" s="284">
        <f>Table6[[#This Row],[Date]]-DAY(Table6[[#This Row],[Date]])+1</f>
        <v>45778</v>
      </c>
      <c r="F768" s="285">
        <v>45807</v>
      </c>
      <c r="G768" s="79" t="s">
        <v>112</v>
      </c>
      <c r="H768" s="79" t="str">
        <f>IFERROR(_xlfn.XLOOKUP(Table6[[#This Row],[Affected Feeder ]],'Basic Data'!$A:$A,'Basic Data'!$B:$B),"")</f>
        <v>PWEPL</v>
      </c>
      <c r="I768" s="79" t="str">
        <f>IFERROR(_xlfn.XLOOKUP(Table6[[#This Row],[Affected Feeder ]],'Basic Data'!$A:$A,'Basic Data'!$C:$C),"")</f>
        <v>MSEDCL</v>
      </c>
      <c r="J768" s="295">
        <f>IFERROR(_xlfn.XLOOKUP(Table6[[#This Row],[Affected Feeder ]],'Basic Data'!$A:$A,'Basic Data'!$E:$E),"")</f>
        <v>2.2727272727272728E-2</v>
      </c>
      <c r="K768" s="296" t="s">
        <v>171</v>
      </c>
      <c r="L768" s="297">
        <v>0.76736111111111116</v>
      </c>
      <c r="M768" s="297">
        <v>0.76736111111111116</v>
      </c>
      <c r="N768" s="297">
        <v>0.78125</v>
      </c>
      <c r="O768" s="19">
        <f>(Table6[[#This Row],[Work Start TimeStamp]]-Table6[[#This Row],[Fault Start TimeStamp]])*24</f>
        <v>0</v>
      </c>
      <c r="P768" s="19">
        <f>(Table6[[#This Row],[Fault Clearance time]]-Table6[[#This Row],[Fault Start TimeStamp]])*24</f>
        <v>0.33333333333333215</v>
      </c>
      <c r="Q768" s="19">
        <f>(Table6[[#This Row],[Fault Clearance time]]-Table6[[#This Row],[Fault Start TimeStamp]])*24</f>
        <v>0.33333333333333215</v>
      </c>
      <c r="R768" s="79" t="s">
        <v>353</v>
      </c>
      <c r="S768" s="79" t="s">
        <v>339</v>
      </c>
      <c r="T768" s="298">
        <f>IFERROR(Table6[[#This Row],[Breakdown Time]]*Table6[[#This Row],[Plant Equivalent Weightage]],"")</f>
        <v>7.5757575757575491E-3</v>
      </c>
      <c r="U768" s="79" t="s">
        <v>421</v>
      </c>
      <c r="W768" s="79">
        <v>740</v>
      </c>
    </row>
    <row r="769" spans="1:23">
      <c r="A769" s="79">
        <f t="shared" si="11"/>
        <v>768</v>
      </c>
      <c r="B769" s="79">
        <f>YEAR(Table6[[#This Row],[Date]])+IF(MONTH(Table6[[#This Row],[Date]])&gt;=4,1,0)</f>
        <v>2026</v>
      </c>
      <c r="C769" s="79">
        <f>YEAR(Table6[[#This Row],[Date]])</f>
        <v>2025</v>
      </c>
      <c r="D769" s="79" t="s">
        <v>344</v>
      </c>
      <c r="E769" s="284">
        <f>Table6[[#This Row],[Date]]-DAY(Table6[[#This Row],[Date]])+1</f>
        <v>45778</v>
      </c>
      <c r="F769" s="285">
        <v>45808</v>
      </c>
      <c r="G769" s="79" t="s">
        <v>112</v>
      </c>
      <c r="H769" s="79" t="str">
        <f>IFERROR(_xlfn.XLOOKUP(Table6[[#This Row],[Affected Feeder ]],'Basic Data'!$A:$A,'Basic Data'!$B:$B),"")</f>
        <v>PWEPL</v>
      </c>
      <c r="I769" s="79" t="str">
        <f>IFERROR(_xlfn.XLOOKUP(Table6[[#This Row],[Affected Feeder ]],'Basic Data'!$A:$A,'Basic Data'!$C:$C),"")</f>
        <v>MSEDCL</v>
      </c>
      <c r="J769" s="295">
        <f>IFERROR(_xlfn.XLOOKUP(Table6[[#This Row],[Affected Feeder ]],'Basic Data'!$A:$A,'Basic Data'!$E:$E),"")</f>
        <v>2.2727272727272728E-2</v>
      </c>
      <c r="K769" s="296" t="s">
        <v>796</v>
      </c>
      <c r="L769" s="297">
        <v>0.37013888888888885</v>
      </c>
      <c r="M769" s="297">
        <v>0.37013888888888885</v>
      </c>
      <c r="N769" s="297">
        <v>0.3923611111111111</v>
      </c>
      <c r="O769" s="19">
        <f>(Table6[[#This Row],[Work Start TimeStamp]]-Table6[[#This Row],[Fault Start TimeStamp]])*24</f>
        <v>0</v>
      </c>
      <c r="P769" s="19">
        <f>(Table6[[#This Row],[Fault Clearance time]]-Table6[[#This Row],[Fault Start TimeStamp]])*24</f>
        <v>0.5333333333333341</v>
      </c>
      <c r="Q769" s="19">
        <f>(Table6[[#This Row],[Fault Clearance time]]-Table6[[#This Row],[Fault Start TimeStamp]])*24</f>
        <v>0.5333333333333341</v>
      </c>
      <c r="R769" s="79" t="s">
        <v>424</v>
      </c>
      <c r="S769" s="79" t="s">
        <v>339</v>
      </c>
      <c r="T769" s="298">
        <f>IFERROR(Table6[[#This Row],[Breakdown Time]]*Table6[[#This Row],[Plant Equivalent Weightage]],"")</f>
        <v>1.2121212121212139E-2</v>
      </c>
      <c r="U769" s="79" t="s">
        <v>421</v>
      </c>
      <c r="W769" s="79">
        <v>805</v>
      </c>
    </row>
    <row r="770" spans="1:23">
      <c r="A770" s="79">
        <f t="shared" si="11"/>
        <v>769</v>
      </c>
      <c r="B770" s="79">
        <f>YEAR(Table6[[#This Row],[Date]])+IF(MONTH(Table6[[#This Row],[Date]])&gt;=4,1,0)</f>
        <v>2026</v>
      </c>
      <c r="C770" s="79">
        <f>YEAR(Table6[[#This Row],[Date]])</f>
        <v>2025</v>
      </c>
      <c r="D770" s="79" t="s">
        <v>344</v>
      </c>
      <c r="E770" s="284">
        <f>Table6[[#This Row],[Date]]-DAY(Table6[[#This Row],[Date]])+1</f>
        <v>45778</v>
      </c>
      <c r="F770" s="285">
        <v>45808</v>
      </c>
      <c r="G770" s="79" t="s">
        <v>112</v>
      </c>
      <c r="H770" s="79" t="str">
        <f>IFERROR(_xlfn.XLOOKUP(Table6[[#This Row],[Affected Feeder ]],'Basic Data'!$A:$A,'Basic Data'!$B:$B),"")</f>
        <v>PWEPL</v>
      </c>
      <c r="I770" s="79" t="str">
        <f>IFERROR(_xlfn.XLOOKUP(Table6[[#This Row],[Affected Feeder ]],'Basic Data'!$A:$A,'Basic Data'!$C:$C),"")</f>
        <v>MSEDCL</v>
      </c>
      <c r="J770" s="295">
        <f>IFERROR(_xlfn.XLOOKUP(Table6[[#This Row],[Affected Feeder ]],'Basic Data'!$A:$A,'Basic Data'!$E:$E),"")</f>
        <v>2.2727272727272728E-2</v>
      </c>
      <c r="K770" s="296" t="s">
        <v>171</v>
      </c>
      <c r="L770" s="297">
        <v>0.3923611111111111</v>
      </c>
      <c r="M770" s="297">
        <v>0.3923611111111111</v>
      </c>
      <c r="N770" s="297">
        <v>0.40138888888888885</v>
      </c>
      <c r="O770" s="19">
        <f>(Table6[[#This Row],[Work Start TimeStamp]]-Table6[[#This Row],[Fault Start TimeStamp]])*24</f>
        <v>0</v>
      </c>
      <c r="P770" s="19">
        <f>(Table6[[#This Row],[Fault Clearance time]]-Table6[[#This Row],[Fault Start TimeStamp]])*24</f>
        <v>0.2166666666666659</v>
      </c>
      <c r="Q770" s="19">
        <f>(Table6[[#This Row],[Fault Clearance time]]-Table6[[#This Row],[Fault Start TimeStamp]])*24</f>
        <v>0.2166666666666659</v>
      </c>
      <c r="R770" s="79" t="s">
        <v>353</v>
      </c>
      <c r="S770" s="79" t="s">
        <v>339</v>
      </c>
      <c r="T770" s="298">
        <f>IFERROR(Table6[[#This Row],[Breakdown Time]]*Table6[[#This Row],[Plant Equivalent Weightage]],"")</f>
        <v>4.9242424242424065E-3</v>
      </c>
      <c r="U770" s="79" t="s">
        <v>421</v>
      </c>
      <c r="W770" s="79">
        <v>550</v>
      </c>
    </row>
    <row r="771" spans="1:23">
      <c r="A771" s="79">
        <f t="shared" si="11"/>
        <v>770</v>
      </c>
      <c r="B771" s="79">
        <f>YEAR(Table6[[#This Row],[Date]])+IF(MONTH(Table6[[#This Row],[Date]])&gt;=4,1,0)</f>
        <v>2026</v>
      </c>
      <c r="C771" s="79">
        <f>YEAR(Table6[[#This Row],[Date]])</f>
        <v>2025</v>
      </c>
      <c r="D771" s="79" t="s">
        <v>344</v>
      </c>
      <c r="E771" s="284">
        <f>Table6[[#This Row],[Date]]-DAY(Table6[[#This Row],[Date]])+1</f>
        <v>45809</v>
      </c>
      <c r="F771" s="285">
        <v>45810</v>
      </c>
      <c r="G771" s="79" t="s">
        <v>399</v>
      </c>
      <c r="H771" s="79" t="str">
        <f>IFERROR(_xlfn.XLOOKUP(Table6[[#This Row],[Affected Feeder ]],'Basic Data'!$A:$A,'Basic Data'!$B:$B),"")</f>
        <v>PWEPL</v>
      </c>
      <c r="I771" s="79" t="str">
        <f>IFERROR(_xlfn.XLOOKUP(Table6[[#This Row],[Affected Feeder ]],'Basic Data'!$A:$A,'Basic Data'!$C:$C),"")</f>
        <v>MSEDCL</v>
      </c>
      <c r="J771" s="295">
        <f>IFERROR(_xlfn.XLOOKUP(Table6[[#This Row],[Affected Feeder ]],'Basic Data'!$A:$A,'Basic Data'!$E:$E),"")</f>
        <v>0.22727272727272727</v>
      </c>
      <c r="K771" s="296" t="s">
        <v>447</v>
      </c>
      <c r="L771" s="297">
        <v>0.96805555555555556</v>
      </c>
      <c r="M771" s="297">
        <v>0.96805555555555556</v>
      </c>
      <c r="N771" s="297">
        <v>0.97499999999999998</v>
      </c>
      <c r="O771" s="19">
        <f>(Table6[[#This Row],[Work Start TimeStamp]]-Table6[[#This Row],[Fault Start TimeStamp]])*24</f>
        <v>0</v>
      </c>
      <c r="P771" s="19">
        <f>(Table6[[#This Row],[Fault Clearance time]]-Table6[[#This Row],[Fault Start TimeStamp]])*24</f>
        <v>0.16666666666666607</v>
      </c>
      <c r="Q771" s="19">
        <f>(Table6[[#This Row],[Fault Clearance time]]-Table6[[#This Row],[Fault Start TimeStamp]])*24</f>
        <v>0.16666666666666607</v>
      </c>
      <c r="R771" s="79" t="s">
        <v>420</v>
      </c>
      <c r="S771" s="79" t="s">
        <v>339</v>
      </c>
      <c r="T771" s="298">
        <f>IFERROR(Table6[[#This Row],[Breakdown Time]]*Table6[[#This Row],[Plant Equivalent Weightage]],"")</f>
        <v>3.7878787878787741E-2</v>
      </c>
      <c r="U771" s="79" t="s">
        <v>421</v>
      </c>
      <c r="W771" s="79">
        <v>1200</v>
      </c>
    </row>
    <row r="772" spans="1:23">
      <c r="A772" s="79">
        <f t="shared" ref="A772:A835" si="12">A771+1</f>
        <v>771</v>
      </c>
      <c r="B772" s="79">
        <f>YEAR(Table6[[#This Row],[Date]])+IF(MONTH(Table6[[#This Row],[Date]])&gt;=4,1,0)</f>
        <v>2026</v>
      </c>
      <c r="C772" s="79">
        <f>YEAR(Table6[[#This Row],[Date]])</f>
        <v>2025</v>
      </c>
      <c r="D772" s="79" t="s">
        <v>344</v>
      </c>
      <c r="E772" s="284">
        <f>Table6[[#This Row],[Date]]-DAY(Table6[[#This Row],[Date]])+1</f>
        <v>45809</v>
      </c>
      <c r="F772" s="285">
        <v>45810</v>
      </c>
      <c r="G772" s="79" t="s">
        <v>84</v>
      </c>
      <c r="H772" s="79" t="str">
        <f>IFERROR(_xlfn.XLOOKUP(Table6[[#This Row],[Affected Feeder ]],'Basic Data'!$A:$A,'Basic Data'!$B:$B),"")</f>
        <v>PWEPL</v>
      </c>
      <c r="I772" s="79" t="str">
        <f>IFERROR(_xlfn.XLOOKUP(Table6[[#This Row],[Affected Feeder ]],'Basic Data'!$A:$A,'Basic Data'!$C:$C),"")</f>
        <v>MSEDCL</v>
      </c>
      <c r="J772" s="295">
        <f>IFERROR(_xlfn.XLOOKUP(Table6[[#This Row],[Affected Feeder ]],'Basic Data'!$A:$A,'Basic Data'!$E:$E),"")</f>
        <v>2.2727272727272728E-2</v>
      </c>
      <c r="K772" s="296" t="s">
        <v>171</v>
      </c>
      <c r="L772" s="297">
        <v>0.97499999999999998</v>
      </c>
      <c r="M772" s="297">
        <v>0.97499999999999998</v>
      </c>
      <c r="N772" s="297">
        <v>0.97777777777777775</v>
      </c>
      <c r="O772" s="19">
        <f>(Table6[[#This Row],[Work Start TimeStamp]]-Table6[[#This Row],[Fault Start TimeStamp]])*24</f>
        <v>0</v>
      </c>
      <c r="P772" s="19">
        <f>(Table6[[#This Row],[Fault Clearance time]]-Table6[[#This Row],[Fault Start TimeStamp]])*24</f>
        <v>6.666666666666643E-2</v>
      </c>
      <c r="Q772" s="19">
        <f>(Table6[[#This Row],[Fault Clearance time]]-Table6[[#This Row],[Fault Start TimeStamp]])*24</f>
        <v>6.666666666666643E-2</v>
      </c>
      <c r="R772" s="79" t="s">
        <v>353</v>
      </c>
      <c r="S772" s="79" t="s">
        <v>339</v>
      </c>
      <c r="T772" s="298">
        <f>IFERROR(Table6[[#This Row],[Breakdown Time]]*Table6[[#This Row],[Plant Equivalent Weightage]],"")</f>
        <v>1.5151515151515097E-3</v>
      </c>
      <c r="U772" s="79" t="s">
        <v>421</v>
      </c>
      <c r="W772" s="79">
        <v>48</v>
      </c>
    </row>
    <row r="773" spans="1:23">
      <c r="A773" s="79">
        <f t="shared" si="12"/>
        <v>772</v>
      </c>
      <c r="B773" s="79">
        <f>YEAR(Table6[[#This Row],[Date]])+IF(MONTH(Table6[[#This Row],[Date]])&gt;=4,1,0)</f>
        <v>2026</v>
      </c>
      <c r="C773" s="79">
        <f>YEAR(Table6[[#This Row],[Date]])</f>
        <v>2025</v>
      </c>
      <c r="D773" s="79" t="s">
        <v>344</v>
      </c>
      <c r="E773" s="284">
        <f>Table6[[#This Row],[Date]]-DAY(Table6[[#This Row],[Date]])+1</f>
        <v>45809</v>
      </c>
      <c r="F773" s="285">
        <v>45810</v>
      </c>
      <c r="G773" s="79" t="s">
        <v>85</v>
      </c>
      <c r="H773" s="79" t="str">
        <f>IFERROR(_xlfn.XLOOKUP(Table6[[#This Row],[Affected Feeder ]],'Basic Data'!$A:$A,'Basic Data'!$B:$B),"")</f>
        <v>PWEPL</v>
      </c>
      <c r="I773" s="79" t="str">
        <f>IFERROR(_xlfn.XLOOKUP(Table6[[#This Row],[Affected Feeder ]],'Basic Data'!$A:$A,'Basic Data'!$C:$C),"")</f>
        <v>MSEDCL</v>
      </c>
      <c r="J773" s="295">
        <f>IFERROR(_xlfn.XLOOKUP(Table6[[#This Row],[Affected Feeder ]],'Basic Data'!$A:$A,'Basic Data'!$E:$E),"")</f>
        <v>2.2727272727272728E-2</v>
      </c>
      <c r="K773" s="296" t="s">
        <v>171</v>
      </c>
      <c r="L773" s="297">
        <v>0.97499999999999998</v>
      </c>
      <c r="M773" s="297">
        <v>0.97499999999999998</v>
      </c>
      <c r="N773" s="297">
        <v>0.98333333333333339</v>
      </c>
      <c r="O773" s="19">
        <f>(Table6[[#This Row],[Work Start TimeStamp]]-Table6[[#This Row],[Fault Start TimeStamp]])*24</f>
        <v>0</v>
      </c>
      <c r="P773" s="19">
        <f>(Table6[[#This Row],[Fault Clearance time]]-Table6[[#This Row],[Fault Start TimeStamp]])*24</f>
        <v>0.20000000000000195</v>
      </c>
      <c r="Q773" s="19">
        <f>(Table6[[#This Row],[Fault Clearance time]]-Table6[[#This Row],[Fault Start TimeStamp]])*24</f>
        <v>0.20000000000000195</v>
      </c>
      <c r="R773" s="79" t="s">
        <v>353</v>
      </c>
      <c r="S773" s="79" t="s">
        <v>339</v>
      </c>
      <c r="T773" s="298">
        <f>IFERROR(Table6[[#This Row],[Breakdown Time]]*Table6[[#This Row],[Plant Equivalent Weightage]],"")</f>
        <v>4.5454545454545903E-3</v>
      </c>
      <c r="U773" s="79" t="s">
        <v>421</v>
      </c>
      <c r="W773" s="79">
        <v>144</v>
      </c>
    </row>
    <row r="774" spans="1:23">
      <c r="A774" s="79">
        <f t="shared" si="12"/>
        <v>773</v>
      </c>
      <c r="B774" s="79">
        <f>YEAR(Table6[[#This Row],[Date]])+IF(MONTH(Table6[[#This Row],[Date]])&gt;=4,1,0)</f>
        <v>2026</v>
      </c>
      <c r="C774" s="79">
        <f>YEAR(Table6[[#This Row],[Date]])</f>
        <v>2025</v>
      </c>
      <c r="D774" s="79" t="s">
        <v>344</v>
      </c>
      <c r="E774" s="284">
        <f>Table6[[#This Row],[Date]]-DAY(Table6[[#This Row],[Date]])+1</f>
        <v>45809</v>
      </c>
      <c r="F774" s="285">
        <v>45810</v>
      </c>
      <c r="G774" s="79" t="s">
        <v>86</v>
      </c>
      <c r="H774" s="79" t="str">
        <f>IFERROR(_xlfn.XLOOKUP(Table6[[#This Row],[Affected Feeder ]],'Basic Data'!$A:$A,'Basic Data'!$B:$B),"")</f>
        <v>PWEPL</v>
      </c>
      <c r="I774" s="79" t="str">
        <f>IFERROR(_xlfn.XLOOKUP(Table6[[#This Row],[Affected Feeder ]],'Basic Data'!$A:$A,'Basic Data'!$C:$C),"")</f>
        <v>MSEDCL</v>
      </c>
      <c r="J774" s="295">
        <f>IFERROR(_xlfn.XLOOKUP(Table6[[#This Row],[Affected Feeder ]],'Basic Data'!$A:$A,'Basic Data'!$E:$E),"")</f>
        <v>2.2727272727272728E-2</v>
      </c>
      <c r="K774" s="296" t="s">
        <v>171</v>
      </c>
      <c r="L774" s="297">
        <v>0.97499999999999998</v>
      </c>
      <c r="M774" s="297">
        <v>0.97499999999999998</v>
      </c>
      <c r="N774" s="297">
        <v>0.98263888888888884</v>
      </c>
      <c r="O774" s="19">
        <f>(Table6[[#This Row],[Work Start TimeStamp]]-Table6[[#This Row],[Fault Start TimeStamp]])*24</f>
        <v>0</v>
      </c>
      <c r="P774" s="19">
        <f>(Table6[[#This Row],[Fault Clearance time]]-Table6[[#This Row],[Fault Start TimeStamp]])*24</f>
        <v>0.18333333333333268</v>
      </c>
      <c r="Q774" s="19">
        <f>(Table6[[#This Row],[Fault Clearance time]]-Table6[[#This Row],[Fault Start TimeStamp]])*24</f>
        <v>0.18333333333333268</v>
      </c>
      <c r="R774" s="79" t="s">
        <v>353</v>
      </c>
      <c r="S774" s="79" t="s">
        <v>339</v>
      </c>
      <c r="T774" s="298">
        <f>IFERROR(Table6[[#This Row],[Breakdown Time]]*Table6[[#This Row],[Plant Equivalent Weightage]],"")</f>
        <v>4.1666666666666519E-3</v>
      </c>
      <c r="U774" s="79" t="s">
        <v>421</v>
      </c>
      <c r="W774" s="79">
        <v>132</v>
      </c>
    </row>
    <row r="775" spans="1:23">
      <c r="A775" s="79">
        <f t="shared" si="12"/>
        <v>774</v>
      </c>
      <c r="B775" s="79">
        <f>YEAR(Table6[[#This Row],[Date]])+IF(MONTH(Table6[[#This Row],[Date]])&gt;=4,1,0)</f>
        <v>2026</v>
      </c>
      <c r="C775" s="79">
        <f>YEAR(Table6[[#This Row],[Date]])</f>
        <v>2025</v>
      </c>
      <c r="D775" s="79" t="s">
        <v>344</v>
      </c>
      <c r="E775" s="284">
        <f>Table6[[#This Row],[Date]]-DAY(Table6[[#This Row],[Date]])+1</f>
        <v>45809</v>
      </c>
      <c r="F775" s="285">
        <v>45810</v>
      </c>
      <c r="G775" s="79" t="s">
        <v>87</v>
      </c>
      <c r="H775" s="79" t="str">
        <f>IFERROR(_xlfn.XLOOKUP(Table6[[#This Row],[Affected Feeder ]],'Basic Data'!$A:$A,'Basic Data'!$B:$B),"")</f>
        <v>PWEPL</v>
      </c>
      <c r="I775" s="79" t="str">
        <f>IFERROR(_xlfn.XLOOKUP(Table6[[#This Row],[Affected Feeder ]],'Basic Data'!$A:$A,'Basic Data'!$C:$C),"")</f>
        <v>MSEDCL</v>
      </c>
      <c r="J775" s="295">
        <f>IFERROR(_xlfn.XLOOKUP(Table6[[#This Row],[Affected Feeder ]],'Basic Data'!$A:$A,'Basic Data'!$E:$E),"")</f>
        <v>2.2727272727272728E-2</v>
      </c>
      <c r="K775" s="296" t="s">
        <v>171</v>
      </c>
      <c r="L775" s="297">
        <v>0.97499999999999998</v>
      </c>
      <c r="M775" s="297">
        <v>0.97499999999999998</v>
      </c>
      <c r="N775" s="297">
        <v>0.98541666666666661</v>
      </c>
      <c r="O775" s="19">
        <f>(Table6[[#This Row],[Work Start TimeStamp]]-Table6[[#This Row],[Fault Start TimeStamp]])*24</f>
        <v>0</v>
      </c>
      <c r="P775" s="19">
        <f>(Table6[[#This Row],[Fault Clearance time]]-Table6[[#This Row],[Fault Start TimeStamp]])*24</f>
        <v>0.24999999999999911</v>
      </c>
      <c r="Q775" s="19">
        <f>(Table6[[#This Row],[Fault Clearance time]]-Table6[[#This Row],[Fault Start TimeStamp]])*24</f>
        <v>0.24999999999999911</v>
      </c>
      <c r="R775" s="79" t="s">
        <v>353</v>
      </c>
      <c r="S775" s="79" t="s">
        <v>339</v>
      </c>
      <c r="T775" s="298">
        <f>IFERROR(Table6[[#This Row],[Breakdown Time]]*Table6[[#This Row],[Plant Equivalent Weightage]],"")</f>
        <v>5.681818181818162E-3</v>
      </c>
      <c r="U775" s="79" t="s">
        <v>421</v>
      </c>
      <c r="W775" s="79">
        <v>180</v>
      </c>
    </row>
    <row r="776" spans="1:23">
      <c r="A776" s="79">
        <f t="shared" si="12"/>
        <v>775</v>
      </c>
      <c r="B776" s="79">
        <f>YEAR(Table6[[#This Row],[Date]])+IF(MONTH(Table6[[#This Row],[Date]])&gt;=4,1,0)</f>
        <v>2026</v>
      </c>
      <c r="C776" s="79">
        <f>YEAR(Table6[[#This Row],[Date]])</f>
        <v>2025</v>
      </c>
      <c r="D776" s="79" t="s">
        <v>344</v>
      </c>
      <c r="E776" s="284">
        <f>Table6[[#This Row],[Date]]-DAY(Table6[[#This Row],[Date]])+1</f>
        <v>45809</v>
      </c>
      <c r="F776" s="285">
        <v>45810</v>
      </c>
      <c r="G776" s="79" t="s">
        <v>88</v>
      </c>
      <c r="H776" s="79" t="str">
        <f>IFERROR(_xlfn.XLOOKUP(Table6[[#This Row],[Affected Feeder ]],'Basic Data'!$A:$A,'Basic Data'!$B:$B),"")</f>
        <v>PWEPL</v>
      </c>
      <c r="I776" s="79" t="str">
        <f>IFERROR(_xlfn.XLOOKUP(Table6[[#This Row],[Affected Feeder ]],'Basic Data'!$A:$A,'Basic Data'!$C:$C),"")</f>
        <v>MSEDCL</v>
      </c>
      <c r="J776" s="295">
        <f>IFERROR(_xlfn.XLOOKUP(Table6[[#This Row],[Affected Feeder ]],'Basic Data'!$A:$A,'Basic Data'!$E:$E),"")</f>
        <v>2.2727272727272728E-2</v>
      </c>
      <c r="K776" s="296" t="s">
        <v>171</v>
      </c>
      <c r="L776" s="297">
        <v>0.97499999999999998</v>
      </c>
      <c r="M776" s="297">
        <v>0.97499999999999998</v>
      </c>
      <c r="N776" s="297">
        <v>0.98263888888888884</v>
      </c>
      <c r="O776" s="19">
        <f>(Table6[[#This Row],[Work Start TimeStamp]]-Table6[[#This Row],[Fault Start TimeStamp]])*24</f>
        <v>0</v>
      </c>
      <c r="P776" s="19">
        <f>(Table6[[#This Row],[Fault Clearance time]]-Table6[[#This Row],[Fault Start TimeStamp]])*24</f>
        <v>0.18333333333333268</v>
      </c>
      <c r="Q776" s="19">
        <f>(Table6[[#This Row],[Fault Clearance time]]-Table6[[#This Row],[Fault Start TimeStamp]])*24</f>
        <v>0.18333333333333268</v>
      </c>
      <c r="R776" s="79" t="s">
        <v>353</v>
      </c>
      <c r="S776" s="79" t="s">
        <v>339</v>
      </c>
      <c r="T776" s="298">
        <f>IFERROR(Table6[[#This Row],[Breakdown Time]]*Table6[[#This Row],[Plant Equivalent Weightage]],"")</f>
        <v>4.1666666666666519E-3</v>
      </c>
      <c r="U776" s="79" t="s">
        <v>421</v>
      </c>
      <c r="W776" s="79">
        <v>132</v>
      </c>
    </row>
    <row r="777" spans="1:23">
      <c r="A777" s="79">
        <f t="shared" si="12"/>
        <v>776</v>
      </c>
      <c r="B777" s="79">
        <f>YEAR(Table6[[#This Row],[Date]])+IF(MONTH(Table6[[#This Row],[Date]])&gt;=4,1,0)</f>
        <v>2026</v>
      </c>
      <c r="C777" s="79">
        <f>YEAR(Table6[[#This Row],[Date]])</f>
        <v>2025</v>
      </c>
      <c r="D777" s="79" t="s">
        <v>344</v>
      </c>
      <c r="E777" s="284">
        <f>Table6[[#This Row],[Date]]-DAY(Table6[[#This Row],[Date]])+1</f>
        <v>45809</v>
      </c>
      <c r="F777" s="285">
        <v>45810</v>
      </c>
      <c r="G777" s="79" t="s">
        <v>83</v>
      </c>
      <c r="H777" s="79" t="str">
        <f>IFERROR(_xlfn.XLOOKUP(Table6[[#This Row],[Affected Feeder ]],'Basic Data'!$A:$A,'Basic Data'!$B:$B),"")</f>
        <v>PWEPL</v>
      </c>
      <c r="I777" s="79" t="str">
        <f>IFERROR(_xlfn.XLOOKUP(Table6[[#This Row],[Affected Feeder ]],'Basic Data'!$A:$A,'Basic Data'!$C:$C),"")</f>
        <v>MSEDCL</v>
      </c>
      <c r="J777" s="295">
        <f>IFERROR(_xlfn.XLOOKUP(Table6[[#This Row],[Affected Feeder ]],'Basic Data'!$A:$A,'Basic Data'!$E:$E),"")</f>
        <v>2.2727272727272728E-2</v>
      </c>
      <c r="K777" s="296" t="s">
        <v>171</v>
      </c>
      <c r="L777" s="297">
        <v>0.97499999999999998</v>
      </c>
      <c r="M777" s="297">
        <v>0.97499999999999998</v>
      </c>
      <c r="N777" s="297">
        <v>0.97916666666666663</v>
      </c>
      <c r="O777" s="19">
        <f>(Table6[[#This Row],[Work Start TimeStamp]]-Table6[[#This Row],[Fault Start TimeStamp]])*24</f>
        <v>0</v>
      </c>
      <c r="P777" s="19">
        <f>(Table6[[#This Row],[Fault Clearance time]]-Table6[[#This Row],[Fault Start TimeStamp]])*24</f>
        <v>9.9999999999999645E-2</v>
      </c>
      <c r="Q777" s="19">
        <f>(Table6[[#This Row],[Fault Clearance time]]-Table6[[#This Row],[Fault Start TimeStamp]])*24</f>
        <v>9.9999999999999645E-2</v>
      </c>
      <c r="R777" s="79" t="s">
        <v>353</v>
      </c>
      <c r="S777" s="79" t="s">
        <v>339</v>
      </c>
      <c r="T777" s="298">
        <f>IFERROR(Table6[[#This Row],[Breakdown Time]]*Table6[[#This Row],[Plant Equivalent Weightage]],"")</f>
        <v>2.2727272727272648E-3</v>
      </c>
      <c r="U777" s="79" t="s">
        <v>421</v>
      </c>
      <c r="W777" s="79">
        <v>72</v>
      </c>
    </row>
    <row r="778" spans="1:23">
      <c r="A778" s="79">
        <f t="shared" si="12"/>
        <v>777</v>
      </c>
      <c r="B778" s="79">
        <f>YEAR(Table6[[#This Row],[Date]])+IF(MONTH(Table6[[#This Row],[Date]])&gt;=4,1,0)</f>
        <v>2026</v>
      </c>
      <c r="C778" s="79">
        <f>YEAR(Table6[[#This Row],[Date]])</f>
        <v>2025</v>
      </c>
      <c r="D778" s="79" t="s">
        <v>344</v>
      </c>
      <c r="E778" s="284">
        <f>Table6[[#This Row],[Date]]-DAY(Table6[[#This Row],[Date]])+1</f>
        <v>45809</v>
      </c>
      <c r="F778" s="285">
        <v>45810</v>
      </c>
      <c r="G778" s="79" t="s">
        <v>98</v>
      </c>
      <c r="H778" s="79" t="str">
        <f>IFERROR(_xlfn.XLOOKUP(Table6[[#This Row],[Affected Feeder ]],'Basic Data'!$A:$A,'Basic Data'!$B:$B),"")</f>
        <v>PWEPL</v>
      </c>
      <c r="I778" s="79" t="str">
        <f>IFERROR(_xlfn.XLOOKUP(Table6[[#This Row],[Affected Feeder ]],'Basic Data'!$A:$A,'Basic Data'!$C:$C),"")</f>
        <v>MSEDCL</v>
      </c>
      <c r="J778" s="295">
        <f>IFERROR(_xlfn.XLOOKUP(Table6[[#This Row],[Affected Feeder ]],'Basic Data'!$A:$A,'Basic Data'!$E:$E),"")</f>
        <v>2.2727272727272728E-2</v>
      </c>
      <c r="K778" s="296" t="s">
        <v>171</v>
      </c>
      <c r="L778" s="297">
        <v>0.97499999999999998</v>
      </c>
      <c r="M778" s="297">
        <v>0.97499999999999998</v>
      </c>
      <c r="N778" s="297">
        <v>0.9784722222222223</v>
      </c>
      <c r="O778" s="19">
        <f>(Table6[[#This Row],[Work Start TimeStamp]]-Table6[[#This Row],[Fault Start TimeStamp]])*24</f>
        <v>0</v>
      </c>
      <c r="P778" s="19">
        <f>(Table6[[#This Row],[Fault Clearance time]]-Table6[[#This Row],[Fault Start TimeStamp]])*24</f>
        <v>8.3333333333335702E-2</v>
      </c>
      <c r="Q778" s="19">
        <f>(Table6[[#This Row],[Fault Clearance time]]-Table6[[#This Row],[Fault Start TimeStamp]])*24</f>
        <v>8.3333333333335702E-2</v>
      </c>
      <c r="R778" s="79" t="s">
        <v>353</v>
      </c>
      <c r="S778" s="79" t="s">
        <v>339</v>
      </c>
      <c r="T778" s="298">
        <f>IFERROR(Table6[[#This Row],[Breakdown Time]]*Table6[[#This Row],[Plant Equivalent Weightage]],"")</f>
        <v>1.8939393939394478E-3</v>
      </c>
      <c r="U778" s="79" t="s">
        <v>421</v>
      </c>
      <c r="W778" s="79">
        <v>60</v>
      </c>
    </row>
    <row r="779" spans="1:23">
      <c r="A779" s="79">
        <f t="shared" si="12"/>
        <v>778</v>
      </c>
      <c r="B779" s="79">
        <f>YEAR(Table6[[#This Row],[Date]])+IF(MONTH(Table6[[#This Row],[Date]])&gt;=4,1,0)</f>
        <v>2026</v>
      </c>
      <c r="C779" s="79">
        <f>YEAR(Table6[[#This Row],[Date]])</f>
        <v>2025</v>
      </c>
      <c r="D779" s="79" t="s">
        <v>344</v>
      </c>
      <c r="E779" s="284">
        <f>Table6[[#This Row],[Date]]-DAY(Table6[[#This Row],[Date]])+1</f>
        <v>45809</v>
      </c>
      <c r="F779" s="285">
        <v>45810</v>
      </c>
      <c r="G779" s="79" t="s">
        <v>99</v>
      </c>
      <c r="H779" s="79" t="str">
        <f>IFERROR(_xlfn.XLOOKUP(Table6[[#This Row],[Affected Feeder ]],'Basic Data'!$A:$A,'Basic Data'!$B:$B),"")</f>
        <v>PWEPL</v>
      </c>
      <c r="I779" s="79" t="str">
        <f>IFERROR(_xlfn.XLOOKUP(Table6[[#This Row],[Affected Feeder ]],'Basic Data'!$A:$A,'Basic Data'!$C:$C),"")</f>
        <v>MSEDCL</v>
      </c>
      <c r="J779" s="295">
        <f>IFERROR(_xlfn.XLOOKUP(Table6[[#This Row],[Affected Feeder ]],'Basic Data'!$A:$A,'Basic Data'!$E:$E),"")</f>
        <v>2.2727272727272728E-2</v>
      </c>
      <c r="K779" s="296" t="s">
        <v>171</v>
      </c>
      <c r="L779" s="297">
        <v>0.97499999999999998</v>
      </c>
      <c r="M779" s="297">
        <v>0.97499999999999998</v>
      </c>
      <c r="N779" s="297">
        <v>0.99930555555555556</v>
      </c>
      <c r="O779" s="19">
        <f>(Table6[[#This Row],[Work Start TimeStamp]]-Table6[[#This Row],[Fault Start TimeStamp]])*24</f>
        <v>0</v>
      </c>
      <c r="P779" s="19">
        <f>(Table6[[#This Row],[Fault Clearance time]]-Table6[[#This Row],[Fault Start TimeStamp]])*24</f>
        <v>0.58333333333333393</v>
      </c>
      <c r="Q779" s="19">
        <f>(Table6[[#This Row],[Fault Clearance time]]-Table6[[#This Row],[Fault Start TimeStamp]])*24</f>
        <v>0.58333333333333393</v>
      </c>
      <c r="R779" s="79" t="s">
        <v>353</v>
      </c>
      <c r="S779" s="79" t="s">
        <v>339</v>
      </c>
      <c r="T779" s="298">
        <f>IFERROR(Table6[[#This Row],[Breakdown Time]]*Table6[[#This Row],[Plant Equivalent Weightage]],"")</f>
        <v>1.3257575757575772E-2</v>
      </c>
      <c r="U779" s="79" t="s">
        <v>421</v>
      </c>
      <c r="W779" s="79">
        <v>60</v>
      </c>
    </row>
    <row r="780" spans="1:23">
      <c r="A780" s="79">
        <f t="shared" si="12"/>
        <v>779</v>
      </c>
      <c r="B780" s="79">
        <f>YEAR(Table6[[#This Row],[Date]])+IF(MONTH(Table6[[#This Row],[Date]])&gt;=4,1,0)</f>
        <v>2026</v>
      </c>
      <c r="C780" s="79">
        <f>YEAR(Table6[[#This Row],[Date]])</f>
        <v>2025</v>
      </c>
      <c r="D780" s="79" t="s">
        <v>344</v>
      </c>
      <c r="E780" s="284">
        <f>Table6[[#This Row],[Date]]-DAY(Table6[[#This Row],[Date]])+1</f>
        <v>45809</v>
      </c>
      <c r="F780" s="285">
        <v>45810</v>
      </c>
      <c r="G780" s="79" t="s">
        <v>100</v>
      </c>
      <c r="H780" s="79" t="str">
        <f>IFERROR(_xlfn.XLOOKUP(Table6[[#This Row],[Affected Feeder ]],'Basic Data'!$A:$A,'Basic Data'!$B:$B),"")</f>
        <v>PWEPL</v>
      </c>
      <c r="I780" s="79" t="str">
        <f>IFERROR(_xlfn.XLOOKUP(Table6[[#This Row],[Affected Feeder ]],'Basic Data'!$A:$A,'Basic Data'!$C:$C),"")</f>
        <v>MSEDCL</v>
      </c>
      <c r="J780" s="295">
        <f>IFERROR(_xlfn.XLOOKUP(Table6[[#This Row],[Affected Feeder ]],'Basic Data'!$A:$A,'Basic Data'!$E:$E),"")</f>
        <v>2.2727272727272728E-2</v>
      </c>
      <c r="K780" s="296" t="s">
        <v>171</v>
      </c>
      <c r="L780" s="297">
        <v>0.97499999999999998</v>
      </c>
      <c r="M780" s="297">
        <v>0.97499999999999998</v>
      </c>
      <c r="N780" s="297">
        <v>0.97916666666666663</v>
      </c>
      <c r="O780" s="19">
        <f>(Table6[[#This Row],[Work Start TimeStamp]]-Table6[[#This Row],[Fault Start TimeStamp]])*24</f>
        <v>0</v>
      </c>
      <c r="P780" s="19">
        <f>(Table6[[#This Row],[Fault Clearance time]]-Table6[[#This Row],[Fault Start TimeStamp]])*24</f>
        <v>9.9999999999999645E-2</v>
      </c>
      <c r="Q780" s="19">
        <f>(Table6[[#This Row],[Fault Clearance time]]-Table6[[#This Row],[Fault Start TimeStamp]])*24</f>
        <v>9.9999999999999645E-2</v>
      </c>
      <c r="R780" s="79" t="s">
        <v>353</v>
      </c>
      <c r="S780" s="79" t="s">
        <v>339</v>
      </c>
      <c r="T780" s="298">
        <f>IFERROR(Table6[[#This Row],[Breakdown Time]]*Table6[[#This Row],[Plant Equivalent Weightage]],"")</f>
        <v>2.2727272727272648E-3</v>
      </c>
      <c r="U780" s="79" t="s">
        <v>421</v>
      </c>
      <c r="W780" s="79">
        <v>72</v>
      </c>
    </row>
    <row r="781" spans="1:23">
      <c r="A781" s="79">
        <f t="shared" si="12"/>
        <v>780</v>
      </c>
      <c r="B781" s="79">
        <f>YEAR(Table6[[#This Row],[Date]])+IF(MONTH(Table6[[#This Row],[Date]])&gt;=4,1,0)</f>
        <v>2026</v>
      </c>
      <c r="C781" s="79">
        <f>YEAR(Table6[[#This Row],[Date]])</f>
        <v>2025</v>
      </c>
      <c r="D781" s="79" t="s">
        <v>344</v>
      </c>
      <c r="E781" s="284">
        <f>Table6[[#This Row],[Date]]-DAY(Table6[[#This Row],[Date]])+1</f>
        <v>45809</v>
      </c>
      <c r="F781" s="285">
        <v>45810</v>
      </c>
      <c r="G781" s="79" t="s">
        <v>101</v>
      </c>
      <c r="H781" s="79" t="str">
        <f>IFERROR(_xlfn.XLOOKUP(Table6[[#This Row],[Affected Feeder ]],'Basic Data'!$A:$A,'Basic Data'!$B:$B),"")</f>
        <v>PWEPL</v>
      </c>
      <c r="I781" s="79" t="str">
        <f>IFERROR(_xlfn.XLOOKUP(Table6[[#This Row],[Affected Feeder ]],'Basic Data'!$A:$A,'Basic Data'!$C:$C),"")</f>
        <v>MSEDCL</v>
      </c>
      <c r="J781" s="295">
        <f>IFERROR(_xlfn.XLOOKUP(Table6[[#This Row],[Affected Feeder ]],'Basic Data'!$A:$A,'Basic Data'!$E:$E),"")</f>
        <v>2.2727272727272728E-2</v>
      </c>
      <c r="K781" s="296" t="s">
        <v>171</v>
      </c>
      <c r="L781" s="297">
        <v>0.97499999999999998</v>
      </c>
      <c r="M781" s="297">
        <v>0.97499999999999998</v>
      </c>
      <c r="N781" s="297">
        <v>0.98888888888888893</v>
      </c>
      <c r="O781" s="19">
        <f>(Table6[[#This Row],[Work Start TimeStamp]]-Table6[[#This Row],[Fault Start TimeStamp]])*24</f>
        <v>0</v>
      </c>
      <c r="P781" s="19">
        <f>(Table6[[#This Row],[Fault Clearance time]]-Table6[[#This Row],[Fault Start TimeStamp]])*24</f>
        <v>0.33333333333333481</v>
      </c>
      <c r="Q781" s="19">
        <f>(Table6[[#This Row],[Fault Clearance time]]-Table6[[#This Row],[Fault Start TimeStamp]])*24</f>
        <v>0.33333333333333481</v>
      </c>
      <c r="R781" s="79" t="s">
        <v>353</v>
      </c>
      <c r="S781" s="79" t="s">
        <v>339</v>
      </c>
      <c r="T781" s="298">
        <f>IFERROR(Table6[[#This Row],[Breakdown Time]]*Table6[[#This Row],[Plant Equivalent Weightage]],"")</f>
        <v>7.5757575757576098E-3</v>
      </c>
      <c r="U781" s="79" t="s">
        <v>421</v>
      </c>
      <c r="W781" s="79">
        <v>240</v>
      </c>
    </row>
    <row r="782" spans="1:23">
      <c r="A782" s="79">
        <f t="shared" si="12"/>
        <v>781</v>
      </c>
      <c r="B782" s="79">
        <f>YEAR(Table6[[#This Row],[Date]])+IF(MONTH(Table6[[#This Row],[Date]])&gt;=4,1,0)</f>
        <v>2026</v>
      </c>
      <c r="C782" s="79">
        <f>YEAR(Table6[[#This Row],[Date]])</f>
        <v>2025</v>
      </c>
      <c r="D782" s="79" t="s">
        <v>344</v>
      </c>
      <c r="E782" s="284">
        <f>Table6[[#This Row],[Date]]-DAY(Table6[[#This Row],[Date]])+1</f>
        <v>45809</v>
      </c>
      <c r="F782" s="285">
        <v>45810</v>
      </c>
      <c r="G782" s="79" t="s">
        <v>112</v>
      </c>
      <c r="H782" s="79" t="str">
        <f>IFERROR(_xlfn.XLOOKUP(Table6[[#This Row],[Affected Feeder ]],'Basic Data'!$A:$A,'Basic Data'!$B:$B),"")</f>
        <v>PWEPL</v>
      </c>
      <c r="I782" s="79" t="str">
        <f>IFERROR(_xlfn.XLOOKUP(Table6[[#This Row],[Affected Feeder ]],'Basic Data'!$A:$A,'Basic Data'!$C:$C),"")</f>
        <v>MSEDCL</v>
      </c>
      <c r="J782" s="295">
        <f>IFERROR(_xlfn.XLOOKUP(Table6[[#This Row],[Affected Feeder ]],'Basic Data'!$A:$A,'Basic Data'!$E:$E),"")</f>
        <v>2.2727272727272728E-2</v>
      </c>
      <c r="K782" s="296" t="s">
        <v>796</v>
      </c>
      <c r="L782" s="297">
        <v>0.79166666666666663</v>
      </c>
      <c r="M782" s="297">
        <v>0.79166666666666663</v>
      </c>
      <c r="N782" s="297">
        <v>0.83333333333333337</v>
      </c>
      <c r="O782" s="19">
        <f>(Table6[[#This Row],[Work Start TimeStamp]]-Table6[[#This Row],[Fault Start TimeStamp]])*24</f>
        <v>0</v>
      </c>
      <c r="P782" s="19">
        <f>(Table6[[#This Row],[Fault Clearance time]]-Table6[[#This Row],[Fault Start TimeStamp]])*24</f>
        <v>1.0000000000000018</v>
      </c>
      <c r="Q782" s="19">
        <f>(Table6[[#This Row],[Fault Clearance time]]-Table6[[#This Row],[Fault Start TimeStamp]])*24</f>
        <v>1.0000000000000018</v>
      </c>
      <c r="R782" s="79" t="s">
        <v>424</v>
      </c>
      <c r="S782" s="79" t="s">
        <v>339</v>
      </c>
      <c r="T782" s="298">
        <f>IFERROR(Table6[[#This Row],[Breakdown Time]]*Table6[[#This Row],[Plant Equivalent Weightage]],"")</f>
        <v>2.272727272727277E-2</v>
      </c>
      <c r="U782" s="79" t="s">
        <v>421</v>
      </c>
      <c r="W782" s="79">
        <v>966</v>
      </c>
    </row>
    <row r="783" spans="1:23">
      <c r="A783" s="79">
        <f t="shared" si="12"/>
        <v>782</v>
      </c>
      <c r="B783" s="79">
        <f>YEAR(Table6[[#This Row],[Date]])+IF(MONTH(Table6[[#This Row],[Date]])&gt;=4,1,0)</f>
        <v>2026</v>
      </c>
      <c r="C783" s="79">
        <f>YEAR(Table6[[#This Row],[Date]])</f>
        <v>2025</v>
      </c>
      <c r="D783" s="79" t="s">
        <v>344</v>
      </c>
      <c r="E783" s="284">
        <f>Table6[[#This Row],[Date]]-DAY(Table6[[#This Row],[Date]])+1</f>
        <v>45809</v>
      </c>
      <c r="F783" s="285">
        <v>45810</v>
      </c>
      <c r="G783" s="79" t="s">
        <v>112</v>
      </c>
      <c r="H783" s="79" t="str">
        <f>IFERROR(_xlfn.XLOOKUP(Table6[[#This Row],[Affected Feeder ]],'Basic Data'!$A:$A,'Basic Data'!$B:$B),"")</f>
        <v>PWEPL</v>
      </c>
      <c r="I783" s="79" t="str">
        <f>IFERROR(_xlfn.XLOOKUP(Table6[[#This Row],[Affected Feeder ]],'Basic Data'!$A:$A,'Basic Data'!$C:$C),"")</f>
        <v>MSEDCL</v>
      </c>
      <c r="J783" s="295">
        <f>IFERROR(_xlfn.XLOOKUP(Table6[[#This Row],[Affected Feeder ]],'Basic Data'!$A:$A,'Basic Data'!$E:$E),"")</f>
        <v>2.2727272727272728E-2</v>
      </c>
      <c r="K783" s="296" t="s">
        <v>171</v>
      </c>
      <c r="L783" s="297">
        <v>0.83333333333333337</v>
      </c>
      <c r="M783" s="297">
        <v>0.83333333333333337</v>
      </c>
      <c r="N783" s="297">
        <v>0.84722222222222221</v>
      </c>
      <c r="O783" s="19">
        <f>(Table6[[#This Row],[Work Start TimeStamp]]-Table6[[#This Row],[Fault Start TimeStamp]])*24</f>
        <v>0</v>
      </c>
      <c r="P783" s="19">
        <f>(Table6[[#This Row],[Fault Clearance time]]-Table6[[#This Row],[Fault Start TimeStamp]])*24</f>
        <v>0.33333333333333215</v>
      </c>
      <c r="Q783" s="19">
        <f>(Table6[[#This Row],[Fault Clearance time]]-Table6[[#This Row],[Fault Start TimeStamp]])*24</f>
        <v>0.33333333333333215</v>
      </c>
      <c r="R783" s="79" t="s">
        <v>353</v>
      </c>
      <c r="S783" s="79" t="s">
        <v>339</v>
      </c>
      <c r="T783" s="298">
        <f>IFERROR(Table6[[#This Row],[Breakdown Time]]*Table6[[#This Row],[Plant Equivalent Weightage]],"")</f>
        <v>7.5757575757575491E-3</v>
      </c>
      <c r="U783" s="79" t="s">
        <v>421</v>
      </c>
      <c r="W783" s="79">
        <v>482</v>
      </c>
    </row>
    <row r="784" spans="1:23">
      <c r="A784" s="79">
        <f t="shared" si="12"/>
        <v>783</v>
      </c>
      <c r="B784" s="79">
        <f>YEAR(Table6[[#This Row],[Date]])+IF(MONTH(Table6[[#This Row],[Date]])&gt;=4,1,0)</f>
        <v>2026</v>
      </c>
      <c r="C784" s="79">
        <f>YEAR(Table6[[#This Row],[Date]])</f>
        <v>2025</v>
      </c>
      <c r="D784" s="79" t="s">
        <v>344</v>
      </c>
      <c r="E784" s="284">
        <f>Table6[[#This Row],[Date]]-DAY(Table6[[#This Row],[Date]])+1</f>
        <v>45809</v>
      </c>
      <c r="F784" s="285">
        <v>45811</v>
      </c>
      <c r="G784" s="79" t="s">
        <v>85</v>
      </c>
      <c r="H784" s="79" t="str">
        <f>IFERROR(_xlfn.XLOOKUP(Table6[[#This Row],[Affected Feeder ]],'Basic Data'!$A:$A,'Basic Data'!$B:$B),"")</f>
        <v>PWEPL</v>
      </c>
      <c r="I784" s="79" t="str">
        <f>IFERROR(_xlfn.XLOOKUP(Table6[[#This Row],[Affected Feeder ]],'Basic Data'!$A:$A,'Basic Data'!$C:$C),"")</f>
        <v>MSEDCL</v>
      </c>
      <c r="J784" s="295">
        <f>IFERROR(_xlfn.XLOOKUP(Table6[[#This Row],[Affected Feeder ]],'Basic Data'!$A:$A,'Basic Data'!$E:$E),"")</f>
        <v>2.2727272727272728E-2</v>
      </c>
      <c r="K784" s="296" t="s">
        <v>875</v>
      </c>
      <c r="L784" s="297">
        <v>0.56874999999999998</v>
      </c>
      <c r="M784" s="297">
        <v>0.56874999999999998</v>
      </c>
      <c r="N784" s="297">
        <v>0.60416666666666663</v>
      </c>
      <c r="O784" s="19">
        <f>(Table6[[#This Row],[Work Start TimeStamp]]-Table6[[#This Row],[Fault Start TimeStamp]])*24</f>
        <v>0</v>
      </c>
      <c r="P784" s="19">
        <f>(Table6[[#This Row],[Fault Clearance time]]-Table6[[#This Row],[Fault Start TimeStamp]])*24</f>
        <v>0.84999999999999964</v>
      </c>
      <c r="Q784" s="19">
        <f>(Table6[[#This Row],[Fault Clearance time]]-Table6[[#This Row],[Fault Start TimeStamp]])*24</f>
        <v>0.84999999999999964</v>
      </c>
      <c r="R784" s="79" t="s">
        <v>877</v>
      </c>
      <c r="S784" s="79" t="s">
        <v>339</v>
      </c>
      <c r="T784" s="298">
        <f>IFERROR(Table6[[#This Row],[Breakdown Time]]*Table6[[#This Row],[Plant Equivalent Weightage]],"")</f>
        <v>1.9318181818181811E-2</v>
      </c>
      <c r="U784" s="79" t="s">
        <v>416</v>
      </c>
      <c r="W784" s="79">
        <v>641</v>
      </c>
    </row>
    <row r="785" spans="1:23">
      <c r="A785" s="79">
        <f t="shared" si="12"/>
        <v>784</v>
      </c>
      <c r="B785" s="79">
        <f>YEAR(Table6[[#This Row],[Date]])+IF(MONTH(Table6[[#This Row],[Date]])&gt;=4,1,0)</f>
        <v>2026</v>
      </c>
      <c r="C785" s="79">
        <f>YEAR(Table6[[#This Row],[Date]])</f>
        <v>2025</v>
      </c>
      <c r="D785" s="79" t="s">
        <v>344</v>
      </c>
      <c r="E785" s="284">
        <f>Table6[[#This Row],[Date]]-DAY(Table6[[#This Row],[Date]])+1</f>
        <v>45809</v>
      </c>
      <c r="F785" s="285">
        <v>45811</v>
      </c>
      <c r="G785" s="79" t="s">
        <v>85</v>
      </c>
      <c r="H785" s="79" t="str">
        <f>IFERROR(_xlfn.XLOOKUP(Table6[[#This Row],[Affected Feeder ]],'Basic Data'!$A:$A,'Basic Data'!$B:$B),"")</f>
        <v>PWEPL</v>
      </c>
      <c r="I785" s="79" t="str">
        <f>IFERROR(_xlfn.XLOOKUP(Table6[[#This Row],[Affected Feeder ]],'Basic Data'!$A:$A,'Basic Data'!$C:$C),"")</f>
        <v>MSEDCL</v>
      </c>
      <c r="J785" s="295">
        <f>IFERROR(_xlfn.XLOOKUP(Table6[[#This Row],[Affected Feeder ]],'Basic Data'!$A:$A,'Basic Data'!$E:$E),"")</f>
        <v>2.2727272727272728E-2</v>
      </c>
      <c r="K785" s="296" t="s">
        <v>171</v>
      </c>
      <c r="L785" s="297">
        <v>0.60416666666666663</v>
      </c>
      <c r="M785" s="297">
        <v>0.60416666666666663</v>
      </c>
      <c r="N785" s="297">
        <v>0.61805555555555558</v>
      </c>
      <c r="O785" s="19">
        <f>(Table6[[#This Row],[Work Start TimeStamp]]-Table6[[#This Row],[Fault Start TimeStamp]])*24</f>
        <v>0</v>
      </c>
      <c r="P785" s="19">
        <f>(Table6[[#This Row],[Fault Clearance time]]-Table6[[#This Row],[Fault Start TimeStamp]])*24</f>
        <v>0.33333333333333481</v>
      </c>
      <c r="Q785" s="19">
        <f>(Table6[[#This Row],[Fault Clearance time]]-Table6[[#This Row],[Fault Start TimeStamp]])*24</f>
        <v>0.33333333333333481</v>
      </c>
      <c r="R785" s="79" t="s">
        <v>353</v>
      </c>
      <c r="S785" s="79" t="s">
        <v>339</v>
      </c>
      <c r="T785" s="298">
        <f>IFERROR(Table6[[#This Row],[Breakdown Time]]*Table6[[#This Row],[Plant Equivalent Weightage]],"")</f>
        <v>7.5757575757576098E-3</v>
      </c>
      <c r="U785" s="79" t="s">
        <v>416</v>
      </c>
      <c r="W785" s="79">
        <v>412</v>
      </c>
    </row>
    <row r="786" spans="1:23">
      <c r="A786" s="79">
        <f t="shared" si="12"/>
        <v>785</v>
      </c>
      <c r="B786" s="79">
        <f>YEAR(Table6[[#This Row],[Date]])+IF(MONTH(Table6[[#This Row],[Date]])&gt;=4,1,0)</f>
        <v>2026</v>
      </c>
      <c r="C786" s="79">
        <f>YEAR(Table6[[#This Row],[Date]])</f>
        <v>2025</v>
      </c>
      <c r="D786" s="79" t="s">
        <v>344</v>
      </c>
      <c r="E786" s="284">
        <f>Table6[[#This Row],[Date]]-DAY(Table6[[#This Row],[Date]])+1</f>
        <v>45809</v>
      </c>
      <c r="F786" s="285">
        <v>45811</v>
      </c>
      <c r="G786" s="79" t="s">
        <v>84</v>
      </c>
      <c r="H786" s="79" t="str">
        <f>IFERROR(_xlfn.XLOOKUP(Table6[[#This Row],[Affected Feeder ]],'Basic Data'!$A:$A,'Basic Data'!$B:$B),"")</f>
        <v>PWEPL</v>
      </c>
      <c r="I786" s="79" t="str">
        <f>IFERROR(_xlfn.XLOOKUP(Table6[[#This Row],[Affected Feeder ]],'Basic Data'!$A:$A,'Basic Data'!$C:$C),"")</f>
        <v>MSEDCL</v>
      </c>
      <c r="J786" s="295">
        <f>IFERROR(_xlfn.XLOOKUP(Table6[[#This Row],[Affected Feeder ]],'Basic Data'!$A:$A,'Basic Data'!$E:$E),"")</f>
        <v>2.2727272727272728E-2</v>
      </c>
      <c r="K786" s="296" t="s">
        <v>878</v>
      </c>
      <c r="L786" s="297">
        <v>0.61111111111111105</v>
      </c>
      <c r="M786" s="297">
        <v>0.61111111111111105</v>
      </c>
      <c r="N786" s="297">
        <v>0.64652777777777781</v>
      </c>
      <c r="O786" s="19">
        <f>(Table6[[#This Row],[Work Start TimeStamp]]-Table6[[#This Row],[Fault Start TimeStamp]])*24</f>
        <v>0</v>
      </c>
      <c r="P786" s="19">
        <f>(Table6[[#This Row],[Fault Clearance time]]-Table6[[#This Row],[Fault Start TimeStamp]])*24</f>
        <v>0.85000000000000231</v>
      </c>
      <c r="Q786" s="19">
        <f>(Table6[[#This Row],[Fault Clearance time]]-Table6[[#This Row],[Fault Start TimeStamp]])*24</f>
        <v>0.85000000000000231</v>
      </c>
      <c r="R786" s="79" t="s">
        <v>876</v>
      </c>
      <c r="S786" s="79" t="s">
        <v>339</v>
      </c>
      <c r="T786" s="298">
        <f>IFERROR(Table6[[#This Row],[Breakdown Time]]*Table6[[#This Row],[Plant Equivalent Weightage]],"")</f>
        <v>1.931818181818187E-2</v>
      </c>
      <c r="U786" s="79" t="s">
        <v>416</v>
      </c>
      <c r="W786" s="79">
        <v>381</v>
      </c>
    </row>
    <row r="787" spans="1:23">
      <c r="A787" s="79">
        <f t="shared" si="12"/>
        <v>786</v>
      </c>
      <c r="B787" s="79">
        <f>YEAR(Table6[[#This Row],[Date]])+IF(MONTH(Table6[[#This Row],[Date]])&gt;=4,1,0)</f>
        <v>2026</v>
      </c>
      <c r="C787" s="79">
        <f>YEAR(Table6[[#This Row],[Date]])</f>
        <v>2025</v>
      </c>
      <c r="D787" s="79" t="s">
        <v>344</v>
      </c>
      <c r="E787" s="284">
        <f>Table6[[#This Row],[Date]]-DAY(Table6[[#This Row],[Date]])+1</f>
        <v>45809</v>
      </c>
      <c r="F787" s="285">
        <v>45811</v>
      </c>
      <c r="G787" s="79" t="s">
        <v>84</v>
      </c>
      <c r="H787" s="79" t="str">
        <f>IFERROR(_xlfn.XLOOKUP(Table6[[#This Row],[Affected Feeder ]],'Basic Data'!$A:$A,'Basic Data'!$B:$B),"")</f>
        <v>PWEPL</v>
      </c>
      <c r="I787" s="79" t="str">
        <f>IFERROR(_xlfn.XLOOKUP(Table6[[#This Row],[Affected Feeder ]],'Basic Data'!$A:$A,'Basic Data'!$C:$C),"")</f>
        <v>MSEDCL</v>
      </c>
      <c r="J787" s="295">
        <f>IFERROR(_xlfn.XLOOKUP(Table6[[#This Row],[Affected Feeder ]],'Basic Data'!$A:$A,'Basic Data'!$E:$E),"")</f>
        <v>2.2727272727272728E-2</v>
      </c>
      <c r="K787" s="296" t="s">
        <v>171</v>
      </c>
      <c r="L787" s="297">
        <v>0.64652777777777781</v>
      </c>
      <c r="M787" s="297">
        <v>0.64652777777777781</v>
      </c>
      <c r="N787" s="297">
        <v>0.65763888888888888</v>
      </c>
      <c r="O787" s="19">
        <f>(Table6[[#This Row],[Work Start TimeStamp]]-Table6[[#This Row],[Fault Start TimeStamp]])*24</f>
        <v>0</v>
      </c>
      <c r="P787" s="19">
        <f>(Table6[[#This Row],[Fault Clearance time]]-Table6[[#This Row],[Fault Start TimeStamp]])*24</f>
        <v>0.26666666666666572</v>
      </c>
      <c r="Q787" s="19">
        <f>(Table6[[#This Row],[Fault Clearance time]]-Table6[[#This Row],[Fault Start TimeStamp]])*24</f>
        <v>0.26666666666666572</v>
      </c>
      <c r="R787" s="79" t="s">
        <v>353</v>
      </c>
      <c r="S787" s="79" t="s">
        <v>339</v>
      </c>
      <c r="T787" s="298">
        <f>IFERROR(Table6[[#This Row],[Breakdown Time]]*Table6[[#This Row],[Plant Equivalent Weightage]],"")</f>
        <v>6.0606060606060389E-3</v>
      </c>
      <c r="U787" s="79" t="s">
        <v>416</v>
      </c>
      <c r="W787" s="79">
        <v>174</v>
      </c>
    </row>
    <row r="788" spans="1:23">
      <c r="A788" s="79">
        <f t="shared" si="12"/>
        <v>787</v>
      </c>
      <c r="B788" s="79">
        <f>YEAR(Table6[[#This Row],[Date]])+IF(MONTH(Table6[[#This Row],[Date]])&gt;=4,1,0)</f>
        <v>2026</v>
      </c>
      <c r="C788" s="79">
        <f>YEAR(Table6[[#This Row],[Date]])</f>
        <v>2025</v>
      </c>
      <c r="D788" s="79" t="s">
        <v>344</v>
      </c>
      <c r="E788" s="284">
        <f>Table6[[#This Row],[Date]]-DAY(Table6[[#This Row],[Date]])+1</f>
        <v>45809</v>
      </c>
      <c r="F788" s="285">
        <v>45812</v>
      </c>
      <c r="G788" s="79" t="s">
        <v>86</v>
      </c>
      <c r="H788" s="79" t="str">
        <f>IFERROR(_xlfn.XLOOKUP(Table6[[#This Row],[Affected Feeder ]],'Basic Data'!$A:$A,'Basic Data'!$B:$B),"")</f>
        <v>PWEPL</v>
      </c>
      <c r="I788" s="79" t="str">
        <f>IFERROR(_xlfn.XLOOKUP(Table6[[#This Row],[Affected Feeder ]],'Basic Data'!$A:$A,'Basic Data'!$C:$C),"")</f>
        <v>MSEDCL</v>
      </c>
      <c r="J788" s="295">
        <f>IFERROR(_xlfn.XLOOKUP(Table6[[#This Row],[Affected Feeder ]],'Basic Data'!$A:$A,'Basic Data'!$E:$E),"")</f>
        <v>2.2727272727272728E-2</v>
      </c>
      <c r="K788" s="296" t="s">
        <v>880</v>
      </c>
      <c r="L788" s="297">
        <v>0.49791666666666662</v>
      </c>
      <c r="M788" s="297">
        <v>0.49791666666666662</v>
      </c>
      <c r="N788" s="297">
        <v>0.55833333333333335</v>
      </c>
      <c r="O788" s="19">
        <f>(Table6[[#This Row],[Work Start TimeStamp]]-Table6[[#This Row],[Fault Start TimeStamp]])*24</f>
        <v>0</v>
      </c>
      <c r="P788" s="19">
        <f>(Table6[[#This Row],[Fault Clearance time]]-Table6[[#This Row],[Fault Start TimeStamp]])*24</f>
        <v>1.4500000000000015</v>
      </c>
      <c r="Q788" s="19">
        <f>(Table6[[#This Row],[Fault Clearance time]]-Table6[[#This Row],[Fault Start TimeStamp]])*24</f>
        <v>1.4500000000000015</v>
      </c>
      <c r="R788" s="79" t="s">
        <v>877</v>
      </c>
      <c r="S788" s="79" t="s">
        <v>339</v>
      </c>
      <c r="T788" s="298">
        <f>IFERROR(Table6[[#This Row],[Breakdown Time]]*Table6[[#This Row],[Plant Equivalent Weightage]],"")</f>
        <v>3.2954545454545486E-2</v>
      </c>
      <c r="U788" s="79" t="s">
        <v>416</v>
      </c>
      <c r="W788" s="79">
        <v>172</v>
      </c>
    </row>
    <row r="789" spans="1:23">
      <c r="A789" s="79">
        <f t="shared" si="12"/>
        <v>788</v>
      </c>
      <c r="B789" s="79">
        <f>YEAR(Table6[[#This Row],[Date]])+IF(MONTH(Table6[[#This Row],[Date]])&gt;=4,1,0)</f>
        <v>2026</v>
      </c>
      <c r="C789" s="79">
        <f>YEAR(Table6[[#This Row],[Date]])</f>
        <v>2025</v>
      </c>
      <c r="D789" s="79" t="s">
        <v>344</v>
      </c>
      <c r="E789" s="284">
        <f>Table6[[#This Row],[Date]]-DAY(Table6[[#This Row],[Date]])+1</f>
        <v>45809</v>
      </c>
      <c r="F789" s="285">
        <v>45812</v>
      </c>
      <c r="G789" s="79" t="s">
        <v>86</v>
      </c>
      <c r="H789" s="79" t="str">
        <f>IFERROR(_xlfn.XLOOKUP(Table6[[#This Row],[Affected Feeder ]],'Basic Data'!$A:$A,'Basic Data'!$B:$B),"")</f>
        <v>PWEPL</v>
      </c>
      <c r="I789" s="79" t="str">
        <f>IFERROR(_xlfn.XLOOKUP(Table6[[#This Row],[Affected Feeder ]],'Basic Data'!$A:$A,'Basic Data'!$C:$C),"")</f>
        <v>MSEDCL</v>
      </c>
      <c r="J789" s="295">
        <f>IFERROR(_xlfn.XLOOKUP(Table6[[#This Row],[Affected Feeder ]],'Basic Data'!$A:$A,'Basic Data'!$E:$E),"")</f>
        <v>2.2727272727272728E-2</v>
      </c>
      <c r="K789" s="296" t="s">
        <v>171</v>
      </c>
      <c r="L789" s="297">
        <v>0.55833333333333335</v>
      </c>
      <c r="M789" s="297">
        <v>0.55833333333333335</v>
      </c>
      <c r="N789" s="297">
        <v>0.56874999999999998</v>
      </c>
      <c r="O789" s="19">
        <f>(Table6[[#This Row],[Work Start TimeStamp]]-Table6[[#This Row],[Fault Start TimeStamp]])*24</f>
        <v>0</v>
      </c>
      <c r="P789" s="19">
        <f>(Table6[[#This Row],[Fault Clearance time]]-Table6[[#This Row],[Fault Start TimeStamp]])*24</f>
        <v>0.24999999999999911</v>
      </c>
      <c r="Q789" s="19">
        <f>(Table6[[#This Row],[Fault Clearance time]]-Table6[[#This Row],[Fault Start TimeStamp]])*24</f>
        <v>0.24999999999999911</v>
      </c>
      <c r="R789" s="79" t="s">
        <v>353</v>
      </c>
      <c r="S789" s="79" t="s">
        <v>339</v>
      </c>
      <c r="T789" s="298">
        <f>IFERROR(Table6[[#This Row],[Breakdown Time]]*Table6[[#This Row],[Plant Equivalent Weightage]],"")</f>
        <v>5.681818181818162E-3</v>
      </c>
      <c r="U789" s="79" t="s">
        <v>416</v>
      </c>
      <c r="W789" s="79">
        <v>35</v>
      </c>
    </row>
    <row r="790" spans="1:23">
      <c r="A790" s="79">
        <f t="shared" si="12"/>
        <v>789</v>
      </c>
      <c r="B790" s="79">
        <f>YEAR(Table6[[#This Row],[Date]])+IF(MONTH(Table6[[#This Row],[Date]])&gt;=4,1,0)</f>
        <v>2026</v>
      </c>
      <c r="C790" s="79">
        <f>YEAR(Table6[[#This Row],[Date]])</f>
        <v>2025</v>
      </c>
      <c r="D790" s="79" t="s">
        <v>344</v>
      </c>
      <c r="E790" s="284">
        <f>Table6[[#This Row],[Date]]-DAY(Table6[[#This Row],[Date]])+1</f>
        <v>45809</v>
      </c>
      <c r="F790" s="285">
        <v>45813</v>
      </c>
      <c r="G790" s="79" t="s">
        <v>76</v>
      </c>
      <c r="H790" s="79" t="str">
        <f>IFERROR(_xlfn.XLOOKUP(Table6[[#This Row],[Affected Feeder ]],'Basic Data'!$A:$A,'Basic Data'!$B:$B),"")</f>
        <v>PWEPL</v>
      </c>
      <c r="I790" s="79" t="str">
        <f>IFERROR(_xlfn.XLOOKUP(Table6[[#This Row],[Affected Feeder ]],'Basic Data'!$A:$A,'Basic Data'!$C:$C),"")</f>
        <v>MSEDCL</v>
      </c>
      <c r="J790" s="295">
        <f>IFERROR(_xlfn.XLOOKUP(Table6[[#This Row],[Affected Feeder ]],'Basic Data'!$A:$A,'Basic Data'!$E:$E),"")</f>
        <v>2.2727272727272728E-2</v>
      </c>
      <c r="K790" s="296" t="s">
        <v>878</v>
      </c>
      <c r="L790" s="297">
        <v>0.47222222222222227</v>
      </c>
      <c r="M790" s="297">
        <v>0.47222222222222227</v>
      </c>
      <c r="N790" s="297">
        <v>0.50763888888888886</v>
      </c>
      <c r="O790" s="19">
        <f>(Table6[[#This Row],[Work Start TimeStamp]]-Table6[[#This Row],[Fault Start TimeStamp]])*24</f>
        <v>0</v>
      </c>
      <c r="P790" s="19">
        <f>(Table6[[#This Row],[Fault Clearance time]]-Table6[[#This Row],[Fault Start TimeStamp]])*24</f>
        <v>0.84999999999999831</v>
      </c>
      <c r="Q790" s="19">
        <f>(Table6[[#This Row],[Fault Clearance time]]-Table6[[#This Row],[Fault Start TimeStamp]])*24</f>
        <v>0.84999999999999831</v>
      </c>
      <c r="R790" s="79" t="s">
        <v>876</v>
      </c>
      <c r="S790" s="79" t="s">
        <v>339</v>
      </c>
      <c r="T790" s="298">
        <f>IFERROR(Table6[[#This Row],[Breakdown Time]]*Table6[[#This Row],[Plant Equivalent Weightage]],"")</f>
        <v>1.931818181818178E-2</v>
      </c>
      <c r="U790" s="79" t="s">
        <v>416</v>
      </c>
      <c r="W790" s="79">
        <v>83</v>
      </c>
    </row>
    <row r="791" spans="1:23">
      <c r="A791" s="79">
        <f t="shared" si="12"/>
        <v>790</v>
      </c>
      <c r="B791" s="79">
        <f>YEAR(Table6[[#This Row],[Date]])+IF(MONTH(Table6[[#This Row],[Date]])&gt;=4,1,0)</f>
        <v>2026</v>
      </c>
      <c r="C791" s="79">
        <f>YEAR(Table6[[#This Row],[Date]])</f>
        <v>2025</v>
      </c>
      <c r="D791" s="79" t="s">
        <v>344</v>
      </c>
      <c r="E791" s="284">
        <f>Table6[[#This Row],[Date]]-DAY(Table6[[#This Row],[Date]])+1</f>
        <v>45809</v>
      </c>
      <c r="F791" s="285">
        <v>45813</v>
      </c>
      <c r="G791" s="79" t="s">
        <v>76</v>
      </c>
      <c r="H791" s="79" t="str">
        <f>IFERROR(_xlfn.XLOOKUP(Table6[[#This Row],[Affected Feeder ]],'Basic Data'!$A:$A,'Basic Data'!$B:$B),"")</f>
        <v>PWEPL</v>
      </c>
      <c r="I791" s="79" t="str">
        <f>IFERROR(_xlfn.XLOOKUP(Table6[[#This Row],[Affected Feeder ]],'Basic Data'!$A:$A,'Basic Data'!$C:$C),"")</f>
        <v>MSEDCL</v>
      </c>
      <c r="J791" s="295">
        <f>IFERROR(_xlfn.XLOOKUP(Table6[[#This Row],[Affected Feeder ]],'Basic Data'!$A:$A,'Basic Data'!$E:$E),"")</f>
        <v>2.2727272727272728E-2</v>
      </c>
      <c r="K791" s="296" t="s">
        <v>171</v>
      </c>
      <c r="L791" s="297">
        <v>0.50763888888888886</v>
      </c>
      <c r="M791" s="297">
        <v>0.50763888888888886</v>
      </c>
      <c r="N791" s="297">
        <v>0.51250000000000007</v>
      </c>
      <c r="O791" s="19">
        <f>(Table6[[#This Row],[Work Start TimeStamp]]-Table6[[#This Row],[Fault Start TimeStamp]])*24</f>
        <v>0</v>
      </c>
      <c r="P791" s="19">
        <f>(Table6[[#This Row],[Fault Clearance time]]-Table6[[#This Row],[Fault Start TimeStamp]])*24</f>
        <v>0.11666666666666892</v>
      </c>
      <c r="Q791" s="19">
        <f>(Table6[[#This Row],[Fault Clearance time]]-Table6[[#This Row],[Fault Start TimeStamp]])*24</f>
        <v>0.11666666666666892</v>
      </c>
      <c r="R791" s="79" t="s">
        <v>353</v>
      </c>
      <c r="S791" s="79" t="s">
        <v>339</v>
      </c>
      <c r="T791" s="298">
        <f>IFERROR(Table6[[#This Row],[Breakdown Time]]*Table6[[#This Row],[Plant Equivalent Weightage]],"")</f>
        <v>2.6515151515152028E-3</v>
      </c>
      <c r="U791" s="79" t="s">
        <v>416</v>
      </c>
      <c r="W791" s="79">
        <v>15</v>
      </c>
    </row>
    <row r="792" spans="1:23">
      <c r="A792" s="79">
        <f t="shared" si="12"/>
        <v>791</v>
      </c>
      <c r="B792" s="79">
        <f>YEAR(Table6[[#This Row],[Date]])+IF(MONTH(Table6[[#This Row],[Date]])&gt;=4,1,0)</f>
        <v>2026</v>
      </c>
      <c r="C792" s="79">
        <f>YEAR(Table6[[#This Row],[Date]])</f>
        <v>2025</v>
      </c>
      <c r="D792" s="79" t="s">
        <v>344</v>
      </c>
      <c r="E792" s="284">
        <f>Table6[[#This Row],[Date]]-DAY(Table6[[#This Row],[Date]])+1</f>
        <v>45809</v>
      </c>
      <c r="F792" s="285">
        <v>45813</v>
      </c>
      <c r="G792" s="79" t="s">
        <v>81</v>
      </c>
      <c r="H792" s="79" t="str">
        <f>IFERROR(_xlfn.XLOOKUP(Table6[[#This Row],[Affected Feeder ]],'Basic Data'!$A:$A,'Basic Data'!$B:$B),"")</f>
        <v>PWEPL</v>
      </c>
      <c r="I792" s="79" t="str">
        <f>IFERROR(_xlfn.XLOOKUP(Table6[[#This Row],[Affected Feeder ]],'Basic Data'!$A:$A,'Basic Data'!$C:$C),"")</f>
        <v>MSEDCL</v>
      </c>
      <c r="J792" s="295">
        <f>IFERROR(_xlfn.XLOOKUP(Table6[[#This Row],[Affected Feeder ]],'Basic Data'!$A:$A,'Basic Data'!$E:$E),"")</f>
        <v>2.2727272727272728E-2</v>
      </c>
      <c r="K792" s="296" t="s">
        <v>886</v>
      </c>
      <c r="L792" s="297">
        <v>0.5229166666666667</v>
      </c>
      <c r="M792" s="297">
        <v>0.5229166666666667</v>
      </c>
      <c r="N792" s="297">
        <v>0.54791666666666672</v>
      </c>
      <c r="O792" s="19">
        <f>(Table6[[#This Row],[Work Start TimeStamp]]-Table6[[#This Row],[Fault Start TimeStamp]])*24</f>
        <v>0</v>
      </c>
      <c r="P792" s="19">
        <f>(Table6[[#This Row],[Fault Clearance time]]-Table6[[#This Row],[Fault Start TimeStamp]])*24</f>
        <v>0.60000000000000053</v>
      </c>
      <c r="Q792" s="19">
        <f>(Table6[[#This Row],[Fault Clearance time]]-Table6[[#This Row],[Fault Start TimeStamp]])*24</f>
        <v>0.60000000000000053</v>
      </c>
      <c r="R792" s="79" t="s">
        <v>876</v>
      </c>
      <c r="S792" s="79" t="s">
        <v>339</v>
      </c>
      <c r="T792" s="298">
        <f>IFERROR(Table6[[#This Row],[Breakdown Time]]*Table6[[#This Row],[Plant Equivalent Weightage]],"")</f>
        <v>1.363636363636365E-2</v>
      </c>
      <c r="U792" s="79" t="s">
        <v>416</v>
      </c>
      <c r="W792" s="79">
        <v>219</v>
      </c>
    </row>
    <row r="793" spans="1:23">
      <c r="A793" s="79">
        <f t="shared" si="12"/>
        <v>792</v>
      </c>
      <c r="B793" s="79">
        <f>YEAR(Table6[[#This Row],[Date]])+IF(MONTH(Table6[[#This Row],[Date]])&gt;=4,1,0)</f>
        <v>2026</v>
      </c>
      <c r="C793" s="79">
        <f>YEAR(Table6[[#This Row],[Date]])</f>
        <v>2025</v>
      </c>
      <c r="D793" s="79" t="s">
        <v>344</v>
      </c>
      <c r="E793" s="284">
        <f>Table6[[#This Row],[Date]]-DAY(Table6[[#This Row],[Date]])+1</f>
        <v>45809</v>
      </c>
      <c r="F793" s="285">
        <v>45813</v>
      </c>
      <c r="G793" s="79" t="s">
        <v>81</v>
      </c>
      <c r="H793" s="79" t="str">
        <f>IFERROR(_xlfn.XLOOKUP(Table6[[#This Row],[Affected Feeder ]],'Basic Data'!$A:$A,'Basic Data'!$B:$B),"")</f>
        <v>PWEPL</v>
      </c>
      <c r="I793" s="79" t="str">
        <f>IFERROR(_xlfn.XLOOKUP(Table6[[#This Row],[Affected Feeder ]],'Basic Data'!$A:$A,'Basic Data'!$C:$C),"")</f>
        <v>MSEDCL</v>
      </c>
      <c r="J793" s="295">
        <f>IFERROR(_xlfn.XLOOKUP(Table6[[#This Row],[Affected Feeder ]],'Basic Data'!$A:$A,'Basic Data'!$E:$E),"")</f>
        <v>2.2727272727272728E-2</v>
      </c>
      <c r="K793" s="296" t="s">
        <v>171</v>
      </c>
      <c r="L793" s="297">
        <v>0.54791666666666672</v>
      </c>
      <c r="M793" s="297">
        <v>0.54791666666666672</v>
      </c>
      <c r="N793" s="297">
        <v>0.55486111111111114</v>
      </c>
      <c r="O793" s="19">
        <f>(Table6[[#This Row],[Work Start TimeStamp]]-Table6[[#This Row],[Fault Start TimeStamp]])*24</f>
        <v>0</v>
      </c>
      <c r="P793" s="19">
        <f>(Table6[[#This Row],[Fault Clearance time]]-Table6[[#This Row],[Fault Start TimeStamp]])*24</f>
        <v>0.16666666666666607</v>
      </c>
      <c r="Q793" s="19">
        <f>(Table6[[#This Row],[Fault Clearance time]]-Table6[[#This Row],[Fault Start TimeStamp]])*24</f>
        <v>0.16666666666666607</v>
      </c>
      <c r="R793" s="79" t="s">
        <v>353</v>
      </c>
      <c r="S793" s="79" t="s">
        <v>339</v>
      </c>
      <c r="T793" s="298">
        <f>IFERROR(Table6[[#This Row],[Breakdown Time]]*Table6[[#This Row],[Plant Equivalent Weightage]],"")</f>
        <v>3.7878787878787745E-3</v>
      </c>
      <c r="U793" s="79" t="s">
        <v>416</v>
      </c>
      <c r="W793" s="79">
        <v>83</v>
      </c>
    </row>
    <row r="794" spans="1:23">
      <c r="A794" s="79">
        <f t="shared" si="12"/>
        <v>793</v>
      </c>
      <c r="B794" s="79">
        <f>YEAR(Table6[[#This Row],[Date]])+IF(MONTH(Table6[[#This Row],[Date]])&gt;=4,1,0)</f>
        <v>2026</v>
      </c>
      <c r="C794" s="79">
        <f>YEAR(Table6[[#This Row],[Date]])</f>
        <v>2025</v>
      </c>
      <c r="D794" s="79" t="s">
        <v>344</v>
      </c>
      <c r="E794" s="284">
        <f>Table6[[#This Row],[Date]]-DAY(Table6[[#This Row],[Date]])+1</f>
        <v>45809</v>
      </c>
      <c r="F794" s="285">
        <v>45813</v>
      </c>
      <c r="G794" s="79" t="s">
        <v>405</v>
      </c>
      <c r="H794" s="79" t="str">
        <f>IFERROR(_xlfn.XLOOKUP(Table6[[#This Row],[Affected Feeder ]],'Basic Data'!$A:$A,'Basic Data'!$B:$B),"")</f>
        <v>PWEPL</v>
      </c>
      <c r="I794" s="79" t="str">
        <f>IFERROR(_xlfn.XLOOKUP(Table6[[#This Row],[Affected Feeder ]],'Basic Data'!$A:$A,'Basic Data'!$C:$C),"")</f>
        <v>MSEDCL</v>
      </c>
      <c r="J794" s="295">
        <f>IFERROR(_xlfn.XLOOKUP(Table6[[#This Row],[Affected Feeder ]],'Basic Data'!$A:$A,'Basic Data'!$E:$E),"")</f>
        <v>0.20454545454545453</v>
      </c>
      <c r="K794" s="296" t="s">
        <v>447</v>
      </c>
      <c r="L794" s="297">
        <v>0.69374999999999998</v>
      </c>
      <c r="M794" s="297">
        <v>0.69374999999999998</v>
      </c>
      <c r="N794" s="297">
        <v>0.70624999999999993</v>
      </c>
      <c r="O794" s="19">
        <f>(Table6[[#This Row],[Work Start TimeStamp]]-Table6[[#This Row],[Fault Start TimeStamp]])*24</f>
        <v>0</v>
      </c>
      <c r="P794" s="19">
        <f>(Table6[[#This Row],[Fault Clearance time]]-Table6[[#This Row],[Fault Start TimeStamp]])*24</f>
        <v>0.29999999999999893</v>
      </c>
      <c r="Q794" s="19">
        <f>(Table6[[#This Row],[Fault Clearance time]]-Table6[[#This Row],[Fault Start TimeStamp]])*24</f>
        <v>0.29999999999999893</v>
      </c>
      <c r="R794" s="79" t="s">
        <v>420</v>
      </c>
      <c r="S794" s="79" t="s">
        <v>339</v>
      </c>
      <c r="T794" s="298">
        <f>IFERROR(Table6[[#This Row],[Breakdown Time]]*Table6[[#This Row],[Plant Equivalent Weightage]],"")</f>
        <v>6.1363636363636141E-2</v>
      </c>
      <c r="U794" s="79" t="s">
        <v>421</v>
      </c>
      <c r="W794" s="79">
        <v>1647</v>
      </c>
    </row>
    <row r="795" spans="1:23">
      <c r="A795" s="79">
        <f t="shared" si="12"/>
        <v>794</v>
      </c>
      <c r="B795" s="79">
        <f>YEAR(Table6[[#This Row],[Date]])+IF(MONTH(Table6[[#This Row],[Date]])&gt;=4,1,0)</f>
        <v>2026</v>
      </c>
      <c r="C795" s="79">
        <f>YEAR(Table6[[#This Row],[Date]])</f>
        <v>2025</v>
      </c>
      <c r="D795" s="79" t="s">
        <v>344</v>
      </c>
      <c r="E795" s="284">
        <f>Table6[[#This Row],[Date]]-DAY(Table6[[#This Row],[Date]])+1</f>
        <v>45809</v>
      </c>
      <c r="F795" s="285">
        <v>45813</v>
      </c>
      <c r="G795" s="79" t="s">
        <v>109</v>
      </c>
      <c r="H795" s="79" t="str">
        <f>IFERROR(_xlfn.XLOOKUP(Table6[[#This Row],[Affected Feeder ]],'Basic Data'!$A:$A,'Basic Data'!$B:$B),"")</f>
        <v>PWEPL</v>
      </c>
      <c r="I795" s="79" t="str">
        <f>IFERROR(_xlfn.XLOOKUP(Table6[[#This Row],[Affected Feeder ]],'Basic Data'!$A:$A,'Basic Data'!$C:$C),"")</f>
        <v>MSEDCL</v>
      </c>
      <c r="J795" s="295">
        <f>IFERROR(_xlfn.XLOOKUP(Table6[[#This Row],[Affected Feeder ]],'Basic Data'!$A:$A,'Basic Data'!$E:$E),"")</f>
        <v>2.2727272727272728E-2</v>
      </c>
      <c r="K795" s="296" t="s">
        <v>171</v>
      </c>
      <c r="L795" s="297">
        <v>0.70624999999999993</v>
      </c>
      <c r="M795" s="297">
        <v>0.70624999999999993</v>
      </c>
      <c r="N795" s="297">
        <v>0.71597222222222223</v>
      </c>
      <c r="O795" s="19">
        <f>(Table6[[#This Row],[Work Start TimeStamp]]-Table6[[#This Row],[Fault Start TimeStamp]])*24</f>
        <v>0</v>
      </c>
      <c r="P795" s="19">
        <f>(Table6[[#This Row],[Fault Clearance time]]-Table6[[#This Row],[Fault Start TimeStamp]])*24</f>
        <v>0.23333333333333517</v>
      </c>
      <c r="Q795" s="19">
        <f>(Table6[[#This Row],[Fault Clearance time]]-Table6[[#This Row],[Fault Start TimeStamp]])*24</f>
        <v>0.23333333333333517</v>
      </c>
      <c r="R795" s="79" t="s">
        <v>353</v>
      </c>
      <c r="S795" s="79" t="s">
        <v>339</v>
      </c>
      <c r="T795" s="298">
        <f>IFERROR(Table6[[#This Row],[Breakdown Time]]*Table6[[#This Row],[Plant Equivalent Weightage]],"")</f>
        <v>5.303030303030345E-3</v>
      </c>
      <c r="U795" s="79" t="s">
        <v>421</v>
      </c>
      <c r="W795" s="79">
        <v>142</v>
      </c>
    </row>
    <row r="796" spans="1:23">
      <c r="A796" s="79">
        <f t="shared" si="12"/>
        <v>795</v>
      </c>
      <c r="B796" s="79">
        <f>YEAR(Table6[[#This Row],[Date]])+IF(MONTH(Table6[[#This Row],[Date]])&gt;=4,1,0)</f>
        <v>2026</v>
      </c>
      <c r="C796" s="79">
        <f>YEAR(Table6[[#This Row],[Date]])</f>
        <v>2025</v>
      </c>
      <c r="D796" s="79" t="s">
        <v>344</v>
      </c>
      <c r="E796" s="284">
        <f>Table6[[#This Row],[Date]]-DAY(Table6[[#This Row],[Date]])+1</f>
        <v>45809</v>
      </c>
      <c r="F796" s="285">
        <v>45813</v>
      </c>
      <c r="G796" s="79" t="s">
        <v>111</v>
      </c>
      <c r="H796" s="79" t="str">
        <f>IFERROR(_xlfn.XLOOKUP(Table6[[#This Row],[Affected Feeder ]],'Basic Data'!$A:$A,'Basic Data'!$B:$B),"")</f>
        <v>PWEPL</v>
      </c>
      <c r="I796" s="79" t="str">
        <f>IFERROR(_xlfn.XLOOKUP(Table6[[#This Row],[Affected Feeder ]],'Basic Data'!$A:$A,'Basic Data'!$C:$C),"")</f>
        <v>MSEDCL</v>
      </c>
      <c r="J796" s="295">
        <f>IFERROR(_xlfn.XLOOKUP(Table6[[#This Row],[Affected Feeder ]],'Basic Data'!$A:$A,'Basic Data'!$E:$E),"")</f>
        <v>2.2727272727272728E-2</v>
      </c>
      <c r="K796" s="296" t="s">
        <v>171</v>
      </c>
      <c r="L796" s="297">
        <v>0.70624999999999993</v>
      </c>
      <c r="M796" s="297">
        <v>0.70624999999999993</v>
      </c>
      <c r="N796" s="297">
        <v>0.71597222222222223</v>
      </c>
      <c r="O796" s="19">
        <f>(Table6[[#This Row],[Work Start TimeStamp]]-Table6[[#This Row],[Fault Start TimeStamp]])*24</f>
        <v>0</v>
      </c>
      <c r="P796" s="19">
        <f>(Table6[[#This Row],[Fault Clearance time]]-Table6[[#This Row],[Fault Start TimeStamp]])*24</f>
        <v>0.23333333333333517</v>
      </c>
      <c r="Q796" s="19">
        <f>(Table6[[#This Row],[Fault Clearance time]]-Table6[[#This Row],[Fault Start TimeStamp]])*24</f>
        <v>0.23333333333333517</v>
      </c>
      <c r="R796" s="79" t="s">
        <v>353</v>
      </c>
      <c r="S796" s="79" t="s">
        <v>339</v>
      </c>
      <c r="T796" s="298">
        <f>IFERROR(Table6[[#This Row],[Breakdown Time]]*Table6[[#This Row],[Plant Equivalent Weightage]],"")</f>
        <v>5.303030303030345E-3</v>
      </c>
      <c r="U796" s="79" t="s">
        <v>421</v>
      </c>
      <c r="W796" s="79">
        <v>142</v>
      </c>
    </row>
    <row r="797" spans="1:23">
      <c r="A797" s="79">
        <f t="shared" si="12"/>
        <v>796</v>
      </c>
      <c r="B797" s="79">
        <f>YEAR(Table6[[#This Row],[Date]])+IF(MONTH(Table6[[#This Row],[Date]])&gt;=4,1,0)</f>
        <v>2026</v>
      </c>
      <c r="C797" s="79">
        <f>YEAR(Table6[[#This Row],[Date]])</f>
        <v>2025</v>
      </c>
      <c r="D797" s="79" t="s">
        <v>344</v>
      </c>
      <c r="E797" s="284">
        <f>Table6[[#This Row],[Date]]-DAY(Table6[[#This Row],[Date]])+1</f>
        <v>45809</v>
      </c>
      <c r="F797" s="285">
        <v>45813</v>
      </c>
      <c r="G797" s="79" t="s">
        <v>112</v>
      </c>
      <c r="H797" s="79" t="str">
        <f>IFERROR(_xlfn.XLOOKUP(Table6[[#This Row],[Affected Feeder ]],'Basic Data'!$A:$A,'Basic Data'!$B:$B),"")</f>
        <v>PWEPL</v>
      </c>
      <c r="I797" s="79" t="str">
        <f>IFERROR(_xlfn.XLOOKUP(Table6[[#This Row],[Affected Feeder ]],'Basic Data'!$A:$A,'Basic Data'!$C:$C),"")</f>
        <v>MSEDCL</v>
      </c>
      <c r="J797" s="295">
        <f>IFERROR(_xlfn.XLOOKUP(Table6[[#This Row],[Affected Feeder ]],'Basic Data'!$A:$A,'Basic Data'!$E:$E),"")</f>
        <v>2.2727272727272728E-2</v>
      </c>
      <c r="K797" s="296" t="s">
        <v>171</v>
      </c>
      <c r="L797" s="297">
        <v>0.70624999999999993</v>
      </c>
      <c r="M797" s="297">
        <v>0.70624999999999993</v>
      </c>
      <c r="N797" s="297">
        <v>0.71458333333333324</v>
      </c>
      <c r="O797" s="19">
        <f>(Table6[[#This Row],[Work Start TimeStamp]]-Table6[[#This Row],[Fault Start TimeStamp]])*24</f>
        <v>0</v>
      </c>
      <c r="P797" s="19">
        <f>(Table6[[#This Row],[Fault Clearance time]]-Table6[[#This Row],[Fault Start TimeStamp]])*24</f>
        <v>0.19999999999999929</v>
      </c>
      <c r="Q797" s="19">
        <f>(Table6[[#This Row],[Fault Clearance time]]-Table6[[#This Row],[Fault Start TimeStamp]])*24</f>
        <v>0.19999999999999929</v>
      </c>
      <c r="R797" s="79" t="s">
        <v>353</v>
      </c>
      <c r="S797" s="79" t="s">
        <v>339</v>
      </c>
      <c r="T797" s="298">
        <f>IFERROR(Table6[[#This Row],[Breakdown Time]]*Table6[[#This Row],[Plant Equivalent Weightage]],"")</f>
        <v>4.5454545454545296E-3</v>
      </c>
      <c r="U797" s="79" t="s">
        <v>421</v>
      </c>
      <c r="W797" s="79">
        <v>122</v>
      </c>
    </row>
    <row r="798" spans="1:23">
      <c r="A798" s="79">
        <f t="shared" si="12"/>
        <v>797</v>
      </c>
      <c r="B798" s="79">
        <f>YEAR(Table6[[#This Row],[Date]])+IF(MONTH(Table6[[#This Row],[Date]])&gt;=4,1,0)</f>
        <v>2026</v>
      </c>
      <c r="C798" s="79">
        <f>YEAR(Table6[[#This Row],[Date]])</f>
        <v>2025</v>
      </c>
      <c r="D798" s="79" t="s">
        <v>344</v>
      </c>
      <c r="E798" s="284">
        <f>Table6[[#This Row],[Date]]-DAY(Table6[[#This Row],[Date]])+1</f>
        <v>45809</v>
      </c>
      <c r="F798" s="285">
        <v>45813</v>
      </c>
      <c r="G798" s="79" t="s">
        <v>113</v>
      </c>
      <c r="H798" s="79" t="str">
        <f>IFERROR(_xlfn.XLOOKUP(Table6[[#This Row],[Affected Feeder ]],'Basic Data'!$A:$A,'Basic Data'!$B:$B),"")</f>
        <v>PWEPL</v>
      </c>
      <c r="I798" s="79" t="str">
        <f>IFERROR(_xlfn.XLOOKUP(Table6[[#This Row],[Affected Feeder ]],'Basic Data'!$A:$A,'Basic Data'!$C:$C),"")</f>
        <v>MSEDCL</v>
      </c>
      <c r="J798" s="295">
        <f>IFERROR(_xlfn.XLOOKUP(Table6[[#This Row],[Affected Feeder ]],'Basic Data'!$A:$A,'Basic Data'!$E:$E),"")</f>
        <v>2.2727272727272728E-2</v>
      </c>
      <c r="K798" s="296" t="s">
        <v>171</v>
      </c>
      <c r="L798" s="297">
        <v>0.70624999999999993</v>
      </c>
      <c r="M798" s="297">
        <v>0.70624999999999993</v>
      </c>
      <c r="N798" s="297">
        <v>0.71458333333333324</v>
      </c>
      <c r="O798" s="19">
        <f>(Table6[[#This Row],[Work Start TimeStamp]]-Table6[[#This Row],[Fault Start TimeStamp]])*24</f>
        <v>0</v>
      </c>
      <c r="P798" s="19">
        <f>(Table6[[#This Row],[Fault Clearance time]]-Table6[[#This Row],[Fault Start TimeStamp]])*24</f>
        <v>0.19999999999999929</v>
      </c>
      <c r="Q798" s="19">
        <f>(Table6[[#This Row],[Fault Clearance time]]-Table6[[#This Row],[Fault Start TimeStamp]])*24</f>
        <v>0.19999999999999929</v>
      </c>
      <c r="R798" s="79" t="s">
        <v>353</v>
      </c>
      <c r="S798" s="79" t="s">
        <v>339</v>
      </c>
      <c r="T798" s="298">
        <f>IFERROR(Table6[[#This Row],[Breakdown Time]]*Table6[[#This Row],[Plant Equivalent Weightage]],"")</f>
        <v>4.5454545454545296E-3</v>
      </c>
      <c r="U798" s="79" t="s">
        <v>421</v>
      </c>
      <c r="W798" s="79">
        <v>122</v>
      </c>
    </row>
    <row r="799" spans="1:23">
      <c r="A799" s="79">
        <f t="shared" si="12"/>
        <v>798</v>
      </c>
      <c r="B799" s="79">
        <f>YEAR(Table6[[#This Row],[Date]])+IF(MONTH(Table6[[#This Row],[Date]])&gt;=4,1,0)</f>
        <v>2026</v>
      </c>
      <c r="C799" s="79">
        <f>YEAR(Table6[[#This Row],[Date]])</f>
        <v>2025</v>
      </c>
      <c r="D799" s="79" t="s">
        <v>344</v>
      </c>
      <c r="E799" s="284">
        <f>Table6[[#This Row],[Date]]-DAY(Table6[[#This Row],[Date]])+1</f>
        <v>45809</v>
      </c>
      <c r="F799" s="285">
        <v>45813</v>
      </c>
      <c r="G799" s="79" t="s">
        <v>114</v>
      </c>
      <c r="H799" s="79" t="str">
        <f>IFERROR(_xlfn.XLOOKUP(Table6[[#This Row],[Affected Feeder ]],'Basic Data'!$A:$A,'Basic Data'!$B:$B),"")</f>
        <v>PWEPL</v>
      </c>
      <c r="I799" s="79" t="str">
        <f>IFERROR(_xlfn.XLOOKUP(Table6[[#This Row],[Affected Feeder ]],'Basic Data'!$A:$A,'Basic Data'!$C:$C),"")</f>
        <v>MSEDCL</v>
      </c>
      <c r="J799" s="295">
        <f>IFERROR(_xlfn.XLOOKUP(Table6[[#This Row],[Affected Feeder ]],'Basic Data'!$A:$A,'Basic Data'!$E:$E),"")</f>
        <v>2.2727272727272728E-2</v>
      </c>
      <c r="K799" s="296" t="s">
        <v>171</v>
      </c>
      <c r="L799" s="297">
        <v>0.70624999999999993</v>
      </c>
      <c r="M799" s="297">
        <v>0.70624999999999993</v>
      </c>
      <c r="N799" s="297">
        <v>0.71527777777777779</v>
      </c>
      <c r="O799" s="19">
        <f>(Table6[[#This Row],[Work Start TimeStamp]]-Table6[[#This Row],[Fault Start TimeStamp]])*24</f>
        <v>0</v>
      </c>
      <c r="P799" s="19">
        <f>(Table6[[#This Row],[Fault Clearance time]]-Table6[[#This Row],[Fault Start TimeStamp]])*24</f>
        <v>0.21666666666666856</v>
      </c>
      <c r="Q799" s="19">
        <f>(Table6[[#This Row],[Fault Clearance time]]-Table6[[#This Row],[Fault Start TimeStamp]])*24</f>
        <v>0.21666666666666856</v>
      </c>
      <c r="R799" s="79" t="s">
        <v>353</v>
      </c>
      <c r="S799" s="79" t="s">
        <v>339</v>
      </c>
      <c r="T799" s="298">
        <f>IFERROR(Table6[[#This Row],[Breakdown Time]]*Table6[[#This Row],[Plant Equivalent Weightage]],"")</f>
        <v>4.9242424242424672E-3</v>
      </c>
      <c r="U799" s="79" t="s">
        <v>421</v>
      </c>
      <c r="W799" s="79">
        <v>132</v>
      </c>
    </row>
    <row r="800" spans="1:23">
      <c r="A800" s="79">
        <f t="shared" si="12"/>
        <v>799</v>
      </c>
      <c r="B800" s="79">
        <f>YEAR(Table6[[#This Row],[Date]])+IF(MONTH(Table6[[#This Row],[Date]])&gt;=4,1,0)</f>
        <v>2026</v>
      </c>
      <c r="C800" s="79">
        <f>YEAR(Table6[[#This Row],[Date]])</f>
        <v>2025</v>
      </c>
      <c r="D800" s="79" t="s">
        <v>344</v>
      </c>
      <c r="E800" s="284">
        <f>Table6[[#This Row],[Date]]-DAY(Table6[[#This Row],[Date]])+1</f>
        <v>45809</v>
      </c>
      <c r="F800" s="285">
        <v>45813</v>
      </c>
      <c r="G800" s="79" t="s">
        <v>80</v>
      </c>
      <c r="H800" s="79" t="str">
        <f>IFERROR(_xlfn.XLOOKUP(Table6[[#This Row],[Affected Feeder ]],'Basic Data'!$A:$A,'Basic Data'!$B:$B),"")</f>
        <v>PWEPL</v>
      </c>
      <c r="I800" s="79" t="str">
        <f>IFERROR(_xlfn.XLOOKUP(Table6[[#This Row],[Affected Feeder ]],'Basic Data'!$A:$A,'Basic Data'!$C:$C),"")</f>
        <v>MSEDCL</v>
      </c>
      <c r="J800" s="295">
        <f>IFERROR(_xlfn.XLOOKUP(Table6[[#This Row],[Affected Feeder ]],'Basic Data'!$A:$A,'Basic Data'!$E:$E),"")</f>
        <v>2.2727272727272728E-2</v>
      </c>
      <c r="K800" s="296" t="s">
        <v>171</v>
      </c>
      <c r="L800" s="297">
        <v>0.70624999999999993</v>
      </c>
      <c r="M800" s="297">
        <v>0.70624999999999993</v>
      </c>
      <c r="N800" s="297">
        <v>0.71458333333333324</v>
      </c>
      <c r="O800" s="19">
        <f>(Table6[[#This Row],[Work Start TimeStamp]]-Table6[[#This Row],[Fault Start TimeStamp]])*24</f>
        <v>0</v>
      </c>
      <c r="P800" s="19">
        <f>(Table6[[#This Row],[Fault Clearance time]]-Table6[[#This Row],[Fault Start TimeStamp]])*24</f>
        <v>0.19999999999999929</v>
      </c>
      <c r="Q800" s="19">
        <f>(Table6[[#This Row],[Fault Clearance time]]-Table6[[#This Row],[Fault Start TimeStamp]])*24</f>
        <v>0.19999999999999929</v>
      </c>
      <c r="R800" s="79" t="s">
        <v>353</v>
      </c>
      <c r="S800" s="79" t="s">
        <v>339</v>
      </c>
      <c r="T800" s="298">
        <f>IFERROR(Table6[[#This Row],[Breakdown Time]]*Table6[[#This Row],[Plant Equivalent Weightage]],"")</f>
        <v>4.5454545454545296E-3</v>
      </c>
      <c r="U800" s="79" t="s">
        <v>421</v>
      </c>
      <c r="W800" s="79">
        <v>122</v>
      </c>
    </row>
    <row r="801" spans="1:23">
      <c r="A801" s="79">
        <f t="shared" si="12"/>
        <v>800</v>
      </c>
      <c r="B801" s="79">
        <f>YEAR(Table6[[#This Row],[Date]])+IF(MONTH(Table6[[#This Row],[Date]])&gt;=4,1,0)</f>
        <v>2026</v>
      </c>
      <c r="C801" s="79">
        <f>YEAR(Table6[[#This Row],[Date]])</f>
        <v>2025</v>
      </c>
      <c r="D801" s="79" t="s">
        <v>344</v>
      </c>
      <c r="E801" s="284">
        <f>Table6[[#This Row],[Date]]-DAY(Table6[[#This Row],[Date]])+1</f>
        <v>45809</v>
      </c>
      <c r="F801" s="285">
        <v>45813</v>
      </c>
      <c r="G801" s="79" t="s">
        <v>81</v>
      </c>
      <c r="H801" s="79" t="str">
        <f>IFERROR(_xlfn.XLOOKUP(Table6[[#This Row],[Affected Feeder ]],'Basic Data'!$A:$A,'Basic Data'!$B:$B),"")</f>
        <v>PWEPL</v>
      </c>
      <c r="I801" s="79" t="str">
        <f>IFERROR(_xlfn.XLOOKUP(Table6[[#This Row],[Affected Feeder ]],'Basic Data'!$A:$A,'Basic Data'!$C:$C),"")</f>
        <v>MSEDCL</v>
      </c>
      <c r="J801" s="295">
        <f>IFERROR(_xlfn.XLOOKUP(Table6[[#This Row],[Affected Feeder ]],'Basic Data'!$A:$A,'Basic Data'!$E:$E),"")</f>
        <v>2.2727272727272728E-2</v>
      </c>
      <c r="K801" s="296" t="s">
        <v>171</v>
      </c>
      <c r="L801" s="297">
        <v>0.70624999999999993</v>
      </c>
      <c r="M801" s="297">
        <v>0.70624999999999993</v>
      </c>
      <c r="N801" s="297">
        <v>0.71736111111111101</v>
      </c>
      <c r="O801" s="19">
        <f>(Table6[[#This Row],[Work Start TimeStamp]]-Table6[[#This Row],[Fault Start TimeStamp]])*24</f>
        <v>0</v>
      </c>
      <c r="P801" s="19">
        <f>(Table6[[#This Row],[Fault Clearance time]]-Table6[[#This Row],[Fault Start TimeStamp]])*24</f>
        <v>0.26666666666666572</v>
      </c>
      <c r="Q801" s="19">
        <f>(Table6[[#This Row],[Fault Clearance time]]-Table6[[#This Row],[Fault Start TimeStamp]])*24</f>
        <v>0.26666666666666572</v>
      </c>
      <c r="R801" s="79" t="s">
        <v>353</v>
      </c>
      <c r="S801" s="79" t="s">
        <v>339</v>
      </c>
      <c r="T801" s="298">
        <f>IFERROR(Table6[[#This Row],[Breakdown Time]]*Table6[[#This Row],[Plant Equivalent Weightage]],"")</f>
        <v>6.0606060606060389E-3</v>
      </c>
      <c r="U801" s="79" t="s">
        <v>421</v>
      </c>
      <c r="W801" s="79">
        <v>162</v>
      </c>
    </row>
    <row r="802" spans="1:23">
      <c r="A802" s="79">
        <f t="shared" si="12"/>
        <v>801</v>
      </c>
      <c r="B802" s="79">
        <f>YEAR(Table6[[#This Row],[Date]])+IF(MONTH(Table6[[#This Row],[Date]])&gt;=4,1,0)</f>
        <v>2026</v>
      </c>
      <c r="C802" s="79">
        <f>YEAR(Table6[[#This Row],[Date]])</f>
        <v>2025</v>
      </c>
      <c r="D802" s="79" t="s">
        <v>344</v>
      </c>
      <c r="E802" s="284">
        <f>Table6[[#This Row],[Date]]-DAY(Table6[[#This Row],[Date]])+1</f>
        <v>45809</v>
      </c>
      <c r="F802" s="285">
        <v>45813</v>
      </c>
      <c r="G802" s="79" t="s">
        <v>107</v>
      </c>
      <c r="H802" s="79" t="str">
        <f>IFERROR(_xlfn.XLOOKUP(Table6[[#This Row],[Affected Feeder ]],'Basic Data'!$A:$A,'Basic Data'!$B:$B),"")</f>
        <v>PWEPL</v>
      </c>
      <c r="I802" s="79" t="str">
        <f>IFERROR(_xlfn.XLOOKUP(Table6[[#This Row],[Affected Feeder ]],'Basic Data'!$A:$A,'Basic Data'!$C:$C),"")</f>
        <v>MSEDCL</v>
      </c>
      <c r="J802" s="295">
        <f>IFERROR(_xlfn.XLOOKUP(Table6[[#This Row],[Affected Feeder ]],'Basic Data'!$A:$A,'Basic Data'!$E:$E),"")</f>
        <v>2.2727272727272728E-2</v>
      </c>
      <c r="K802" s="296" t="s">
        <v>171</v>
      </c>
      <c r="L802" s="297">
        <v>0.70624999999999993</v>
      </c>
      <c r="M802" s="297">
        <v>0.70624999999999993</v>
      </c>
      <c r="N802" s="297">
        <v>0.71666666666666667</v>
      </c>
      <c r="O802" s="19">
        <f>(Table6[[#This Row],[Work Start TimeStamp]]-Table6[[#This Row],[Fault Start TimeStamp]])*24</f>
        <v>0</v>
      </c>
      <c r="P802" s="19">
        <f>(Table6[[#This Row],[Fault Clearance time]]-Table6[[#This Row],[Fault Start TimeStamp]])*24</f>
        <v>0.25000000000000178</v>
      </c>
      <c r="Q802" s="19">
        <f>(Table6[[#This Row],[Fault Clearance time]]-Table6[[#This Row],[Fault Start TimeStamp]])*24</f>
        <v>0.25000000000000178</v>
      </c>
      <c r="R802" s="79" t="s">
        <v>353</v>
      </c>
      <c r="S802" s="79" t="s">
        <v>339</v>
      </c>
      <c r="T802" s="298">
        <f>IFERROR(Table6[[#This Row],[Breakdown Time]]*Table6[[#This Row],[Plant Equivalent Weightage]],"")</f>
        <v>5.6818181818182227E-3</v>
      </c>
      <c r="U802" s="79" t="s">
        <v>421</v>
      </c>
      <c r="W802" s="79">
        <v>152</v>
      </c>
    </row>
    <row r="803" spans="1:23">
      <c r="A803" s="79">
        <f t="shared" si="12"/>
        <v>802</v>
      </c>
      <c r="B803" s="79">
        <f>YEAR(Table6[[#This Row],[Date]])+IF(MONTH(Table6[[#This Row],[Date]])&gt;=4,1,0)</f>
        <v>2026</v>
      </c>
      <c r="C803" s="79">
        <f>YEAR(Table6[[#This Row],[Date]])</f>
        <v>2025</v>
      </c>
      <c r="D803" s="79" t="s">
        <v>344</v>
      </c>
      <c r="E803" s="284">
        <f>Table6[[#This Row],[Date]]-DAY(Table6[[#This Row],[Date]])+1</f>
        <v>45809</v>
      </c>
      <c r="F803" s="285">
        <v>45813</v>
      </c>
      <c r="G803" s="79" t="s">
        <v>108</v>
      </c>
      <c r="H803" s="79" t="str">
        <f>IFERROR(_xlfn.XLOOKUP(Table6[[#This Row],[Affected Feeder ]],'Basic Data'!$A:$A,'Basic Data'!$B:$B),"")</f>
        <v>PWEPL</v>
      </c>
      <c r="I803" s="79" t="str">
        <f>IFERROR(_xlfn.XLOOKUP(Table6[[#This Row],[Affected Feeder ]],'Basic Data'!$A:$A,'Basic Data'!$C:$C),"")</f>
        <v>MSEDCL</v>
      </c>
      <c r="J803" s="295">
        <f>IFERROR(_xlfn.XLOOKUP(Table6[[#This Row],[Affected Feeder ]],'Basic Data'!$A:$A,'Basic Data'!$E:$E),"")</f>
        <v>2.2727272727272728E-2</v>
      </c>
      <c r="K803" s="296" t="s">
        <v>171</v>
      </c>
      <c r="L803" s="297">
        <v>0.70624999999999993</v>
      </c>
      <c r="M803" s="297">
        <v>0.70624999999999993</v>
      </c>
      <c r="N803" s="297">
        <v>0.71944444444444444</v>
      </c>
      <c r="O803" s="19">
        <f>(Table6[[#This Row],[Work Start TimeStamp]]-Table6[[#This Row],[Fault Start TimeStamp]])*24</f>
        <v>0</v>
      </c>
      <c r="P803" s="19">
        <f>(Table6[[#This Row],[Fault Clearance time]]-Table6[[#This Row],[Fault Start TimeStamp]])*24</f>
        <v>0.31666666666666821</v>
      </c>
      <c r="Q803" s="19">
        <f>(Table6[[#This Row],[Fault Clearance time]]-Table6[[#This Row],[Fault Start TimeStamp]])*24</f>
        <v>0.31666666666666821</v>
      </c>
      <c r="R803" s="79" t="s">
        <v>353</v>
      </c>
      <c r="S803" s="79" t="s">
        <v>339</v>
      </c>
      <c r="T803" s="298">
        <f>IFERROR(Table6[[#This Row],[Breakdown Time]]*Table6[[#This Row],[Plant Equivalent Weightage]],"")</f>
        <v>7.196969696969732E-3</v>
      </c>
      <c r="U803" s="79" t="s">
        <v>421</v>
      </c>
      <c r="W803" s="79">
        <v>193</v>
      </c>
    </row>
    <row r="804" spans="1:23">
      <c r="A804" s="79">
        <f t="shared" si="12"/>
        <v>803</v>
      </c>
      <c r="B804" s="79">
        <f>YEAR(Table6[[#This Row],[Date]])+IF(MONTH(Table6[[#This Row],[Date]])&gt;=4,1,0)</f>
        <v>2026</v>
      </c>
      <c r="C804" s="79">
        <f>YEAR(Table6[[#This Row],[Date]])</f>
        <v>2025</v>
      </c>
      <c r="D804" s="79" t="s">
        <v>344</v>
      </c>
      <c r="E804" s="284">
        <f>Table6[[#This Row],[Date]]-DAY(Table6[[#This Row],[Date]])+1</f>
        <v>45809</v>
      </c>
      <c r="F804" s="285">
        <v>45825</v>
      </c>
      <c r="G804" s="79" t="s">
        <v>406</v>
      </c>
      <c r="H804" s="79" t="str">
        <f>IFERROR(_xlfn.XLOOKUP(Table6[[#This Row],[Affected Feeder ]],'Basic Data'!$A:$A,'Basic Data'!$B:$B),"")</f>
        <v>PWEPL</v>
      </c>
      <c r="I804" s="79" t="str">
        <f>IFERROR(_xlfn.XLOOKUP(Table6[[#This Row],[Affected Feeder ]],'Basic Data'!$A:$A,'Basic Data'!$C:$C),"")</f>
        <v>MSEDCL</v>
      </c>
      <c r="J804" s="295">
        <f>IFERROR(_xlfn.XLOOKUP(Table6[[#This Row],[Affected Feeder ]],'Basic Data'!$A:$A,'Basic Data'!$E:$E),"")</f>
        <v>0.29545454545454541</v>
      </c>
      <c r="K804" s="296" t="s">
        <v>419</v>
      </c>
      <c r="L804" s="297">
        <v>0.73402777777777783</v>
      </c>
      <c r="M804" s="297">
        <v>0.73402777777777783</v>
      </c>
      <c r="N804" s="297">
        <v>0.77777777777777779</v>
      </c>
      <c r="O804" s="19">
        <f>(Table6[[#This Row],[Work Start TimeStamp]]-Table6[[#This Row],[Fault Start TimeStamp]])*24</f>
        <v>0</v>
      </c>
      <c r="P804" s="19">
        <f>(Table6[[#This Row],[Fault Clearance time]]-Table6[[#This Row],[Fault Start TimeStamp]])*24</f>
        <v>1.0499999999999989</v>
      </c>
      <c r="Q804" s="19">
        <f>(Table6[[#This Row],[Fault Clearance time]]-Table6[[#This Row],[Fault Start TimeStamp]])*24</f>
        <v>1.0499999999999989</v>
      </c>
      <c r="R804" s="79" t="s">
        <v>420</v>
      </c>
      <c r="S804" s="79" t="s">
        <v>339</v>
      </c>
      <c r="T804" s="298">
        <f>IFERROR(Table6[[#This Row],[Breakdown Time]]*Table6[[#This Row],[Plant Equivalent Weightage]],"")</f>
        <v>0.31022727272727235</v>
      </c>
      <c r="U804" s="79" t="s">
        <v>421</v>
      </c>
      <c r="W804" s="79">
        <v>23181</v>
      </c>
    </row>
    <row r="805" spans="1:23">
      <c r="A805" s="79">
        <f t="shared" si="12"/>
        <v>804</v>
      </c>
      <c r="B805" s="79">
        <f>YEAR(Table6[[#This Row],[Date]])+IF(MONTH(Table6[[#This Row],[Date]])&gt;=4,1,0)</f>
        <v>2026</v>
      </c>
      <c r="C805" s="79">
        <f>YEAR(Table6[[#This Row],[Date]])</f>
        <v>2025</v>
      </c>
      <c r="D805" s="79" t="s">
        <v>344</v>
      </c>
      <c r="E805" s="284">
        <f>Table6[[#This Row],[Date]]-DAY(Table6[[#This Row],[Date]])+1</f>
        <v>45809</v>
      </c>
      <c r="F805" s="285">
        <v>45825</v>
      </c>
      <c r="G805" s="79" t="s">
        <v>76</v>
      </c>
      <c r="H805" s="79" t="str">
        <f>IFERROR(_xlfn.XLOOKUP(Table6[[#This Row],[Affected Feeder ]],'Basic Data'!$A:$A,'Basic Data'!$B:$B),"")</f>
        <v>PWEPL</v>
      </c>
      <c r="I805" s="79" t="str">
        <f>IFERROR(_xlfn.XLOOKUP(Table6[[#This Row],[Affected Feeder ]],'Basic Data'!$A:$A,'Basic Data'!$C:$C),"")</f>
        <v>MSEDCL</v>
      </c>
      <c r="J805" s="295">
        <f>IFERROR(_xlfn.XLOOKUP(Table6[[#This Row],[Affected Feeder ]],'Basic Data'!$A:$A,'Basic Data'!$E:$E),"")</f>
        <v>2.2727272727272728E-2</v>
      </c>
      <c r="K805" s="296" t="s">
        <v>171</v>
      </c>
      <c r="L805" s="297">
        <v>0.77777777777777779</v>
      </c>
      <c r="M805" s="297">
        <v>0.77777777777777779</v>
      </c>
      <c r="N805" s="297">
        <v>0.79166666666666663</v>
      </c>
      <c r="O805" s="19">
        <f>(Table6[[#This Row],[Work Start TimeStamp]]-Table6[[#This Row],[Fault Start TimeStamp]])*24</f>
        <v>0</v>
      </c>
      <c r="P805" s="19">
        <f>(Table6[[#This Row],[Fault Clearance time]]-Table6[[#This Row],[Fault Start TimeStamp]])*24</f>
        <v>0.33333333333333215</v>
      </c>
      <c r="Q805" s="19">
        <f>(Table6[[#This Row],[Fault Clearance time]]-Table6[[#This Row],[Fault Start TimeStamp]])*24</f>
        <v>0.33333333333333215</v>
      </c>
      <c r="R805" s="79" t="s">
        <v>353</v>
      </c>
      <c r="S805" s="79" t="s">
        <v>339</v>
      </c>
      <c r="T805" s="298">
        <f>IFERROR(Table6[[#This Row],[Breakdown Time]]*Table6[[#This Row],[Plant Equivalent Weightage]],"")</f>
        <v>7.5757575757575491E-3</v>
      </c>
      <c r="U805" s="79" t="s">
        <v>421</v>
      </c>
      <c r="W805" s="79">
        <v>445</v>
      </c>
    </row>
    <row r="806" spans="1:23">
      <c r="A806" s="79">
        <f t="shared" si="12"/>
        <v>805</v>
      </c>
      <c r="B806" s="79">
        <f>YEAR(Table6[[#This Row],[Date]])+IF(MONTH(Table6[[#This Row],[Date]])&gt;=4,1,0)</f>
        <v>2026</v>
      </c>
      <c r="C806" s="79">
        <f>YEAR(Table6[[#This Row],[Date]])</f>
        <v>2025</v>
      </c>
      <c r="D806" s="79" t="s">
        <v>344</v>
      </c>
      <c r="E806" s="284">
        <f>Table6[[#This Row],[Date]]-DAY(Table6[[#This Row],[Date]])+1</f>
        <v>45809</v>
      </c>
      <c r="F806" s="285">
        <v>45825</v>
      </c>
      <c r="G806" s="79" t="s">
        <v>77</v>
      </c>
      <c r="H806" s="79" t="str">
        <f>IFERROR(_xlfn.XLOOKUP(Table6[[#This Row],[Affected Feeder ]],'Basic Data'!$A:$A,'Basic Data'!$B:$B),"")</f>
        <v>PWEPL</v>
      </c>
      <c r="I806" s="79" t="str">
        <f>IFERROR(_xlfn.XLOOKUP(Table6[[#This Row],[Affected Feeder ]],'Basic Data'!$A:$A,'Basic Data'!$C:$C),"")</f>
        <v>MSEDCL</v>
      </c>
      <c r="J806" s="295">
        <f>IFERROR(_xlfn.XLOOKUP(Table6[[#This Row],[Affected Feeder ]],'Basic Data'!$A:$A,'Basic Data'!$E:$E),"")</f>
        <v>2.2727272727272728E-2</v>
      </c>
      <c r="K806" s="296" t="s">
        <v>171</v>
      </c>
      <c r="L806" s="297">
        <v>0.77777777777777779</v>
      </c>
      <c r="M806" s="297">
        <v>0.77777777777777779</v>
      </c>
      <c r="N806" s="297">
        <v>0.79166666666666663</v>
      </c>
      <c r="O806" s="19">
        <f>(Table6[[#This Row],[Work Start TimeStamp]]-Table6[[#This Row],[Fault Start TimeStamp]])*24</f>
        <v>0</v>
      </c>
      <c r="P806" s="19">
        <f>(Table6[[#This Row],[Fault Clearance time]]-Table6[[#This Row],[Fault Start TimeStamp]])*24</f>
        <v>0.33333333333333215</v>
      </c>
      <c r="Q806" s="19">
        <f>(Table6[[#This Row],[Fault Clearance time]]-Table6[[#This Row],[Fault Start TimeStamp]])*24</f>
        <v>0.33333333333333215</v>
      </c>
      <c r="R806" s="79" t="s">
        <v>353</v>
      </c>
      <c r="S806" s="79" t="s">
        <v>339</v>
      </c>
      <c r="T806" s="298">
        <f>IFERROR(Table6[[#This Row],[Breakdown Time]]*Table6[[#This Row],[Plant Equivalent Weightage]],"")</f>
        <v>7.5757575757575491E-3</v>
      </c>
      <c r="U806" s="79" t="s">
        <v>421</v>
      </c>
      <c r="W806" s="79">
        <v>445</v>
      </c>
    </row>
    <row r="807" spans="1:23">
      <c r="A807" s="79">
        <f t="shared" si="12"/>
        <v>806</v>
      </c>
      <c r="B807" s="79">
        <f>YEAR(Table6[[#This Row],[Date]])+IF(MONTH(Table6[[#This Row],[Date]])&gt;=4,1,0)</f>
        <v>2026</v>
      </c>
      <c r="C807" s="79">
        <f>YEAR(Table6[[#This Row],[Date]])</f>
        <v>2025</v>
      </c>
      <c r="D807" s="79" t="s">
        <v>344</v>
      </c>
      <c r="E807" s="284">
        <f>Table6[[#This Row],[Date]]-DAY(Table6[[#This Row],[Date]])+1</f>
        <v>45809</v>
      </c>
      <c r="F807" s="285">
        <v>45825</v>
      </c>
      <c r="G807" s="79" t="s">
        <v>78</v>
      </c>
      <c r="H807" s="79" t="str">
        <f>IFERROR(_xlfn.XLOOKUP(Table6[[#This Row],[Affected Feeder ]],'Basic Data'!$A:$A,'Basic Data'!$B:$B),"")</f>
        <v>PWEPL</v>
      </c>
      <c r="I807" s="79" t="str">
        <f>IFERROR(_xlfn.XLOOKUP(Table6[[#This Row],[Affected Feeder ]],'Basic Data'!$A:$A,'Basic Data'!$C:$C),"")</f>
        <v>MSEDCL</v>
      </c>
      <c r="J807" s="295">
        <f>IFERROR(_xlfn.XLOOKUP(Table6[[#This Row],[Affected Feeder ]],'Basic Data'!$A:$A,'Basic Data'!$E:$E),"")</f>
        <v>2.2727272727272728E-2</v>
      </c>
      <c r="K807" s="296" t="s">
        <v>171</v>
      </c>
      <c r="L807" s="297">
        <v>0.77777777777777779</v>
      </c>
      <c r="M807" s="297">
        <v>0.77777777777777779</v>
      </c>
      <c r="N807" s="297">
        <v>0.79166666666666663</v>
      </c>
      <c r="O807" s="19">
        <f>(Table6[[#This Row],[Work Start TimeStamp]]-Table6[[#This Row],[Fault Start TimeStamp]])*24</f>
        <v>0</v>
      </c>
      <c r="P807" s="19">
        <f>(Table6[[#This Row],[Fault Clearance time]]-Table6[[#This Row],[Fault Start TimeStamp]])*24</f>
        <v>0.33333333333333215</v>
      </c>
      <c r="Q807" s="19">
        <f>(Table6[[#This Row],[Fault Clearance time]]-Table6[[#This Row],[Fault Start TimeStamp]])*24</f>
        <v>0.33333333333333215</v>
      </c>
      <c r="R807" s="79" t="s">
        <v>353</v>
      </c>
      <c r="S807" s="79" t="s">
        <v>339</v>
      </c>
      <c r="T807" s="298">
        <f>IFERROR(Table6[[#This Row],[Breakdown Time]]*Table6[[#This Row],[Plant Equivalent Weightage]],"")</f>
        <v>7.5757575757575491E-3</v>
      </c>
      <c r="U807" s="79" t="s">
        <v>421</v>
      </c>
      <c r="W807" s="79">
        <v>445</v>
      </c>
    </row>
    <row r="808" spans="1:23">
      <c r="A808" s="79">
        <f t="shared" si="12"/>
        <v>807</v>
      </c>
      <c r="B808" s="79">
        <f>YEAR(Table6[[#This Row],[Date]])+IF(MONTH(Table6[[#This Row],[Date]])&gt;=4,1,0)</f>
        <v>2026</v>
      </c>
      <c r="C808" s="79">
        <f>YEAR(Table6[[#This Row],[Date]])</f>
        <v>2025</v>
      </c>
      <c r="D808" s="79" t="s">
        <v>344</v>
      </c>
      <c r="E808" s="284">
        <f>Table6[[#This Row],[Date]]-DAY(Table6[[#This Row],[Date]])+1</f>
        <v>45809</v>
      </c>
      <c r="F808" s="285">
        <v>45825</v>
      </c>
      <c r="G808" s="79" t="s">
        <v>82</v>
      </c>
      <c r="H808" s="79" t="str">
        <f>IFERROR(_xlfn.XLOOKUP(Table6[[#This Row],[Affected Feeder ]],'Basic Data'!$A:$A,'Basic Data'!$B:$B),"")</f>
        <v>PWEPL</v>
      </c>
      <c r="I808" s="79" t="str">
        <f>IFERROR(_xlfn.XLOOKUP(Table6[[#This Row],[Affected Feeder ]],'Basic Data'!$A:$A,'Basic Data'!$C:$C),"")</f>
        <v>MSEDCL</v>
      </c>
      <c r="J808" s="295">
        <f>IFERROR(_xlfn.XLOOKUP(Table6[[#This Row],[Affected Feeder ]],'Basic Data'!$A:$A,'Basic Data'!$E:$E),"")</f>
        <v>2.2727272727272728E-2</v>
      </c>
      <c r="K808" s="296" t="s">
        <v>171</v>
      </c>
      <c r="L808" s="297">
        <v>0.77777777777777779</v>
      </c>
      <c r="M808" s="297">
        <v>0.77777777777777779</v>
      </c>
      <c r="N808" s="297">
        <v>0.79166666666666663</v>
      </c>
      <c r="O808" s="19">
        <f>(Table6[[#This Row],[Work Start TimeStamp]]-Table6[[#This Row],[Fault Start TimeStamp]])*24</f>
        <v>0</v>
      </c>
      <c r="P808" s="19">
        <f>(Table6[[#This Row],[Fault Clearance time]]-Table6[[#This Row],[Fault Start TimeStamp]])*24</f>
        <v>0.33333333333333215</v>
      </c>
      <c r="Q808" s="19">
        <f>(Table6[[#This Row],[Fault Clearance time]]-Table6[[#This Row],[Fault Start TimeStamp]])*24</f>
        <v>0.33333333333333215</v>
      </c>
      <c r="R808" s="79" t="s">
        <v>353</v>
      </c>
      <c r="S808" s="79" t="s">
        <v>339</v>
      </c>
      <c r="T808" s="298">
        <f>IFERROR(Table6[[#This Row],[Breakdown Time]]*Table6[[#This Row],[Plant Equivalent Weightage]],"")</f>
        <v>7.5757575757575491E-3</v>
      </c>
      <c r="U808" s="79" t="s">
        <v>421</v>
      </c>
      <c r="W808" s="79">
        <v>445</v>
      </c>
    </row>
    <row r="809" spans="1:23">
      <c r="A809" s="79">
        <f t="shared" si="12"/>
        <v>808</v>
      </c>
      <c r="B809" s="79">
        <f>YEAR(Table6[[#This Row],[Date]])+IF(MONTH(Table6[[#This Row],[Date]])&gt;=4,1,0)</f>
        <v>2026</v>
      </c>
      <c r="C809" s="79">
        <f>YEAR(Table6[[#This Row],[Date]])</f>
        <v>2025</v>
      </c>
      <c r="D809" s="79" t="s">
        <v>344</v>
      </c>
      <c r="E809" s="284">
        <f>Table6[[#This Row],[Date]]-DAY(Table6[[#This Row],[Date]])+1</f>
        <v>45809</v>
      </c>
      <c r="F809" s="285">
        <v>45825</v>
      </c>
      <c r="G809" s="79" t="s">
        <v>93</v>
      </c>
      <c r="H809" s="79" t="str">
        <f>IFERROR(_xlfn.XLOOKUP(Table6[[#This Row],[Affected Feeder ]],'Basic Data'!$A:$A,'Basic Data'!$B:$B),"")</f>
        <v>PWEPL</v>
      </c>
      <c r="I809" s="79" t="str">
        <f>IFERROR(_xlfn.XLOOKUP(Table6[[#This Row],[Affected Feeder ]],'Basic Data'!$A:$A,'Basic Data'!$C:$C),"")</f>
        <v>MSEDCL</v>
      </c>
      <c r="J809" s="295">
        <f>IFERROR(_xlfn.XLOOKUP(Table6[[#This Row],[Affected Feeder ]],'Basic Data'!$A:$A,'Basic Data'!$E:$E),"")</f>
        <v>2.2727272727272728E-2</v>
      </c>
      <c r="K809" s="296" t="s">
        <v>171</v>
      </c>
      <c r="L809" s="297">
        <v>0.77777777777777779</v>
      </c>
      <c r="M809" s="297">
        <v>0.77777777777777779</v>
      </c>
      <c r="N809" s="297">
        <v>0.79166666666666663</v>
      </c>
      <c r="O809" s="19">
        <f>(Table6[[#This Row],[Work Start TimeStamp]]-Table6[[#This Row],[Fault Start TimeStamp]])*24</f>
        <v>0</v>
      </c>
      <c r="P809" s="19">
        <f>(Table6[[#This Row],[Fault Clearance time]]-Table6[[#This Row],[Fault Start TimeStamp]])*24</f>
        <v>0.33333333333333215</v>
      </c>
      <c r="Q809" s="19">
        <f>(Table6[[#This Row],[Fault Clearance time]]-Table6[[#This Row],[Fault Start TimeStamp]])*24</f>
        <v>0.33333333333333215</v>
      </c>
      <c r="R809" s="79" t="s">
        <v>353</v>
      </c>
      <c r="S809" s="79" t="s">
        <v>339</v>
      </c>
      <c r="T809" s="298">
        <f>IFERROR(Table6[[#This Row],[Breakdown Time]]*Table6[[#This Row],[Plant Equivalent Weightage]],"")</f>
        <v>7.5757575757575491E-3</v>
      </c>
      <c r="U809" s="79" t="s">
        <v>421</v>
      </c>
      <c r="W809" s="79">
        <v>445</v>
      </c>
    </row>
    <row r="810" spans="1:23">
      <c r="A810" s="79">
        <f t="shared" si="12"/>
        <v>809</v>
      </c>
      <c r="B810" s="79">
        <f>YEAR(Table6[[#This Row],[Date]])+IF(MONTH(Table6[[#This Row],[Date]])&gt;=4,1,0)</f>
        <v>2026</v>
      </c>
      <c r="C810" s="79">
        <f>YEAR(Table6[[#This Row],[Date]])</f>
        <v>2025</v>
      </c>
      <c r="D810" s="79" t="s">
        <v>344</v>
      </c>
      <c r="E810" s="284">
        <f>Table6[[#This Row],[Date]]-DAY(Table6[[#This Row],[Date]])+1</f>
        <v>45809</v>
      </c>
      <c r="F810" s="285">
        <v>45825</v>
      </c>
      <c r="G810" s="79" t="s">
        <v>102</v>
      </c>
      <c r="H810" s="79" t="str">
        <f>IFERROR(_xlfn.XLOOKUP(Table6[[#This Row],[Affected Feeder ]],'Basic Data'!$A:$A,'Basic Data'!$B:$B),"")</f>
        <v>PWEPL</v>
      </c>
      <c r="I810" s="79" t="str">
        <f>IFERROR(_xlfn.XLOOKUP(Table6[[#This Row],[Affected Feeder ]],'Basic Data'!$A:$A,'Basic Data'!$C:$C),"")</f>
        <v>MSEDCL</v>
      </c>
      <c r="J810" s="295">
        <f>IFERROR(_xlfn.XLOOKUP(Table6[[#This Row],[Affected Feeder ]],'Basic Data'!$A:$A,'Basic Data'!$E:$E),"")</f>
        <v>2.2727272727272728E-2</v>
      </c>
      <c r="K810" s="296" t="s">
        <v>171</v>
      </c>
      <c r="L810" s="297">
        <v>0.77777777777777779</v>
      </c>
      <c r="M810" s="297">
        <v>0.77777777777777779</v>
      </c>
      <c r="N810" s="297">
        <v>0.79166666666666663</v>
      </c>
      <c r="O810" s="19">
        <f>(Table6[[#This Row],[Work Start TimeStamp]]-Table6[[#This Row],[Fault Start TimeStamp]])*24</f>
        <v>0</v>
      </c>
      <c r="P810" s="19">
        <f>(Table6[[#This Row],[Fault Clearance time]]-Table6[[#This Row],[Fault Start TimeStamp]])*24</f>
        <v>0.33333333333333215</v>
      </c>
      <c r="Q810" s="19">
        <f>(Table6[[#This Row],[Fault Clearance time]]-Table6[[#This Row],[Fault Start TimeStamp]])*24</f>
        <v>0.33333333333333215</v>
      </c>
      <c r="R810" s="79" t="s">
        <v>353</v>
      </c>
      <c r="S810" s="79" t="s">
        <v>339</v>
      </c>
      <c r="T810" s="298">
        <f>IFERROR(Table6[[#This Row],[Breakdown Time]]*Table6[[#This Row],[Plant Equivalent Weightage]],"")</f>
        <v>7.5757575757575491E-3</v>
      </c>
      <c r="U810" s="79" t="s">
        <v>421</v>
      </c>
      <c r="W810" s="79">
        <v>445</v>
      </c>
    </row>
    <row r="811" spans="1:23">
      <c r="A811" s="79">
        <f t="shared" si="12"/>
        <v>810</v>
      </c>
      <c r="B811" s="79">
        <f>YEAR(Table6[[#This Row],[Date]])+IF(MONTH(Table6[[#This Row],[Date]])&gt;=4,1,0)</f>
        <v>2026</v>
      </c>
      <c r="C811" s="79">
        <f>YEAR(Table6[[#This Row],[Date]])</f>
        <v>2025</v>
      </c>
      <c r="D811" s="79" t="s">
        <v>344</v>
      </c>
      <c r="E811" s="284">
        <f>Table6[[#This Row],[Date]]-DAY(Table6[[#This Row],[Date]])+1</f>
        <v>45809</v>
      </c>
      <c r="F811" s="285">
        <v>45825</v>
      </c>
      <c r="G811" s="79" t="s">
        <v>119</v>
      </c>
      <c r="H811" s="79" t="str">
        <f>IFERROR(_xlfn.XLOOKUP(Table6[[#This Row],[Affected Feeder ]],'Basic Data'!$A:$A,'Basic Data'!$B:$B),"")</f>
        <v>PWEPL</v>
      </c>
      <c r="I811" s="79" t="str">
        <f>IFERROR(_xlfn.XLOOKUP(Table6[[#This Row],[Affected Feeder ]],'Basic Data'!$A:$A,'Basic Data'!$C:$C),"")</f>
        <v>MSEDCL</v>
      </c>
      <c r="J811" s="295">
        <f>IFERROR(_xlfn.XLOOKUP(Table6[[#This Row],[Affected Feeder ]],'Basic Data'!$A:$A,'Basic Data'!$E:$E),"")</f>
        <v>2.2727272727272728E-2</v>
      </c>
      <c r="K811" s="296" t="s">
        <v>171</v>
      </c>
      <c r="L811" s="297">
        <v>0.77777777777777779</v>
      </c>
      <c r="M811" s="297">
        <v>0.77777777777777779</v>
      </c>
      <c r="N811" s="297">
        <v>0.78472222222222221</v>
      </c>
      <c r="O811" s="19">
        <f>(Table6[[#This Row],[Work Start TimeStamp]]-Table6[[#This Row],[Fault Start TimeStamp]])*24</f>
        <v>0</v>
      </c>
      <c r="P811" s="19">
        <f>(Table6[[#This Row],[Fault Clearance time]]-Table6[[#This Row],[Fault Start TimeStamp]])*24</f>
        <v>0.16666666666666607</v>
      </c>
      <c r="Q811" s="19">
        <f>(Table6[[#This Row],[Fault Clearance time]]-Table6[[#This Row],[Fault Start TimeStamp]])*24</f>
        <v>0.16666666666666607</v>
      </c>
      <c r="R811" s="79" t="s">
        <v>353</v>
      </c>
      <c r="S811" s="79" t="s">
        <v>339</v>
      </c>
      <c r="T811" s="298">
        <f>IFERROR(Table6[[#This Row],[Breakdown Time]]*Table6[[#This Row],[Plant Equivalent Weightage]],"")</f>
        <v>3.7878787878787745E-3</v>
      </c>
      <c r="U811" s="79" t="s">
        <v>421</v>
      </c>
      <c r="W811" s="79">
        <v>445</v>
      </c>
    </row>
    <row r="812" spans="1:23">
      <c r="A812" s="79">
        <f t="shared" si="12"/>
        <v>811</v>
      </c>
      <c r="B812" s="79">
        <f>YEAR(Table6[[#This Row],[Date]])+IF(MONTH(Table6[[#This Row],[Date]])&gt;=4,1,0)</f>
        <v>2026</v>
      </c>
      <c r="C812" s="79">
        <f>YEAR(Table6[[#This Row],[Date]])</f>
        <v>2025</v>
      </c>
      <c r="D812" s="79" t="s">
        <v>344</v>
      </c>
      <c r="E812" s="284">
        <f>Table6[[#This Row],[Date]]-DAY(Table6[[#This Row],[Date]])+1</f>
        <v>45809</v>
      </c>
      <c r="F812" s="285">
        <v>45825</v>
      </c>
      <c r="G812" s="79" t="s">
        <v>103</v>
      </c>
      <c r="H812" s="79" t="str">
        <f>IFERROR(_xlfn.XLOOKUP(Table6[[#This Row],[Affected Feeder ]],'Basic Data'!$A:$A,'Basic Data'!$B:$B),"")</f>
        <v>PWEPL</v>
      </c>
      <c r="I812" s="79" t="str">
        <f>IFERROR(_xlfn.XLOOKUP(Table6[[#This Row],[Affected Feeder ]],'Basic Data'!$A:$A,'Basic Data'!$C:$C),"")</f>
        <v>MSEDCL</v>
      </c>
      <c r="J812" s="295">
        <f>IFERROR(_xlfn.XLOOKUP(Table6[[#This Row],[Affected Feeder ]],'Basic Data'!$A:$A,'Basic Data'!$E:$E),"")</f>
        <v>2.2727272727272728E-2</v>
      </c>
      <c r="K812" s="296" t="s">
        <v>171</v>
      </c>
      <c r="L812" s="297">
        <v>0.77777777777777779</v>
      </c>
      <c r="M812" s="297">
        <v>0.77777777777777779</v>
      </c>
      <c r="N812" s="297">
        <v>0.79166666666666663</v>
      </c>
      <c r="O812" s="19">
        <f>(Table6[[#This Row],[Work Start TimeStamp]]-Table6[[#This Row],[Fault Start TimeStamp]])*24</f>
        <v>0</v>
      </c>
      <c r="P812" s="19">
        <f>(Table6[[#This Row],[Fault Clearance time]]-Table6[[#This Row],[Fault Start TimeStamp]])*24</f>
        <v>0.33333333333333215</v>
      </c>
      <c r="Q812" s="19">
        <f>(Table6[[#This Row],[Fault Clearance time]]-Table6[[#This Row],[Fault Start TimeStamp]])*24</f>
        <v>0.33333333333333215</v>
      </c>
      <c r="R812" s="79" t="s">
        <v>353</v>
      </c>
      <c r="S812" s="79" t="s">
        <v>339</v>
      </c>
      <c r="T812" s="298">
        <f>IFERROR(Table6[[#This Row],[Breakdown Time]]*Table6[[#This Row],[Plant Equivalent Weightage]],"")</f>
        <v>7.5757575757575491E-3</v>
      </c>
      <c r="U812" s="79" t="s">
        <v>421</v>
      </c>
      <c r="W812" s="79">
        <v>445</v>
      </c>
    </row>
    <row r="813" spans="1:23">
      <c r="A813" s="79">
        <f t="shared" si="12"/>
        <v>812</v>
      </c>
      <c r="B813" s="79">
        <f>YEAR(Table6[[#This Row],[Date]])+IF(MONTH(Table6[[#This Row],[Date]])&gt;=4,1,0)</f>
        <v>2026</v>
      </c>
      <c r="C813" s="79">
        <f>YEAR(Table6[[#This Row],[Date]])</f>
        <v>2025</v>
      </c>
      <c r="D813" s="79" t="s">
        <v>344</v>
      </c>
      <c r="E813" s="284">
        <f>Table6[[#This Row],[Date]]-DAY(Table6[[#This Row],[Date]])+1</f>
        <v>45809</v>
      </c>
      <c r="F813" s="285">
        <v>45825</v>
      </c>
      <c r="G813" s="79" t="s">
        <v>105</v>
      </c>
      <c r="H813" s="79" t="str">
        <f>IFERROR(_xlfn.XLOOKUP(Table6[[#This Row],[Affected Feeder ]],'Basic Data'!$A:$A,'Basic Data'!$B:$B),"")</f>
        <v>PWEPL</v>
      </c>
      <c r="I813" s="79" t="str">
        <f>IFERROR(_xlfn.XLOOKUP(Table6[[#This Row],[Affected Feeder ]],'Basic Data'!$A:$A,'Basic Data'!$C:$C),"")</f>
        <v>MSEDCL</v>
      </c>
      <c r="J813" s="295">
        <f>IFERROR(_xlfn.XLOOKUP(Table6[[#This Row],[Affected Feeder ]],'Basic Data'!$A:$A,'Basic Data'!$E:$E),"")</f>
        <v>2.2727272727272728E-2</v>
      </c>
      <c r="K813" s="296" t="s">
        <v>171</v>
      </c>
      <c r="L813" s="297">
        <v>0.77777777777777779</v>
      </c>
      <c r="M813" s="297">
        <v>0.77777777777777779</v>
      </c>
      <c r="N813" s="297">
        <v>0.79166666666666663</v>
      </c>
      <c r="O813" s="19">
        <f>(Table6[[#This Row],[Work Start TimeStamp]]-Table6[[#This Row],[Fault Start TimeStamp]])*24</f>
        <v>0</v>
      </c>
      <c r="P813" s="19">
        <f>(Table6[[#This Row],[Fault Clearance time]]-Table6[[#This Row],[Fault Start TimeStamp]])*24</f>
        <v>0.33333333333333215</v>
      </c>
      <c r="Q813" s="19">
        <f>(Table6[[#This Row],[Fault Clearance time]]-Table6[[#This Row],[Fault Start TimeStamp]])*24</f>
        <v>0.33333333333333215</v>
      </c>
      <c r="R813" s="79" t="s">
        <v>353</v>
      </c>
      <c r="S813" s="79" t="s">
        <v>339</v>
      </c>
      <c r="T813" s="298">
        <f>IFERROR(Table6[[#This Row],[Breakdown Time]]*Table6[[#This Row],[Plant Equivalent Weightage]],"")</f>
        <v>7.5757575757575491E-3</v>
      </c>
      <c r="U813" s="79" t="s">
        <v>421</v>
      </c>
      <c r="W813" s="79">
        <v>445</v>
      </c>
    </row>
    <row r="814" spans="1:23">
      <c r="A814" s="79">
        <f t="shared" si="12"/>
        <v>813</v>
      </c>
      <c r="B814" s="79">
        <f>YEAR(Table6[[#This Row],[Date]])+IF(MONTH(Table6[[#This Row],[Date]])&gt;=4,1,0)</f>
        <v>2026</v>
      </c>
      <c r="C814" s="79">
        <f>YEAR(Table6[[#This Row],[Date]])</f>
        <v>2025</v>
      </c>
      <c r="D814" s="79" t="s">
        <v>344</v>
      </c>
      <c r="E814" s="284">
        <f>Table6[[#This Row],[Date]]-DAY(Table6[[#This Row],[Date]])+1</f>
        <v>45809</v>
      </c>
      <c r="F814" s="285">
        <v>45825</v>
      </c>
      <c r="G814" s="79" t="s">
        <v>115</v>
      </c>
      <c r="H814" s="79" t="str">
        <f>IFERROR(_xlfn.XLOOKUP(Table6[[#This Row],[Affected Feeder ]],'Basic Data'!$A:$A,'Basic Data'!$B:$B),"")</f>
        <v>PWEPL</v>
      </c>
      <c r="I814" s="79" t="str">
        <f>IFERROR(_xlfn.XLOOKUP(Table6[[#This Row],[Affected Feeder ]],'Basic Data'!$A:$A,'Basic Data'!$C:$C),"")</f>
        <v>MSEDCL</v>
      </c>
      <c r="J814" s="295">
        <f>IFERROR(_xlfn.XLOOKUP(Table6[[#This Row],[Affected Feeder ]],'Basic Data'!$A:$A,'Basic Data'!$E:$E),"")</f>
        <v>2.2727272727272728E-2</v>
      </c>
      <c r="K814" s="296" t="s">
        <v>171</v>
      </c>
      <c r="L814" s="297">
        <v>0.77777777777777779</v>
      </c>
      <c r="M814" s="297">
        <v>0.77777777777777779</v>
      </c>
      <c r="N814" s="297">
        <v>0.79166666666666663</v>
      </c>
      <c r="O814" s="19">
        <f>(Table6[[#This Row],[Work Start TimeStamp]]-Table6[[#This Row],[Fault Start TimeStamp]])*24</f>
        <v>0</v>
      </c>
      <c r="P814" s="19">
        <f>(Table6[[#This Row],[Fault Clearance time]]-Table6[[#This Row],[Fault Start TimeStamp]])*24</f>
        <v>0.33333333333333215</v>
      </c>
      <c r="Q814" s="19">
        <f>(Table6[[#This Row],[Fault Clearance time]]-Table6[[#This Row],[Fault Start TimeStamp]])*24</f>
        <v>0.33333333333333215</v>
      </c>
      <c r="R814" s="79" t="s">
        <v>353</v>
      </c>
      <c r="S814" s="79" t="s">
        <v>339</v>
      </c>
      <c r="T814" s="298">
        <f>IFERROR(Table6[[#This Row],[Breakdown Time]]*Table6[[#This Row],[Plant Equivalent Weightage]],"")</f>
        <v>7.5757575757575491E-3</v>
      </c>
      <c r="U814" s="79" t="s">
        <v>421</v>
      </c>
      <c r="W814" s="79">
        <v>445</v>
      </c>
    </row>
    <row r="815" spans="1:23">
      <c r="A815" s="79">
        <f t="shared" si="12"/>
        <v>814</v>
      </c>
      <c r="B815" s="79">
        <f>YEAR(Table6[[#This Row],[Date]])+IF(MONTH(Table6[[#This Row],[Date]])&gt;=4,1,0)</f>
        <v>2026</v>
      </c>
      <c r="C815" s="79">
        <f>YEAR(Table6[[#This Row],[Date]])</f>
        <v>2025</v>
      </c>
      <c r="D815" s="79" t="s">
        <v>344</v>
      </c>
      <c r="E815" s="284">
        <f>Table6[[#This Row],[Date]]-DAY(Table6[[#This Row],[Date]])+1</f>
        <v>45809</v>
      </c>
      <c r="F815" s="285">
        <v>45825</v>
      </c>
      <c r="G815" s="79" t="s">
        <v>116</v>
      </c>
      <c r="H815" s="79" t="str">
        <f>IFERROR(_xlfn.XLOOKUP(Table6[[#This Row],[Affected Feeder ]],'Basic Data'!$A:$A,'Basic Data'!$B:$B),"")</f>
        <v>PWEPL</v>
      </c>
      <c r="I815" s="79" t="str">
        <f>IFERROR(_xlfn.XLOOKUP(Table6[[#This Row],[Affected Feeder ]],'Basic Data'!$A:$A,'Basic Data'!$C:$C),"")</f>
        <v>MSEDCL</v>
      </c>
      <c r="J815" s="295">
        <f>IFERROR(_xlfn.XLOOKUP(Table6[[#This Row],[Affected Feeder ]],'Basic Data'!$A:$A,'Basic Data'!$E:$E),"")</f>
        <v>2.2727272727272728E-2</v>
      </c>
      <c r="K815" s="296" t="s">
        <v>171</v>
      </c>
      <c r="L815" s="297">
        <v>0.77777777777777779</v>
      </c>
      <c r="M815" s="297">
        <v>0.77777777777777779</v>
      </c>
      <c r="N815" s="297">
        <v>0.79166666666666663</v>
      </c>
      <c r="O815" s="19">
        <f>(Table6[[#This Row],[Work Start TimeStamp]]-Table6[[#This Row],[Fault Start TimeStamp]])*24</f>
        <v>0</v>
      </c>
      <c r="P815" s="19">
        <f>(Table6[[#This Row],[Fault Clearance time]]-Table6[[#This Row],[Fault Start TimeStamp]])*24</f>
        <v>0.33333333333333215</v>
      </c>
      <c r="Q815" s="19">
        <f>(Table6[[#This Row],[Fault Clearance time]]-Table6[[#This Row],[Fault Start TimeStamp]])*24</f>
        <v>0.33333333333333215</v>
      </c>
      <c r="R815" s="79" t="s">
        <v>353</v>
      </c>
      <c r="S815" s="79" t="s">
        <v>339</v>
      </c>
      <c r="T815" s="298">
        <f>IFERROR(Table6[[#This Row],[Breakdown Time]]*Table6[[#This Row],[Plant Equivalent Weightage]],"")</f>
        <v>7.5757575757575491E-3</v>
      </c>
      <c r="U815" s="79" t="s">
        <v>421</v>
      </c>
      <c r="W815" s="79">
        <v>445</v>
      </c>
    </row>
    <row r="816" spans="1:23">
      <c r="A816" s="79">
        <f t="shared" si="12"/>
        <v>815</v>
      </c>
      <c r="B816" s="79">
        <f>YEAR(Table6[[#This Row],[Date]])+IF(MONTH(Table6[[#This Row],[Date]])&gt;=4,1,0)</f>
        <v>2026</v>
      </c>
      <c r="C816" s="79">
        <f>YEAR(Table6[[#This Row],[Date]])</f>
        <v>2025</v>
      </c>
      <c r="D816" s="79" t="s">
        <v>344</v>
      </c>
      <c r="E816" s="284">
        <f>Table6[[#This Row],[Date]]-DAY(Table6[[#This Row],[Date]])+1</f>
        <v>45809</v>
      </c>
      <c r="F816" s="285">
        <v>45825</v>
      </c>
      <c r="G816" s="79" t="s">
        <v>117</v>
      </c>
      <c r="H816" s="79" t="str">
        <f>IFERROR(_xlfn.XLOOKUP(Table6[[#This Row],[Affected Feeder ]],'Basic Data'!$A:$A,'Basic Data'!$B:$B),"")</f>
        <v>PWEPL</v>
      </c>
      <c r="I816" s="79" t="str">
        <f>IFERROR(_xlfn.XLOOKUP(Table6[[#This Row],[Affected Feeder ]],'Basic Data'!$A:$A,'Basic Data'!$C:$C),"")</f>
        <v>MSEDCL</v>
      </c>
      <c r="J816" s="295">
        <f>IFERROR(_xlfn.XLOOKUP(Table6[[#This Row],[Affected Feeder ]],'Basic Data'!$A:$A,'Basic Data'!$E:$E),"")</f>
        <v>2.2727272727272728E-2</v>
      </c>
      <c r="K816" s="296" t="s">
        <v>171</v>
      </c>
      <c r="L816" s="297">
        <v>0.77777777777777779</v>
      </c>
      <c r="M816" s="297">
        <v>0.77777777777777779</v>
      </c>
      <c r="N816" s="297">
        <v>0.79166666666666663</v>
      </c>
      <c r="O816" s="19">
        <f>(Table6[[#This Row],[Work Start TimeStamp]]-Table6[[#This Row],[Fault Start TimeStamp]])*24</f>
        <v>0</v>
      </c>
      <c r="P816" s="19">
        <f>(Table6[[#This Row],[Fault Clearance time]]-Table6[[#This Row],[Fault Start TimeStamp]])*24</f>
        <v>0.33333333333333215</v>
      </c>
      <c r="Q816" s="19">
        <f>(Table6[[#This Row],[Fault Clearance time]]-Table6[[#This Row],[Fault Start TimeStamp]])*24</f>
        <v>0.33333333333333215</v>
      </c>
      <c r="R816" s="79" t="s">
        <v>353</v>
      </c>
      <c r="S816" s="79" t="s">
        <v>339</v>
      </c>
      <c r="T816" s="298">
        <f>IFERROR(Table6[[#This Row],[Breakdown Time]]*Table6[[#This Row],[Plant Equivalent Weightage]],"")</f>
        <v>7.5757575757575491E-3</v>
      </c>
      <c r="U816" s="79" t="s">
        <v>421</v>
      </c>
      <c r="W816" s="79">
        <v>445</v>
      </c>
    </row>
    <row r="817" spans="1:23">
      <c r="A817" s="79">
        <f t="shared" si="12"/>
        <v>816</v>
      </c>
      <c r="B817" s="79">
        <f>YEAR(Table6[[#This Row],[Date]])+IF(MONTH(Table6[[#This Row],[Date]])&gt;=4,1,0)</f>
        <v>2026</v>
      </c>
      <c r="C817" s="79">
        <f>YEAR(Table6[[#This Row],[Date]])</f>
        <v>2025</v>
      </c>
      <c r="D817" s="79" t="s">
        <v>344</v>
      </c>
      <c r="E817" s="284">
        <f>Table6[[#This Row],[Date]]-DAY(Table6[[#This Row],[Date]])+1</f>
        <v>45809</v>
      </c>
      <c r="F817" s="285">
        <v>45825</v>
      </c>
      <c r="G817" s="79" t="s">
        <v>118</v>
      </c>
      <c r="H817" s="79" t="str">
        <f>IFERROR(_xlfn.XLOOKUP(Table6[[#This Row],[Affected Feeder ]],'Basic Data'!$A:$A,'Basic Data'!$B:$B),"")</f>
        <v>PWEPL</v>
      </c>
      <c r="I817" s="79" t="str">
        <f>IFERROR(_xlfn.XLOOKUP(Table6[[#This Row],[Affected Feeder ]],'Basic Data'!$A:$A,'Basic Data'!$C:$C),"")</f>
        <v>MSEDCL</v>
      </c>
      <c r="J817" s="295">
        <f>IFERROR(_xlfn.XLOOKUP(Table6[[#This Row],[Affected Feeder ]],'Basic Data'!$A:$A,'Basic Data'!$E:$E),"")</f>
        <v>2.2727272727272728E-2</v>
      </c>
      <c r="K817" s="296" t="s">
        <v>171</v>
      </c>
      <c r="L817" s="297">
        <v>0.77777777777777779</v>
      </c>
      <c r="M817" s="297">
        <v>0.77777777777777779</v>
      </c>
      <c r="N817" s="297">
        <v>0.79166666666666663</v>
      </c>
      <c r="O817" s="19">
        <f>(Table6[[#This Row],[Work Start TimeStamp]]-Table6[[#This Row],[Fault Start TimeStamp]])*24</f>
        <v>0</v>
      </c>
      <c r="P817" s="19">
        <f>(Table6[[#This Row],[Fault Clearance time]]-Table6[[#This Row],[Fault Start TimeStamp]])*24</f>
        <v>0.33333333333333215</v>
      </c>
      <c r="Q817" s="19">
        <f>(Table6[[#This Row],[Fault Clearance time]]-Table6[[#This Row],[Fault Start TimeStamp]])*24</f>
        <v>0.33333333333333215</v>
      </c>
      <c r="R817" s="79" t="s">
        <v>353</v>
      </c>
      <c r="S817" s="79" t="s">
        <v>339</v>
      </c>
      <c r="T817" s="298">
        <f>IFERROR(Table6[[#This Row],[Breakdown Time]]*Table6[[#This Row],[Plant Equivalent Weightage]],"")</f>
        <v>7.5757575757575491E-3</v>
      </c>
      <c r="U817" s="79" t="s">
        <v>421</v>
      </c>
      <c r="W817" s="79">
        <v>445</v>
      </c>
    </row>
    <row r="818" spans="1:23">
      <c r="A818" s="79">
        <f t="shared" si="12"/>
        <v>817</v>
      </c>
      <c r="B818" s="79">
        <f>YEAR(Table6[[#This Row],[Date]])+IF(MONTH(Table6[[#This Row],[Date]])&gt;=4,1,0)</f>
        <v>2026</v>
      </c>
      <c r="C818" s="79">
        <f>YEAR(Table6[[#This Row],[Date]])</f>
        <v>2025</v>
      </c>
      <c r="D818" s="79" t="s">
        <v>344</v>
      </c>
      <c r="E818" s="284">
        <f>Table6[[#This Row],[Date]]-DAY(Table6[[#This Row],[Date]])+1</f>
        <v>45809</v>
      </c>
      <c r="F818" s="285">
        <v>45825</v>
      </c>
      <c r="G818" s="79" t="s">
        <v>406</v>
      </c>
      <c r="H818" s="79" t="str">
        <f>IFERROR(_xlfn.XLOOKUP(Table6[[#This Row],[Affected Feeder ]],'Basic Data'!$A:$A,'Basic Data'!$B:$B),"")</f>
        <v>PWEPL</v>
      </c>
      <c r="I818" s="79" t="str">
        <f>IFERROR(_xlfn.XLOOKUP(Table6[[#This Row],[Affected Feeder ]],'Basic Data'!$A:$A,'Basic Data'!$C:$C),"")</f>
        <v>MSEDCL</v>
      </c>
      <c r="J818" s="295">
        <f>IFERROR(_xlfn.XLOOKUP(Table6[[#This Row],[Affected Feeder ]],'Basic Data'!$A:$A,'Basic Data'!$E:$E),"")</f>
        <v>0.29545454545454541</v>
      </c>
      <c r="K818" s="296" t="s">
        <v>419</v>
      </c>
      <c r="L818" s="297">
        <v>0.82986111111111116</v>
      </c>
      <c r="M818" s="297">
        <v>0.82986111111111116</v>
      </c>
      <c r="N818" s="297">
        <v>0.85763888888888884</v>
      </c>
      <c r="O818" s="19">
        <f>(Table6[[#This Row],[Work Start TimeStamp]]-Table6[[#This Row],[Fault Start TimeStamp]])*24</f>
        <v>0</v>
      </c>
      <c r="P818" s="19">
        <f>(Table6[[#This Row],[Fault Clearance time]]-Table6[[#This Row],[Fault Start TimeStamp]])*24</f>
        <v>0.6666666666666643</v>
      </c>
      <c r="Q818" s="19">
        <f>(Table6[[#This Row],[Fault Clearance time]]-Table6[[#This Row],[Fault Start TimeStamp]])*24</f>
        <v>0.6666666666666643</v>
      </c>
      <c r="R818" s="79" t="s">
        <v>420</v>
      </c>
      <c r="S818" s="79" t="s">
        <v>339</v>
      </c>
      <c r="T818" s="298">
        <f>IFERROR(Table6[[#This Row],[Breakdown Time]]*Table6[[#This Row],[Plant Equivalent Weightage]],"")</f>
        <v>0.19696969696969624</v>
      </c>
      <c r="U818" s="79" t="s">
        <v>421</v>
      </c>
      <c r="W818" s="79">
        <v>14837</v>
      </c>
    </row>
    <row r="819" spans="1:23">
      <c r="A819" s="79">
        <f t="shared" si="12"/>
        <v>818</v>
      </c>
      <c r="B819" s="79">
        <f>YEAR(Table6[[#This Row],[Date]])+IF(MONTH(Table6[[#This Row],[Date]])&gt;=4,1,0)</f>
        <v>2026</v>
      </c>
      <c r="C819" s="79">
        <f>YEAR(Table6[[#This Row],[Date]])</f>
        <v>2025</v>
      </c>
      <c r="D819" s="79" t="s">
        <v>344</v>
      </c>
      <c r="E819" s="284">
        <f>Table6[[#This Row],[Date]]-DAY(Table6[[#This Row],[Date]])+1</f>
        <v>45809</v>
      </c>
      <c r="F819" s="285">
        <v>45825</v>
      </c>
      <c r="G819" s="79" t="s">
        <v>76</v>
      </c>
      <c r="H819" s="79" t="str">
        <f>IFERROR(_xlfn.XLOOKUP(Table6[[#This Row],[Affected Feeder ]],'Basic Data'!$A:$A,'Basic Data'!$B:$B),"")</f>
        <v>PWEPL</v>
      </c>
      <c r="I819" s="79" t="str">
        <f>IFERROR(_xlfn.XLOOKUP(Table6[[#This Row],[Affected Feeder ]],'Basic Data'!$A:$A,'Basic Data'!$C:$C),"")</f>
        <v>MSEDCL</v>
      </c>
      <c r="J819" s="295">
        <f>IFERROR(_xlfn.XLOOKUP(Table6[[#This Row],[Affected Feeder ]],'Basic Data'!$A:$A,'Basic Data'!$E:$E),"")</f>
        <v>2.2727272727272728E-2</v>
      </c>
      <c r="K819" s="296" t="s">
        <v>171</v>
      </c>
      <c r="L819" s="297">
        <v>0.85763888888888884</v>
      </c>
      <c r="M819" s="297">
        <v>0.85763888888888884</v>
      </c>
      <c r="N819" s="297">
        <v>0.8666666666666667</v>
      </c>
      <c r="O819" s="19">
        <f>(Table6[[#This Row],[Work Start TimeStamp]]-Table6[[#This Row],[Fault Start TimeStamp]])*24</f>
        <v>0</v>
      </c>
      <c r="P819" s="19">
        <f>(Table6[[#This Row],[Fault Clearance time]]-Table6[[#This Row],[Fault Start TimeStamp]])*24</f>
        <v>0.21666666666666856</v>
      </c>
      <c r="Q819" s="19">
        <f>(Table6[[#This Row],[Fault Clearance time]]-Table6[[#This Row],[Fault Start TimeStamp]])*24</f>
        <v>0.21666666666666856</v>
      </c>
      <c r="R819" s="79" t="s">
        <v>353</v>
      </c>
      <c r="S819" s="79" t="s">
        <v>339</v>
      </c>
      <c r="T819" s="298">
        <f>IFERROR(Table6[[#This Row],[Breakdown Time]]*Table6[[#This Row],[Plant Equivalent Weightage]],"")</f>
        <v>4.9242424242424672E-3</v>
      </c>
      <c r="U819" s="79" t="s">
        <v>421</v>
      </c>
      <c r="W819" s="79">
        <v>431</v>
      </c>
    </row>
    <row r="820" spans="1:23">
      <c r="A820" s="79">
        <f t="shared" si="12"/>
        <v>819</v>
      </c>
      <c r="B820" s="79">
        <f>YEAR(Table6[[#This Row],[Date]])+IF(MONTH(Table6[[#This Row],[Date]])&gt;=4,1,0)</f>
        <v>2026</v>
      </c>
      <c r="C820" s="79">
        <f>YEAR(Table6[[#This Row],[Date]])</f>
        <v>2025</v>
      </c>
      <c r="D820" s="79" t="s">
        <v>344</v>
      </c>
      <c r="E820" s="284">
        <f>Table6[[#This Row],[Date]]-DAY(Table6[[#This Row],[Date]])+1</f>
        <v>45809</v>
      </c>
      <c r="F820" s="285">
        <v>45825</v>
      </c>
      <c r="G820" s="79" t="s">
        <v>77</v>
      </c>
      <c r="H820" s="79" t="str">
        <f>IFERROR(_xlfn.XLOOKUP(Table6[[#This Row],[Affected Feeder ]],'Basic Data'!$A:$A,'Basic Data'!$B:$B),"")</f>
        <v>PWEPL</v>
      </c>
      <c r="I820" s="79" t="str">
        <f>IFERROR(_xlfn.XLOOKUP(Table6[[#This Row],[Affected Feeder ]],'Basic Data'!$A:$A,'Basic Data'!$C:$C),"")</f>
        <v>MSEDCL</v>
      </c>
      <c r="J820" s="295">
        <f>IFERROR(_xlfn.XLOOKUP(Table6[[#This Row],[Affected Feeder ]],'Basic Data'!$A:$A,'Basic Data'!$E:$E),"")</f>
        <v>2.2727272727272728E-2</v>
      </c>
      <c r="K820" s="296" t="s">
        <v>171</v>
      </c>
      <c r="L820" s="297">
        <v>0.85763888888888884</v>
      </c>
      <c r="M820" s="297">
        <v>0.85763888888888884</v>
      </c>
      <c r="N820" s="297">
        <v>0.86319444444444438</v>
      </c>
      <c r="O820" s="19">
        <f>(Table6[[#This Row],[Work Start TimeStamp]]-Table6[[#This Row],[Fault Start TimeStamp]])*24</f>
        <v>0</v>
      </c>
      <c r="P820" s="19">
        <f>(Table6[[#This Row],[Fault Clearance time]]-Table6[[#This Row],[Fault Start TimeStamp]])*24</f>
        <v>0.13333333333333286</v>
      </c>
      <c r="Q820" s="19">
        <f>(Table6[[#This Row],[Fault Clearance time]]-Table6[[#This Row],[Fault Start TimeStamp]])*24</f>
        <v>0.13333333333333286</v>
      </c>
      <c r="R820" s="79" t="s">
        <v>353</v>
      </c>
      <c r="S820" s="79" t="s">
        <v>339</v>
      </c>
      <c r="T820" s="298">
        <f>IFERROR(Table6[[#This Row],[Breakdown Time]]*Table6[[#This Row],[Plant Equivalent Weightage]],"")</f>
        <v>3.0303030303030195E-3</v>
      </c>
      <c r="U820" s="79" t="s">
        <v>421</v>
      </c>
      <c r="W820" s="79">
        <v>265</v>
      </c>
    </row>
    <row r="821" spans="1:23">
      <c r="A821" s="79">
        <f t="shared" si="12"/>
        <v>820</v>
      </c>
      <c r="B821" s="79">
        <f>YEAR(Table6[[#This Row],[Date]])+IF(MONTH(Table6[[#This Row],[Date]])&gt;=4,1,0)</f>
        <v>2026</v>
      </c>
      <c r="C821" s="79">
        <f>YEAR(Table6[[#This Row],[Date]])</f>
        <v>2025</v>
      </c>
      <c r="D821" s="79" t="s">
        <v>344</v>
      </c>
      <c r="E821" s="284">
        <f>Table6[[#This Row],[Date]]-DAY(Table6[[#This Row],[Date]])+1</f>
        <v>45809</v>
      </c>
      <c r="F821" s="285">
        <v>45825</v>
      </c>
      <c r="G821" s="79" t="s">
        <v>78</v>
      </c>
      <c r="H821" s="79" t="str">
        <f>IFERROR(_xlfn.XLOOKUP(Table6[[#This Row],[Affected Feeder ]],'Basic Data'!$A:$A,'Basic Data'!$B:$B),"")</f>
        <v>PWEPL</v>
      </c>
      <c r="I821" s="79" t="str">
        <f>IFERROR(_xlfn.XLOOKUP(Table6[[#This Row],[Affected Feeder ]],'Basic Data'!$A:$A,'Basic Data'!$C:$C),"")</f>
        <v>MSEDCL</v>
      </c>
      <c r="J821" s="295">
        <f>IFERROR(_xlfn.XLOOKUP(Table6[[#This Row],[Affected Feeder ]],'Basic Data'!$A:$A,'Basic Data'!$E:$E),"")</f>
        <v>2.2727272727272728E-2</v>
      </c>
      <c r="K821" s="296" t="s">
        <v>171</v>
      </c>
      <c r="L821" s="297">
        <v>0.85763888888888884</v>
      </c>
      <c r="M821" s="297">
        <v>0.85763888888888884</v>
      </c>
      <c r="N821" s="297">
        <v>0.86597222222222225</v>
      </c>
      <c r="O821" s="19">
        <f>(Table6[[#This Row],[Work Start TimeStamp]]-Table6[[#This Row],[Fault Start TimeStamp]])*24</f>
        <v>0</v>
      </c>
      <c r="P821" s="19">
        <f>(Table6[[#This Row],[Fault Clearance time]]-Table6[[#This Row],[Fault Start TimeStamp]])*24</f>
        <v>0.20000000000000195</v>
      </c>
      <c r="Q821" s="19">
        <f>(Table6[[#This Row],[Fault Clearance time]]-Table6[[#This Row],[Fault Start TimeStamp]])*24</f>
        <v>0.20000000000000195</v>
      </c>
      <c r="R821" s="79" t="s">
        <v>353</v>
      </c>
      <c r="S821" s="79" t="s">
        <v>339</v>
      </c>
      <c r="T821" s="298">
        <f>IFERROR(Table6[[#This Row],[Breakdown Time]]*Table6[[#This Row],[Plant Equivalent Weightage]],"")</f>
        <v>4.5454545454545903E-3</v>
      </c>
      <c r="U821" s="79" t="s">
        <v>421</v>
      </c>
      <c r="W821" s="79">
        <v>398</v>
      </c>
    </row>
    <row r="822" spans="1:23">
      <c r="A822" s="79">
        <f t="shared" si="12"/>
        <v>821</v>
      </c>
      <c r="B822" s="79">
        <f>YEAR(Table6[[#This Row],[Date]])+IF(MONTH(Table6[[#This Row],[Date]])&gt;=4,1,0)</f>
        <v>2026</v>
      </c>
      <c r="C822" s="79">
        <f>YEAR(Table6[[#This Row],[Date]])</f>
        <v>2025</v>
      </c>
      <c r="D822" s="79" t="s">
        <v>344</v>
      </c>
      <c r="E822" s="284">
        <f>Table6[[#This Row],[Date]]-DAY(Table6[[#This Row],[Date]])+1</f>
        <v>45809</v>
      </c>
      <c r="F822" s="285">
        <v>45825</v>
      </c>
      <c r="G822" s="79" t="s">
        <v>82</v>
      </c>
      <c r="H822" s="79" t="str">
        <f>IFERROR(_xlfn.XLOOKUP(Table6[[#This Row],[Affected Feeder ]],'Basic Data'!$A:$A,'Basic Data'!$B:$B),"")</f>
        <v>PWEPL</v>
      </c>
      <c r="I822" s="79" t="str">
        <f>IFERROR(_xlfn.XLOOKUP(Table6[[#This Row],[Affected Feeder ]],'Basic Data'!$A:$A,'Basic Data'!$C:$C),"")</f>
        <v>MSEDCL</v>
      </c>
      <c r="J822" s="295">
        <f>IFERROR(_xlfn.XLOOKUP(Table6[[#This Row],[Affected Feeder ]],'Basic Data'!$A:$A,'Basic Data'!$E:$E),"")</f>
        <v>2.2727272727272728E-2</v>
      </c>
      <c r="K822" s="296" t="s">
        <v>171</v>
      </c>
      <c r="L822" s="297">
        <v>0.85763888888888884</v>
      </c>
      <c r="M822" s="297">
        <v>0.85763888888888884</v>
      </c>
      <c r="N822" s="297">
        <v>0.86458333333333337</v>
      </c>
      <c r="O822" s="19">
        <f>(Table6[[#This Row],[Work Start TimeStamp]]-Table6[[#This Row],[Fault Start TimeStamp]])*24</f>
        <v>0</v>
      </c>
      <c r="P822" s="19">
        <f>(Table6[[#This Row],[Fault Clearance time]]-Table6[[#This Row],[Fault Start TimeStamp]])*24</f>
        <v>0.16666666666666874</v>
      </c>
      <c r="Q822" s="19">
        <f>(Table6[[#This Row],[Fault Clearance time]]-Table6[[#This Row],[Fault Start TimeStamp]])*24</f>
        <v>0.16666666666666874</v>
      </c>
      <c r="R822" s="79" t="s">
        <v>353</v>
      </c>
      <c r="S822" s="79" t="s">
        <v>339</v>
      </c>
      <c r="T822" s="298">
        <f>IFERROR(Table6[[#This Row],[Breakdown Time]]*Table6[[#This Row],[Plant Equivalent Weightage]],"")</f>
        <v>3.7878787878788353E-3</v>
      </c>
      <c r="U822" s="79" t="s">
        <v>421</v>
      </c>
      <c r="W822" s="79">
        <v>331</v>
      </c>
    </row>
    <row r="823" spans="1:23">
      <c r="A823" s="79">
        <f t="shared" si="12"/>
        <v>822</v>
      </c>
      <c r="B823" s="79">
        <f>YEAR(Table6[[#This Row],[Date]])+IF(MONTH(Table6[[#This Row],[Date]])&gt;=4,1,0)</f>
        <v>2026</v>
      </c>
      <c r="C823" s="79">
        <f>YEAR(Table6[[#This Row],[Date]])</f>
        <v>2025</v>
      </c>
      <c r="D823" s="79" t="s">
        <v>344</v>
      </c>
      <c r="E823" s="284">
        <f>Table6[[#This Row],[Date]]-DAY(Table6[[#This Row],[Date]])+1</f>
        <v>45809</v>
      </c>
      <c r="F823" s="285">
        <v>45825</v>
      </c>
      <c r="G823" s="79" t="s">
        <v>93</v>
      </c>
      <c r="H823" s="79" t="str">
        <f>IFERROR(_xlfn.XLOOKUP(Table6[[#This Row],[Affected Feeder ]],'Basic Data'!$A:$A,'Basic Data'!$B:$B),"")</f>
        <v>PWEPL</v>
      </c>
      <c r="I823" s="79" t="str">
        <f>IFERROR(_xlfn.XLOOKUP(Table6[[#This Row],[Affected Feeder ]],'Basic Data'!$A:$A,'Basic Data'!$C:$C),"")</f>
        <v>MSEDCL</v>
      </c>
      <c r="J823" s="295">
        <f>IFERROR(_xlfn.XLOOKUP(Table6[[#This Row],[Affected Feeder ]],'Basic Data'!$A:$A,'Basic Data'!$E:$E),"")</f>
        <v>2.2727272727272728E-2</v>
      </c>
      <c r="K823" s="296" t="s">
        <v>171</v>
      </c>
      <c r="L823" s="297">
        <v>0.85763888888888884</v>
      </c>
      <c r="M823" s="297">
        <v>0.85763888888888884</v>
      </c>
      <c r="N823" s="297">
        <v>0.86458333333333337</v>
      </c>
      <c r="O823" s="19">
        <f>(Table6[[#This Row],[Work Start TimeStamp]]-Table6[[#This Row],[Fault Start TimeStamp]])*24</f>
        <v>0</v>
      </c>
      <c r="P823" s="19">
        <f>(Table6[[#This Row],[Fault Clearance time]]-Table6[[#This Row],[Fault Start TimeStamp]])*24</f>
        <v>0.16666666666666874</v>
      </c>
      <c r="Q823" s="19">
        <f>(Table6[[#This Row],[Fault Clearance time]]-Table6[[#This Row],[Fault Start TimeStamp]])*24</f>
        <v>0.16666666666666874</v>
      </c>
      <c r="R823" s="79" t="s">
        <v>353</v>
      </c>
      <c r="S823" s="79" t="s">
        <v>339</v>
      </c>
      <c r="T823" s="298">
        <f>IFERROR(Table6[[#This Row],[Breakdown Time]]*Table6[[#This Row],[Plant Equivalent Weightage]],"")</f>
        <v>3.7878787878788353E-3</v>
      </c>
      <c r="U823" s="79" t="s">
        <v>421</v>
      </c>
      <c r="W823" s="79">
        <v>331</v>
      </c>
    </row>
    <row r="824" spans="1:23">
      <c r="A824" s="79">
        <f t="shared" si="12"/>
        <v>823</v>
      </c>
      <c r="B824" s="79">
        <f>YEAR(Table6[[#This Row],[Date]])+IF(MONTH(Table6[[#This Row],[Date]])&gt;=4,1,0)</f>
        <v>2026</v>
      </c>
      <c r="C824" s="79">
        <f>YEAR(Table6[[#This Row],[Date]])</f>
        <v>2025</v>
      </c>
      <c r="D824" s="79" t="s">
        <v>344</v>
      </c>
      <c r="E824" s="284">
        <f>Table6[[#This Row],[Date]]-DAY(Table6[[#This Row],[Date]])+1</f>
        <v>45809</v>
      </c>
      <c r="F824" s="285">
        <v>45825</v>
      </c>
      <c r="G824" s="79" t="s">
        <v>102</v>
      </c>
      <c r="H824" s="79" t="str">
        <f>IFERROR(_xlfn.XLOOKUP(Table6[[#This Row],[Affected Feeder ]],'Basic Data'!$A:$A,'Basic Data'!$B:$B),"")</f>
        <v>PWEPL</v>
      </c>
      <c r="I824" s="79" t="str">
        <f>IFERROR(_xlfn.XLOOKUP(Table6[[#This Row],[Affected Feeder ]],'Basic Data'!$A:$A,'Basic Data'!$C:$C),"")</f>
        <v>MSEDCL</v>
      </c>
      <c r="J824" s="295">
        <f>IFERROR(_xlfn.XLOOKUP(Table6[[#This Row],[Affected Feeder ]],'Basic Data'!$A:$A,'Basic Data'!$E:$E),"")</f>
        <v>2.2727272727272728E-2</v>
      </c>
      <c r="K824" s="296" t="s">
        <v>171</v>
      </c>
      <c r="L824" s="297">
        <v>0.85763888888888884</v>
      </c>
      <c r="M824" s="297">
        <v>0.85763888888888884</v>
      </c>
      <c r="N824" s="297">
        <v>0.8666666666666667</v>
      </c>
      <c r="O824" s="19">
        <f>(Table6[[#This Row],[Work Start TimeStamp]]-Table6[[#This Row],[Fault Start TimeStamp]])*24</f>
        <v>0</v>
      </c>
      <c r="P824" s="19">
        <f>(Table6[[#This Row],[Fault Clearance time]]-Table6[[#This Row],[Fault Start TimeStamp]])*24</f>
        <v>0.21666666666666856</v>
      </c>
      <c r="Q824" s="19">
        <f>(Table6[[#This Row],[Fault Clearance time]]-Table6[[#This Row],[Fault Start TimeStamp]])*24</f>
        <v>0.21666666666666856</v>
      </c>
      <c r="R824" s="79" t="s">
        <v>353</v>
      </c>
      <c r="S824" s="79" t="s">
        <v>339</v>
      </c>
      <c r="T824" s="298">
        <f>IFERROR(Table6[[#This Row],[Breakdown Time]]*Table6[[#This Row],[Plant Equivalent Weightage]],"")</f>
        <v>4.9242424242424672E-3</v>
      </c>
      <c r="U824" s="79" t="s">
        <v>421</v>
      </c>
      <c r="W824" s="79">
        <v>398</v>
      </c>
    </row>
    <row r="825" spans="1:23">
      <c r="A825" s="79">
        <f t="shared" si="12"/>
        <v>824</v>
      </c>
      <c r="B825" s="79">
        <f>YEAR(Table6[[#This Row],[Date]])+IF(MONTH(Table6[[#This Row],[Date]])&gt;=4,1,0)</f>
        <v>2026</v>
      </c>
      <c r="C825" s="79">
        <f>YEAR(Table6[[#This Row],[Date]])</f>
        <v>2025</v>
      </c>
      <c r="D825" s="79" t="s">
        <v>344</v>
      </c>
      <c r="E825" s="284">
        <f>Table6[[#This Row],[Date]]-DAY(Table6[[#This Row],[Date]])+1</f>
        <v>45809</v>
      </c>
      <c r="F825" s="285">
        <v>45825</v>
      </c>
      <c r="G825" s="79" t="s">
        <v>119</v>
      </c>
      <c r="H825" s="79" t="str">
        <f>IFERROR(_xlfn.XLOOKUP(Table6[[#This Row],[Affected Feeder ]],'Basic Data'!$A:$A,'Basic Data'!$B:$B),"")</f>
        <v>PWEPL</v>
      </c>
      <c r="I825" s="79" t="str">
        <f>IFERROR(_xlfn.XLOOKUP(Table6[[#This Row],[Affected Feeder ]],'Basic Data'!$A:$A,'Basic Data'!$C:$C),"")</f>
        <v>MSEDCL</v>
      </c>
      <c r="J825" s="295">
        <f>IFERROR(_xlfn.XLOOKUP(Table6[[#This Row],[Affected Feeder ]],'Basic Data'!$A:$A,'Basic Data'!$E:$E),"")</f>
        <v>2.2727272727272728E-2</v>
      </c>
      <c r="K825" s="296" t="s">
        <v>171</v>
      </c>
      <c r="L825" s="297">
        <v>0.85763888888888884</v>
      </c>
      <c r="M825" s="297">
        <v>0.85763888888888884</v>
      </c>
      <c r="N825" s="297">
        <v>0.8652777777777777</v>
      </c>
      <c r="O825" s="19">
        <f>(Table6[[#This Row],[Work Start TimeStamp]]-Table6[[#This Row],[Fault Start TimeStamp]])*24</f>
        <v>0</v>
      </c>
      <c r="P825" s="19">
        <f>(Table6[[#This Row],[Fault Clearance time]]-Table6[[#This Row],[Fault Start TimeStamp]])*24</f>
        <v>0.18333333333333268</v>
      </c>
      <c r="Q825" s="19">
        <f>(Table6[[#This Row],[Fault Clearance time]]-Table6[[#This Row],[Fault Start TimeStamp]])*24</f>
        <v>0.18333333333333268</v>
      </c>
      <c r="R825" s="79" t="s">
        <v>353</v>
      </c>
      <c r="S825" s="79" t="s">
        <v>339</v>
      </c>
      <c r="T825" s="298">
        <f>IFERROR(Table6[[#This Row],[Breakdown Time]]*Table6[[#This Row],[Plant Equivalent Weightage]],"")</f>
        <v>4.1666666666666519E-3</v>
      </c>
      <c r="U825" s="79" t="s">
        <v>421</v>
      </c>
      <c r="W825" s="79">
        <v>364</v>
      </c>
    </row>
    <row r="826" spans="1:23">
      <c r="A826" s="79">
        <f t="shared" si="12"/>
        <v>825</v>
      </c>
      <c r="B826" s="79">
        <f>YEAR(Table6[[#This Row],[Date]])+IF(MONTH(Table6[[#This Row],[Date]])&gt;=4,1,0)</f>
        <v>2026</v>
      </c>
      <c r="C826" s="79">
        <f>YEAR(Table6[[#This Row],[Date]])</f>
        <v>2025</v>
      </c>
      <c r="D826" s="79" t="s">
        <v>344</v>
      </c>
      <c r="E826" s="284">
        <f>Table6[[#This Row],[Date]]-DAY(Table6[[#This Row],[Date]])+1</f>
        <v>45809</v>
      </c>
      <c r="F826" s="285">
        <v>45825</v>
      </c>
      <c r="G826" s="79" t="s">
        <v>103</v>
      </c>
      <c r="H826" s="79" t="str">
        <f>IFERROR(_xlfn.XLOOKUP(Table6[[#This Row],[Affected Feeder ]],'Basic Data'!$A:$A,'Basic Data'!$B:$B),"")</f>
        <v>PWEPL</v>
      </c>
      <c r="I826" s="79" t="str">
        <f>IFERROR(_xlfn.XLOOKUP(Table6[[#This Row],[Affected Feeder ]],'Basic Data'!$A:$A,'Basic Data'!$C:$C),"")</f>
        <v>MSEDCL</v>
      </c>
      <c r="J826" s="295">
        <f>IFERROR(_xlfn.XLOOKUP(Table6[[#This Row],[Affected Feeder ]],'Basic Data'!$A:$A,'Basic Data'!$E:$E),"")</f>
        <v>2.2727272727272728E-2</v>
      </c>
      <c r="K826" s="296" t="s">
        <v>909</v>
      </c>
      <c r="L826" s="297">
        <v>0.85763888888888884</v>
      </c>
      <c r="M826" s="297">
        <v>0.85763888888888884</v>
      </c>
      <c r="N826" s="297">
        <v>0.92152777777777783</v>
      </c>
      <c r="O826" s="19">
        <f>(Table6[[#This Row],[Work Start TimeStamp]]-Table6[[#This Row],[Fault Start TimeStamp]])*24</f>
        <v>0</v>
      </c>
      <c r="P826" s="19">
        <f>(Table6[[#This Row],[Fault Clearance time]]-Table6[[#This Row],[Fault Start TimeStamp]])*24</f>
        <v>1.5333333333333359</v>
      </c>
      <c r="Q826" s="19">
        <f>(Table6[[#This Row],[Fault Clearance time]]-Table6[[#This Row],[Fault Start TimeStamp]])*24</f>
        <v>1.5333333333333359</v>
      </c>
      <c r="R826" s="79" t="s">
        <v>353</v>
      </c>
      <c r="S826" s="79" t="s">
        <v>339</v>
      </c>
      <c r="T826" s="298">
        <f>IFERROR(Table6[[#This Row],[Breakdown Time]]*Table6[[#This Row],[Plant Equivalent Weightage]],"")</f>
        <v>3.4848484848484906E-2</v>
      </c>
      <c r="U826" s="79" t="s">
        <v>421</v>
      </c>
      <c r="W826" s="79">
        <v>1034</v>
      </c>
    </row>
    <row r="827" spans="1:23">
      <c r="A827" s="79">
        <f t="shared" si="12"/>
        <v>826</v>
      </c>
      <c r="B827" s="79">
        <f>YEAR(Table6[[#This Row],[Date]])+IF(MONTH(Table6[[#This Row],[Date]])&gt;=4,1,0)</f>
        <v>2026</v>
      </c>
      <c r="C827" s="79">
        <f>YEAR(Table6[[#This Row],[Date]])</f>
        <v>2025</v>
      </c>
      <c r="D827" s="79" t="s">
        <v>344</v>
      </c>
      <c r="E827" s="284">
        <f>Table6[[#This Row],[Date]]-DAY(Table6[[#This Row],[Date]])+1</f>
        <v>45809</v>
      </c>
      <c r="F827" s="285">
        <v>45825</v>
      </c>
      <c r="G827" s="79" t="s">
        <v>103</v>
      </c>
      <c r="H827" s="79" t="str">
        <f>IFERROR(_xlfn.XLOOKUP(Table6[[#This Row],[Affected Feeder ]],'Basic Data'!$A:$A,'Basic Data'!$B:$B),"")</f>
        <v>PWEPL</v>
      </c>
      <c r="I827" s="79" t="str">
        <f>IFERROR(_xlfn.XLOOKUP(Table6[[#This Row],[Affected Feeder ]],'Basic Data'!$A:$A,'Basic Data'!$C:$C),"")</f>
        <v>MSEDCL</v>
      </c>
      <c r="J827" s="295">
        <f>IFERROR(_xlfn.XLOOKUP(Table6[[#This Row],[Affected Feeder ]],'Basic Data'!$A:$A,'Basic Data'!$E:$E),"")</f>
        <v>2.2727272727272728E-2</v>
      </c>
      <c r="K827" s="296" t="s">
        <v>171</v>
      </c>
      <c r="L827" s="297">
        <v>0.92152777777777783</v>
      </c>
      <c r="M827" s="297">
        <v>0.92152777777777783</v>
      </c>
      <c r="N827" s="297">
        <v>0.93541666666666667</v>
      </c>
      <c r="O827" s="19">
        <f>(Table6[[#This Row],[Work Start TimeStamp]]-Table6[[#This Row],[Fault Start TimeStamp]])*24</f>
        <v>0</v>
      </c>
      <c r="P827" s="19">
        <f>(Table6[[#This Row],[Fault Clearance time]]-Table6[[#This Row],[Fault Start TimeStamp]])*24</f>
        <v>0.33333333333333215</v>
      </c>
      <c r="Q827" s="19">
        <f>(Table6[[#This Row],[Fault Clearance time]]-Table6[[#This Row],[Fault Start TimeStamp]])*24</f>
        <v>0.33333333333333215</v>
      </c>
      <c r="R827" s="79" t="s">
        <v>353</v>
      </c>
      <c r="S827" s="79" t="s">
        <v>339</v>
      </c>
      <c r="T827" s="298">
        <f>IFERROR(Table6[[#This Row],[Breakdown Time]]*Table6[[#This Row],[Plant Equivalent Weightage]],"")</f>
        <v>7.5757575757575491E-3</v>
      </c>
      <c r="U827" s="79" t="s">
        <v>421</v>
      </c>
      <c r="W827" s="79">
        <v>517</v>
      </c>
    </row>
    <row r="828" spans="1:23">
      <c r="A828" s="79">
        <f t="shared" si="12"/>
        <v>827</v>
      </c>
      <c r="B828" s="79">
        <f>YEAR(Table6[[#This Row],[Date]])+IF(MONTH(Table6[[#This Row],[Date]])&gt;=4,1,0)</f>
        <v>2026</v>
      </c>
      <c r="C828" s="79">
        <f>YEAR(Table6[[#This Row],[Date]])</f>
        <v>2025</v>
      </c>
      <c r="D828" s="79" t="s">
        <v>344</v>
      </c>
      <c r="E828" s="284">
        <f>Table6[[#This Row],[Date]]-DAY(Table6[[#This Row],[Date]])+1</f>
        <v>45809</v>
      </c>
      <c r="F828" s="285">
        <v>45825</v>
      </c>
      <c r="G828" s="79" t="s">
        <v>105</v>
      </c>
      <c r="H828" s="79" t="str">
        <f>IFERROR(_xlfn.XLOOKUP(Table6[[#This Row],[Affected Feeder ]],'Basic Data'!$A:$A,'Basic Data'!$B:$B),"")</f>
        <v>PWEPL</v>
      </c>
      <c r="I828" s="79" t="str">
        <f>IFERROR(_xlfn.XLOOKUP(Table6[[#This Row],[Affected Feeder ]],'Basic Data'!$A:$A,'Basic Data'!$C:$C),"")</f>
        <v>MSEDCL</v>
      </c>
      <c r="J828" s="295">
        <f>IFERROR(_xlfn.XLOOKUP(Table6[[#This Row],[Affected Feeder ]],'Basic Data'!$A:$A,'Basic Data'!$E:$E),"")</f>
        <v>2.2727272727272728E-2</v>
      </c>
      <c r="K828" s="296" t="s">
        <v>909</v>
      </c>
      <c r="L828" s="297">
        <v>0.85763888888888884</v>
      </c>
      <c r="M828" s="297">
        <v>0.85763888888888884</v>
      </c>
      <c r="N828" s="297">
        <v>0.92152777777777783</v>
      </c>
      <c r="O828" s="19">
        <f>(Table6[[#This Row],[Work Start TimeStamp]]-Table6[[#This Row],[Fault Start TimeStamp]])*24</f>
        <v>0</v>
      </c>
      <c r="P828" s="19">
        <f>(Table6[[#This Row],[Fault Clearance time]]-Table6[[#This Row],[Fault Start TimeStamp]])*24</f>
        <v>1.5333333333333359</v>
      </c>
      <c r="Q828" s="19">
        <f>(Table6[[#This Row],[Fault Clearance time]]-Table6[[#This Row],[Fault Start TimeStamp]])*24</f>
        <v>1.5333333333333359</v>
      </c>
      <c r="R828" s="79" t="s">
        <v>353</v>
      </c>
      <c r="S828" s="79" t="s">
        <v>339</v>
      </c>
      <c r="T828" s="298">
        <f>IFERROR(Table6[[#This Row],[Breakdown Time]]*Table6[[#This Row],[Plant Equivalent Weightage]],"")</f>
        <v>3.4848484848484906E-2</v>
      </c>
      <c r="U828" s="79" t="s">
        <v>421</v>
      </c>
      <c r="W828" s="79">
        <v>1034</v>
      </c>
    </row>
    <row r="829" spans="1:23">
      <c r="A829" s="79">
        <f t="shared" si="12"/>
        <v>828</v>
      </c>
      <c r="B829" s="79">
        <f>YEAR(Table6[[#This Row],[Date]])+IF(MONTH(Table6[[#This Row],[Date]])&gt;=4,1,0)</f>
        <v>2026</v>
      </c>
      <c r="C829" s="79">
        <f>YEAR(Table6[[#This Row],[Date]])</f>
        <v>2025</v>
      </c>
      <c r="D829" s="79" t="s">
        <v>344</v>
      </c>
      <c r="E829" s="284">
        <f>Table6[[#This Row],[Date]]-DAY(Table6[[#This Row],[Date]])+1</f>
        <v>45809</v>
      </c>
      <c r="F829" s="285">
        <v>45825</v>
      </c>
      <c r="G829" s="79" t="s">
        <v>105</v>
      </c>
      <c r="H829" s="79" t="str">
        <f>IFERROR(_xlfn.XLOOKUP(Table6[[#This Row],[Affected Feeder ]],'Basic Data'!$A:$A,'Basic Data'!$B:$B),"")</f>
        <v>PWEPL</v>
      </c>
      <c r="I829" s="79" t="str">
        <f>IFERROR(_xlfn.XLOOKUP(Table6[[#This Row],[Affected Feeder ]],'Basic Data'!$A:$A,'Basic Data'!$C:$C),"")</f>
        <v>MSEDCL</v>
      </c>
      <c r="J829" s="295">
        <f>IFERROR(_xlfn.XLOOKUP(Table6[[#This Row],[Affected Feeder ]],'Basic Data'!$A:$A,'Basic Data'!$E:$E),"")</f>
        <v>2.2727272727272728E-2</v>
      </c>
      <c r="K829" s="296" t="s">
        <v>171</v>
      </c>
      <c r="L829" s="297">
        <v>0.92152777777777783</v>
      </c>
      <c r="M829" s="297">
        <v>0.92152777777777783</v>
      </c>
      <c r="N829" s="297">
        <v>0.93541666666666667</v>
      </c>
      <c r="O829" s="19">
        <f>(Table6[[#This Row],[Work Start TimeStamp]]-Table6[[#This Row],[Fault Start TimeStamp]])*24</f>
        <v>0</v>
      </c>
      <c r="P829" s="19">
        <f>(Table6[[#This Row],[Fault Clearance time]]-Table6[[#This Row],[Fault Start TimeStamp]])*24</f>
        <v>0.33333333333333215</v>
      </c>
      <c r="Q829" s="19">
        <f>(Table6[[#This Row],[Fault Clearance time]]-Table6[[#This Row],[Fault Start TimeStamp]])*24</f>
        <v>0.33333333333333215</v>
      </c>
      <c r="R829" s="79" t="s">
        <v>353</v>
      </c>
      <c r="S829" s="79" t="s">
        <v>339</v>
      </c>
      <c r="T829" s="298">
        <f>IFERROR(Table6[[#This Row],[Breakdown Time]]*Table6[[#This Row],[Plant Equivalent Weightage]],"")</f>
        <v>7.5757575757575491E-3</v>
      </c>
      <c r="U829" s="79" t="s">
        <v>421</v>
      </c>
      <c r="W829" s="79">
        <v>517</v>
      </c>
    </row>
    <row r="830" spans="1:23">
      <c r="A830" s="79">
        <f t="shared" si="12"/>
        <v>829</v>
      </c>
      <c r="B830" s="79">
        <f>YEAR(Table6[[#This Row],[Date]])+IF(MONTH(Table6[[#This Row],[Date]])&gt;=4,1,0)</f>
        <v>2026</v>
      </c>
      <c r="C830" s="79">
        <f>YEAR(Table6[[#This Row],[Date]])</f>
        <v>2025</v>
      </c>
      <c r="D830" s="79" t="s">
        <v>344</v>
      </c>
      <c r="E830" s="284">
        <f>Table6[[#This Row],[Date]]-DAY(Table6[[#This Row],[Date]])+1</f>
        <v>45809</v>
      </c>
      <c r="F830" s="285">
        <v>45825</v>
      </c>
      <c r="G830" s="79" t="s">
        <v>115</v>
      </c>
      <c r="H830" s="79" t="str">
        <f>IFERROR(_xlfn.XLOOKUP(Table6[[#This Row],[Affected Feeder ]],'Basic Data'!$A:$A,'Basic Data'!$B:$B),"")</f>
        <v>PWEPL</v>
      </c>
      <c r="I830" s="79" t="str">
        <f>IFERROR(_xlfn.XLOOKUP(Table6[[#This Row],[Affected Feeder ]],'Basic Data'!$A:$A,'Basic Data'!$C:$C),"")</f>
        <v>MSEDCL</v>
      </c>
      <c r="J830" s="295">
        <f>IFERROR(_xlfn.XLOOKUP(Table6[[#This Row],[Affected Feeder ]],'Basic Data'!$A:$A,'Basic Data'!$E:$E),"")</f>
        <v>2.2727272727272728E-2</v>
      </c>
      <c r="K830" s="296" t="s">
        <v>909</v>
      </c>
      <c r="L830" s="297">
        <v>0.85763888888888884</v>
      </c>
      <c r="M830" s="297">
        <v>0.85763888888888884</v>
      </c>
      <c r="N830" s="297">
        <v>0.92152777777777783</v>
      </c>
      <c r="O830" s="19">
        <f>(Table6[[#This Row],[Work Start TimeStamp]]-Table6[[#This Row],[Fault Start TimeStamp]])*24</f>
        <v>0</v>
      </c>
      <c r="P830" s="19">
        <f>(Table6[[#This Row],[Fault Clearance time]]-Table6[[#This Row],[Fault Start TimeStamp]])*24</f>
        <v>1.5333333333333359</v>
      </c>
      <c r="Q830" s="19">
        <f>(Table6[[#This Row],[Fault Clearance time]]-Table6[[#This Row],[Fault Start TimeStamp]])*24</f>
        <v>1.5333333333333359</v>
      </c>
      <c r="R830" s="79" t="s">
        <v>353</v>
      </c>
      <c r="S830" s="79" t="s">
        <v>339</v>
      </c>
      <c r="T830" s="298">
        <f>IFERROR(Table6[[#This Row],[Breakdown Time]]*Table6[[#This Row],[Plant Equivalent Weightage]],"")</f>
        <v>3.4848484848484906E-2</v>
      </c>
      <c r="U830" s="79" t="s">
        <v>421</v>
      </c>
      <c r="W830" s="79">
        <v>1034</v>
      </c>
    </row>
    <row r="831" spans="1:23">
      <c r="A831" s="79">
        <f t="shared" si="12"/>
        <v>830</v>
      </c>
      <c r="B831" s="79">
        <f>YEAR(Table6[[#This Row],[Date]])+IF(MONTH(Table6[[#This Row],[Date]])&gt;=4,1,0)</f>
        <v>2026</v>
      </c>
      <c r="C831" s="79">
        <f>YEAR(Table6[[#This Row],[Date]])</f>
        <v>2025</v>
      </c>
      <c r="D831" s="79" t="s">
        <v>344</v>
      </c>
      <c r="E831" s="284">
        <f>Table6[[#This Row],[Date]]-DAY(Table6[[#This Row],[Date]])+1</f>
        <v>45809</v>
      </c>
      <c r="F831" s="285">
        <v>45825</v>
      </c>
      <c r="G831" s="79" t="s">
        <v>115</v>
      </c>
      <c r="H831" s="79" t="str">
        <f>IFERROR(_xlfn.XLOOKUP(Table6[[#This Row],[Affected Feeder ]],'Basic Data'!$A:$A,'Basic Data'!$B:$B),"")</f>
        <v>PWEPL</v>
      </c>
      <c r="I831" s="79" t="str">
        <f>IFERROR(_xlfn.XLOOKUP(Table6[[#This Row],[Affected Feeder ]],'Basic Data'!$A:$A,'Basic Data'!$C:$C),"")</f>
        <v>MSEDCL</v>
      </c>
      <c r="J831" s="295">
        <f>IFERROR(_xlfn.XLOOKUP(Table6[[#This Row],[Affected Feeder ]],'Basic Data'!$A:$A,'Basic Data'!$E:$E),"")</f>
        <v>2.2727272727272728E-2</v>
      </c>
      <c r="K831" s="296" t="s">
        <v>171</v>
      </c>
      <c r="L831" s="297">
        <v>0.92152777777777783</v>
      </c>
      <c r="M831" s="297">
        <v>0.92152777777777783</v>
      </c>
      <c r="N831" s="297">
        <v>0.93541666666666667</v>
      </c>
      <c r="O831" s="19">
        <f>(Table6[[#This Row],[Work Start TimeStamp]]-Table6[[#This Row],[Fault Start TimeStamp]])*24</f>
        <v>0</v>
      </c>
      <c r="P831" s="19">
        <f>(Table6[[#This Row],[Fault Clearance time]]-Table6[[#This Row],[Fault Start TimeStamp]])*24</f>
        <v>0.33333333333333215</v>
      </c>
      <c r="Q831" s="19">
        <f>(Table6[[#This Row],[Fault Clearance time]]-Table6[[#This Row],[Fault Start TimeStamp]])*24</f>
        <v>0.33333333333333215</v>
      </c>
      <c r="R831" s="79" t="s">
        <v>353</v>
      </c>
      <c r="S831" s="79" t="s">
        <v>339</v>
      </c>
      <c r="T831" s="298">
        <f>IFERROR(Table6[[#This Row],[Breakdown Time]]*Table6[[#This Row],[Plant Equivalent Weightage]],"")</f>
        <v>7.5757575757575491E-3</v>
      </c>
      <c r="U831" s="79" t="s">
        <v>421</v>
      </c>
      <c r="W831" s="79">
        <v>517</v>
      </c>
    </row>
    <row r="832" spans="1:23">
      <c r="A832" s="79">
        <f t="shared" si="12"/>
        <v>831</v>
      </c>
      <c r="B832" s="79">
        <f>YEAR(Table6[[#This Row],[Date]])+IF(MONTH(Table6[[#This Row],[Date]])&gt;=4,1,0)</f>
        <v>2026</v>
      </c>
      <c r="C832" s="79">
        <f>YEAR(Table6[[#This Row],[Date]])</f>
        <v>2025</v>
      </c>
      <c r="D832" s="79" t="s">
        <v>344</v>
      </c>
      <c r="E832" s="284">
        <f>Table6[[#This Row],[Date]]-DAY(Table6[[#This Row],[Date]])+1</f>
        <v>45809</v>
      </c>
      <c r="F832" s="285">
        <v>45825</v>
      </c>
      <c r="G832" s="79" t="s">
        <v>116</v>
      </c>
      <c r="H832" s="79" t="str">
        <f>IFERROR(_xlfn.XLOOKUP(Table6[[#This Row],[Affected Feeder ]],'Basic Data'!$A:$A,'Basic Data'!$B:$B),"")</f>
        <v>PWEPL</v>
      </c>
      <c r="I832" s="79" t="str">
        <f>IFERROR(_xlfn.XLOOKUP(Table6[[#This Row],[Affected Feeder ]],'Basic Data'!$A:$A,'Basic Data'!$C:$C),"")</f>
        <v>MSEDCL</v>
      </c>
      <c r="J832" s="295">
        <f>IFERROR(_xlfn.XLOOKUP(Table6[[#This Row],[Affected Feeder ]],'Basic Data'!$A:$A,'Basic Data'!$E:$E),"")</f>
        <v>2.2727272727272728E-2</v>
      </c>
      <c r="K832" s="296" t="s">
        <v>909</v>
      </c>
      <c r="L832" s="297">
        <v>0.85763888888888884</v>
      </c>
      <c r="M832" s="297">
        <v>0.85763888888888884</v>
      </c>
      <c r="N832" s="297">
        <v>0.92152777777777783</v>
      </c>
      <c r="O832" s="19">
        <f>(Table6[[#This Row],[Work Start TimeStamp]]-Table6[[#This Row],[Fault Start TimeStamp]])*24</f>
        <v>0</v>
      </c>
      <c r="P832" s="19">
        <f>(Table6[[#This Row],[Fault Clearance time]]-Table6[[#This Row],[Fault Start TimeStamp]])*24</f>
        <v>1.5333333333333359</v>
      </c>
      <c r="Q832" s="19">
        <f>(Table6[[#This Row],[Fault Clearance time]]-Table6[[#This Row],[Fault Start TimeStamp]])*24</f>
        <v>1.5333333333333359</v>
      </c>
      <c r="R832" s="79" t="s">
        <v>353</v>
      </c>
      <c r="S832" s="79" t="s">
        <v>339</v>
      </c>
      <c r="T832" s="298">
        <f>IFERROR(Table6[[#This Row],[Breakdown Time]]*Table6[[#This Row],[Plant Equivalent Weightage]],"")</f>
        <v>3.4848484848484906E-2</v>
      </c>
      <c r="U832" s="79" t="s">
        <v>421</v>
      </c>
      <c r="W832" s="79">
        <v>1034</v>
      </c>
    </row>
    <row r="833" spans="1:23">
      <c r="A833" s="79">
        <f t="shared" si="12"/>
        <v>832</v>
      </c>
      <c r="B833" s="79">
        <f>YEAR(Table6[[#This Row],[Date]])+IF(MONTH(Table6[[#This Row],[Date]])&gt;=4,1,0)</f>
        <v>2026</v>
      </c>
      <c r="C833" s="79">
        <f>YEAR(Table6[[#This Row],[Date]])</f>
        <v>2025</v>
      </c>
      <c r="D833" s="79" t="s">
        <v>344</v>
      </c>
      <c r="E833" s="284">
        <f>Table6[[#This Row],[Date]]-DAY(Table6[[#This Row],[Date]])+1</f>
        <v>45809</v>
      </c>
      <c r="F833" s="285">
        <v>45825</v>
      </c>
      <c r="G833" s="79" t="s">
        <v>116</v>
      </c>
      <c r="H833" s="79" t="str">
        <f>IFERROR(_xlfn.XLOOKUP(Table6[[#This Row],[Affected Feeder ]],'Basic Data'!$A:$A,'Basic Data'!$B:$B),"")</f>
        <v>PWEPL</v>
      </c>
      <c r="I833" s="79" t="str">
        <f>IFERROR(_xlfn.XLOOKUP(Table6[[#This Row],[Affected Feeder ]],'Basic Data'!$A:$A,'Basic Data'!$C:$C),"")</f>
        <v>MSEDCL</v>
      </c>
      <c r="J833" s="295">
        <f>IFERROR(_xlfn.XLOOKUP(Table6[[#This Row],[Affected Feeder ]],'Basic Data'!$A:$A,'Basic Data'!$E:$E),"")</f>
        <v>2.2727272727272728E-2</v>
      </c>
      <c r="K833" s="296" t="s">
        <v>171</v>
      </c>
      <c r="L833" s="297">
        <v>0.92152777777777783</v>
      </c>
      <c r="M833" s="297">
        <v>0.92152777777777783</v>
      </c>
      <c r="N833" s="297">
        <v>0.93541666666666667</v>
      </c>
      <c r="O833" s="19">
        <f>(Table6[[#This Row],[Work Start TimeStamp]]-Table6[[#This Row],[Fault Start TimeStamp]])*24</f>
        <v>0</v>
      </c>
      <c r="P833" s="19">
        <f>(Table6[[#This Row],[Fault Clearance time]]-Table6[[#This Row],[Fault Start TimeStamp]])*24</f>
        <v>0.33333333333333215</v>
      </c>
      <c r="Q833" s="19">
        <f>(Table6[[#This Row],[Fault Clearance time]]-Table6[[#This Row],[Fault Start TimeStamp]])*24</f>
        <v>0.33333333333333215</v>
      </c>
      <c r="R833" s="79" t="s">
        <v>353</v>
      </c>
      <c r="S833" s="79" t="s">
        <v>339</v>
      </c>
      <c r="T833" s="298">
        <f>IFERROR(Table6[[#This Row],[Breakdown Time]]*Table6[[#This Row],[Plant Equivalent Weightage]],"")</f>
        <v>7.5757575757575491E-3</v>
      </c>
      <c r="U833" s="79" t="s">
        <v>421</v>
      </c>
      <c r="W833" s="79">
        <v>517</v>
      </c>
    </row>
    <row r="834" spans="1:23">
      <c r="A834" s="79">
        <f t="shared" si="12"/>
        <v>833</v>
      </c>
      <c r="B834" s="79">
        <f>YEAR(Table6[[#This Row],[Date]])+IF(MONTH(Table6[[#This Row],[Date]])&gt;=4,1,0)</f>
        <v>2026</v>
      </c>
      <c r="C834" s="79">
        <f>YEAR(Table6[[#This Row],[Date]])</f>
        <v>2025</v>
      </c>
      <c r="D834" s="79" t="s">
        <v>344</v>
      </c>
      <c r="E834" s="284">
        <f>Table6[[#This Row],[Date]]-DAY(Table6[[#This Row],[Date]])+1</f>
        <v>45809</v>
      </c>
      <c r="F834" s="285">
        <v>45825</v>
      </c>
      <c r="G834" s="79" t="s">
        <v>117</v>
      </c>
      <c r="H834" s="79" t="str">
        <f>IFERROR(_xlfn.XLOOKUP(Table6[[#This Row],[Affected Feeder ]],'Basic Data'!$A:$A,'Basic Data'!$B:$B),"")</f>
        <v>PWEPL</v>
      </c>
      <c r="I834" s="79" t="str">
        <f>IFERROR(_xlfn.XLOOKUP(Table6[[#This Row],[Affected Feeder ]],'Basic Data'!$A:$A,'Basic Data'!$C:$C),"")</f>
        <v>MSEDCL</v>
      </c>
      <c r="J834" s="295">
        <f>IFERROR(_xlfn.XLOOKUP(Table6[[#This Row],[Affected Feeder ]],'Basic Data'!$A:$A,'Basic Data'!$E:$E),"")</f>
        <v>2.2727272727272728E-2</v>
      </c>
      <c r="K834" s="296" t="s">
        <v>909</v>
      </c>
      <c r="L834" s="297">
        <v>0.85763888888888884</v>
      </c>
      <c r="M834" s="297">
        <v>0.85763888888888884</v>
      </c>
      <c r="N834" s="297">
        <v>0.92152777777777783</v>
      </c>
      <c r="O834" s="19">
        <f>(Table6[[#This Row],[Work Start TimeStamp]]-Table6[[#This Row],[Fault Start TimeStamp]])*24</f>
        <v>0</v>
      </c>
      <c r="P834" s="19">
        <f>(Table6[[#This Row],[Fault Clearance time]]-Table6[[#This Row],[Fault Start TimeStamp]])*24</f>
        <v>1.5333333333333359</v>
      </c>
      <c r="Q834" s="19">
        <f>(Table6[[#This Row],[Fault Clearance time]]-Table6[[#This Row],[Fault Start TimeStamp]])*24</f>
        <v>1.5333333333333359</v>
      </c>
      <c r="R834" s="79" t="s">
        <v>353</v>
      </c>
      <c r="S834" s="79" t="s">
        <v>339</v>
      </c>
      <c r="T834" s="298">
        <f>IFERROR(Table6[[#This Row],[Breakdown Time]]*Table6[[#This Row],[Plant Equivalent Weightage]],"")</f>
        <v>3.4848484848484906E-2</v>
      </c>
      <c r="U834" s="79" t="s">
        <v>421</v>
      </c>
      <c r="W834" s="79">
        <v>1034</v>
      </c>
    </row>
    <row r="835" spans="1:23">
      <c r="A835" s="79">
        <f t="shared" si="12"/>
        <v>834</v>
      </c>
      <c r="B835" s="79">
        <f>YEAR(Table6[[#This Row],[Date]])+IF(MONTH(Table6[[#This Row],[Date]])&gt;=4,1,0)</f>
        <v>2026</v>
      </c>
      <c r="C835" s="79">
        <f>YEAR(Table6[[#This Row],[Date]])</f>
        <v>2025</v>
      </c>
      <c r="D835" s="79" t="s">
        <v>344</v>
      </c>
      <c r="E835" s="284">
        <f>Table6[[#This Row],[Date]]-DAY(Table6[[#This Row],[Date]])+1</f>
        <v>45809</v>
      </c>
      <c r="F835" s="285">
        <v>45825</v>
      </c>
      <c r="G835" s="79" t="s">
        <v>117</v>
      </c>
      <c r="H835" s="79" t="str">
        <f>IFERROR(_xlfn.XLOOKUP(Table6[[#This Row],[Affected Feeder ]],'Basic Data'!$A:$A,'Basic Data'!$B:$B),"")</f>
        <v>PWEPL</v>
      </c>
      <c r="I835" s="79" t="str">
        <f>IFERROR(_xlfn.XLOOKUP(Table6[[#This Row],[Affected Feeder ]],'Basic Data'!$A:$A,'Basic Data'!$C:$C),"")</f>
        <v>MSEDCL</v>
      </c>
      <c r="J835" s="295">
        <f>IFERROR(_xlfn.XLOOKUP(Table6[[#This Row],[Affected Feeder ]],'Basic Data'!$A:$A,'Basic Data'!$E:$E),"")</f>
        <v>2.2727272727272728E-2</v>
      </c>
      <c r="K835" s="296" t="s">
        <v>171</v>
      </c>
      <c r="L835" s="297">
        <v>0.92152777777777783</v>
      </c>
      <c r="M835" s="297">
        <v>0.92152777777777783</v>
      </c>
      <c r="N835" s="297">
        <v>0.93541666666666667</v>
      </c>
      <c r="O835" s="19">
        <f>(Table6[[#This Row],[Work Start TimeStamp]]-Table6[[#This Row],[Fault Start TimeStamp]])*24</f>
        <v>0</v>
      </c>
      <c r="P835" s="19">
        <f>(Table6[[#This Row],[Fault Clearance time]]-Table6[[#This Row],[Fault Start TimeStamp]])*24</f>
        <v>0.33333333333333215</v>
      </c>
      <c r="Q835" s="19">
        <f>(Table6[[#This Row],[Fault Clearance time]]-Table6[[#This Row],[Fault Start TimeStamp]])*24</f>
        <v>0.33333333333333215</v>
      </c>
      <c r="R835" s="79" t="s">
        <v>353</v>
      </c>
      <c r="S835" s="79" t="s">
        <v>339</v>
      </c>
      <c r="T835" s="298">
        <f>IFERROR(Table6[[#This Row],[Breakdown Time]]*Table6[[#This Row],[Plant Equivalent Weightage]],"")</f>
        <v>7.5757575757575491E-3</v>
      </c>
      <c r="U835" s="79" t="s">
        <v>421</v>
      </c>
      <c r="W835" s="79">
        <v>517</v>
      </c>
    </row>
    <row r="836" spans="1:23">
      <c r="A836" s="79">
        <f t="shared" ref="A836:A899" si="13">A835+1</f>
        <v>835</v>
      </c>
      <c r="B836" s="79">
        <f>YEAR(Table6[[#This Row],[Date]])+IF(MONTH(Table6[[#This Row],[Date]])&gt;=4,1,0)</f>
        <v>2026</v>
      </c>
      <c r="C836" s="79">
        <f>YEAR(Table6[[#This Row],[Date]])</f>
        <v>2025</v>
      </c>
      <c r="D836" s="79" t="s">
        <v>344</v>
      </c>
      <c r="E836" s="284">
        <f>Table6[[#This Row],[Date]]-DAY(Table6[[#This Row],[Date]])+1</f>
        <v>45809</v>
      </c>
      <c r="F836" s="285">
        <v>45825</v>
      </c>
      <c r="G836" s="79" t="s">
        <v>118</v>
      </c>
      <c r="H836" s="79" t="str">
        <f>IFERROR(_xlfn.XLOOKUP(Table6[[#This Row],[Affected Feeder ]],'Basic Data'!$A:$A,'Basic Data'!$B:$B),"")</f>
        <v>PWEPL</v>
      </c>
      <c r="I836" s="79" t="str">
        <f>IFERROR(_xlfn.XLOOKUP(Table6[[#This Row],[Affected Feeder ]],'Basic Data'!$A:$A,'Basic Data'!$C:$C),"")</f>
        <v>MSEDCL</v>
      </c>
      <c r="J836" s="295">
        <f>IFERROR(_xlfn.XLOOKUP(Table6[[#This Row],[Affected Feeder ]],'Basic Data'!$A:$A,'Basic Data'!$E:$E),"")</f>
        <v>2.2727272727272728E-2</v>
      </c>
      <c r="K836" s="296" t="s">
        <v>909</v>
      </c>
      <c r="L836" s="297">
        <v>0.85763888888888884</v>
      </c>
      <c r="M836" s="297">
        <v>0.85763888888888884</v>
      </c>
      <c r="N836" s="297">
        <v>0.92152777777777783</v>
      </c>
      <c r="O836" s="19">
        <f>(Table6[[#This Row],[Work Start TimeStamp]]-Table6[[#This Row],[Fault Start TimeStamp]])*24</f>
        <v>0</v>
      </c>
      <c r="P836" s="19">
        <f>(Table6[[#This Row],[Fault Clearance time]]-Table6[[#This Row],[Fault Start TimeStamp]])*24</f>
        <v>1.5333333333333359</v>
      </c>
      <c r="Q836" s="19">
        <f>(Table6[[#This Row],[Fault Clearance time]]-Table6[[#This Row],[Fault Start TimeStamp]])*24</f>
        <v>1.5333333333333359</v>
      </c>
      <c r="R836" s="79" t="s">
        <v>353</v>
      </c>
      <c r="S836" s="79" t="s">
        <v>339</v>
      </c>
      <c r="T836" s="298">
        <f>IFERROR(Table6[[#This Row],[Breakdown Time]]*Table6[[#This Row],[Plant Equivalent Weightage]],"")</f>
        <v>3.4848484848484906E-2</v>
      </c>
      <c r="U836" s="79" t="s">
        <v>421</v>
      </c>
      <c r="W836" s="79">
        <v>1034</v>
      </c>
    </row>
    <row r="837" spans="1:23">
      <c r="A837" s="79">
        <f t="shared" si="13"/>
        <v>836</v>
      </c>
      <c r="B837" s="79">
        <f>YEAR(Table6[[#This Row],[Date]])+IF(MONTH(Table6[[#This Row],[Date]])&gt;=4,1,0)</f>
        <v>2026</v>
      </c>
      <c r="C837" s="79">
        <f>YEAR(Table6[[#This Row],[Date]])</f>
        <v>2025</v>
      </c>
      <c r="D837" s="79" t="s">
        <v>344</v>
      </c>
      <c r="E837" s="284">
        <f>Table6[[#This Row],[Date]]-DAY(Table6[[#This Row],[Date]])+1</f>
        <v>45809</v>
      </c>
      <c r="F837" s="285">
        <v>45825</v>
      </c>
      <c r="G837" s="79" t="s">
        <v>103</v>
      </c>
      <c r="H837" s="79" t="str">
        <f>IFERROR(_xlfn.XLOOKUP(Table6[[#This Row],[Affected Feeder ]],'Basic Data'!$A:$A,'Basic Data'!$B:$B),"")</f>
        <v>PWEPL</v>
      </c>
      <c r="I837" s="79" t="str">
        <f>IFERROR(_xlfn.XLOOKUP(Table6[[#This Row],[Affected Feeder ]],'Basic Data'!$A:$A,'Basic Data'!$C:$C),"")</f>
        <v>MSEDCL</v>
      </c>
      <c r="J837" s="295">
        <f>IFERROR(_xlfn.XLOOKUP(Table6[[#This Row],[Affected Feeder ]],'Basic Data'!$A:$A,'Basic Data'!$E:$E),"")</f>
        <v>2.2727272727272728E-2</v>
      </c>
      <c r="K837" s="296" t="s">
        <v>910</v>
      </c>
      <c r="L837" s="297">
        <v>0.98472222222222217</v>
      </c>
      <c r="M837" s="297">
        <v>0.98472222222222217</v>
      </c>
      <c r="N837" s="297">
        <v>0.99930555555555556</v>
      </c>
      <c r="O837" s="19">
        <f>(Table6[[#This Row],[Work Start TimeStamp]]-Table6[[#This Row],[Fault Start TimeStamp]])*24</f>
        <v>0</v>
      </c>
      <c r="P837" s="19">
        <f>(Table6[[#This Row],[Fault Clearance time]]-Table6[[#This Row],[Fault Start TimeStamp]])*24</f>
        <v>0.35000000000000142</v>
      </c>
      <c r="Q837" s="19">
        <f>(Table6[[#This Row],[Fault Clearance time]]-Table6[[#This Row],[Fault Start TimeStamp]])*24</f>
        <v>0.35000000000000142</v>
      </c>
      <c r="R837" s="79" t="s">
        <v>456</v>
      </c>
      <c r="S837" s="79" t="s">
        <v>339</v>
      </c>
      <c r="T837" s="298">
        <f>IFERROR(Table6[[#This Row],[Breakdown Time]]*Table6[[#This Row],[Plant Equivalent Weightage]],"")</f>
        <v>7.9545454545454867E-3</v>
      </c>
      <c r="U837" s="79" t="s">
        <v>421</v>
      </c>
      <c r="W837" s="79">
        <v>659</v>
      </c>
    </row>
    <row r="838" spans="1:23">
      <c r="A838" s="79">
        <f t="shared" si="13"/>
        <v>837</v>
      </c>
      <c r="B838" s="79">
        <f>YEAR(Table6[[#This Row],[Date]])+IF(MONTH(Table6[[#This Row],[Date]])&gt;=4,1,0)</f>
        <v>2026</v>
      </c>
      <c r="C838" s="79">
        <f>YEAR(Table6[[#This Row],[Date]])</f>
        <v>2025</v>
      </c>
      <c r="D838" s="79" t="s">
        <v>344</v>
      </c>
      <c r="E838" s="284">
        <f>Table6[[#This Row],[Date]]-DAY(Table6[[#This Row],[Date]])+1</f>
        <v>45809</v>
      </c>
      <c r="F838" s="285">
        <v>45825</v>
      </c>
      <c r="G838" s="79" t="s">
        <v>105</v>
      </c>
      <c r="H838" s="79" t="str">
        <f>IFERROR(_xlfn.XLOOKUP(Table6[[#This Row],[Affected Feeder ]],'Basic Data'!$A:$A,'Basic Data'!$B:$B),"")</f>
        <v>PWEPL</v>
      </c>
      <c r="I838" s="79" t="str">
        <f>IFERROR(_xlfn.XLOOKUP(Table6[[#This Row],[Affected Feeder ]],'Basic Data'!$A:$A,'Basic Data'!$C:$C),"")</f>
        <v>MSEDCL</v>
      </c>
      <c r="J838" s="295">
        <f>IFERROR(_xlfn.XLOOKUP(Table6[[#This Row],[Affected Feeder ]],'Basic Data'!$A:$A,'Basic Data'!$E:$E),"")</f>
        <v>2.2727272727272728E-2</v>
      </c>
      <c r="K838" s="296" t="s">
        <v>910</v>
      </c>
      <c r="L838" s="297">
        <v>0.98472222222222217</v>
      </c>
      <c r="M838" s="297">
        <v>0.98472222222222217</v>
      </c>
      <c r="N838" s="297">
        <v>0.99930555555555556</v>
      </c>
      <c r="O838" s="19">
        <f>(Table6[[#This Row],[Work Start TimeStamp]]-Table6[[#This Row],[Fault Start TimeStamp]])*24</f>
        <v>0</v>
      </c>
      <c r="P838" s="19">
        <f>(Table6[[#This Row],[Fault Clearance time]]-Table6[[#This Row],[Fault Start TimeStamp]])*24</f>
        <v>0.35000000000000142</v>
      </c>
      <c r="Q838" s="19">
        <f>(Table6[[#This Row],[Fault Clearance time]]-Table6[[#This Row],[Fault Start TimeStamp]])*24</f>
        <v>0.35000000000000142</v>
      </c>
      <c r="R838" s="79" t="s">
        <v>456</v>
      </c>
      <c r="S838" s="79" t="s">
        <v>339</v>
      </c>
      <c r="T838" s="298">
        <f>IFERROR(Table6[[#This Row],[Breakdown Time]]*Table6[[#This Row],[Plant Equivalent Weightage]],"")</f>
        <v>7.9545454545454867E-3</v>
      </c>
      <c r="U838" s="79" t="s">
        <v>421</v>
      </c>
      <c r="W838" s="79">
        <v>659</v>
      </c>
    </row>
    <row r="839" spans="1:23">
      <c r="A839" s="79">
        <f t="shared" si="13"/>
        <v>838</v>
      </c>
      <c r="B839" s="79">
        <f>YEAR(Table6[[#This Row],[Date]])+IF(MONTH(Table6[[#This Row],[Date]])&gt;=4,1,0)</f>
        <v>2026</v>
      </c>
      <c r="C839" s="79">
        <f>YEAR(Table6[[#This Row],[Date]])</f>
        <v>2025</v>
      </c>
      <c r="D839" s="79" t="s">
        <v>344</v>
      </c>
      <c r="E839" s="284">
        <f>Table6[[#This Row],[Date]]-DAY(Table6[[#This Row],[Date]])+1</f>
        <v>45809</v>
      </c>
      <c r="F839" s="285">
        <v>45825</v>
      </c>
      <c r="G839" s="79" t="s">
        <v>115</v>
      </c>
      <c r="H839" s="79" t="str">
        <f>IFERROR(_xlfn.XLOOKUP(Table6[[#This Row],[Affected Feeder ]],'Basic Data'!$A:$A,'Basic Data'!$B:$B),"")</f>
        <v>PWEPL</v>
      </c>
      <c r="I839" s="79" t="str">
        <f>IFERROR(_xlfn.XLOOKUP(Table6[[#This Row],[Affected Feeder ]],'Basic Data'!$A:$A,'Basic Data'!$C:$C),"")</f>
        <v>MSEDCL</v>
      </c>
      <c r="J839" s="295">
        <f>IFERROR(_xlfn.XLOOKUP(Table6[[#This Row],[Affected Feeder ]],'Basic Data'!$A:$A,'Basic Data'!$E:$E),"")</f>
        <v>2.2727272727272728E-2</v>
      </c>
      <c r="K839" s="296" t="s">
        <v>910</v>
      </c>
      <c r="L839" s="297">
        <v>0.98472222222222217</v>
      </c>
      <c r="M839" s="297">
        <v>0.98472222222222217</v>
      </c>
      <c r="N839" s="297">
        <v>0.99930555555555556</v>
      </c>
      <c r="O839" s="19">
        <f>(Table6[[#This Row],[Work Start TimeStamp]]-Table6[[#This Row],[Fault Start TimeStamp]])*24</f>
        <v>0</v>
      </c>
      <c r="P839" s="19">
        <f>(Table6[[#This Row],[Fault Clearance time]]-Table6[[#This Row],[Fault Start TimeStamp]])*24</f>
        <v>0.35000000000000142</v>
      </c>
      <c r="Q839" s="19">
        <f>(Table6[[#This Row],[Fault Clearance time]]-Table6[[#This Row],[Fault Start TimeStamp]])*24</f>
        <v>0.35000000000000142</v>
      </c>
      <c r="R839" s="79" t="s">
        <v>456</v>
      </c>
      <c r="S839" s="79" t="s">
        <v>339</v>
      </c>
      <c r="T839" s="298">
        <f>IFERROR(Table6[[#This Row],[Breakdown Time]]*Table6[[#This Row],[Plant Equivalent Weightage]],"")</f>
        <v>7.9545454545454867E-3</v>
      </c>
      <c r="U839" s="79" t="s">
        <v>421</v>
      </c>
      <c r="W839" s="79">
        <v>659</v>
      </c>
    </row>
    <row r="840" spans="1:23">
      <c r="A840" s="79">
        <f t="shared" si="13"/>
        <v>839</v>
      </c>
      <c r="B840" s="79">
        <f>YEAR(Table6[[#This Row],[Date]])+IF(MONTH(Table6[[#This Row],[Date]])&gt;=4,1,0)</f>
        <v>2026</v>
      </c>
      <c r="C840" s="79">
        <f>YEAR(Table6[[#This Row],[Date]])</f>
        <v>2025</v>
      </c>
      <c r="D840" s="79" t="s">
        <v>344</v>
      </c>
      <c r="E840" s="284">
        <f>Table6[[#This Row],[Date]]-DAY(Table6[[#This Row],[Date]])+1</f>
        <v>45809</v>
      </c>
      <c r="F840" s="285">
        <v>45825</v>
      </c>
      <c r="G840" s="79" t="s">
        <v>116</v>
      </c>
      <c r="H840" s="79" t="str">
        <f>IFERROR(_xlfn.XLOOKUP(Table6[[#This Row],[Affected Feeder ]],'Basic Data'!$A:$A,'Basic Data'!$B:$B),"")</f>
        <v>PWEPL</v>
      </c>
      <c r="I840" s="79" t="str">
        <f>IFERROR(_xlfn.XLOOKUP(Table6[[#This Row],[Affected Feeder ]],'Basic Data'!$A:$A,'Basic Data'!$C:$C),"")</f>
        <v>MSEDCL</v>
      </c>
      <c r="J840" s="295">
        <f>IFERROR(_xlfn.XLOOKUP(Table6[[#This Row],[Affected Feeder ]],'Basic Data'!$A:$A,'Basic Data'!$E:$E),"")</f>
        <v>2.2727272727272728E-2</v>
      </c>
      <c r="K840" s="296" t="s">
        <v>910</v>
      </c>
      <c r="L840" s="297">
        <v>0.98472222222222217</v>
      </c>
      <c r="M840" s="297">
        <v>0.98472222222222217</v>
      </c>
      <c r="N840" s="297">
        <v>0.99930555555555556</v>
      </c>
      <c r="O840" s="19">
        <f>(Table6[[#This Row],[Work Start TimeStamp]]-Table6[[#This Row],[Fault Start TimeStamp]])*24</f>
        <v>0</v>
      </c>
      <c r="P840" s="19">
        <f>(Table6[[#This Row],[Fault Clearance time]]-Table6[[#This Row],[Fault Start TimeStamp]])*24</f>
        <v>0.35000000000000142</v>
      </c>
      <c r="Q840" s="19">
        <f>(Table6[[#This Row],[Fault Clearance time]]-Table6[[#This Row],[Fault Start TimeStamp]])*24</f>
        <v>0.35000000000000142</v>
      </c>
      <c r="R840" s="79" t="s">
        <v>456</v>
      </c>
      <c r="S840" s="79" t="s">
        <v>339</v>
      </c>
      <c r="T840" s="298">
        <f>IFERROR(Table6[[#This Row],[Breakdown Time]]*Table6[[#This Row],[Plant Equivalent Weightage]],"")</f>
        <v>7.9545454545454867E-3</v>
      </c>
      <c r="U840" s="79" t="s">
        <v>421</v>
      </c>
      <c r="W840" s="79">
        <v>659</v>
      </c>
    </row>
    <row r="841" spans="1:23">
      <c r="A841" s="79">
        <f t="shared" si="13"/>
        <v>840</v>
      </c>
      <c r="B841" s="79">
        <f>YEAR(Table6[[#This Row],[Date]])+IF(MONTH(Table6[[#This Row],[Date]])&gt;=4,1,0)</f>
        <v>2026</v>
      </c>
      <c r="C841" s="79">
        <f>YEAR(Table6[[#This Row],[Date]])</f>
        <v>2025</v>
      </c>
      <c r="D841" s="79" t="s">
        <v>344</v>
      </c>
      <c r="E841" s="284">
        <f>Table6[[#This Row],[Date]]-DAY(Table6[[#This Row],[Date]])+1</f>
        <v>45809</v>
      </c>
      <c r="F841" s="285">
        <v>45825</v>
      </c>
      <c r="G841" s="79" t="s">
        <v>117</v>
      </c>
      <c r="H841" s="79" t="str">
        <f>IFERROR(_xlfn.XLOOKUP(Table6[[#This Row],[Affected Feeder ]],'Basic Data'!$A:$A,'Basic Data'!$B:$B),"")</f>
        <v>PWEPL</v>
      </c>
      <c r="I841" s="79" t="str">
        <f>IFERROR(_xlfn.XLOOKUP(Table6[[#This Row],[Affected Feeder ]],'Basic Data'!$A:$A,'Basic Data'!$C:$C),"")</f>
        <v>MSEDCL</v>
      </c>
      <c r="J841" s="295">
        <f>IFERROR(_xlfn.XLOOKUP(Table6[[#This Row],[Affected Feeder ]],'Basic Data'!$A:$A,'Basic Data'!$E:$E),"")</f>
        <v>2.2727272727272728E-2</v>
      </c>
      <c r="K841" s="296" t="s">
        <v>910</v>
      </c>
      <c r="L841" s="297">
        <v>0.98472222222222217</v>
      </c>
      <c r="M841" s="297">
        <v>0.98472222222222217</v>
      </c>
      <c r="N841" s="297">
        <v>0.99930555555555556</v>
      </c>
      <c r="O841" s="19">
        <f>(Table6[[#This Row],[Work Start TimeStamp]]-Table6[[#This Row],[Fault Start TimeStamp]])*24</f>
        <v>0</v>
      </c>
      <c r="P841" s="19">
        <f>(Table6[[#This Row],[Fault Clearance time]]-Table6[[#This Row],[Fault Start TimeStamp]])*24</f>
        <v>0.35000000000000142</v>
      </c>
      <c r="Q841" s="19">
        <f>(Table6[[#This Row],[Fault Clearance time]]-Table6[[#This Row],[Fault Start TimeStamp]])*24</f>
        <v>0.35000000000000142</v>
      </c>
      <c r="R841" s="79" t="s">
        <v>456</v>
      </c>
      <c r="S841" s="79" t="s">
        <v>339</v>
      </c>
      <c r="T841" s="298">
        <f>IFERROR(Table6[[#This Row],[Breakdown Time]]*Table6[[#This Row],[Plant Equivalent Weightage]],"")</f>
        <v>7.9545454545454867E-3</v>
      </c>
      <c r="U841" s="79" t="s">
        <v>421</v>
      </c>
      <c r="W841" s="79">
        <v>659</v>
      </c>
    </row>
    <row r="842" spans="1:23">
      <c r="A842" s="79">
        <f t="shared" si="13"/>
        <v>841</v>
      </c>
      <c r="B842" s="79">
        <f>YEAR(Table6[[#This Row],[Date]])+IF(MONTH(Table6[[#This Row],[Date]])&gt;=4,1,0)</f>
        <v>2026</v>
      </c>
      <c r="C842" s="79">
        <f>YEAR(Table6[[#This Row],[Date]])</f>
        <v>2025</v>
      </c>
      <c r="D842" s="79" t="s">
        <v>344</v>
      </c>
      <c r="E842" s="284">
        <f>Table6[[#This Row],[Date]]-DAY(Table6[[#This Row],[Date]])+1</f>
        <v>45809</v>
      </c>
      <c r="F842" s="285">
        <v>45825</v>
      </c>
      <c r="G842" s="79" t="s">
        <v>118</v>
      </c>
      <c r="H842" s="79" t="str">
        <f>IFERROR(_xlfn.XLOOKUP(Table6[[#This Row],[Affected Feeder ]],'Basic Data'!$A:$A,'Basic Data'!$B:$B),"")</f>
        <v>PWEPL</v>
      </c>
      <c r="I842" s="79" t="str">
        <f>IFERROR(_xlfn.XLOOKUP(Table6[[#This Row],[Affected Feeder ]],'Basic Data'!$A:$A,'Basic Data'!$C:$C),"")</f>
        <v>MSEDCL</v>
      </c>
      <c r="J842" s="295">
        <f>IFERROR(_xlfn.XLOOKUP(Table6[[#This Row],[Affected Feeder ]],'Basic Data'!$A:$A,'Basic Data'!$E:$E),"")</f>
        <v>2.2727272727272728E-2</v>
      </c>
      <c r="K842" s="296" t="s">
        <v>910</v>
      </c>
      <c r="L842" s="297">
        <v>0.92152777777777772</v>
      </c>
      <c r="M842" s="297">
        <v>0.92152777777777772</v>
      </c>
      <c r="N842" s="297">
        <v>0.99930555555555556</v>
      </c>
      <c r="O842" s="19">
        <f>(Table6[[#This Row],[Work Start TimeStamp]]-Table6[[#This Row],[Fault Start TimeStamp]])*24</f>
        <v>0</v>
      </c>
      <c r="P842" s="19">
        <f>(Table6[[#This Row],[Fault Clearance time]]-Table6[[#This Row],[Fault Start TimeStamp]])*24</f>
        <v>1.866666666666668</v>
      </c>
      <c r="Q842" s="19">
        <f>(Table6[[#This Row],[Fault Clearance time]]-Table6[[#This Row],[Fault Start TimeStamp]])*24</f>
        <v>1.866666666666668</v>
      </c>
      <c r="R842" s="79" t="s">
        <v>456</v>
      </c>
      <c r="S842" s="79" t="s">
        <v>339</v>
      </c>
      <c r="T842" s="298">
        <f>IFERROR(Table6[[#This Row],[Breakdown Time]]*Table6[[#This Row],[Plant Equivalent Weightage]],"")</f>
        <v>4.2424242424242455E-2</v>
      </c>
      <c r="U842" s="79" t="s">
        <v>421</v>
      </c>
      <c r="W842" s="79">
        <v>2587</v>
      </c>
    </row>
    <row r="843" spans="1:23">
      <c r="A843" s="79">
        <f t="shared" si="13"/>
        <v>842</v>
      </c>
      <c r="B843" s="79">
        <f>YEAR(Table6[[#This Row],[Date]])+IF(MONTH(Table6[[#This Row],[Date]])&gt;=4,1,0)</f>
        <v>2026</v>
      </c>
      <c r="C843" s="79">
        <f>YEAR(Table6[[#This Row],[Date]])</f>
        <v>2025</v>
      </c>
      <c r="D843" s="79" t="s">
        <v>344</v>
      </c>
      <c r="E843" s="284">
        <f>Table6[[#This Row],[Date]]-DAY(Table6[[#This Row],[Date]])+1</f>
        <v>45809</v>
      </c>
      <c r="F843" s="285">
        <v>45826</v>
      </c>
      <c r="G843" s="79" t="s">
        <v>103</v>
      </c>
      <c r="H843" s="79" t="str">
        <f>IFERROR(_xlfn.XLOOKUP(Table6[[#This Row],[Affected Feeder ]],'Basic Data'!$A:$A,'Basic Data'!$B:$B),"")</f>
        <v>PWEPL</v>
      </c>
      <c r="I843" s="79" t="str">
        <f>IFERROR(_xlfn.XLOOKUP(Table6[[#This Row],[Affected Feeder ]],'Basic Data'!$A:$A,'Basic Data'!$C:$C),"")</f>
        <v>MSEDCL</v>
      </c>
      <c r="J843" s="295">
        <f>IFERROR(_xlfn.XLOOKUP(Table6[[#This Row],[Affected Feeder ]],'Basic Data'!$A:$A,'Basic Data'!$E:$E),"")</f>
        <v>2.2727272727272728E-2</v>
      </c>
      <c r="K843" s="296" t="s">
        <v>910</v>
      </c>
      <c r="L843" s="297">
        <v>0</v>
      </c>
      <c r="M843" s="297">
        <v>0</v>
      </c>
      <c r="N843" s="297">
        <v>1.2499999999999999E-2</v>
      </c>
      <c r="O843" s="19">
        <f>(Table6[[#This Row],[Work Start TimeStamp]]-Table6[[#This Row],[Fault Start TimeStamp]])*24</f>
        <v>0</v>
      </c>
      <c r="P843" s="19">
        <f>(Table6[[#This Row],[Fault Clearance time]]-Table6[[#This Row],[Fault Start TimeStamp]])*24</f>
        <v>0.3</v>
      </c>
      <c r="Q843" s="19">
        <f>(Table6[[#This Row],[Fault Clearance time]]-Table6[[#This Row],[Fault Start TimeStamp]])*24</f>
        <v>0.3</v>
      </c>
      <c r="R843" s="79" t="s">
        <v>911</v>
      </c>
      <c r="S843" s="79" t="s">
        <v>339</v>
      </c>
      <c r="T843" s="298">
        <f>IFERROR(Table6[[#This Row],[Breakdown Time]]*Table6[[#This Row],[Plant Equivalent Weightage]],"")</f>
        <v>6.8181818181818179E-3</v>
      </c>
      <c r="U843" s="79" t="s">
        <v>421</v>
      </c>
      <c r="W843" s="79">
        <v>792</v>
      </c>
    </row>
    <row r="844" spans="1:23">
      <c r="A844" s="79">
        <f t="shared" si="13"/>
        <v>843</v>
      </c>
      <c r="B844" s="79">
        <f>YEAR(Table6[[#This Row],[Date]])+IF(MONTH(Table6[[#This Row],[Date]])&gt;=4,1,0)</f>
        <v>2026</v>
      </c>
      <c r="C844" s="79">
        <f>YEAR(Table6[[#This Row],[Date]])</f>
        <v>2025</v>
      </c>
      <c r="D844" s="79" t="s">
        <v>344</v>
      </c>
      <c r="E844" s="284">
        <f>Table6[[#This Row],[Date]]-DAY(Table6[[#This Row],[Date]])+1</f>
        <v>45809</v>
      </c>
      <c r="F844" s="285">
        <v>45826</v>
      </c>
      <c r="G844" s="79" t="s">
        <v>103</v>
      </c>
      <c r="H844" s="79" t="str">
        <f>IFERROR(_xlfn.XLOOKUP(Table6[[#This Row],[Affected Feeder ]],'Basic Data'!$A:$A,'Basic Data'!$B:$B),"")</f>
        <v>PWEPL</v>
      </c>
      <c r="I844" s="79" t="str">
        <f>IFERROR(_xlfn.XLOOKUP(Table6[[#This Row],[Affected Feeder ]],'Basic Data'!$A:$A,'Basic Data'!$C:$C),"")</f>
        <v>MSEDCL</v>
      </c>
      <c r="J844" s="295">
        <f>IFERROR(_xlfn.XLOOKUP(Table6[[#This Row],[Affected Feeder ]],'Basic Data'!$A:$A,'Basic Data'!$E:$E),"")</f>
        <v>2.2727272727272728E-2</v>
      </c>
      <c r="K844" s="296" t="s">
        <v>171</v>
      </c>
      <c r="L844" s="297">
        <v>1.2499999999999999E-2</v>
      </c>
      <c r="M844" s="297">
        <v>1.2499999999999999E-2</v>
      </c>
      <c r="N844" s="297">
        <v>1.5972222222222224E-2</v>
      </c>
      <c r="O844" s="19">
        <f>(Table6[[#This Row],[Work Start TimeStamp]]-Table6[[#This Row],[Fault Start TimeStamp]])*24</f>
        <v>0</v>
      </c>
      <c r="P844" s="19">
        <f>(Table6[[#This Row],[Fault Clearance time]]-Table6[[#This Row],[Fault Start TimeStamp]])*24</f>
        <v>8.3333333333333412E-2</v>
      </c>
      <c r="Q844" s="19">
        <f>(Table6[[#This Row],[Fault Clearance time]]-Table6[[#This Row],[Fault Start TimeStamp]])*24</f>
        <v>8.3333333333333412E-2</v>
      </c>
      <c r="R844" s="79" t="s">
        <v>353</v>
      </c>
      <c r="S844" s="79" t="s">
        <v>339</v>
      </c>
      <c r="T844" s="298">
        <f>IFERROR(Table6[[#This Row],[Breakdown Time]]*Table6[[#This Row],[Plant Equivalent Weightage]],"")</f>
        <v>1.8939393939393957E-3</v>
      </c>
      <c r="U844" s="79" t="s">
        <v>421</v>
      </c>
      <c r="W844" s="79">
        <v>304</v>
      </c>
    </row>
    <row r="845" spans="1:23">
      <c r="A845" s="79">
        <f t="shared" si="13"/>
        <v>844</v>
      </c>
      <c r="B845" s="79">
        <f>YEAR(Table6[[#This Row],[Date]])+IF(MONTH(Table6[[#This Row],[Date]])&gt;=4,1,0)</f>
        <v>2026</v>
      </c>
      <c r="C845" s="79">
        <f>YEAR(Table6[[#This Row],[Date]])</f>
        <v>2025</v>
      </c>
      <c r="D845" s="79" t="s">
        <v>344</v>
      </c>
      <c r="E845" s="284">
        <f>Table6[[#This Row],[Date]]-DAY(Table6[[#This Row],[Date]])+1</f>
        <v>45809</v>
      </c>
      <c r="F845" s="285">
        <v>45826</v>
      </c>
      <c r="G845" s="79" t="s">
        <v>105</v>
      </c>
      <c r="H845" s="79" t="str">
        <f>IFERROR(_xlfn.XLOOKUP(Table6[[#This Row],[Affected Feeder ]],'Basic Data'!$A:$A,'Basic Data'!$B:$B),"")</f>
        <v>PWEPL</v>
      </c>
      <c r="I845" s="79" t="str">
        <f>IFERROR(_xlfn.XLOOKUP(Table6[[#This Row],[Affected Feeder ]],'Basic Data'!$A:$A,'Basic Data'!$C:$C),"")</f>
        <v>MSEDCL</v>
      </c>
      <c r="J845" s="295">
        <f>IFERROR(_xlfn.XLOOKUP(Table6[[#This Row],[Affected Feeder ]],'Basic Data'!$A:$A,'Basic Data'!$E:$E),"")</f>
        <v>2.2727272727272728E-2</v>
      </c>
      <c r="K845" s="296" t="s">
        <v>910</v>
      </c>
      <c r="L845" s="297">
        <v>0</v>
      </c>
      <c r="M845" s="297">
        <v>0</v>
      </c>
      <c r="N845" s="297">
        <v>1.2499999999999999E-2</v>
      </c>
      <c r="O845" s="19">
        <f>(Table6[[#This Row],[Work Start TimeStamp]]-Table6[[#This Row],[Fault Start TimeStamp]])*24</f>
        <v>0</v>
      </c>
      <c r="P845" s="19">
        <f>(Table6[[#This Row],[Fault Clearance time]]-Table6[[#This Row],[Fault Start TimeStamp]])*24</f>
        <v>0.3</v>
      </c>
      <c r="Q845" s="19">
        <f>(Table6[[#This Row],[Fault Clearance time]]-Table6[[#This Row],[Fault Start TimeStamp]])*24</f>
        <v>0.3</v>
      </c>
      <c r="R845" s="79" t="s">
        <v>911</v>
      </c>
      <c r="S845" s="79" t="s">
        <v>339</v>
      </c>
      <c r="T845" s="298">
        <f>IFERROR(Table6[[#This Row],[Breakdown Time]]*Table6[[#This Row],[Plant Equivalent Weightage]],"")</f>
        <v>6.8181818181818179E-3</v>
      </c>
      <c r="U845" s="79" t="s">
        <v>421</v>
      </c>
      <c r="W845" s="79">
        <v>792</v>
      </c>
    </row>
    <row r="846" spans="1:23">
      <c r="A846" s="79">
        <f t="shared" si="13"/>
        <v>845</v>
      </c>
      <c r="B846" s="79">
        <f>YEAR(Table6[[#This Row],[Date]])+IF(MONTH(Table6[[#This Row],[Date]])&gt;=4,1,0)</f>
        <v>2026</v>
      </c>
      <c r="C846" s="79">
        <f>YEAR(Table6[[#This Row],[Date]])</f>
        <v>2025</v>
      </c>
      <c r="D846" s="79" t="s">
        <v>344</v>
      </c>
      <c r="E846" s="284">
        <f>Table6[[#This Row],[Date]]-DAY(Table6[[#This Row],[Date]])+1</f>
        <v>45809</v>
      </c>
      <c r="F846" s="285">
        <v>45826</v>
      </c>
      <c r="G846" s="79" t="s">
        <v>105</v>
      </c>
      <c r="H846" s="79" t="str">
        <f>IFERROR(_xlfn.XLOOKUP(Table6[[#This Row],[Affected Feeder ]],'Basic Data'!$A:$A,'Basic Data'!$B:$B),"")</f>
        <v>PWEPL</v>
      </c>
      <c r="I846" s="79" t="str">
        <f>IFERROR(_xlfn.XLOOKUP(Table6[[#This Row],[Affected Feeder ]],'Basic Data'!$A:$A,'Basic Data'!$C:$C),"")</f>
        <v>MSEDCL</v>
      </c>
      <c r="J846" s="295">
        <f>IFERROR(_xlfn.XLOOKUP(Table6[[#This Row],[Affected Feeder ]],'Basic Data'!$A:$A,'Basic Data'!$E:$E),"")</f>
        <v>2.2727272727272728E-2</v>
      </c>
      <c r="K846" s="296" t="s">
        <v>171</v>
      </c>
      <c r="L846" s="297">
        <v>1.2499999999999999E-2</v>
      </c>
      <c r="M846" s="297">
        <v>1.2499999999999999E-2</v>
      </c>
      <c r="N846" s="297">
        <v>1.5972222222222224E-2</v>
      </c>
      <c r="O846" s="19">
        <f>(Table6[[#This Row],[Work Start TimeStamp]]-Table6[[#This Row],[Fault Start TimeStamp]])*24</f>
        <v>0</v>
      </c>
      <c r="P846" s="19">
        <f>(Table6[[#This Row],[Fault Clearance time]]-Table6[[#This Row],[Fault Start TimeStamp]])*24</f>
        <v>8.3333333333333412E-2</v>
      </c>
      <c r="Q846" s="19">
        <f>(Table6[[#This Row],[Fault Clearance time]]-Table6[[#This Row],[Fault Start TimeStamp]])*24</f>
        <v>8.3333333333333412E-2</v>
      </c>
      <c r="R846" s="79" t="s">
        <v>353</v>
      </c>
      <c r="S846" s="79" t="s">
        <v>339</v>
      </c>
      <c r="T846" s="298">
        <f>IFERROR(Table6[[#This Row],[Breakdown Time]]*Table6[[#This Row],[Plant Equivalent Weightage]],"")</f>
        <v>1.8939393939393957E-3</v>
      </c>
      <c r="U846" s="79" t="s">
        <v>421</v>
      </c>
      <c r="W846" s="79">
        <v>304</v>
      </c>
    </row>
    <row r="847" spans="1:23">
      <c r="A847" s="79">
        <f t="shared" si="13"/>
        <v>846</v>
      </c>
      <c r="B847" s="79">
        <f>YEAR(Table6[[#This Row],[Date]])+IF(MONTH(Table6[[#This Row],[Date]])&gt;=4,1,0)</f>
        <v>2026</v>
      </c>
      <c r="C847" s="79">
        <f>YEAR(Table6[[#This Row],[Date]])</f>
        <v>2025</v>
      </c>
      <c r="D847" s="79" t="s">
        <v>344</v>
      </c>
      <c r="E847" s="284">
        <f>Table6[[#This Row],[Date]]-DAY(Table6[[#This Row],[Date]])+1</f>
        <v>45809</v>
      </c>
      <c r="F847" s="285">
        <v>45826</v>
      </c>
      <c r="G847" s="79" t="s">
        <v>115</v>
      </c>
      <c r="H847" s="79" t="str">
        <f>IFERROR(_xlfn.XLOOKUP(Table6[[#This Row],[Affected Feeder ]],'Basic Data'!$A:$A,'Basic Data'!$B:$B),"")</f>
        <v>PWEPL</v>
      </c>
      <c r="I847" s="79" t="str">
        <f>IFERROR(_xlfn.XLOOKUP(Table6[[#This Row],[Affected Feeder ]],'Basic Data'!$A:$A,'Basic Data'!$C:$C),"")</f>
        <v>MSEDCL</v>
      </c>
      <c r="J847" s="295">
        <f>IFERROR(_xlfn.XLOOKUP(Table6[[#This Row],[Affected Feeder ]],'Basic Data'!$A:$A,'Basic Data'!$E:$E),"")</f>
        <v>2.2727272727272728E-2</v>
      </c>
      <c r="K847" s="296" t="s">
        <v>910</v>
      </c>
      <c r="L847" s="297">
        <v>0</v>
      </c>
      <c r="M847" s="297">
        <v>0</v>
      </c>
      <c r="N847" s="297">
        <v>1.2499999999999999E-2</v>
      </c>
      <c r="O847" s="19">
        <f>(Table6[[#This Row],[Work Start TimeStamp]]-Table6[[#This Row],[Fault Start TimeStamp]])*24</f>
        <v>0</v>
      </c>
      <c r="P847" s="19">
        <f>(Table6[[#This Row],[Fault Clearance time]]-Table6[[#This Row],[Fault Start TimeStamp]])*24</f>
        <v>0.3</v>
      </c>
      <c r="Q847" s="19">
        <f>(Table6[[#This Row],[Fault Clearance time]]-Table6[[#This Row],[Fault Start TimeStamp]])*24</f>
        <v>0.3</v>
      </c>
      <c r="R847" s="79" t="s">
        <v>911</v>
      </c>
      <c r="S847" s="79" t="s">
        <v>339</v>
      </c>
      <c r="T847" s="298">
        <f>IFERROR(Table6[[#This Row],[Breakdown Time]]*Table6[[#This Row],[Plant Equivalent Weightage]],"")</f>
        <v>6.8181818181818179E-3</v>
      </c>
      <c r="U847" s="79" t="s">
        <v>421</v>
      </c>
      <c r="W847" s="79">
        <v>792</v>
      </c>
    </row>
    <row r="848" spans="1:23">
      <c r="A848" s="79">
        <f t="shared" si="13"/>
        <v>847</v>
      </c>
      <c r="B848" s="79">
        <f>YEAR(Table6[[#This Row],[Date]])+IF(MONTH(Table6[[#This Row],[Date]])&gt;=4,1,0)</f>
        <v>2026</v>
      </c>
      <c r="C848" s="79">
        <f>YEAR(Table6[[#This Row],[Date]])</f>
        <v>2025</v>
      </c>
      <c r="D848" s="79" t="s">
        <v>344</v>
      </c>
      <c r="E848" s="284">
        <f>Table6[[#This Row],[Date]]-DAY(Table6[[#This Row],[Date]])+1</f>
        <v>45809</v>
      </c>
      <c r="F848" s="285">
        <v>45826</v>
      </c>
      <c r="G848" s="79" t="s">
        <v>115</v>
      </c>
      <c r="H848" s="79" t="str">
        <f>IFERROR(_xlfn.XLOOKUP(Table6[[#This Row],[Affected Feeder ]],'Basic Data'!$A:$A,'Basic Data'!$B:$B),"")</f>
        <v>PWEPL</v>
      </c>
      <c r="I848" s="79" t="str">
        <f>IFERROR(_xlfn.XLOOKUP(Table6[[#This Row],[Affected Feeder ]],'Basic Data'!$A:$A,'Basic Data'!$C:$C),"")</f>
        <v>MSEDCL</v>
      </c>
      <c r="J848" s="295">
        <f>IFERROR(_xlfn.XLOOKUP(Table6[[#This Row],[Affected Feeder ]],'Basic Data'!$A:$A,'Basic Data'!$E:$E),"")</f>
        <v>2.2727272727272728E-2</v>
      </c>
      <c r="K848" s="296" t="s">
        <v>171</v>
      </c>
      <c r="L848" s="297">
        <v>1.2499999999999999E-2</v>
      </c>
      <c r="M848" s="297">
        <v>1.2499999999999999E-2</v>
      </c>
      <c r="N848" s="297">
        <v>1.5972222222222224E-2</v>
      </c>
      <c r="O848" s="19">
        <f>(Table6[[#This Row],[Work Start TimeStamp]]-Table6[[#This Row],[Fault Start TimeStamp]])*24</f>
        <v>0</v>
      </c>
      <c r="P848" s="19">
        <f>(Table6[[#This Row],[Fault Clearance time]]-Table6[[#This Row],[Fault Start TimeStamp]])*24</f>
        <v>8.3333333333333412E-2</v>
      </c>
      <c r="Q848" s="19">
        <f>(Table6[[#This Row],[Fault Clearance time]]-Table6[[#This Row],[Fault Start TimeStamp]])*24</f>
        <v>8.3333333333333412E-2</v>
      </c>
      <c r="R848" s="79" t="s">
        <v>353</v>
      </c>
      <c r="S848" s="79" t="s">
        <v>339</v>
      </c>
      <c r="T848" s="298">
        <f>IFERROR(Table6[[#This Row],[Breakdown Time]]*Table6[[#This Row],[Plant Equivalent Weightage]],"")</f>
        <v>1.8939393939393957E-3</v>
      </c>
      <c r="U848" s="79" t="s">
        <v>421</v>
      </c>
      <c r="W848" s="79">
        <v>304</v>
      </c>
    </row>
    <row r="849" spans="1:23">
      <c r="A849" s="79">
        <f t="shared" si="13"/>
        <v>848</v>
      </c>
      <c r="B849" s="79">
        <f>YEAR(Table6[[#This Row],[Date]])+IF(MONTH(Table6[[#This Row],[Date]])&gt;=4,1,0)</f>
        <v>2026</v>
      </c>
      <c r="C849" s="79">
        <f>YEAR(Table6[[#This Row],[Date]])</f>
        <v>2025</v>
      </c>
      <c r="D849" s="79" t="s">
        <v>344</v>
      </c>
      <c r="E849" s="284">
        <f>Table6[[#This Row],[Date]]-DAY(Table6[[#This Row],[Date]])+1</f>
        <v>45809</v>
      </c>
      <c r="F849" s="285">
        <v>45826</v>
      </c>
      <c r="G849" s="79" t="s">
        <v>116</v>
      </c>
      <c r="H849" s="79" t="str">
        <f>IFERROR(_xlfn.XLOOKUP(Table6[[#This Row],[Affected Feeder ]],'Basic Data'!$A:$A,'Basic Data'!$B:$B),"")</f>
        <v>PWEPL</v>
      </c>
      <c r="I849" s="79" t="str">
        <f>IFERROR(_xlfn.XLOOKUP(Table6[[#This Row],[Affected Feeder ]],'Basic Data'!$A:$A,'Basic Data'!$C:$C),"")</f>
        <v>MSEDCL</v>
      </c>
      <c r="J849" s="295">
        <f>IFERROR(_xlfn.XLOOKUP(Table6[[#This Row],[Affected Feeder ]],'Basic Data'!$A:$A,'Basic Data'!$E:$E),"")</f>
        <v>2.2727272727272728E-2</v>
      </c>
      <c r="K849" s="296" t="s">
        <v>910</v>
      </c>
      <c r="L849" s="297">
        <v>0</v>
      </c>
      <c r="M849" s="297">
        <v>0</v>
      </c>
      <c r="N849" s="297">
        <v>1.2499999999999999E-2</v>
      </c>
      <c r="O849" s="19">
        <f>(Table6[[#This Row],[Work Start TimeStamp]]-Table6[[#This Row],[Fault Start TimeStamp]])*24</f>
        <v>0</v>
      </c>
      <c r="P849" s="19">
        <f>(Table6[[#This Row],[Fault Clearance time]]-Table6[[#This Row],[Fault Start TimeStamp]])*24</f>
        <v>0.3</v>
      </c>
      <c r="Q849" s="19">
        <f>(Table6[[#This Row],[Fault Clearance time]]-Table6[[#This Row],[Fault Start TimeStamp]])*24</f>
        <v>0.3</v>
      </c>
      <c r="R849" s="79" t="s">
        <v>911</v>
      </c>
      <c r="S849" s="79" t="s">
        <v>339</v>
      </c>
      <c r="T849" s="298">
        <f>IFERROR(Table6[[#This Row],[Breakdown Time]]*Table6[[#This Row],[Plant Equivalent Weightage]],"")</f>
        <v>6.8181818181818179E-3</v>
      </c>
      <c r="U849" s="79" t="s">
        <v>421</v>
      </c>
      <c r="W849" s="79">
        <v>792</v>
      </c>
    </row>
    <row r="850" spans="1:23">
      <c r="A850" s="79">
        <f t="shared" si="13"/>
        <v>849</v>
      </c>
      <c r="B850" s="79">
        <f>YEAR(Table6[[#This Row],[Date]])+IF(MONTH(Table6[[#This Row],[Date]])&gt;=4,1,0)</f>
        <v>2026</v>
      </c>
      <c r="C850" s="79">
        <f>YEAR(Table6[[#This Row],[Date]])</f>
        <v>2025</v>
      </c>
      <c r="D850" s="79" t="s">
        <v>344</v>
      </c>
      <c r="E850" s="284">
        <f>Table6[[#This Row],[Date]]-DAY(Table6[[#This Row],[Date]])+1</f>
        <v>45809</v>
      </c>
      <c r="F850" s="285">
        <v>45826</v>
      </c>
      <c r="G850" s="79" t="s">
        <v>116</v>
      </c>
      <c r="H850" s="79" t="str">
        <f>IFERROR(_xlfn.XLOOKUP(Table6[[#This Row],[Affected Feeder ]],'Basic Data'!$A:$A,'Basic Data'!$B:$B),"")</f>
        <v>PWEPL</v>
      </c>
      <c r="I850" s="79" t="str">
        <f>IFERROR(_xlfn.XLOOKUP(Table6[[#This Row],[Affected Feeder ]],'Basic Data'!$A:$A,'Basic Data'!$C:$C),"")</f>
        <v>MSEDCL</v>
      </c>
      <c r="J850" s="295">
        <f>IFERROR(_xlfn.XLOOKUP(Table6[[#This Row],[Affected Feeder ]],'Basic Data'!$A:$A,'Basic Data'!$E:$E),"")</f>
        <v>2.2727272727272728E-2</v>
      </c>
      <c r="K850" s="296" t="s">
        <v>171</v>
      </c>
      <c r="L850" s="297">
        <v>1.2499999999999999E-2</v>
      </c>
      <c r="M850" s="297">
        <v>1.2499999999999999E-2</v>
      </c>
      <c r="N850" s="297">
        <v>1.5972222222222224E-2</v>
      </c>
      <c r="O850" s="19">
        <f>(Table6[[#This Row],[Work Start TimeStamp]]-Table6[[#This Row],[Fault Start TimeStamp]])*24</f>
        <v>0</v>
      </c>
      <c r="P850" s="19">
        <f>(Table6[[#This Row],[Fault Clearance time]]-Table6[[#This Row],[Fault Start TimeStamp]])*24</f>
        <v>8.3333333333333412E-2</v>
      </c>
      <c r="Q850" s="19">
        <f>(Table6[[#This Row],[Fault Clearance time]]-Table6[[#This Row],[Fault Start TimeStamp]])*24</f>
        <v>8.3333333333333412E-2</v>
      </c>
      <c r="R850" s="79" t="s">
        <v>353</v>
      </c>
      <c r="S850" s="79" t="s">
        <v>339</v>
      </c>
      <c r="T850" s="298">
        <f>IFERROR(Table6[[#This Row],[Breakdown Time]]*Table6[[#This Row],[Plant Equivalent Weightage]],"")</f>
        <v>1.8939393939393957E-3</v>
      </c>
      <c r="U850" s="79" t="s">
        <v>421</v>
      </c>
      <c r="W850" s="79">
        <v>304</v>
      </c>
    </row>
    <row r="851" spans="1:23">
      <c r="A851" s="79">
        <f t="shared" si="13"/>
        <v>850</v>
      </c>
      <c r="B851" s="79">
        <f>YEAR(Table6[[#This Row],[Date]])+IF(MONTH(Table6[[#This Row],[Date]])&gt;=4,1,0)</f>
        <v>2026</v>
      </c>
      <c r="C851" s="79">
        <f>YEAR(Table6[[#This Row],[Date]])</f>
        <v>2025</v>
      </c>
      <c r="D851" s="79" t="s">
        <v>344</v>
      </c>
      <c r="E851" s="284">
        <f>Table6[[#This Row],[Date]]-DAY(Table6[[#This Row],[Date]])+1</f>
        <v>45809</v>
      </c>
      <c r="F851" s="285">
        <v>45826</v>
      </c>
      <c r="G851" s="79" t="s">
        <v>117</v>
      </c>
      <c r="H851" s="79" t="str">
        <f>IFERROR(_xlfn.XLOOKUP(Table6[[#This Row],[Affected Feeder ]],'Basic Data'!$A:$A,'Basic Data'!$B:$B),"")</f>
        <v>PWEPL</v>
      </c>
      <c r="I851" s="79" t="str">
        <f>IFERROR(_xlfn.XLOOKUP(Table6[[#This Row],[Affected Feeder ]],'Basic Data'!$A:$A,'Basic Data'!$C:$C),"")</f>
        <v>MSEDCL</v>
      </c>
      <c r="J851" s="295">
        <f>IFERROR(_xlfn.XLOOKUP(Table6[[#This Row],[Affected Feeder ]],'Basic Data'!$A:$A,'Basic Data'!$E:$E),"")</f>
        <v>2.2727272727272728E-2</v>
      </c>
      <c r="K851" s="296" t="s">
        <v>910</v>
      </c>
      <c r="L851" s="297">
        <v>0</v>
      </c>
      <c r="M851" s="297">
        <v>0</v>
      </c>
      <c r="N851" s="297">
        <v>1.2499999999999999E-2</v>
      </c>
      <c r="O851" s="19">
        <f>(Table6[[#This Row],[Work Start TimeStamp]]-Table6[[#This Row],[Fault Start TimeStamp]])*24</f>
        <v>0</v>
      </c>
      <c r="P851" s="19">
        <f>(Table6[[#This Row],[Fault Clearance time]]-Table6[[#This Row],[Fault Start TimeStamp]])*24</f>
        <v>0.3</v>
      </c>
      <c r="Q851" s="19">
        <f>(Table6[[#This Row],[Fault Clearance time]]-Table6[[#This Row],[Fault Start TimeStamp]])*24</f>
        <v>0.3</v>
      </c>
      <c r="R851" s="79" t="s">
        <v>911</v>
      </c>
      <c r="S851" s="79" t="s">
        <v>339</v>
      </c>
      <c r="T851" s="298">
        <f>IFERROR(Table6[[#This Row],[Breakdown Time]]*Table6[[#This Row],[Plant Equivalent Weightage]],"")</f>
        <v>6.8181818181818179E-3</v>
      </c>
      <c r="U851" s="79" t="s">
        <v>421</v>
      </c>
      <c r="W851" s="79">
        <v>716</v>
      </c>
    </row>
    <row r="852" spans="1:23">
      <c r="A852" s="79">
        <f t="shared" si="13"/>
        <v>851</v>
      </c>
      <c r="B852" s="79">
        <f>YEAR(Table6[[#This Row],[Date]])+IF(MONTH(Table6[[#This Row],[Date]])&gt;=4,1,0)</f>
        <v>2026</v>
      </c>
      <c r="C852" s="79">
        <f>YEAR(Table6[[#This Row],[Date]])</f>
        <v>2025</v>
      </c>
      <c r="D852" s="79" t="s">
        <v>344</v>
      </c>
      <c r="E852" s="284">
        <f>Table6[[#This Row],[Date]]-DAY(Table6[[#This Row],[Date]])+1</f>
        <v>45809</v>
      </c>
      <c r="F852" s="285">
        <v>45826</v>
      </c>
      <c r="G852" s="79" t="s">
        <v>117</v>
      </c>
      <c r="H852" s="79" t="str">
        <f>IFERROR(_xlfn.XLOOKUP(Table6[[#This Row],[Affected Feeder ]],'Basic Data'!$A:$A,'Basic Data'!$B:$B),"")</f>
        <v>PWEPL</v>
      </c>
      <c r="I852" s="79" t="str">
        <f>IFERROR(_xlfn.XLOOKUP(Table6[[#This Row],[Affected Feeder ]],'Basic Data'!$A:$A,'Basic Data'!$C:$C),"")</f>
        <v>MSEDCL</v>
      </c>
      <c r="J852" s="295">
        <f>IFERROR(_xlfn.XLOOKUP(Table6[[#This Row],[Affected Feeder ]],'Basic Data'!$A:$A,'Basic Data'!$E:$E),"")</f>
        <v>2.2727272727272728E-2</v>
      </c>
      <c r="K852" s="296" t="s">
        <v>171</v>
      </c>
      <c r="L852" s="297">
        <v>1.2499999999999999E-2</v>
      </c>
      <c r="M852" s="297">
        <v>1.2499999999999999E-2</v>
      </c>
      <c r="N852" s="297">
        <v>1.5972222222222224E-2</v>
      </c>
      <c r="O852" s="19">
        <f>(Table6[[#This Row],[Work Start TimeStamp]]-Table6[[#This Row],[Fault Start TimeStamp]])*24</f>
        <v>0</v>
      </c>
      <c r="P852" s="19">
        <f>(Table6[[#This Row],[Fault Clearance time]]-Table6[[#This Row],[Fault Start TimeStamp]])*24</f>
        <v>8.3333333333333412E-2</v>
      </c>
      <c r="Q852" s="19">
        <f>(Table6[[#This Row],[Fault Clearance time]]-Table6[[#This Row],[Fault Start TimeStamp]])*24</f>
        <v>8.3333333333333412E-2</v>
      </c>
      <c r="R852" s="79" t="s">
        <v>353</v>
      </c>
      <c r="S852" s="79" t="s">
        <v>339</v>
      </c>
      <c r="T852" s="298">
        <f>IFERROR(Table6[[#This Row],[Breakdown Time]]*Table6[[#This Row],[Plant Equivalent Weightage]],"")</f>
        <v>1.8939393939393957E-3</v>
      </c>
      <c r="U852" s="79" t="s">
        <v>421</v>
      </c>
      <c r="W852" s="79">
        <v>358</v>
      </c>
    </row>
    <row r="853" spans="1:23">
      <c r="A853" s="79">
        <f t="shared" si="13"/>
        <v>852</v>
      </c>
      <c r="B853" s="79">
        <f>YEAR(Table6[[#This Row],[Date]])+IF(MONTH(Table6[[#This Row],[Date]])&gt;=4,1,0)</f>
        <v>2026</v>
      </c>
      <c r="C853" s="79">
        <f>YEAR(Table6[[#This Row],[Date]])</f>
        <v>2025</v>
      </c>
      <c r="D853" s="79" t="s">
        <v>344</v>
      </c>
      <c r="E853" s="284">
        <f>Table6[[#This Row],[Date]]-DAY(Table6[[#This Row],[Date]])+1</f>
        <v>45809</v>
      </c>
      <c r="F853" s="285">
        <v>45826</v>
      </c>
      <c r="G853" s="79" t="s">
        <v>118</v>
      </c>
      <c r="H853" s="79" t="str">
        <f>IFERROR(_xlfn.XLOOKUP(Table6[[#This Row],[Affected Feeder ]],'Basic Data'!$A:$A,'Basic Data'!$B:$B),"")</f>
        <v>PWEPL</v>
      </c>
      <c r="I853" s="79" t="str">
        <f>IFERROR(_xlfn.XLOOKUP(Table6[[#This Row],[Affected Feeder ]],'Basic Data'!$A:$A,'Basic Data'!$C:$C),"")</f>
        <v>MSEDCL</v>
      </c>
      <c r="J853" s="295">
        <f>IFERROR(_xlfn.XLOOKUP(Table6[[#This Row],[Affected Feeder ]],'Basic Data'!$A:$A,'Basic Data'!$E:$E),"")</f>
        <v>2.2727272727272728E-2</v>
      </c>
      <c r="K853" s="296" t="s">
        <v>910</v>
      </c>
      <c r="L853" s="297">
        <v>0</v>
      </c>
      <c r="M853" s="297">
        <v>0</v>
      </c>
      <c r="N853" s="297">
        <v>1.2499999999999999E-2</v>
      </c>
      <c r="O853" s="19">
        <f>(Table6[[#This Row],[Work Start TimeStamp]]-Table6[[#This Row],[Fault Start TimeStamp]])*24</f>
        <v>0</v>
      </c>
      <c r="P853" s="19">
        <f>(Table6[[#This Row],[Fault Clearance time]]-Table6[[#This Row],[Fault Start TimeStamp]])*24</f>
        <v>0.3</v>
      </c>
      <c r="Q853" s="19">
        <f>(Table6[[#This Row],[Fault Clearance time]]-Table6[[#This Row],[Fault Start TimeStamp]])*24</f>
        <v>0.3</v>
      </c>
      <c r="R853" s="79" t="s">
        <v>911</v>
      </c>
      <c r="S853" s="79" t="s">
        <v>339</v>
      </c>
      <c r="T853" s="298">
        <f>IFERROR(Table6[[#This Row],[Breakdown Time]]*Table6[[#This Row],[Plant Equivalent Weightage]],"")</f>
        <v>6.8181818181818179E-3</v>
      </c>
      <c r="U853" s="79" t="s">
        <v>421</v>
      </c>
      <c r="W853" s="79">
        <v>954</v>
      </c>
    </row>
    <row r="854" spans="1:23">
      <c r="A854" s="79">
        <f t="shared" si="13"/>
        <v>853</v>
      </c>
      <c r="B854" s="79">
        <f>YEAR(Table6[[#This Row],[Date]])+IF(MONTH(Table6[[#This Row],[Date]])&gt;=4,1,0)</f>
        <v>2026</v>
      </c>
      <c r="C854" s="79">
        <f>YEAR(Table6[[#This Row],[Date]])</f>
        <v>2025</v>
      </c>
      <c r="D854" s="79" t="s">
        <v>344</v>
      </c>
      <c r="E854" s="284">
        <f>Table6[[#This Row],[Date]]-DAY(Table6[[#This Row],[Date]])+1</f>
        <v>45809</v>
      </c>
      <c r="F854" s="285">
        <v>45826</v>
      </c>
      <c r="G854" s="79" t="s">
        <v>118</v>
      </c>
      <c r="H854" s="79" t="str">
        <f>IFERROR(_xlfn.XLOOKUP(Table6[[#This Row],[Affected Feeder ]],'Basic Data'!$A:$A,'Basic Data'!$B:$B),"")</f>
        <v>PWEPL</v>
      </c>
      <c r="I854" s="79" t="str">
        <f>IFERROR(_xlfn.XLOOKUP(Table6[[#This Row],[Affected Feeder ]],'Basic Data'!$A:$A,'Basic Data'!$C:$C),"")</f>
        <v>MSEDCL</v>
      </c>
      <c r="J854" s="295">
        <f>IFERROR(_xlfn.XLOOKUP(Table6[[#This Row],[Affected Feeder ]],'Basic Data'!$A:$A,'Basic Data'!$E:$E),"")</f>
        <v>2.2727272727272728E-2</v>
      </c>
      <c r="K854" s="296" t="s">
        <v>171</v>
      </c>
      <c r="L854" s="297">
        <v>1.2499999999999999E-2</v>
      </c>
      <c r="M854" s="297">
        <v>1.2499999999999999E-2</v>
      </c>
      <c r="N854" s="297">
        <v>1.5972222222222224E-2</v>
      </c>
      <c r="O854" s="19">
        <f>(Table6[[#This Row],[Work Start TimeStamp]]-Table6[[#This Row],[Fault Start TimeStamp]])*24</f>
        <v>0</v>
      </c>
      <c r="P854" s="19">
        <f>(Table6[[#This Row],[Fault Clearance time]]-Table6[[#This Row],[Fault Start TimeStamp]])*24</f>
        <v>8.3333333333333412E-2</v>
      </c>
      <c r="Q854" s="19">
        <f>(Table6[[#This Row],[Fault Clearance time]]-Table6[[#This Row],[Fault Start TimeStamp]])*24</f>
        <v>8.3333333333333412E-2</v>
      </c>
      <c r="R854" s="79" t="s">
        <v>353</v>
      </c>
      <c r="S854" s="79" t="s">
        <v>339</v>
      </c>
      <c r="T854" s="298">
        <f>IFERROR(Table6[[#This Row],[Breakdown Time]]*Table6[[#This Row],[Plant Equivalent Weightage]],"")</f>
        <v>1.8939393939393957E-3</v>
      </c>
      <c r="U854" s="79" t="s">
        <v>421</v>
      </c>
      <c r="W854" s="79">
        <v>366</v>
      </c>
    </row>
    <row r="855" spans="1:23">
      <c r="A855" s="79">
        <f t="shared" si="13"/>
        <v>854</v>
      </c>
      <c r="B855" s="79">
        <f>YEAR(Table6[[#This Row],[Date]])+IF(MONTH(Table6[[#This Row],[Date]])&gt;=4,1,0)</f>
        <v>2026</v>
      </c>
      <c r="C855" s="79">
        <f>YEAR(Table6[[#This Row],[Date]])</f>
        <v>2025</v>
      </c>
      <c r="D855" s="79" t="s">
        <v>344</v>
      </c>
      <c r="E855" s="284">
        <f>Table6[[#This Row],[Date]]-DAY(Table6[[#This Row],[Date]])+1</f>
        <v>45809</v>
      </c>
      <c r="F855" s="285">
        <v>45826</v>
      </c>
      <c r="G855" s="79" t="s">
        <v>406</v>
      </c>
      <c r="H855" s="79" t="str">
        <f>IFERROR(_xlfn.XLOOKUP(Table6[[#This Row],[Affected Feeder ]],'Basic Data'!$A:$A,'Basic Data'!$B:$B),"")</f>
        <v>PWEPL</v>
      </c>
      <c r="I855" s="79" t="str">
        <f>IFERROR(_xlfn.XLOOKUP(Table6[[#This Row],[Affected Feeder ]],'Basic Data'!$A:$A,'Basic Data'!$C:$C),"")</f>
        <v>MSEDCL</v>
      </c>
      <c r="J855" s="295">
        <f>IFERROR(_xlfn.XLOOKUP(Table6[[#This Row],[Affected Feeder ]],'Basic Data'!$A:$A,'Basic Data'!$E:$E),"")</f>
        <v>0.29545454545454541</v>
      </c>
      <c r="K855" s="296" t="s">
        <v>447</v>
      </c>
      <c r="L855" s="297">
        <v>0.80069444444444438</v>
      </c>
      <c r="M855" s="297">
        <v>0.80069444444444438</v>
      </c>
      <c r="N855" s="297">
        <v>0.81180555555555556</v>
      </c>
      <c r="O855" s="19">
        <f>(Table6[[#This Row],[Work Start TimeStamp]]-Table6[[#This Row],[Fault Start TimeStamp]])*24</f>
        <v>0</v>
      </c>
      <c r="P855" s="19">
        <f>(Table6[[#This Row],[Fault Clearance time]]-Table6[[#This Row],[Fault Start TimeStamp]])*24</f>
        <v>0.26666666666666838</v>
      </c>
      <c r="Q855" s="19">
        <f>(Table6[[#This Row],[Fault Clearance time]]-Table6[[#This Row],[Fault Start TimeStamp]])*24</f>
        <v>0.26666666666666838</v>
      </c>
      <c r="R855" s="79" t="s">
        <v>420</v>
      </c>
      <c r="S855" s="79" t="s">
        <v>339</v>
      </c>
      <c r="T855" s="298">
        <f>IFERROR(Table6[[#This Row],[Breakdown Time]]*Table6[[#This Row],[Plant Equivalent Weightage]],"")</f>
        <v>7.8787878787879281E-2</v>
      </c>
      <c r="U855" s="79" t="s">
        <v>421</v>
      </c>
      <c r="W855" s="79">
        <v>7689</v>
      </c>
    </row>
    <row r="856" spans="1:23">
      <c r="A856" s="79">
        <f t="shared" si="13"/>
        <v>855</v>
      </c>
      <c r="B856" s="79">
        <f>YEAR(Table6[[#This Row],[Date]])+IF(MONTH(Table6[[#This Row],[Date]])&gt;=4,1,0)</f>
        <v>2026</v>
      </c>
      <c r="C856" s="79">
        <f>YEAR(Table6[[#This Row],[Date]])</f>
        <v>2025</v>
      </c>
      <c r="D856" s="79" t="s">
        <v>344</v>
      </c>
      <c r="E856" s="284">
        <f>Table6[[#This Row],[Date]]-DAY(Table6[[#This Row],[Date]])+1</f>
        <v>45809</v>
      </c>
      <c r="F856" s="285">
        <v>45826</v>
      </c>
      <c r="G856" s="79" t="s">
        <v>76</v>
      </c>
      <c r="H856" s="79" t="str">
        <f>IFERROR(_xlfn.XLOOKUP(Table6[[#This Row],[Affected Feeder ]],'Basic Data'!$A:$A,'Basic Data'!$B:$B),"")</f>
        <v>PWEPL</v>
      </c>
      <c r="I856" s="79" t="str">
        <f>IFERROR(_xlfn.XLOOKUP(Table6[[#This Row],[Affected Feeder ]],'Basic Data'!$A:$A,'Basic Data'!$C:$C),"")</f>
        <v>MSEDCL</v>
      </c>
      <c r="J856" s="295">
        <f>IFERROR(_xlfn.XLOOKUP(Table6[[#This Row],[Affected Feeder ]],'Basic Data'!$A:$A,'Basic Data'!$E:$E),"")</f>
        <v>2.2727272727272728E-2</v>
      </c>
      <c r="K856" s="296" t="s">
        <v>171</v>
      </c>
      <c r="L856" s="297">
        <v>0.81180555555555556</v>
      </c>
      <c r="M856" s="297">
        <v>0.81180555555555556</v>
      </c>
      <c r="N856" s="297">
        <v>0.82291666666666663</v>
      </c>
      <c r="O856" s="19">
        <f>(Table6[[#This Row],[Work Start TimeStamp]]-Table6[[#This Row],[Fault Start TimeStamp]])*24</f>
        <v>0</v>
      </c>
      <c r="P856" s="19">
        <f>(Table6[[#This Row],[Fault Clearance time]]-Table6[[#This Row],[Fault Start TimeStamp]])*24</f>
        <v>0.26666666666666572</v>
      </c>
      <c r="Q856" s="19">
        <f>(Table6[[#This Row],[Fault Clearance time]]-Table6[[#This Row],[Fault Start TimeStamp]])*24</f>
        <v>0.26666666666666572</v>
      </c>
      <c r="R856" s="79" t="s">
        <v>353</v>
      </c>
      <c r="S856" s="79" t="s">
        <v>339</v>
      </c>
      <c r="T856" s="298">
        <f>IFERROR(Table6[[#This Row],[Breakdown Time]]*Table6[[#This Row],[Plant Equivalent Weightage]],"")</f>
        <v>6.0606060606060389E-3</v>
      </c>
      <c r="U856" s="79" t="s">
        <v>421</v>
      </c>
      <c r="W856" s="79">
        <v>591</v>
      </c>
    </row>
    <row r="857" spans="1:23">
      <c r="A857" s="79">
        <f t="shared" si="13"/>
        <v>856</v>
      </c>
      <c r="B857" s="79">
        <f>YEAR(Table6[[#This Row],[Date]])+IF(MONTH(Table6[[#This Row],[Date]])&gt;=4,1,0)</f>
        <v>2026</v>
      </c>
      <c r="C857" s="79">
        <f>YEAR(Table6[[#This Row],[Date]])</f>
        <v>2025</v>
      </c>
      <c r="D857" s="79" t="s">
        <v>344</v>
      </c>
      <c r="E857" s="284">
        <f>Table6[[#This Row],[Date]]-DAY(Table6[[#This Row],[Date]])+1</f>
        <v>45809</v>
      </c>
      <c r="F857" s="285">
        <v>45826</v>
      </c>
      <c r="G857" s="79" t="s">
        <v>77</v>
      </c>
      <c r="H857" s="79" t="str">
        <f>IFERROR(_xlfn.XLOOKUP(Table6[[#This Row],[Affected Feeder ]],'Basic Data'!$A:$A,'Basic Data'!$B:$B),"")</f>
        <v>PWEPL</v>
      </c>
      <c r="I857" s="79" t="str">
        <f>IFERROR(_xlfn.XLOOKUP(Table6[[#This Row],[Affected Feeder ]],'Basic Data'!$A:$A,'Basic Data'!$C:$C),"")</f>
        <v>MSEDCL</v>
      </c>
      <c r="J857" s="295">
        <f>IFERROR(_xlfn.XLOOKUP(Table6[[#This Row],[Affected Feeder ]],'Basic Data'!$A:$A,'Basic Data'!$E:$E),"")</f>
        <v>2.2727272727272728E-2</v>
      </c>
      <c r="K857" s="296" t="s">
        <v>171</v>
      </c>
      <c r="L857" s="297">
        <v>0.81180555555555556</v>
      </c>
      <c r="M857" s="297">
        <v>0.81180555555555556</v>
      </c>
      <c r="N857" s="297">
        <v>0.82291666666666663</v>
      </c>
      <c r="O857" s="19">
        <f>(Table6[[#This Row],[Work Start TimeStamp]]-Table6[[#This Row],[Fault Start TimeStamp]])*24</f>
        <v>0</v>
      </c>
      <c r="P857" s="19">
        <f>(Table6[[#This Row],[Fault Clearance time]]-Table6[[#This Row],[Fault Start TimeStamp]])*24</f>
        <v>0.26666666666666572</v>
      </c>
      <c r="Q857" s="19">
        <f>(Table6[[#This Row],[Fault Clearance time]]-Table6[[#This Row],[Fault Start TimeStamp]])*24</f>
        <v>0.26666666666666572</v>
      </c>
      <c r="R857" s="79" t="s">
        <v>353</v>
      </c>
      <c r="S857" s="79" t="s">
        <v>339</v>
      </c>
      <c r="T857" s="298">
        <f>IFERROR(Table6[[#This Row],[Breakdown Time]]*Table6[[#This Row],[Plant Equivalent Weightage]],"")</f>
        <v>6.0606060606060389E-3</v>
      </c>
      <c r="U857" s="79" t="s">
        <v>421</v>
      </c>
      <c r="W857" s="79">
        <v>591</v>
      </c>
    </row>
    <row r="858" spans="1:23">
      <c r="A858" s="79">
        <f t="shared" si="13"/>
        <v>857</v>
      </c>
      <c r="B858" s="79">
        <f>YEAR(Table6[[#This Row],[Date]])+IF(MONTH(Table6[[#This Row],[Date]])&gt;=4,1,0)</f>
        <v>2026</v>
      </c>
      <c r="C858" s="79">
        <f>YEAR(Table6[[#This Row],[Date]])</f>
        <v>2025</v>
      </c>
      <c r="D858" s="79" t="s">
        <v>344</v>
      </c>
      <c r="E858" s="284">
        <f>Table6[[#This Row],[Date]]-DAY(Table6[[#This Row],[Date]])+1</f>
        <v>45809</v>
      </c>
      <c r="F858" s="285">
        <v>45826</v>
      </c>
      <c r="G858" s="79" t="s">
        <v>78</v>
      </c>
      <c r="H858" s="79" t="str">
        <f>IFERROR(_xlfn.XLOOKUP(Table6[[#This Row],[Affected Feeder ]],'Basic Data'!$A:$A,'Basic Data'!$B:$B),"")</f>
        <v>PWEPL</v>
      </c>
      <c r="I858" s="79" t="str">
        <f>IFERROR(_xlfn.XLOOKUP(Table6[[#This Row],[Affected Feeder ]],'Basic Data'!$A:$A,'Basic Data'!$C:$C),"")</f>
        <v>MSEDCL</v>
      </c>
      <c r="J858" s="295">
        <f>IFERROR(_xlfn.XLOOKUP(Table6[[#This Row],[Affected Feeder ]],'Basic Data'!$A:$A,'Basic Data'!$E:$E),"")</f>
        <v>2.2727272727272728E-2</v>
      </c>
      <c r="K858" s="296" t="s">
        <v>171</v>
      </c>
      <c r="L858" s="297">
        <v>0.81180555555555556</v>
      </c>
      <c r="M858" s="297">
        <v>0.81180555555555556</v>
      </c>
      <c r="N858" s="297">
        <v>0.8256944444444444</v>
      </c>
      <c r="O858" s="19">
        <f>(Table6[[#This Row],[Work Start TimeStamp]]-Table6[[#This Row],[Fault Start TimeStamp]])*24</f>
        <v>0</v>
      </c>
      <c r="P858" s="19">
        <f>(Table6[[#This Row],[Fault Clearance time]]-Table6[[#This Row],[Fault Start TimeStamp]])*24</f>
        <v>0.33333333333333215</v>
      </c>
      <c r="Q858" s="19">
        <f>(Table6[[#This Row],[Fault Clearance time]]-Table6[[#This Row],[Fault Start TimeStamp]])*24</f>
        <v>0.33333333333333215</v>
      </c>
      <c r="R858" s="79" t="s">
        <v>353</v>
      </c>
      <c r="S858" s="79" t="s">
        <v>339</v>
      </c>
      <c r="T858" s="298">
        <f>IFERROR(Table6[[#This Row],[Breakdown Time]]*Table6[[#This Row],[Plant Equivalent Weightage]],"")</f>
        <v>7.5757575757575491E-3</v>
      </c>
      <c r="U858" s="79" t="s">
        <v>421</v>
      </c>
      <c r="W858" s="79">
        <v>739</v>
      </c>
    </row>
    <row r="859" spans="1:23">
      <c r="A859" s="79">
        <f t="shared" si="13"/>
        <v>858</v>
      </c>
      <c r="B859" s="79">
        <f>YEAR(Table6[[#This Row],[Date]])+IF(MONTH(Table6[[#This Row],[Date]])&gt;=4,1,0)</f>
        <v>2026</v>
      </c>
      <c r="C859" s="79">
        <f>YEAR(Table6[[#This Row],[Date]])</f>
        <v>2025</v>
      </c>
      <c r="D859" s="79" t="s">
        <v>344</v>
      </c>
      <c r="E859" s="284">
        <f>Table6[[#This Row],[Date]]-DAY(Table6[[#This Row],[Date]])+1</f>
        <v>45809</v>
      </c>
      <c r="F859" s="285">
        <v>45826</v>
      </c>
      <c r="G859" s="79" t="s">
        <v>82</v>
      </c>
      <c r="H859" s="79" t="str">
        <f>IFERROR(_xlfn.XLOOKUP(Table6[[#This Row],[Affected Feeder ]],'Basic Data'!$A:$A,'Basic Data'!$B:$B),"")</f>
        <v>PWEPL</v>
      </c>
      <c r="I859" s="79" t="str">
        <f>IFERROR(_xlfn.XLOOKUP(Table6[[#This Row],[Affected Feeder ]],'Basic Data'!$A:$A,'Basic Data'!$C:$C),"")</f>
        <v>MSEDCL</v>
      </c>
      <c r="J859" s="295">
        <f>IFERROR(_xlfn.XLOOKUP(Table6[[#This Row],[Affected Feeder ]],'Basic Data'!$A:$A,'Basic Data'!$E:$E),"")</f>
        <v>2.2727272727272728E-2</v>
      </c>
      <c r="K859" s="296" t="s">
        <v>171</v>
      </c>
      <c r="L859" s="297">
        <v>0.81180555555555556</v>
      </c>
      <c r="M859" s="297">
        <v>0.81180555555555556</v>
      </c>
      <c r="N859" s="297">
        <v>0.81944444444444453</v>
      </c>
      <c r="O859" s="19">
        <f>(Table6[[#This Row],[Work Start TimeStamp]]-Table6[[#This Row],[Fault Start TimeStamp]])*24</f>
        <v>0</v>
      </c>
      <c r="P859" s="19">
        <f>(Table6[[#This Row],[Fault Clearance time]]-Table6[[#This Row],[Fault Start TimeStamp]])*24</f>
        <v>0.18333333333333535</v>
      </c>
      <c r="Q859" s="19">
        <f>(Table6[[#This Row],[Fault Clearance time]]-Table6[[#This Row],[Fault Start TimeStamp]])*24</f>
        <v>0.18333333333333535</v>
      </c>
      <c r="R859" s="79" t="s">
        <v>353</v>
      </c>
      <c r="S859" s="79" t="s">
        <v>339</v>
      </c>
      <c r="T859" s="298">
        <f>IFERROR(Table6[[#This Row],[Breakdown Time]]*Table6[[#This Row],[Plant Equivalent Weightage]],"")</f>
        <v>4.1666666666667126E-3</v>
      </c>
      <c r="U859" s="79" t="s">
        <v>421</v>
      </c>
      <c r="W859" s="79">
        <v>406</v>
      </c>
    </row>
    <row r="860" spans="1:23">
      <c r="A860" s="79">
        <f t="shared" si="13"/>
        <v>859</v>
      </c>
      <c r="B860" s="79">
        <f>YEAR(Table6[[#This Row],[Date]])+IF(MONTH(Table6[[#This Row],[Date]])&gt;=4,1,0)</f>
        <v>2026</v>
      </c>
      <c r="C860" s="79">
        <f>YEAR(Table6[[#This Row],[Date]])</f>
        <v>2025</v>
      </c>
      <c r="D860" s="79" t="s">
        <v>344</v>
      </c>
      <c r="E860" s="284">
        <f>Table6[[#This Row],[Date]]-DAY(Table6[[#This Row],[Date]])+1</f>
        <v>45809</v>
      </c>
      <c r="F860" s="285">
        <v>45826</v>
      </c>
      <c r="G860" s="79" t="s">
        <v>93</v>
      </c>
      <c r="H860" s="79" t="str">
        <f>IFERROR(_xlfn.XLOOKUP(Table6[[#This Row],[Affected Feeder ]],'Basic Data'!$A:$A,'Basic Data'!$B:$B),"")</f>
        <v>PWEPL</v>
      </c>
      <c r="I860" s="79" t="str">
        <f>IFERROR(_xlfn.XLOOKUP(Table6[[#This Row],[Affected Feeder ]],'Basic Data'!$A:$A,'Basic Data'!$C:$C),"")</f>
        <v>MSEDCL</v>
      </c>
      <c r="J860" s="295">
        <f>IFERROR(_xlfn.XLOOKUP(Table6[[#This Row],[Affected Feeder ]],'Basic Data'!$A:$A,'Basic Data'!$E:$E),"")</f>
        <v>2.2727272727272728E-2</v>
      </c>
      <c r="K860" s="296" t="s">
        <v>171</v>
      </c>
      <c r="L860" s="297">
        <v>0.81180555555555556</v>
      </c>
      <c r="M860" s="297">
        <v>0.81180555555555556</v>
      </c>
      <c r="N860" s="297">
        <v>0.8208333333333333</v>
      </c>
      <c r="O860" s="19">
        <f>(Table6[[#This Row],[Work Start TimeStamp]]-Table6[[#This Row],[Fault Start TimeStamp]])*24</f>
        <v>0</v>
      </c>
      <c r="P860" s="19">
        <f>(Table6[[#This Row],[Fault Clearance time]]-Table6[[#This Row],[Fault Start TimeStamp]])*24</f>
        <v>0.2166666666666659</v>
      </c>
      <c r="Q860" s="19">
        <f>(Table6[[#This Row],[Fault Clearance time]]-Table6[[#This Row],[Fault Start TimeStamp]])*24</f>
        <v>0.2166666666666659</v>
      </c>
      <c r="R860" s="79" t="s">
        <v>353</v>
      </c>
      <c r="S860" s="79" t="s">
        <v>339</v>
      </c>
      <c r="T860" s="298">
        <f>IFERROR(Table6[[#This Row],[Breakdown Time]]*Table6[[#This Row],[Plant Equivalent Weightage]],"")</f>
        <v>4.9242424242424065E-3</v>
      </c>
      <c r="U860" s="79" t="s">
        <v>421</v>
      </c>
      <c r="W860" s="79">
        <v>480</v>
      </c>
    </row>
    <row r="861" spans="1:23">
      <c r="A861" s="79">
        <f t="shared" si="13"/>
        <v>860</v>
      </c>
      <c r="B861" s="79">
        <f>YEAR(Table6[[#This Row],[Date]])+IF(MONTH(Table6[[#This Row],[Date]])&gt;=4,1,0)</f>
        <v>2026</v>
      </c>
      <c r="C861" s="79">
        <f>YEAR(Table6[[#This Row],[Date]])</f>
        <v>2025</v>
      </c>
      <c r="D861" s="79" t="s">
        <v>344</v>
      </c>
      <c r="E861" s="284">
        <f>Table6[[#This Row],[Date]]-DAY(Table6[[#This Row],[Date]])+1</f>
        <v>45809</v>
      </c>
      <c r="F861" s="285">
        <v>45826</v>
      </c>
      <c r="G861" s="79" t="s">
        <v>102</v>
      </c>
      <c r="H861" s="79" t="str">
        <f>IFERROR(_xlfn.XLOOKUP(Table6[[#This Row],[Affected Feeder ]],'Basic Data'!$A:$A,'Basic Data'!$B:$B),"")</f>
        <v>PWEPL</v>
      </c>
      <c r="I861" s="79" t="str">
        <f>IFERROR(_xlfn.XLOOKUP(Table6[[#This Row],[Affected Feeder ]],'Basic Data'!$A:$A,'Basic Data'!$C:$C),"")</f>
        <v>MSEDCL</v>
      </c>
      <c r="J861" s="295">
        <f>IFERROR(_xlfn.XLOOKUP(Table6[[#This Row],[Affected Feeder ]],'Basic Data'!$A:$A,'Basic Data'!$E:$E),"")</f>
        <v>2.2727272727272728E-2</v>
      </c>
      <c r="K861" s="296" t="s">
        <v>171</v>
      </c>
      <c r="L861" s="297">
        <v>0.81180555555555556</v>
      </c>
      <c r="M861" s="297">
        <v>0.81180555555555556</v>
      </c>
      <c r="N861" s="297">
        <v>0.8256944444444444</v>
      </c>
      <c r="O861" s="19">
        <f>(Table6[[#This Row],[Work Start TimeStamp]]-Table6[[#This Row],[Fault Start TimeStamp]])*24</f>
        <v>0</v>
      </c>
      <c r="P861" s="19">
        <f>(Table6[[#This Row],[Fault Clearance time]]-Table6[[#This Row],[Fault Start TimeStamp]])*24</f>
        <v>0.33333333333333215</v>
      </c>
      <c r="Q861" s="19">
        <f>(Table6[[#This Row],[Fault Clearance time]]-Table6[[#This Row],[Fault Start TimeStamp]])*24</f>
        <v>0.33333333333333215</v>
      </c>
      <c r="R861" s="79" t="s">
        <v>353</v>
      </c>
      <c r="S861" s="79" t="s">
        <v>339</v>
      </c>
      <c r="T861" s="298">
        <f>IFERROR(Table6[[#This Row],[Breakdown Time]]*Table6[[#This Row],[Plant Equivalent Weightage]],"")</f>
        <v>7.5757575757575491E-3</v>
      </c>
      <c r="U861" s="79" t="s">
        <v>421</v>
      </c>
      <c r="W861" s="79">
        <v>739</v>
      </c>
    </row>
    <row r="862" spans="1:23">
      <c r="A862" s="79">
        <f t="shared" si="13"/>
        <v>861</v>
      </c>
      <c r="B862" s="79">
        <f>YEAR(Table6[[#This Row],[Date]])+IF(MONTH(Table6[[#This Row],[Date]])&gt;=4,1,0)</f>
        <v>2026</v>
      </c>
      <c r="C862" s="79">
        <f>YEAR(Table6[[#This Row],[Date]])</f>
        <v>2025</v>
      </c>
      <c r="D862" s="79" t="s">
        <v>344</v>
      </c>
      <c r="E862" s="284">
        <f>Table6[[#This Row],[Date]]-DAY(Table6[[#This Row],[Date]])+1</f>
        <v>45809</v>
      </c>
      <c r="F862" s="285">
        <v>45826</v>
      </c>
      <c r="G862" s="79" t="s">
        <v>119</v>
      </c>
      <c r="H862" s="79" t="str">
        <f>IFERROR(_xlfn.XLOOKUP(Table6[[#This Row],[Affected Feeder ]],'Basic Data'!$A:$A,'Basic Data'!$B:$B),"")</f>
        <v>PWEPL</v>
      </c>
      <c r="I862" s="79" t="str">
        <f>IFERROR(_xlfn.XLOOKUP(Table6[[#This Row],[Affected Feeder ]],'Basic Data'!$A:$A,'Basic Data'!$C:$C),"")</f>
        <v>MSEDCL</v>
      </c>
      <c r="J862" s="295">
        <f>IFERROR(_xlfn.XLOOKUP(Table6[[#This Row],[Affected Feeder ]],'Basic Data'!$A:$A,'Basic Data'!$E:$E),"")</f>
        <v>2.2727272727272728E-2</v>
      </c>
      <c r="K862" s="296" t="s">
        <v>171</v>
      </c>
      <c r="L862" s="297">
        <v>0.81180555555555556</v>
      </c>
      <c r="M862" s="297">
        <v>0.81180555555555556</v>
      </c>
      <c r="N862" s="297">
        <v>0.8256944444444444</v>
      </c>
      <c r="O862" s="19">
        <f>(Table6[[#This Row],[Work Start TimeStamp]]-Table6[[#This Row],[Fault Start TimeStamp]])*24</f>
        <v>0</v>
      </c>
      <c r="P862" s="19">
        <f>(Table6[[#This Row],[Fault Clearance time]]-Table6[[#This Row],[Fault Start TimeStamp]])*24</f>
        <v>0.33333333333333215</v>
      </c>
      <c r="Q862" s="19">
        <f>(Table6[[#This Row],[Fault Clearance time]]-Table6[[#This Row],[Fault Start TimeStamp]])*24</f>
        <v>0.33333333333333215</v>
      </c>
      <c r="R862" s="79" t="s">
        <v>353</v>
      </c>
      <c r="S862" s="79" t="s">
        <v>339</v>
      </c>
      <c r="T862" s="298">
        <f>IFERROR(Table6[[#This Row],[Breakdown Time]]*Table6[[#This Row],[Plant Equivalent Weightage]],"")</f>
        <v>7.5757575757575491E-3</v>
      </c>
      <c r="U862" s="79" t="s">
        <v>421</v>
      </c>
      <c r="W862" s="79">
        <v>739</v>
      </c>
    </row>
    <row r="863" spans="1:23">
      <c r="A863" s="79">
        <f t="shared" si="13"/>
        <v>862</v>
      </c>
      <c r="B863" s="79">
        <f>YEAR(Table6[[#This Row],[Date]])+IF(MONTH(Table6[[#This Row],[Date]])&gt;=4,1,0)</f>
        <v>2026</v>
      </c>
      <c r="C863" s="79">
        <f>YEAR(Table6[[#This Row],[Date]])</f>
        <v>2025</v>
      </c>
      <c r="D863" s="79" t="s">
        <v>344</v>
      </c>
      <c r="E863" s="284">
        <f>Table6[[#This Row],[Date]]-DAY(Table6[[#This Row],[Date]])+1</f>
        <v>45809</v>
      </c>
      <c r="F863" s="285">
        <v>45826</v>
      </c>
      <c r="G863" s="79" t="s">
        <v>103</v>
      </c>
      <c r="H863" s="79" t="str">
        <f>IFERROR(_xlfn.XLOOKUP(Table6[[#This Row],[Affected Feeder ]],'Basic Data'!$A:$A,'Basic Data'!$B:$B),"")</f>
        <v>PWEPL</v>
      </c>
      <c r="I863" s="79" t="str">
        <f>IFERROR(_xlfn.XLOOKUP(Table6[[#This Row],[Affected Feeder ]],'Basic Data'!$A:$A,'Basic Data'!$C:$C),"")</f>
        <v>MSEDCL</v>
      </c>
      <c r="J863" s="295">
        <f>IFERROR(_xlfn.XLOOKUP(Table6[[#This Row],[Affected Feeder ]],'Basic Data'!$A:$A,'Basic Data'!$E:$E),"")</f>
        <v>2.2727272727272728E-2</v>
      </c>
      <c r="K863" s="296" t="s">
        <v>171</v>
      </c>
      <c r="L863" s="297">
        <v>0.81180555555555556</v>
      </c>
      <c r="M863" s="297">
        <v>0.81180555555555556</v>
      </c>
      <c r="N863" s="297">
        <v>0.81874999999999998</v>
      </c>
      <c r="O863" s="19">
        <f>(Table6[[#This Row],[Work Start TimeStamp]]-Table6[[#This Row],[Fault Start TimeStamp]])*24</f>
        <v>0</v>
      </c>
      <c r="P863" s="19">
        <f>(Table6[[#This Row],[Fault Clearance time]]-Table6[[#This Row],[Fault Start TimeStamp]])*24</f>
        <v>0.16666666666666607</v>
      </c>
      <c r="Q863" s="19">
        <f>(Table6[[#This Row],[Fault Clearance time]]-Table6[[#This Row],[Fault Start TimeStamp]])*24</f>
        <v>0.16666666666666607</v>
      </c>
      <c r="R863" s="79" t="s">
        <v>353</v>
      </c>
      <c r="S863" s="79" t="s">
        <v>339</v>
      </c>
      <c r="T863" s="298">
        <f>IFERROR(Table6[[#This Row],[Breakdown Time]]*Table6[[#This Row],[Plant Equivalent Weightage]],"")</f>
        <v>3.7878787878787745E-3</v>
      </c>
      <c r="U863" s="79" t="s">
        <v>421</v>
      </c>
      <c r="W863" s="79">
        <v>369</v>
      </c>
    </row>
    <row r="864" spans="1:23">
      <c r="A864" s="79">
        <f t="shared" si="13"/>
        <v>863</v>
      </c>
      <c r="B864" s="79">
        <f>YEAR(Table6[[#This Row],[Date]])+IF(MONTH(Table6[[#This Row],[Date]])&gt;=4,1,0)</f>
        <v>2026</v>
      </c>
      <c r="C864" s="79">
        <f>YEAR(Table6[[#This Row],[Date]])</f>
        <v>2025</v>
      </c>
      <c r="D864" s="79" t="s">
        <v>344</v>
      </c>
      <c r="E864" s="284">
        <f>Table6[[#This Row],[Date]]-DAY(Table6[[#This Row],[Date]])+1</f>
        <v>45809</v>
      </c>
      <c r="F864" s="285">
        <v>45826</v>
      </c>
      <c r="G864" s="79" t="s">
        <v>105</v>
      </c>
      <c r="H864" s="79" t="str">
        <f>IFERROR(_xlfn.XLOOKUP(Table6[[#This Row],[Affected Feeder ]],'Basic Data'!$A:$A,'Basic Data'!$B:$B),"")</f>
        <v>PWEPL</v>
      </c>
      <c r="I864" s="79" t="str">
        <f>IFERROR(_xlfn.XLOOKUP(Table6[[#This Row],[Affected Feeder ]],'Basic Data'!$A:$A,'Basic Data'!$C:$C),"")</f>
        <v>MSEDCL</v>
      </c>
      <c r="J864" s="295">
        <f>IFERROR(_xlfn.XLOOKUP(Table6[[#This Row],[Affected Feeder ]],'Basic Data'!$A:$A,'Basic Data'!$E:$E),"")</f>
        <v>2.2727272727272728E-2</v>
      </c>
      <c r="K864" s="296" t="s">
        <v>171</v>
      </c>
      <c r="L864" s="297">
        <v>0.81180555555555556</v>
      </c>
      <c r="M864" s="297">
        <v>0.81180555555555556</v>
      </c>
      <c r="N864" s="297">
        <v>0.81874999999999998</v>
      </c>
      <c r="O864" s="19">
        <f>(Table6[[#This Row],[Work Start TimeStamp]]-Table6[[#This Row],[Fault Start TimeStamp]])*24</f>
        <v>0</v>
      </c>
      <c r="P864" s="19">
        <f>(Table6[[#This Row],[Fault Clearance time]]-Table6[[#This Row],[Fault Start TimeStamp]])*24</f>
        <v>0.16666666666666607</v>
      </c>
      <c r="Q864" s="19">
        <f>(Table6[[#This Row],[Fault Clearance time]]-Table6[[#This Row],[Fault Start TimeStamp]])*24</f>
        <v>0.16666666666666607</v>
      </c>
      <c r="R864" s="79" t="s">
        <v>353</v>
      </c>
      <c r="S864" s="79" t="s">
        <v>339</v>
      </c>
      <c r="T864" s="298">
        <f>IFERROR(Table6[[#This Row],[Breakdown Time]]*Table6[[#This Row],[Plant Equivalent Weightage]],"")</f>
        <v>3.7878787878787745E-3</v>
      </c>
      <c r="U864" s="79" t="s">
        <v>421</v>
      </c>
      <c r="W864" s="79">
        <v>369</v>
      </c>
    </row>
    <row r="865" spans="1:23">
      <c r="A865" s="79">
        <f t="shared" si="13"/>
        <v>864</v>
      </c>
      <c r="B865" s="79">
        <f>YEAR(Table6[[#This Row],[Date]])+IF(MONTH(Table6[[#This Row],[Date]])&gt;=4,1,0)</f>
        <v>2026</v>
      </c>
      <c r="C865" s="79">
        <f>YEAR(Table6[[#This Row],[Date]])</f>
        <v>2025</v>
      </c>
      <c r="D865" s="79" t="s">
        <v>344</v>
      </c>
      <c r="E865" s="284">
        <f>Table6[[#This Row],[Date]]-DAY(Table6[[#This Row],[Date]])+1</f>
        <v>45809</v>
      </c>
      <c r="F865" s="285">
        <v>45826</v>
      </c>
      <c r="G865" s="79" t="s">
        <v>115</v>
      </c>
      <c r="H865" s="79" t="str">
        <f>IFERROR(_xlfn.XLOOKUP(Table6[[#This Row],[Affected Feeder ]],'Basic Data'!$A:$A,'Basic Data'!$B:$B),"")</f>
        <v>PWEPL</v>
      </c>
      <c r="I865" s="79" t="str">
        <f>IFERROR(_xlfn.XLOOKUP(Table6[[#This Row],[Affected Feeder ]],'Basic Data'!$A:$A,'Basic Data'!$C:$C),"")</f>
        <v>MSEDCL</v>
      </c>
      <c r="J865" s="295">
        <f>IFERROR(_xlfn.XLOOKUP(Table6[[#This Row],[Affected Feeder ]],'Basic Data'!$A:$A,'Basic Data'!$E:$E),"")</f>
        <v>2.2727272727272728E-2</v>
      </c>
      <c r="K865" s="296" t="s">
        <v>171</v>
      </c>
      <c r="L865" s="297">
        <v>0.81180555555555556</v>
      </c>
      <c r="M865" s="297">
        <v>0.81180555555555556</v>
      </c>
      <c r="N865" s="297">
        <v>0.81874999999999998</v>
      </c>
      <c r="O865" s="19">
        <f>(Table6[[#This Row],[Work Start TimeStamp]]-Table6[[#This Row],[Fault Start TimeStamp]])*24</f>
        <v>0</v>
      </c>
      <c r="P865" s="19">
        <f>(Table6[[#This Row],[Fault Clearance time]]-Table6[[#This Row],[Fault Start TimeStamp]])*24</f>
        <v>0.16666666666666607</v>
      </c>
      <c r="Q865" s="19">
        <f>(Table6[[#This Row],[Fault Clearance time]]-Table6[[#This Row],[Fault Start TimeStamp]])*24</f>
        <v>0.16666666666666607</v>
      </c>
      <c r="R865" s="79" t="s">
        <v>353</v>
      </c>
      <c r="S865" s="79" t="s">
        <v>339</v>
      </c>
      <c r="T865" s="298">
        <f>IFERROR(Table6[[#This Row],[Breakdown Time]]*Table6[[#This Row],[Plant Equivalent Weightage]],"")</f>
        <v>3.7878787878787745E-3</v>
      </c>
      <c r="U865" s="79" t="s">
        <v>421</v>
      </c>
      <c r="W865" s="79">
        <v>369</v>
      </c>
    </row>
    <row r="866" spans="1:23">
      <c r="A866" s="79">
        <f t="shared" si="13"/>
        <v>865</v>
      </c>
      <c r="B866" s="79">
        <f>YEAR(Table6[[#This Row],[Date]])+IF(MONTH(Table6[[#This Row],[Date]])&gt;=4,1,0)</f>
        <v>2026</v>
      </c>
      <c r="C866" s="79">
        <f>YEAR(Table6[[#This Row],[Date]])</f>
        <v>2025</v>
      </c>
      <c r="D866" s="79" t="s">
        <v>344</v>
      </c>
      <c r="E866" s="284">
        <f>Table6[[#This Row],[Date]]-DAY(Table6[[#This Row],[Date]])+1</f>
        <v>45809</v>
      </c>
      <c r="F866" s="285">
        <v>45826</v>
      </c>
      <c r="G866" s="79" t="s">
        <v>116</v>
      </c>
      <c r="H866" s="79" t="str">
        <f>IFERROR(_xlfn.XLOOKUP(Table6[[#This Row],[Affected Feeder ]],'Basic Data'!$A:$A,'Basic Data'!$B:$B),"")</f>
        <v>PWEPL</v>
      </c>
      <c r="I866" s="79" t="str">
        <f>IFERROR(_xlfn.XLOOKUP(Table6[[#This Row],[Affected Feeder ]],'Basic Data'!$A:$A,'Basic Data'!$C:$C),"")</f>
        <v>MSEDCL</v>
      </c>
      <c r="J866" s="295">
        <f>IFERROR(_xlfn.XLOOKUP(Table6[[#This Row],[Affected Feeder ]],'Basic Data'!$A:$A,'Basic Data'!$E:$E),"")</f>
        <v>2.2727272727272728E-2</v>
      </c>
      <c r="K866" s="296" t="s">
        <v>171</v>
      </c>
      <c r="L866" s="297">
        <v>0.81180555555555556</v>
      </c>
      <c r="M866" s="297">
        <v>0.81180555555555556</v>
      </c>
      <c r="N866" s="297">
        <v>0.81874999999999998</v>
      </c>
      <c r="O866" s="19">
        <f>(Table6[[#This Row],[Work Start TimeStamp]]-Table6[[#This Row],[Fault Start TimeStamp]])*24</f>
        <v>0</v>
      </c>
      <c r="P866" s="19">
        <f>(Table6[[#This Row],[Fault Clearance time]]-Table6[[#This Row],[Fault Start TimeStamp]])*24</f>
        <v>0.16666666666666607</v>
      </c>
      <c r="Q866" s="19">
        <f>(Table6[[#This Row],[Fault Clearance time]]-Table6[[#This Row],[Fault Start TimeStamp]])*24</f>
        <v>0.16666666666666607</v>
      </c>
      <c r="R866" s="79" t="s">
        <v>353</v>
      </c>
      <c r="S866" s="79" t="s">
        <v>339</v>
      </c>
      <c r="T866" s="298">
        <f>IFERROR(Table6[[#This Row],[Breakdown Time]]*Table6[[#This Row],[Plant Equivalent Weightage]],"")</f>
        <v>3.7878787878787745E-3</v>
      </c>
      <c r="U866" s="79" t="s">
        <v>421</v>
      </c>
      <c r="W866" s="79">
        <v>369</v>
      </c>
    </row>
    <row r="867" spans="1:23">
      <c r="A867" s="79">
        <f t="shared" si="13"/>
        <v>866</v>
      </c>
      <c r="B867" s="79">
        <f>YEAR(Table6[[#This Row],[Date]])+IF(MONTH(Table6[[#This Row],[Date]])&gt;=4,1,0)</f>
        <v>2026</v>
      </c>
      <c r="C867" s="79">
        <f>YEAR(Table6[[#This Row],[Date]])</f>
        <v>2025</v>
      </c>
      <c r="D867" s="79" t="s">
        <v>344</v>
      </c>
      <c r="E867" s="284">
        <f>Table6[[#This Row],[Date]]-DAY(Table6[[#This Row],[Date]])+1</f>
        <v>45809</v>
      </c>
      <c r="F867" s="285">
        <v>45826</v>
      </c>
      <c r="G867" s="79" t="s">
        <v>117</v>
      </c>
      <c r="H867" s="79" t="str">
        <f>IFERROR(_xlfn.XLOOKUP(Table6[[#This Row],[Affected Feeder ]],'Basic Data'!$A:$A,'Basic Data'!$B:$B),"")</f>
        <v>PWEPL</v>
      </c>
      <c r="I867" s="79" t="str">
        <f>IFERROR(_xlfn.XLOOKUP(Table6[[#This Row],[Affected Feeder ]],'Basic Data'!$A:$A,'Basic Data'!$C:$C),"")</f>
        <v>MSEDCL</v>
      </c>
      <c r="J867" s="295">
        <f>IFERROR(_xlfn.XLOOKUP(Table6[[#This Row],[Affected Feeder ]],'Basic Data'!$A:$A,'Basic Data'!$E:$E),"")</f>
        <v>2.2727272727272728E-2</v>
      </c>
      <c r="K867" s="296" t="s">
        <v>171</v>
      </c>
      <c r="L867" s="297">
        <v>0.81180555555555556</v>
      </c>
      <c r="M867" s="297">
        <v>0.81180555555555556</v>
      </c>
      <c r="N867" s="297">
        <v>0.81805555555555554</v>
      </c>
      <c r="O867" s="19">
        <f>(Table6[[#This Row],[Work Start TimeStamp]]-Table6[[#This Row],[Fault Start TimeStamp]])*24</f>
        <v>0</v>
      </c>
      <c r="P867" s="19">
        <f>(Table6[[#This Row],[Fault Clearance time]]-Table6[[#This Row],[Fault Start TimeStamp]])*24</f>
        <v>0.14999999999999947</v>
      </c>
      <c r="Q867" s="19">
        <f>(Table6[[#This Row],[Fault Clearance time]]-Table6[[#This Row],[Fault Start TimeStamp]])*24</f>
        <v>0.14999999999999947</v>
      </c>
      <c r="R867" s="79" t="s">
        <v>353</v>
      </c>
      <c r="S867" s="79" t="s">
        <v>339</v>
      </c>
      <c r="T867" s="298">
        <f>IFERROR(Table6[[#This Row],[Breakdown Time]]*Table6[[#This Row],[Plant Equivalent Weightage]],"")</f>
        <v>3.4090909090908972E-3</v>
      </c>
      <c r="U867" s="79" t="s">
        <v>421</v>
      </c>
      <c r="W867" s="79">
        <v>332</v>
      </c>
    </row>
    <row r="868" spans="1:23">
      <c r="A868" s="79">
        <f t="shared" si="13"/>
        <v>867</v>
      </c>
      <c r="B868" s="79">
        <f>YEAR(Table6[[#This Row],[Date]])+IF(MONTH(Table6[[#This Row],[Date]])&gt;=4,1,0)</f>
        <v>2026</v>
      </c>
      <c r="C868" s="79">
        <f>YEAR(Table6[[#This Row],[Date]])</f>
        <v>2025</v>
      </c>
      <c r="D868" s="79" t="s">
        <v>344</v>
      </c>
      <c r="E868" s="284">
        <f>Table6[[#This Row],[Date]]-DAY(Table6[[#This Row],[Date]])+1</f>
        <v>45809</v>
      </c>
      <c r="F868" s="285">
        <v>45826</v>
      </c>
      <c r="G868" s="79" t="s">
        <v>118</v>
      </c>
      <c r="H868" s="79" t="str">
        <f>IFERROR(_xlfn.XLOOKUP(Table6[[#This Row],[Affected Feeder ]],'Basic Data'!$A:$A,'Basic Data'!$B:$B),"")</f>
        <v>PWEPL</v>
      </c>
      <c r="I868" s="79" t="str">
        <f>IFERROR(_xlfn.XLOOKUP(Table6[[#This Row],[Affected Feeder ]],'Basic Data'!$A:$A,'Basic Data'!$C:$C),"")</f>
        <v>MSEDCL</v>
      </c>
      <c r="J868" s="295">
        <f>IFERROR(_xlfn.XLOOKUP(Table6[[#This Row],[Affected Feeder ]],'Basic Data'!$A:$A,'Basic Data'!$E:$E),"")</f>
        <v>2.2727272727272728E-2</v>
      </c>
      <c r="K868" s="296" t="s">
        <v>171</v>
      </c>
      <c r="L868" s="297">
        <v>0.81180555555555556</v>
      </c>
      <c r="M868" s="297">
        <v>0.81180555555555556</v>
      </c>
      <c r="N868" s="297">
        <v>0.8256944444444444</v>
      </c>
      <c r="O868" s="19">
        <f>(Table6[[#This Row],[Work Start TimeStamp]]-Table6[[#This Row],[Fault Start TimeStamp]])*24</f>
        <v>0</v>
      </c>
      <c r="P868" s="19">
        <f>(Table6[[#This Row],[Fault Clearance time]]-Table6[[#This Row],[Fault Start TimeStamp]])*24</f>
        <v>0.33333333333333215</v>
      </c>
      <c r="Q868" s="19">
        <f>(Table6[[#This Row],[Fault Clearance time]]-Table6[[#This Row],[Fault Start TimeStamp]])*24</f>
        <v>0.33333333333333215</v>
      </c>
      <c r="R868" s="79" t="s">
        <v>353</v>
      </c>
      <c r="S868" s="79" t="s">
        <v>339</v>
      </c>
      <c r="T868" s="298">
        <f>IFERROR(Table6[[#This Row],[Breakdown Time]]*Table6[[#This Row],[Plant Equivalent Weightage]],"")</f>
        <v>7.5757575757575491E-3</v>
      </c>
      <c r="U868" s="79" t="s">
        <v>421</v>
      </c>
      <c r="W868" s="79">
        <v>369</v>
      </c>
    </row>
    <row r="869" spans="1:23">
      <c r="A869" s="79">
        <f t="shared" si="13"/>
        <v>868</v>
      </c>
      <c r="B869" s="79">
        <f>YEAR(Table6[[#This Row],[Date]])+IF(MONTH(Table6[[#This Row],[Date]])&gt;=4,1,0)</f>
        <v>2026</v>
      </c>
      <c r="C869" s="79">
        <f>YEAR(Table6[[#This Row],[Date]])</f>
        <v>2025</v>
      </c>
      <c r="D869" s="79" t="s">
        <v>344</v>
      </c>
      <c r="E869" s="284">
        <f>Table6[[#This Row],[Date]]-DAY(Table6[[#This Row],[Date]])+1</f>
        <v>45809</v>
      </c>
      <c r="F869" s="285">
        <v>45827</v>
      </c>
      <c r="G869" s="79" t="s">
        <v>406</v>
      </c>
      <c r="H869" s="79" t="str">
        <f>IFERROR(_xlfn.XLOOKUP(Table6[[#This Row],[Affected Feeder ]],'Basic Data'!$A:$A,'Basic Data'!$B:$B),"")</f>
        <v>PWEPL</v>
      </c>
      <c r="I869" s="79" t="str">
        <f>IFERROR(_xlfn.XLOOKUP(Table6[[#This Row],[Affected Feeder ]],'Basic Data'!$A:$A,'Basic Data'!$C:$C),"")</f>
        <v>MSEDCL</v>
      </c>
      <c r="J869" s="295">
        <f>IFERROR(_xlfn.XLOOKUP(Table6[[#This Row],[Affected Feeder ]],'Basic Data'!$A:$A,'Basic Data'!$E:$E),"")</f>
        <v>0.29545454545454541</v>
      </c>
      <c r="K869" s="296" t="s">
        <v>447</v>
      </c>
      <c r="L869" s="297">
        <v>0.15902777777777777</v>
      </c>
      <c r="M869" s="297">
        <v>0.15902777777777777</v>
      </c>
      <c r="N869" s="297">
        <v>0.17430555555555557</v>
      </c>
      <c r="O869" s="19">
        <f>(Table6[[#This Row],[Work Start TimeStamp]]-Table6[[#This Row],[Fault Start TimeStamp]])*24</f>
        <v>0</v>
      </c>
      <c r="P869" s="19">
        <f>(Table6[[#This Row],[Fault Clearance time]]-Table6[[#This Row],[Fault Start TimeStamp]])*24</f>
        <v>0.36666666666666736</v>
      </c>
      <c r="Q869" s="19">
        <f>(Table6[[#This Row],[Fault Clearance time]]-Table6[[#This Row],[Fault Start TimeStamp]])*24</f>
        <v>0.36666666666666736</v>
      </c>
      <c r="R869" s="79" t="s">
        <v>420</v>
      </c>
      <c r="S869" s="79" t="s">
        <v>339</v>
      </c>
      <c r="T869" s="298">
        <f>IFERROR(Table6[[#This Row],[Breakdown Time]]*Table6[[#This Row],[Plant Equivalent Weightage]],"")</f>
        <v>0.10833333333333352</v>
      </c>
      <c r="U869" s="79" t="s">
        <v>421</v>
      </c>
      <c r="W869" s="79">
        <v>9109</v>
      </c>
    </row>
    <row r="870" spans="1:23">
      <c r="A870" s="79">
        <f t="shared" si="13"/>
        <v>869</v>
      </c>
      <c r="B870" s="79">
        <f>YEAR(Table6[[#This Row],[Date]])+IF(MONTH(Table6[[#This Row],[Date]])&gt;=4,1,0)</f>
        <v>2026</v>
      </c>
      <c r="C870" s="79">
        <f>YEAR(Table6[[#This Row],[Date]])</f>
        <v>2025</v>
      </c>
      <c r="D870" s="79" t="s">
        <v>344</v>
      </c>
      <c r="E870" s="284">
        <f>Table6[[#This Row],[Date]]-DAY(Table6[[#This Row],[Date]])+1</f>
        <v>45809</v>
      </c>
      <c r="F870" s="285">
        <v>45827</v>
      </c>
      <c r="G870" s="79" t="s">
        <v>76</v>
      </c>
      <c r="H870" s="79" t="str">
        <f>IFERROR(_xlfn.XLOOKUP(Table6[[#This Row],[Affected Feeder ]],'Basic Data'!$A:$A,'Basic Data'!$B:$B),"")</f>
        <v>PWEPL</v>
      </c>
      <c r="I870" s="79" t="str">
        <f>IFERROR(_xlfn.XLOOKUP(Table6[[#This Row],[Affected Feeder ]],'Basic Data'!$A:$A,'Basic Data'!$C:$C),"")</f>
        <v>MSEDCL</v>
      </c>
      <c r="J870" s="295">
        <f>IFERROR(_xlfn.XLOOKUP(Table6[[#This Row],[Affected Feeder ]],'Basic Data'!$A:$A,'Basic Data'!$E:$E),"")</f>
        <v>2.2727272727272728E-2</v>
      </c>
      <c r="K870" s="296" t="s">
        <v>171</v>
      </c>
      <c r="L870" s="297">
        <v>0.17430555555555557</v>
      </c>
      <c r="M870" s="297">
        <v>0.17430555555555557</v>
      </c>
      <c r="N870" s="297">
        <v>0.18819444444444444</v>
      </c>
      <c r="O870" s="19">
        <f>(Table6[[#This Row],[Work Start TimeStamp]]-Table6[[#This Row],[Fault Start TimeStamp]])*24</f>
        <v>0</v>
      </c>
      <c r="P870" s="19">
        <f>(Table6[[#This Row],[Fault Clearance time]]-Table6[[#This Row],[Fault Start TimeStamp]])*24</f>
        <v>0.33333333333333282</v>
      </c>
      <c r="Q870" s="19">
        <f>(Table6[[#This Row],[Fault Clearance time]]-Table6[[#This Row],[Fault Start TimeStamp]])*24</f>
        <v>0.33333333333333282</v>
      </c>
      <c r="R870" s="79" t="s">
        <v>353</v>
      </c>
      <c r="S870" s="79" t="s">
        <v>339</v>
      </c>
      <c r="T870" s="298">
        <f>IFERROR(Table6[[#This Row],[Breakdown Time]]*Table6[[#This Row],[Plant Equivalent Weightage]],"")</f>
        <v>7.5757575757575638E-3</v>
      </c>
      <c r="U870" s="79" t="s">
        <v>421</v>
      </c>
      <c r="W870" s="79">
        <v>637</v>
      </c>
    </row>
    <row r="871" spans="1:23">
      <c r="A871" s="79">
        <f t="shared" si="13"/>
        <v>870</v>
      </c>
      <c r="B871" s="79">
        <f>YEAR(Table6[[#This Row],[Date]])+IF(MONTH(Table6[[#This Row],[Date]])&gt;=4,1,0)</f>
        <v>2026</v>
      </c>
      <c r="C871" s="79">
        <f>YEAR(Table6[[#This Row],[Date]])</f>
        <v>2025</v>
      </c>
      <c r="D871" s="79" t="s">
        <v>344</v>
      </c>
      <c r="E871" s="284">
        <f>Table6[[#This Row],[Date]]-DAY(Table6[[#This Row],[Date]])+1</f>
        <v>45809</v>
      </c>
      <c r="F871" s="285">
        <v>45827</v>
      </c>
      <c r="G871" s="79" t="s">
        <v>77</v>
      </c>
      <c r="H871" s="79" t="str">
        <f>IFERROR(_xlfn.XLOOKUP(Table6[[#This Row],[Affected Feeder ]],'Basic Data'!$A:$A,'Basic Data'!$B:$B),"")</f>
        <v>PWEPL</v>
      </c>
      <c r="I871" s="79" t="str">
        <f>IFERROR(_xlfn.XLOOKUP(Table6[[#This Row],[Affected Feeder ]],'Basic Data'!$A:$A,'Basic Data'!$C:$C),"")</f>
        <v>MSEDCL</v>
      </c>
      <c r="J871" s="295">
        <f>IFERROR(_xlfn.XLOOKUP(Table6[[#This Row],[Affected Feeder ]],'Basic Data'!$A:$A,'Basic Data'!$E:$E),"")</f>
        <v>2.2727272727272728E-2</v>
      </c>
      <c r="K871" s="296" t="s">
        <v>171</v>
      </c>
      <c r="L871" s="297">
        <v>0.17430555555555557</v>
      </c>
      <c r="M871" s="297">
        <v>0.17430555555555557</v>
      </c>
      <c r="N871" s="297">
        <v>0.18819444444444444</v>
      </c>
      <c r="O871" s="19">
        <f>(Table6[[#This Row],[Work Start TimeStamp]]-Table6[[#This Row],[Fault Start TimeStamp]])*24</f>
        <v>0</v>
      </c>
      <c r="P871" s="19">
        <f>(Table6[[#This Row],[Fault Clearance time]]-Table6[[#This Row],[Fault Start TimeStamp]])*24</f>
        <v>0.33333333333333282</v>
      </c>
      <c r="Q871" s="19">
        <f>(Table6[[#This Row],[Fault Clearance time]]-Table6[[#This Row],[Fault Start TimeStamp]])*24</f>
        <v>0.33333333333333282</v>
      </c>
      <c r="R871" s="79" t="s">
        <v>353</v>
      </c>
      <c r="S871" s="79" t="s">
        <v>339</v>
      </c>
      <c r="T871" s="298">
        <f>IFERROR(Table6[[#This Row],[Breakdown Time]]*Table6[[#This Row],[Plant Equivalent Weightage]],"")</f>
        <v>7.5757575757575638E-3</v>
      </c>
      <c r="U871" s="79" t="s">
        <v>421</v>
      </c>
      <c r="W871" s="79">
        <v>637</v>
      </c>
    </row>
    <row r="872" spans="1:23">
      <c r="A872" s="79">
        <f t="shared" si="13"/>
        <v>871</v>
      </c>
      <c r="B872" s="79">
        <f>YEAR(Table6[[#This Row],[Date]])+IF(MONTH(Table6[[#This Row],[Date]])&gt;=4,1,0)</f>
        <v>2026</v>
      </c>
      <c r="C872" s="79">
        <f>YEAR(Table6[[#This Row],[Date]])</f>
        <v>2025</v>
      </c>
      <c r="D872" s="79" t="s">
        <v>344</v>
      </c>
      <c r="E872" s="284">
        <f>Table6[[#This Row],[Date]]-DAY(Table6[[#This Row],[Date]])+1</f>
        <v>45809</v>
      </c>
      <c r="F872" s="285">
        <v>45827</v>
      </c>
      <c r="G872" s="79" t="s">
        <v>78</v>
      </c>
      <c r="H872" s="79" t="str">
        <f>IFERROR(_xlfn.XLOOKUP(Table6[[#This Row],[Affected Feeder ]],'Basic Data'!$A:$A,'Basic Data'!$B:$B),"")</f>
        <v>PWEPL</v>
      </c>
      <c r="I872" s="79" t="str">
        <f>IFERROR(_xlfn.XLOOKUP(Table6[[#This Row],[Affected Feeder ]],'Basic Data'!$A:$A,'Basic Data'!$C:$C),"")</f>
        <v>MSEDCL</v>
      </c>
      <c r="J872" s="295">
        <f>IFERROR(_xlfn.XLOOKUP(Table6[[#This Row],[Affected Feeder ]],'Basic Data'!$A:$A,'Basic Data'!$E:$E),"")</f>
        <v>2.2727272727272728E-2</v>
      </c>
      <c r="K872" s="296" t="s">
        <v>171</v>
      </c>
      <c r="L872" s="297">
        <v>0.17430555555555557</v>
      </c>
      <c r="M872" s="297">
        <v>0.17430555555555557</v>
      </c>
      <c r="N872" s="297">
        <v>0.18819444444444444</v>
      </c>
      <c r="O872" s="19">
        <f>(Table6[[#This Row],[Work Start TimeStamp]]-Table6[[#This Row],[Fault Start TimeStamp]])*24</f>
        <v>0</v>
      </c>
      <c r="P872" s="19">
        <f>(Table6[[#This Row],[Fault Clearance time]]-Table6[[#This Row],[Fault Start TimeStamp]])*24</f>
        <v>0.33333333333333282</v>
      </c>
      <c r="Q872" s="19">
        <f>(Table6[[#This Row],[Fault Clearance time]]-Table6[[#This Row],[Fault Start TimeStamp]])*24</f>
        <v>0.33333333333333282</v>
      </c>
      <c r="R872" s="79" t="s">
        <v>353</v>
      </c>
      <c r="S872" s="79" t="s">
        <v>339</v>
      </c>
      <c r="T872" s="298">
        <f>IFERROR(Table6[[#This Row],[Breakdown Time]]*Table6[[#This Row],[Plant Equivalent Weightage]],"")</f>
        <v>7.5757575757575638E-3</v>
      </c>
      <c r="U872" s="79" t="s">
        <v>421</v>
      </c>
      <c r="W872" s="79">
        <v>637</v>
      </c>
    </row>
    <row r="873" spans="1:23">
      <c r="A873" s="79">
        <f t="shared" si="13"/>
        <v>872</v>
      </c>
      <c r="B873" s="79">
        <f>YEAR(Table6[[#This Row],[Date]])+IF(MONTH(Table6[[#This Row],[Date]])&gt;=4,1,0)</f>
        <v>2026</v>
      </c>
      <c r="C873" s="79">
        <f>YEAR(Table6[[#This Row],[Date]])</f>
        <v>2025</v>
      </c>
      <c r="D873" s="79" t="s">
        <v>344</v>
      </c>
      <c r="E873" s="284">
        <f>Table6[[#This Row],[Date]]-DAY(Table6[[#This Row],[Date]])+1</f>
        <v>45809</v>
      </c>
      <c r="F873" s="285">
        <v>45827</v>
      </c>
      <c r="G873" s="79" t="s">
        <v>82</v>
      </c>
      <c r="H873" s="79" t="str">
        <f>IFERROR(_xlfn.XLOOKUP(Table6[[#This Row],[Affected Feeder ]],'Basic Data'!$A:$A,'Basic Data'!$B:$B),"")</f>
        <v>PWEPL</v>
      </c>
      <c r="I873" s="79" t="str">
        <f>IFERROR(_xlfn.XLOOKUP(Table6[[#This Row],[Affected Feeder ]],'Basic Data'!$A:$A,'Basic Data'!$C:$C),"")</f>
        <v>MSEDCL</v>
      </c>
      <c r="J873" s="295">
        <f>IFERROR(_xlfn.XLOOKUP(Table6[[#This Row],[Affected Feeder ]],'Basic Data'!$A:$A,'Basic Data'!$E:$E),"")</f>
        <v>2.2727272727272728E-2</v>
      </c>
      <c r="K873" s="296" t="s">
        <v>171</v>
      </c>
      <c r="L873" s="297">
        <v>0.17430555555555557</v>
      </c>
      <c r="M873" s="297">
        <v>0.17430555555555557</v>
      </c>
      <c r="N873" s="297">
        <v>0.18819444444444444</v>
      </c>
      <c r="O873" s="19">
        <f>(Table6[[#This Row],[Work Start TimeStamp]]-Table6[[#This Row],[Fault Start TimeStamp]])*24</f>
        <v>0</v>
      </c>
      <c r="P873" s="19">
        <f>(Table6[[#This Row],[Fault Clearance time]]-Table6[[#This Row],[Fault Start TimeStamp]])*24</f>
        <v>0.33333333333333282</v>
      </c>
      <c r="Q873" s="19">
        <f>(Table6[[#This Row],[Fault Clearance time]]-Table6[[#This Row],[Fault Start TimeStamp]])*24</f>
        <v>0.33333333333333282</v>
      </c>
      <c r="R873" s="79" t="s">
        <v>353</v>
      </c>
      <c r="S873" s="79" t="s">
        <v>339</v>
      </c>
      <c r="T873" s="298">
        <f>IFERROR(Table6[[#This Row],[Breakdown Time]]*Table6[[#This Row],[Plant Equivalent Weightage]],"")</f>
        <v>7.5757575757575638E-3</v>
      </c>
      <c r="U873" s="79" t="s">
        <v>421</v>
      </c>
      <c r="W873" s="79">
        <v>637</v>
      </c>
    </row>
    <row r="874" spans="1:23">
      <c r="A874" s="79">
        <f t="shared" si="13"/>
        <v>873</v>
      </c>
      <c r="B874" s="79">
        <f>YEAR(Table6[[#This Row],[Date]])+IF(MONTH(Table6[[#This Row],[Date]])&gt;=4,1,0)</f>
        <v>2026</v>
      </c>
      <c r="C874" s="79">
        <f>YEAR(Table6[[#This Row],[Date]])</f>
        <v>2025</v>
      </c>
      <c r="D874" s="79" t="s">
        <v>344</v>
      </c>
      <c r="E874" s="284">
        <f>Table6[[#This Row],[Date]]-DAY(Table6[[#This Row],[Date]])+1</f>
        <v>45809</v>
      </c>
      <c r="F874" s="285">
        <v>45827</v>
      </c>
      <c r="G874" s="79" t="s">
        <v>93</v>
      </c>
      <c r="H874" s="79" t="str">
        <f>IFERROR(_xlfn.XLOOKUP(Table6[[#This Row],[Affected Feeder ]],'Basic Data'!$A:$A,'Basic Data'!$B:$B),"")</f>
        <v>PWEPL</v>
      </c>
      <c r="I874" s="79" t="str">
        <f>IFERROR(_xlfn.XLOOKUP(Table6[[#This Row],[Affected Feeder ]],'Basic Data'!$A:$A,'Basic Data'!$C:$C),"")</f>
        <v>MSEDCL</v>
      </c>
      <c r="J874" s="295">
        <f>IFERROR(_xlfn.XLOOKUP(Table6[[#This Row],[Affected Feeder ]],'Basic Data'!$A:$A,'Basic Data'!$E:$E),"")</f>
        <v>2.2727272727272728E-2</v>
      </c>
      <c r="K874" s="296" t="s">
        <v>171</v>
      </c>
      <c r="L874" s="297">
        <v>0.17430555555555557</v>
      </c>
      <c r="M874" s="297">
        <v>0.17430555555555557</v>
      </c>
      <c r="N874" s="297">
        <v>0.18819444444444444</v>
      </c>
      <c r="O874" s="19">
        <f>(Table6[[#This Row],[Work Start TimeStamp]]-Table6[[#This Row],[Fault Start TimeStamp]])*24</f>
        <v>0</v>
      </c>
      <c r="P874" s="19">
        <f>(Table6[[#This Row],[Fault Clearance time]]-Table6[[#This Row],[Fault Start TimeStamp]])*24</f>
        <v>0.33333333333333282</v>
      </c>
      <c r="Q874" s="19">
        <f>(Table6[[#This Row],[Fault Clearance time]]-Table6[[#This Row],[Fault Start TimeStamp]])*24</f>
        <v>0.33333333333333282</v>
      </c>
      <c r="R874" s="79" t="s">
        <v>353</v>
      </c>
      <c r="S874" s="79" t="s">
        <v>339</v>
      </c>
      <c r="T874" s="298">
        <f>IFERROR(Table6[[#This Row],[Breakdown Time]]*Table6[[#This Row],[Plant Equivalent Weightage]],"")</f>
        <v>7.5757575757575638E-3</v>
      </c>
      <c r="U874" s="79" t="s">
        <v>421</v>
      </c>
      <c r="W874" s="79">
        <v>637</v>
      </c>
    </row>
    <row r="875" spans="1:23">
      <c r="A875" s="79">
        <f t="shared" si="13"/>
        <v>874</v>
      </c>
      <c r="B875" s="79">
        <f>YEAR(Table6[[#This Row],[Date]])+IF(MONTH(Table6[[#This Row],[Date]])&gt;=4,1,0)</f>
        <v>2026</v>
      </c>
      <c r="C875" s="79">
        <f>YEAR(Table6[[#This Row],[Date]])</f>
        <v>2025</v>
      </c>
      <c r="D875" s="79" t="s">
        <v>344</v>
      </c>
      <c r="E875" s="284">
        <f>Table6[[#This Row],[Date]]-DAY(Table6[[#This Row],[Date]])+1</f>
        <v>45809</v>
      </c>
      <c r="F875" s="285">
        <v>45827</v>
      </c>
      <c r="G875" s="79" t="s">
        <v>102</v>
      </c>
      <c r="H875" s="79" t="str">
        <f>IFERROR(_xlfn.XLOOKUP(Table6[[#This Row],[Affected Feeder ]],'Basic Data'!$A:$A,'Basic Data'!$B:$B),"")</f>
        <v>PWEPL</v>
      </c>
      <c r="I875" s="79" t="str">
        <f>IFERROR(_xlfn.XLOOKUP(Table6[[#This Row],[Affected Feeder ]],'Basic Data'!$A:$A,'Basic Data'!$C:$C),"")</f>
        <v>MSEDCL</v>
      </c>
      <c r="J875" s="295">
        <f>IFERROR(_xlfn.XLOOKUP(Table6[[#This Row],[Affected Feeder ]],'Basic Data'!$A:$A,'Basic Data'!$E:$E),"")</f>
        <v>2.2727272727272728E-2</v>
      </c>
      <c r="K875" s="296" t="s">
        <v>171</v>
      </c>
      <c r="L875" s="297">
        <v>0.17430555555555557</v>
      </c>
      <c r="M875" s="297">
        <v>0.17430555555555557</v>
      </c>
      <c r="N875" s="297">
        <v>0.18819444444444444</v>
      </c>
      <c r="O875" s="19">
        <f>(Table6[[#This Row],[Work Start TimeStamp]]-Table6[[#This Row],[Fault Start TimeStamp]])*24</f>
        <v>0</v>
      </c>
      <c r="P875" s="19">
        <f>(Table6[[#This Row],[Fault Clearance time]]-Table6[[#This Row],[Fault Start TimeStamp]])*24</f>
        <v>0.33333333333333282</v>
      </c>
      <c r="Q875" s="19">
        <f>(Table6[[#This Row],[Fault Clearance time]]-Table6[[#This Row],[Fault Start TimeStamp]])*24</f>
        <v>0.33333333333333282</v>
      </c>
      <c r="R875" s="79" t="s">
        <v>353</v>
      </c>
      <c r="S875" s="79" t="s">
        <v>339</v>
      </c>
      <c r="T875" s="298">
        <f>IFERROR(Table6[[#This Row],[Breakdown Time]]*Table6[[#This Row],[Plant Equivalent Weightage]],"")</f>
        <v>7.5757575757575638E-3</v>
      </c>
      <c r="U875" s="79" t="s">
        <v>421</v>
      </c>
      <c r="W875" s="79">
        <v>637</v>
      </c>
    </row>
    <row r="876" spans="1:23">
      <c r="A876" s="79">
        <f t="shared" si="13"/>
        <v>875</v>
      </c>
      <c r="B876" s="79">
        <f>YEAR(Table6[[#This Row],[Date]])+IF(MONTH(Table6[[#This Row],[Date]])&gt;=4,1,0)</f>
        <v>2026</v>
      </c>
      <c r="C876" s="79">
        <f>YEAR(Table6[[#This Row],[Date]])</f>
        <v>2025</v>
      </c>
      <c r="D876" s="79" t="s">
        <v>344</v>
      </c>
      <c r="E876" s="284">
        <f>Table6[[#This Row],[Date]]-DAY(Table6[[#This Row],[Date]])+1</f>
        <v>45809</v>
      </c>
      <c r="F876" s="285">
        <v>45827</v>
      </c>
      <c r="G876" s="79" t="s">
        <v>119</v>
      </c>
      <c r="H876" s="79" t="str">
        <f>IFERROR(_xlfn.XLOOKUP(Table6[[#This Row],[Affected Feeder ]],'Basic Data'!$A:$A,'Basic Data'!$B:$B),"")</f>
        <v>PWEPL</v>
      </c>
      <c r="I876" s="79" t="str">
        <f>IFERROR(_xlfn.XLOOKUP(Table6[[#This Row],[Affected Feeder ]],'Basic Data'!$A:$A,'Basic Data'!$C:$C),"")</f>
        <v>MSEDCL</v>
      </c>
      <c r="J876" s="295">
        <f>IFERROR(_xlfn.XLOOKUP(Table6[[#This Row],[Affected Feeder ]],'Basic Data'!$A:$A,'Basic Data'!$E:$E),"")</f>
        <v>2.2727272727272728E-2</v>
      </c>
      <c r="K876" s="296" t="s">
        <v>171</v>
      </c>
      <c r="L876" s="297">
        <v>0.17430555555555557</v>
      </c>
      <c r="M876" s="297">
        <v>0.17430555555555557</v>
      </c>
      <c r="N876" s="297">
        <v>0.18819444444444444</v>
      </c>
      <c r="O876" s="19">
        <f>(Table6[[#This Row],[Work Start TimeStamp]]-Table6[[#This Row],[Fault Start TimeStamp]])*24</f>
        <v>0</v>
      </c>
      <c r="P876" s="19">
        <f>(Table6[[#This Row],[Fault Clearance time]]-Table6[[#This Row],[Fault Start TimeStamp]])*24</f>
        <v>0.33333333333333282</v>
      </c>
      <c r="Q876" s="19">
        <f>(Table6[[#This Row],[Fault Clearance time]]-Table6[[#This Row],[Fault Start TimeStamp]])*24</f>
        <v>0.33333333333333282</v>
      </c>
      <c r="R876" s="79" t="s">
        <v>353</v>
      </c>
      <c r="S876" s="79" t="s">
        <v>339</v>
      </c>
      <c r="T876" s="298">
        <f>IFERROR(Table6[[#This Row],[Breakdown Time]]*Table6[[#This Row],[Plant Equivalent Weightage]],"")</f>
        <v>7.5757575757575638E-3</v>
      </c>
      <c r="U876" s="79" t="s">
        <v>421</v>
      </c>
      <c r="W876" s="79">
        <v>637</v>
      </c>
    </row>
    <row r="877" spans="1:23">
      <c r="A877" s="79">
        <f t="shared" si="13"/>
        <v>876</v>
      </c>
      <c r="B877" s="79">
        <f>YEAR(Table6[[#This Row],[Date]])+IF(MONTH(Table6[[#This Row],[Date]])&gt;=4,1,0)</f>
        <v>2026</v>
      </c>
      <c r="C877" s="79">
        <f>YEAR(Table6[[#This Row],[Date]])</f>
        <v>2025</v>
      </c>
      <c r="D877" s="79" t="s">
        <v>344</v>
      </c>
      <c r="E877" s="284">
        <f>Table6[[#This Row],[Date]]-DAY(Table6[[#This Row],[Date]])+1</f>
        <v>45809</v>
      </c>
      <c r="F877" s="285">
        <v>45827</v>
      </c>
      <c r="G877" s="79" t="s">
        <v>103</v>
      </c>
      <c r="H877" s="79" t="str">
        <f>IFERROR(_xlfn.XLOOKUP(Table6[[#This Row],[Affected Feeder ]],'Basic Data'!$A:$A,'Basic Data'!$B:$B),"")</f>
        <v>PWEPL</v>
      </c>
      <c r="I877" s="79" t="str">
        <f>IFERROR(_xlfn.XLOOKUP(Table6[[#This Row],[Affected Feeder ]],'Basic Data'!$A:$A,'Basic Data'!$C:$C),"")</f>
        <v>MSEDCL</v>
      </c>
      <c r="J877" s="295">
        <f>IFERROR(_xlfn.XLOOKUP(Table6[[#This Row],[Affected Feeder ]],'Basic Data'!$A:$A,'Basic Data'!$E:$E),"")</f>
        <v>2.2727272727272728E-2</v>
      </c>
      <c r="K877" s="296" t="s">
        <v>171</v>
      </c>
      <c r="L877" s="297">
        <v>0.17430555555555557</v>
      </c>
      <c r="M877" s="297">
        <v>0.17430555555555557</v>
      </c>
      <c r="N877" s="297">
        <v>0.18819444444444444</v>
      </c>
      <c r="O877" s="19">
        <f>(Table6[[#This Row],[Work Start TimeStamp]]-Table6[[#This Row],[Fault Start TimeStamp]])*24</f>
        <v>0</v>
      </c>
      <c r="P877" s="19">
        <f>(Table6[[#This Row],[Fault Clearance time]]-Table6[[#This Row],[Fault Start TimeStamp]])*24</f>
        <v>0.33333333333333282</v>
      </c>
      <c r="Q877" s="19">
        <f>(Table6[[#This Row],[Fault Clearance time]]-Table6[[#This Row],[Fault Start TimeStamp]])*24</f>
        <v>0.33333333333333282</v>
      </c>
      <c r="R877" s="79" t="s">
        <v>353</v>
      </c>
      <c r="S877" s="79" t="s">
        <v>339</v>
      </c>
      <c r="T877" s="298">
        <f>IFERROR(Table6[[#This Row],[Breakdown Time]]*Table6[[#This Row],[Plant Equivalent Weightage]],"")</f>
        <v>7.5757575757575638E-3</v>
      </c>
      <c r="U877" s="79" t="s">
        <v>421</v>
      </c>
      <c r="W877" s="79">
        <v>637</v>
      </c>
    </row>
    <row r="878" spans="1:23">
      <c r="A878" s="79">
        <f t="shared" si="13"/>
        <v>877</v>
      </c>
      <c r="B878" s="79">
        <f>YEAR(Table6[[#This Row],[Date]])+IF(MONTH(Table6[[#This Row],[Date]])&gt;=4,1,0)</f>
        <v>2026</v>
      </c>
      <c r="C878" s="79">
        <f>YEAR(Table6[[#This Row],[Date]])</f>
        <v>2025</v>
      </c>
      <c r="D878" s="79" t="s">
        <v>344</v>
      </c>
      <c r="E878" s="284">
        <f>Table6[[#This Row],[Date]]-DAY(Table6[[#This Row],[Date]])+1</f>
        <v>45809</v>
      </c>
      <c r="F878" s="285">
        <v>45827</v>
      </c>
      <c r="G878" s="79" t="s">
        <v>105</v>
      </c>
      <c r="H878" s="79" t="str">
        <f>IFERROR(_xlfn.XLOOKUP(Table6[[#This Row],[Affected Feeder ]],'Basic Data'!$A:$A,'Basic Data'!$B:$B),"")</f>
        <v>PWEPL</v>
      </c>
      <c r="I878" s="79" t="str">
        <f>IFERROR(_xlfn.XLOOKUP(Table6[[#This Row],[Affected Feeder ]],'Basic Data'!$A:$A,'Basic Data'!$C:$C),"")</f>
        <v>MSEDCL</v>
      </c>
      <c r="J878" s="295">
        <f>IFERROR(_xlfn.XLOOKUP(Table6[[#This Row],[Affected Feeder ]],'Basic Data'!$A:$A,'Basic Data'!$E:$E),"")</f>
        <v>2.2727272727272728E-2</v>
      </c>
      <c r="K878" s="296" t="s">
        <v>171</v>
      </c>
      <c r="L878" s="297">
        <v>0.17430555555555557</v>
      </c>
      <c r="M878" s="297">
        <v>0.17430555555555557</v>
      </c>
      <c r="N878" s="297">
        <v>0.18819444444444444</v>
      </c>
      <c r="O878" s="19">
        <f>(Table6[[#This Row],[Work Start TimeStamp]]-Table6[[#This Row],[Fault Start TimeStamp]])*24</f>
        <v>0</v>
      </c>
      <c r="P878" s="19">
        <f>(Table6[[#This Row],[Fault Clearance time]]-Table6[[#This Row],[Fault Start TimeStamp]])*24</f>
        <v>0.33333333333333282</v>
      </c>
      <c r="Q878" s="19">
        <f>(Table6[[#This Row],[Fault Clearance time]]-Table6[[#This Row],[Fault Start TimeStamp]])*24</f>
        <v>0.33333333333333282</v>
      </c>
      <c r="R878" s="79" t="s">
        <v>353</v>
      </c>
      <c r="S878" s="79" t="s">
        <v>339</v>
      </c>
      <c r="T878" s="298">
        <f>IFERROR(Table6[[#This Row],[Breakdown Time]]*Table6[[#This Row],[Plant Equivalent Weightage]],"")</f>
        <v>7.5757575757575638E-3</v>
      </c>
      <c r="U878" s="79" t="s">
        <v>421</v>
      </c>
      <c r="W878" s="79">
        <v>637</v>
      </c>
    </row>
    <row r="879" spans="1:23">
      <c r="A879" s="79">
        <f t="shared" si="13"/>
        <v>878</v>
      </c>
      <c r="B879" s="79">
        <f>YEAR(Table6[[#This Row],[Date]])+IF(MONTH(Table6[[#This Row],[Date]])&gt;=4,1,0)</f>
        <v>2026</v>
      </c>
      <c r="C879" s="79">
        <f>YEAR(Table6[[#This Row],[Date]])</f>
        <v>2025</v>
      </c>
      <c r="D879" s="79" t="s">
        <v>344</v>
      </c>
      <c r="E879" s="284">
        <f>Table6[[#This Row],[Date]]-DAY(Table6[[#This Row],[Date]])+1</f>
        <v>45809</v>
      </c>
      <c r="F879" s="285">
        <v>45827</v>
      </c>
      <c r="G879" s="79" t="s">
        <v>115</v>
      </c>
      <c r="H879" s="79" t="str">
        <f>IFERROR(_xlfn.XLOOKUP(Table6[[#This Row],[Affected Feeder ]],'Basic Data'!$A:$A,'Basic Data'!$B:$B),"")</f>
        <v>PWEPL</v>
      </c>
      <c r="I879" s="79" t="str">
        <f>IFERROR(_xlfn.XLOOKUP(Table6[[#This Row],[Affected Feeder ]],'Basic Data'!$A:$A,'Basic Data'!$C:$C),"")</f>
        <v>MSEDCL</v>
      </c>
      <c r="J879" s="295">
        <f>IFERROR(_xlfn.XLOOKUP(Table6[[#This Row],[Affected Feeder ]],'Basic Data'!$A:$A,'Basic Data'!$E:$E),"")</f>
        <v>2.2727272727272728E-2</v>
      </c>
      <c r="K879" s="296" t="s">
        <v>171</v>
      </c>
      <c r="L879" s="297">
        <v>0.17430555555555557</v>
      </c>
      <c r="M879" s="297">
        <v>0.17430555555555557</v>
      </c>
      <c r="N879" s="297">
        <v>0.18819444444444444</v>
      </c>
      <c r="O879" s="19">
        <f>(Table6[[#This Row],[Work Start TimeStamp]]-Table6[[#This Row],[Fault Start TimeStamp]])*24</f>
        <v>0</v>
      </c>
      <c r="P879" s="19">
        <f>(Table6[[#This Row],[Fault Clearance time]]-Table6[[#This Row],[Fault Start TimeStamp]])*24</f>
        <v>0.33333333333333282</v>
      </c>
      <c r="Q879" s="19">
        <f>(Table6[[#This Row],[Fault Clearance time]]-Table6[[#This Row],[Fault Start TimeStamp]])*24</f>
        <v>0.33333333333333282</v>
      </c>
      <c r="R879" s="79" t="s">
        <v>353</v>
      </c>
      <c r="S879" s="79" t="s">
        <v>339</v>
      </c>
      <c r="T879" s="298">
        <f>IFERROR(Table6[[#This Row],[Breakdown Time]]*Table6[[#This Row],[Plant Equivalent Weightage]],"")</f>
        <v>7.5757575757575638E-3</v>
      </c>
      <c r="U879" s="79" t="s">
        <v>421</v>
      </c>
      <c r="W879" s="79">
        <v>637</v>
      </c>
    </row>
    <row r="880" spans="1:23">
      <c r="A880" s="79">
        <f t="shared" si="13"/>
        <v>879</v>
      </c>
      <c r="B880" s="79">
        <f>YEAR(Table6[[#This Row],[Date]])+IF(MONTH(Table6[[#This Row],[Date]])&gt;=4,1,0)</f>
        <v>2026</v>
      </c>
      <c r="C880" s="79">
        <f>YEAR(Table6[[#This Row],[Date]])</f>
        <v>2025</v>
      </c>
      <c r="D880" s="79" t="s">
        <v>344</v>
      </c>
      <c r="E880" s="284">
        <f>Table6[[#This Row],[Date]]-DAY(Table6[[#This Row],[Date]])+1</f>
        <v>45809</v>
      </c>
      <c r="F880" s="285">
        <v>45827</v>
      </c>
      <c r="G880" s="79" t="s">
        <v>116</v>
      </c>
      <c r="H880" s="79" t="str">
        <f>IFERROR(_xlfn.XLOOKUP(Table6[[#This Row],[Affected Feeder ]],'Basic Data'!$A:$A,'Basic Data'!$B:$B),"")</f>
        <v>PWEPL</v>
      </c>
      <c r="I880" s="79" t="str">
        <f>IFERROR(_xlfn.XLOOKUP(Table6[[#This Row],[Affected Feeder ]],'Basic Data'!$A:$A,'Basic Data'!$C:$C),"")</f>
        <v>MSEDCL</v>
      </c>
      <c r="J880" s="295">
        <f>IFERROR(_xlfn.XLOOKUP(Table6[[#This Row],[Affected Feeder ]],'Basic Data'!$A:$A,'Basic Data'!$E:$E),"")</f>
        <v>2.2727272727272728E-2</v>
      </c>
      <c r="K880" s="296" t="s">
        <v>171</v>
      </c>
      <c r="L880" s="297">
        <v>0.17430555555555557</v>
      </c>
      <c r="M880" s="297">
        <v>0.17430555555555557</v>
      </c>
      <c r="N880" s="297">
        <v>0.18819444444444444</v>
      </c>
      <c r="O880" s="19">
        <f>(Table6[[#This Row],[Work Start TimeStamp]]-Table6[[#This Row],[Fault Start TimeStamp]])*24</f>
        <v>0</v>
      </c>
      <c r="P880" s="19">
        <f>(Table6[[#This Row],[Fault Clearance time]]-Table6[[#This Row],[Fault Start TimeStamp]])*24</f>
        <v>0.33333333333333282</v>
      </c>
      <c r="Q880" s="19">
        <f>(Table6[[#This Row],[Fault Clearance time]]-Table6[[#This Row],[Fault Start TimeStamp]])*24</f>
        <v>0.33333333333333282</v>
      </c>
      <c r="R880" s="79" t="s">
        <v>353</v>
      </c>
      <c r="S880" s="79" t="s">
        <v>339</v>
      </c>
      <c r="T880" s="298">
        <f>IFERROR(Table6[[#This Row],[Breakdown Time]]*Table6[[#This Row],[Plant Equivalent Weightage]],"")</f>
        <v>7.5757575757575638E-3</v>
      </c>
      <c r="U880" s="79" t="s">
        <v>421</v>
      </c>
      <c r="W880" s="79">
        <v>637</v>
      </c>
    </row>
    <row r="881" spans="1:23">
      <c r="A881" s="79">
        <f t="shared" si="13"/>
        <v>880</v>
      </c>
      <c r="B881" s="79">
        <f>YEAR(Table6[[#This Row],[Date]])+IF(MONTH(Table6[[#This Row],[Date]])&gt;=4,1,0)</f>
        <v>2026</v>
      </c>
      <c r="C881" s="79">
        <f>YEAR(Table6[[#This Row],[Date]])</f>
        <v>2025</v>
      </c>
      <c r="D881" s="79" t="s">
        <v>344</v>
      </c>
      <c r="E881" s="284">
        <f>Table6[[#This Row],[Date]]-DAY(Table6[[#This Row],[Date]])+1</f>
        <v>45809</v>
      </c>
      <c r="F881" s="285">
        <v>45827</v>
      </c>
      <c r="G881" s="79" t="s">
        <v>117</v>
      </c>
      <c r="H881" s="79" t="str">
        <f>IFERROR(_xlfn.XLOOKUP(Table6[[#This Row],[Affected Feeder ]],'Basic Data'!$A:$A,'Basic Data'!$B:$B),"")</f>
        <v>PWEPL</v>
      </c>
      <c r="I881" s="79" t="str">
        <f>IFERROR(_xlfn.XLOOKUP(Table6[[#This Row],[Affected Feeder ]],'Basic Data'!$A:$A,'Basic Data'!$C:$C),"")</f>
        <v>MSEDCL</v>
      </c>
      <c r="J881" s="295">
        <f>IFERROR(_xlfn.XLOOKUP(Table6[[#This Row],[Affected Feeder ]],'Basic Data'!$A:$A,'Basic Data'!$E:$E),"")</f>
        <v>2.2727272727272728E-2</v>
      </c>
      <c r="K881" s="296" t="s">
        <v>171</v>
      </c>
      <c r="L881" s="297">
        <v>0.17430555555555557</v>
      </c>
      <c r="M881" s="297">
        <v>0.17430555555555557</v>
      </c>
      <c r="N881" s="297">
        <v>0.18819444444444444</v>
      </c>
      <c r="O881" s="19">
        <f>(Table6[[#This Row],[Work Start TimeStamp]]-Table6[[#This Row],[Fault Start TimeStamp]])*24</f>
        <v>0</v>
      </c>
      <c r="P881" s="19">
        <f>(Table6[[#This Row],[Fault Clearance time]]-Table6[[#This Row],[Fault Start TimeStamp]])*24</f>
        <v>0.33333333333333282</v>
      </c>
      <c r="Q881" s="19">
        <f>(Table6[[#This Row],[Fault Clearance time]]-Table6[[#This Row],[Fault Start TimeStamp]])*24</f>
        <v>0.33333333333333282</v>
      </c>
      <c r="R881" s="79" t="s">
        <v>353</v>
      </c>
      <c r="S881" s="79" t="s">
        <v>339</v>
      </c>
      <c r="T881" s="298">
        <f>IFERROR(Table6[[#This Row],[Breakdown Time]]*Table6[[#This Row],[Plant Equivalent Weightage]],"")</f>
        <v>7.5757575757575638E-3</v>
      </c>
      <c r="U881" s="79" t="s">
        <v>421</v>
      </c>
      <c r="W881" s="79">
        <v>637</v>
      </c>
    </row>
    <row r="882" spans="1:23">
      <c r="A882" s="79">
        <f t="shared" si="13"/>
        <v>881</v>
      </c>
      <c r="B882" s="79">
        <f>YEAR(Table6[[#This Row],[Date]])+IF(MONTH(Table6[[#This Row],[Date]])&gt;=4,1,0)</f>
        <v>2026</v>
      </c>
      <c r="C882" s="79">
        <f>YEAR(Table6[[#This Row],[Date]])</f>
        <v>2025</v>
      </c>
      <c r="D882" s="79" t="s">
        <v>344</v>
      </c>
      <c r="E882" s="284">
        <f>Table6[[#This Row],[Date]]-DAY(Table6[[#This Row],[Date]])+1</f>
        <v>45809</v>
      </c>
      <c r="F882" s="285">
        <v>45827</v>
      </c>
      <c r="G882" s="79" t="s">
        <v>118</v>
      </c>
      <c r="H882" s="79" t="str">
        <f>IFERROR(_xlfn.XLOOKUP(Table6[[#This Row],[Affected Feeder ]],'Basic Data'!$A:$A,'Basic Data'!$B:$B),"")</f>
        <v>PWEPL</v>
      </c>
      <c r="I882" s="79" t="str">
        <f>IFERROR(_xlfn.XLOOKUP(Table6[[#This Row],[Affected Feeder ]],'Basic Data'!$A:$A,'Basic Data'!$C:$C),"")</f>
        <v>MSEDCL</v>
      </c>
      <c r="J882" s="295">
        <f>IFERROR(_xlfn.XLOOKUP(Table6[[#This Row],[Affected Feeder ]],'Basic Data'!$A:$A,'Basic Data'!$E:$E),"")</f>
        <v>2.2727272727272728E-2</v>
      </c>
      <c r="K882" s="296" t="s">
        <v>171</v>
      </c>
      <c r="L882" s="297">
        <v>0.17430555555555557</v>
      </c>
      <c r="M882" s="297">
        <v>0.17430555555555557</v>
      </c>
      <c r="N882" s="297">
        <v>0.18819444444444444</v>
      </c>
      <c r="O882" s="19">
        <f>(Table6[[#This Row],[Work Start TimeStamp]]-Table6[[#This Row],[Fault Start TimeStamp]])*24</f>
        <v>0</v>
      </c>
      <c r="P882" s="19">
        <f>(Table6[[#This Row],[Fault Clearance time]]-Table6[[#This Row],[Fault Start TimeStamp]])*24</f>
        <v>0.33333333333333282</v>
      </c>
      <c r="Q882" s="19">
        <f>(Table6[[#This Row],[Fault Clearance time]]-Table6[[#This Row],[Fault Start TimeStamp]])*24</f>
        <v>0.33333333333333282</v>
      </c>
      <c r="R882" s="79" t="s">
        <v>353</v>
      </c>
      <c r="S882" s="79" t="s">
        <v>339</v>
      </c>
      <c r="T882" s="298">
        <f>IFERROR(Table6[[#This Row],[Breakdown Time]]*Table6[[#This Row],[Plant Equivalent Weightage]],"")</f>
        <v>7.5757575757575638E-3</v>
      </c>
      <c r="U882" s="79" t="s">
        <v>421</v>
      </c>
      <c r="W882" s="79">
        <v>637</v>
      </c>
    </row>
    <row r="883" spans="1:23">
      <c r="A883" s="79">
        <f t="shared" si="13"/>
        <v>882</v>
      </c>
      <c r="B883" s="79">
        <f>YEAR(Table6[[#This Row],[Date]])+IF(MONTH(Table6[[#This Row],[Date]])&gt;=4,1,0)</f>
        <v>2026</v>
      </c>
      <c r="C883" s="79">
        <f>YEAR(Table6[[#This Row],[Date]])</f>
        <v>2025</v>
      </c>
      <c r="D883" s="79" t="s">
        <v>344</v>
      </c>
      <c r="E883" s="284">
        <f>Table6[[#This Row],[Date]]-DAY(Table6[[#This Row],[Date]])+1</f>
        <v>45809</v>
      </c>
      <c r="F883" s="285">
        <v>45827</v>
      </c>
      <c r="G883" s="79" t="s">
        <v>406</v>
      </c>
      <c r="H883" s="79" t="str">
        <f>IFERROR(_xlfn.XLOOKUP(Table6[[#This Row],[Affected Feeder ]],'Basic Data'!$A:$A,'Basic Data'!$B:$B),"")</f>
        <v>PWEPL</v>
      </c>
      <c r="I883" s="79" t="str">
        <f>IFERROR(_xlfn.XLOOKUP(Table6[[#This Row],[Affected Feeder ]],'Basic Data'!$A:$A,'Basic Data'!$C:$C),"")</f>
        <v>MSEDCL</v>
      </c>
      <c r="J883" s="295">
        <f>IFERROR(_xlfn.XLOOKUP(Table6[[#This Row],[Affected Feeder ]],'Basic Data'!$A:$A,'Basic Data'!$E:$E),"")</f>
        <v>0.29545454545454541</v>
      </c>
      <c r="K883" s="296" t="s">
        <v>447</v>
      </c>
      <c r="L883" s="297">
        <v>0.20416666666666669</v>
      </c>
      <c r="M883" s="297">
        <v>0.20416666666666669</v>
      </c>
      <c r="N883" s="297">
        <v>0.22013888888888888</v>
      </c>
      <c r="O883" s="19">
        <f>(Table6[[#This Row],[Work Start TimeStamp]]-Table6[[#This Row],[Fault Start TimeStamp]])*24</f>
        <v>0</v>
      </c>
      <c r="P883" s="19">
        <f>(Table6[[#This Row],[Fault Clearance time]]-Table6[[#This Row],[Fault Start TimeStamp]])*24</f>
        <v>0.38333333333333264</v>
      </c>
      <c r="Q883" s="19">
        <f>(Table6[[#This Row],[Fault Clearance time]]-Table6[[#This Row],[Fault Start TimeStamp]])*24</f>
        <v>0.38333333333333264</v>
      </c>
      <c r="R883" s="79" t="s">
        <v>420</v>
      </c>
      <c r="S883" s="79" t="s">
        <v>339</v>
      </c>
      <c r="T883" s="298">
        <f>IFERROR(Table6[[#This Row],[Breakdown Time]]*Table6[[#This Row],[Plant Equivalent Weightage]],"")</f>
        <v>0.11325757575757554</v>
      </c>
      <c r="U883" s="79" t="s">
        <v>421</v>
      </c>
      <c r="W883" s="79">
        <v>8563</v>
      </c>
    </row>
    <row r="884" spans="1:23">
      <c r="A884" s="79">
        <f t="shared" si="13"/>
        <v>883</v>
      </c>
      <c r="B884" s="79">
        <f>YEAR(Table6[[#This Row],[Date]])+IF(MONTH(Table6[[#This Row],[Date]])&gt;=4,1,0)</f>
        <v>2026</v>
      </c>
      <c r="C884" s="79">
        <f>YEAR(Table6[[#This Row],[Date]])</f>
        <v>2025</v>
      </c>
      <c r="D884" s="79" t="s">
        <v>344</v>
      </c>
      <c r="E884" s="284">
        <f>Table6[[#This Row],[Date]]-DAY(Table6[[#This Row],[Date]])+1</f>
        <v>45809</v>
      </c>
      <c r="F884" s="285">
        <v>45827</v>
      </c>
      <c r="G884" s="79" t="s">
        <v>76</v>
      </c>
      <c r="H884" s="79" t="str">
        <f>IFERROR(_xlfn.XLOOKUP(Table6[[#This Row],[Affected Feeder ]],'Basic Data'!$A:$A,'Basic Data'!$B:$B),"")</f>
        <v>PWEPL</v>
      </c>
      <c r="I884" s="79" t="str">
        <f>IFERROR(_xlfn.XLOOKUP(Table6[[#This Row],[Affected Feeder ]],'Basic Data'!$A:$A,'Basic Data'!$C:$C),"")</f>
        <v>MSEDCL</v>
      </c>
      <c r="J884" s="295">
        <f>IFERROR(_xlfn.XLOOKUP(Table6[[#This Row],[Affected Feeder ]],'Basic Data'!$A:$A,'Basic Data'!$E:$E),"")</f>
        <v>2.2727272727272728E-2</v>
      </c>
      <c r="K884" s="296" t="s">
        <v>171</v>
      </c>
      <c r="L884" s="297">
        <v>0.22013888888888888</v>
      </c>
      <c r="M884" s="297">
        <v>0.22013888888888888</v>
      </c>
      <c r="N884" s="297">
        <v>0.23402777777777781</v>
      </c>
      <c r="O884" s="19">
        <f>(Table6[[#This Row],[Work Start TimeStamp]]-Table6[[#This Row],[Fault Start TimeStamp]])*24</f>
        <v>0</v>
      </c>
      <c r="P884" s="19">
        <f>(Table6[[#This Row],[Fault Clearance time]]-Table6[[#This Row],[Fault Start TimeStamp]])*24</f>
        <v>0.33333333333333415</v>
      </c>
      <c r="Q884" s="19">
        <f>(Table6[[#This Row],[Fault Clearance time]]-Table6[[#This Row],[Fault Start TimeStamp]])*24</f>
        <v>0.33333333333333415</v>
      </c>
      <c r="R884" s="79" t="s">
        <v>353</v>
      </c>
      <c r="S884" s="79" t="s">
        <v>339</v>
      </c>
      <c r="T884" s="298">
        <f>IFERROR(Table6[[#This Row],[Breakdown Time]]*Table6[[#This Row],[Plant Equivalent Weightage]],"")</f>
        <v>7.5757575757575942E-3</v>
      </c>
      <c r="U884" s="79" t="s">
        <v>421</v>
      </c>
      <c r="W884" s="79">
        <v>716</v>
      </c>
    </row>
    <row r="885" spans="1:23">
      <c r="A885" s="79">
        <f t="shared" si="13"/>
        <v>884</v>
      </c>
      <c r="B885" s="79">
        <f>YEAR(Table6[[#This Row],[Date]])+IF(MONTH(Table6[[#This Row],[Date]])&gt;=4,1,0)</f>
        <v>2026</v>
      </c>
      <c r="C885" s="79">
        <f>YEAR(Table6[[#This Row],[Date]])</f>
        <v>2025</v>
      </c>
      <c r="D885" s="79" t="s">
        <v>344</v>
      </c>
      <c r="E885" s="284">
        <f>Table6[[#This Row],[Date]]-DAY(Table6[[#This Row],[Date]])+1</f>
        <v>45809</v>
      </c>
      <c r="F885" s="285">
        <v>45827</v>
      </c>
      <c r="G885" s="79" t="s">
        <v>77</v>
      </c>
      <c r="H885" s="79" t="str">
        <f>IFERROR(_xlfn.XLOOKUP(Table6[[#This Row],[Affected Feeder ]],'Basic Data'!$A:$A,'Basic Data'!$B:$B),"")</f>
        <v>PWEPL</v>
      </c>
      <c r="I885" s="79" t="str">
        <f>IFERROR(_xlfn.XLOOKUP(Table6[[#This Row],[Affected Feeder ]],'Basic Data'!$A:$A,'Basic Data'!$C:$C),"")</f>
        <v>MSEDCL</v>
      </c>
      <c r="J885" s="295">
        <f>IFERROR(_xlfn.XLOOKUP(Table6[[#This Row],[Affected Feeder ]],'Basic Data'!$A:$A,'Basic Data'!$E:$E),"")</f>
        <v>2.2727272727272728E-2</v>
      </c>
      <c r="K885" s="296" t="s">
        <v>171</v>
      </c>
      <c r="L885" s="297">
        <v>0.22013888888888888</v>
      </c>
      <c r="M885" s="297">
        <v>0.22013888888888888</v>
      </c>
      <c r="N885" s="297">
        <v>0.23402777777777781</v>
      </c>
      <c r="O885" s="19">
        <f>(Table6[[#This Row],[Work Start TimeStamp]]-Table6[[#This Row],[Fault Start TimeStamp]])*24</f>
        <v>0</v>
      </c>
      <c r="P885" s="19">
        <f>(Table6[[#This Row],[Fault Clearance time]]-Table6[[#This Row],[Fault Start TimeStamp]])*24</f>
        <v>0.33333333333333415</v>
      </c>
      <c r="Q885" s="19">
        <f>(Table6[[#This Row],[Fault Clearance time]]-Table6[[#This Row],[Fault Start TimeStamp]])*24</f>
        <v>0.33333333333333415</v>
      </c>
      <c r="R885" s="79" t="s">
        <v>353</v>
      </c>
      <c r="S885" s="79" t="s">
        <v>339</v>
      </c>
      <c r="T885" s="298">
        <f>IFERROR(Table6[[#This Row],[Breakdown Time]]*Table6[[#This Row],[Plant Equivalent Weightage]],"")</f>
        <v>7.5757575757575942E-3</v>
      </c>
      <c r="U885" s="79" t="s">
        <v>421</v>
      </c>
      <c r="W885" s="79">
        <v>716</v>
      </c>
    </row>
    <row r="886" spans="1:23">
      <c r="A886" s="79">
        <f t="shared" si="13"/>
        <v>885</v>
      </c>
      <c r="B886" s="79">
        <f>YEAR(Table6[[#This Row],[Date]])+IF(MONTH(Table6[[#This Row],[Date]])&gt;=4,1,0)</f>
        <v>2026</v>
      </c>
      <c r="C886" s="79">
        <f>YEAR(Table6[[#This Row],[Date]])</f>
        <v>2025</v>
      </c>
      <c r="D886" s="79" t="s">
        <v>344</v>
      </c>
      <c r="E886" s="284">
        <f>Table6[[#This Row],[Date]]-DAY(Table6[[#This Row],[Date]])+1</f>
        <v>45809</v>
      </c>
      <c r="F886" s="285">
        <v>45827</v>
      </c>
      <c r="G886" s="79" t="s">
        <v>78</v>
      </c>
      <c r="H886" s="79" t="str">
        <f>IFERROR(_xlfn.XLOOKUP(Table6[[#This Row],[Affected Feeder ]],'Basic Data'!$A:$A,'Basic Data'!$B:$B),"")</f>
        <v>PWEPL</v>
      </c>
      <c r="I886" s="79" t="str">
        <f>IFERROR(_xlfn.XLOOKUP(Table6[[#This Row],[Affected Feeder ]],'Basic Data'!$A:$A,'Basic Data'!$C:$C),"")</f>
        <v>MSEDCL</v>
      </c>
      <c r="J886" s="295">
        <f>IFERROR(_xlfn.XLOOKUP(Table6[[#This Row],[Affected Feeder ]],'Basic Data'!$A:$A,'Basic Data'!$E:$E),"")</f>
        <v>2.2727272727272728E-2</v>
      </c>
      <c r="K886" s="296" t="s">
        <v>171</v>
      </c>
      <c r="L886" s="297">
        <v>0.22013888888888888</v>
      </c>
      <c r="M886" s="297">
        <v>0.22013888888888888</v>
      </c>
      <c r="N886" s="297">
        <v>0.23402777777777781</v>
      </c>
      <c r="O886" s="19">
        <f>(Table6[[#This Row],[Work Start TimeStamp]]-Table6[[#This Row],[Fault Start TimeStamp]])*24</f>
        <v>0</v>
      </c>
      <c r="P886" s="19">
        <f>(Table6[[#This Row],[Fault Clearance time]]-Table6[[#This Row],[Fault Start TimeStamp]])*24</f>
        <v>0.33333333333333415</v>
      </c>
      <c r="Q886" s="19">
        <f>(Table6[[#This Row],[Fault Clearance time]]-Table6[[#This Row],[Fault Start TimeStamp]])*24</f>
        <v>0.33333333333333415</v>
      </c>
      <c r="R886" s="79" t="s">
        <v>353</v>
      </c>
      <c r="S886" s="79" t="s">
        <v>339</v>
      </c>
      <c r="T886" s="298">
        <f>IFERROR(Table6[[#This Row],[Breakdown Time]]*Table6[[#This Row],[Plant Equivalent Weightage]],"")</f>
        <v>7.5757575757575942E-3</v>
      </c>
      <c r="U886" s="79" t="s">
        <v>421</v>
      </c>
      <c r="W886" s="79">
        <v>716</v>
      </c>
    </row>
    <row r="887" spans="1:23">
      <c r="A887" s="79">
        <f t="shared" si="13"/>
        <v>886</v>
      </c>
      <c r="B887" s="79">
        <f>YEAR(Table6[[#This Row],[Date]])+IF(MONTH(Table6[[#This Row],[Date]])&gt;=4,1,0)</f>
        <v>2026</v>
      </c>
      <c r="C887" s="79">
        <f>YEAR(Table6[[#This Row],[Date]])</f>
        <v>2025</v>
      </c>
      <c r="D887" s="79" t="s">
        <v>344</v>
      </c>
      <c r="E887" s="284">
        <f>Table6[[#This Row],[Date]]-DAY(Table6[[#This Row],[Date]])+1</f>
        <v>45809</v>
      </c>
      <c r="F887" s="285">
        <v>45827</v>
      </c>
      <c r="G887" s="79" t="s">
        <v>82</v>
      </c>
      <c r="H887" s="79" t="str">
        <f>IFERROR(_xlfn.XLOOKUP(Table6[[#This Row],[Affected Feeder ]],'Basic Data'!$A:$A,'Basic Data'!$B:$B),"")</f>
        <v>PWEPL</v>
      </c>
      <c r="I887" s="79" t="str">
        <f>IFERROR(_xlfn.XLOOKUP(Table6[[#This Row],[Affected Feeder ]],'Basic Data'!$A:$A,'Basic Data'!$C:$C),"")</f>
        <v>MSEDCL</v>
      </c>
      <c r="J887" s="295">
        <f>IFERROR(_xlfn.XLOOKUP(Table6[[#This Row],[Affected Feeder ]],'Basic Data'!$A:$A,'Basic Data'!$E:$E),"")</f>
        <v>2.2727272727272728E-2</v>
      </c>
      <c r="K887" s="296" t="s">
        <v>171</v>
      </c>
      <c r="L887" s="297">
        <v>0.22013888888888888</v>
      </c>
      <c r="M887" s="297">
        <v>0.22013888888888888</v>
      </c>
      <c r="N887" s="297">
        <v>0.23402777777777781</v>
      </c>
      <c r="O887" s="19">
        <f>(Table6[[#This Row],[Work Start TimeStamp]]-Table6[[#This Row],[Fault Start TimeStamp]])*24</f>
        <v>0</v>
      </c>
      <c r="P887" s="19">
        <f>(Table6[[#This Row],[Fault Clearance time]]-Table6[[#This Row],[Fault Start TimeStamp]])*24</f>
        <v>0.33333333333333415</v>
      </c>
      <c r="Q887" s="19">
        <f>(Table6[[#This Row],[Fault Clearance time]]-Table6[[#This Row],[Fault Start TimeStamp]])*24</f>
        <v>0.33333333333333415</v>
      </c>
      <c r="R887" s="79" t="s">
        <v>353</v>
      </c>
      <c r="S887" s="79" t="s">
        <v>339</v>
      </c>
      <c r="T887" s="298">
        <f>IFERROR(Table6[[#This Row],[Breakdown Time]]*Table6[[#This Row],[Plant Equivalent Weightage]],"")</f>
        <v>7.5757575757575942E-3</v>
      </c>
      <c r="U887" s="79" t="s">
        <v>421</v>
      </c>
      <c r="W887" s="79">
        <v>716</v>
      </c>
    </row>
    <row r="888" spans="1:23">
      <c r="A888" s="79">
        <f t="shared" si="13"/>
        <v>887</v>
      </c>
      <c r="B888" s="79">
        <f>YEAR(Table6[[#This Row],[Date]])+IF(MONTH(Table6[[#This Row],[Date]])&gt;=4,1,0)</f>
        <v>2026</v>
      </c>
      <c r="C888" s="79">
        <f>YEAR(Table6[[#This Row],[Date]])</f>
        <v>2025</v>
      </c>
      <c r="D888" s="79" t="s">
        <v>344</v>
      </c>
      <c r="E888" s="284">
        <f>Table6[[#This Row],[Date]]-DAY(Table6[[#This Row],[Date]])+1</f>
        <v>45809</v>
      </c>
      <c r="F888" s="285">
        <v>45827</v>
      </c>
      <c r="G888" s="79" t="s">
        <v>93</v>
      </c>
      <c r="H888" s="79" t="str">
        <f>IFERROR(_xlfn.XLOOKUP(Table6[[#This Row],[Affected Feeder ]],'Basic Data'!$A:$A,'Basic Data'!$B:$B),"")</f>
        <v>PWEPL</v>
      </c>
      <c r="I888" s="79" t="str">
        <f>IFERROR(_xlfn.XLOOKUP(Table6[[#This Row],[Affected Feeder ]],'Basic Data'!$A:$A,'Basic Data'!$C:$C),"")</f>
        <v>MSEDCL</v>
      </c>
      <c r="J888" s="295">
        <f>IFERROR(_xlfn.XLOOKUP(Table6[[#This Row],[Affected Feeder ]],'Basic Data'!$A:$A,'Basic Data'!$E:$E),"")</f>
        <v>2.2727272727272728E-2</v>
      </c>
      <c r="K888" s="296" t="s">
        <v>171</v>
      </c>
      <c r="L888" s="297">
        <v>0.22013888888888888</v>
      </c>
      <c r="M888" s="297">
        <v>0.22013888888888888</v>
      </c>
      <c r="N888" s="297">
        <v>0.23402777777777781</v>
      </c>
      <c r="O888" s="19">
        <f>(Table6[[#This Row],[Work Start TimeStamp]]-Table6[[#This Row],[Fault Start TimeStamp]])*24</f>
        <v>0</v>
      </c>
      <c r="P888" s="19">
        <f>(Table6[[#This Row],[Fault Clearance time]]-Table6[[#This Row],[Fault Start TimeStamp]])*24</f>
        <v>0.33333333333333415</v>
      </c>
      <c r="Q888" s="19">
        <f>(Table6[[#This Row],[Fault Clearance time]]-Table6[[#This Row],[Fault Start TimeStamp]])*24</f>
        <v>0.33333333333333415</v>
      </c>
      <c r="R888" s="79" t="s">
        <v>353</v>
      </c>
      <c r="S888" s="79" t="s">
        <v>339</v>
      </c>
      <c r="T888" s="298">
        <f>IFERROR(Table6[[#This Row],[Breakdown Time]]*Table6[[#This Row],[Plant Equivalent Weightage]],"")</f>
        <v>7.5757575757575942E-3</v>
      </c>
      <c r="U888" s="79" t="s">
        <v>421</v>
      </c>
      <c r="W888" s="79">
        <v>716</v>
      </c>
    </row>
    <row r="889" spans="1:23">
      <c r="A889" s="79">
        <f t="shared" si="13"/>
        <v>888</v>
      </c>
      <c r="B889" s="79">
        <f>YEAR(Table6[[#This Row],[Date]])+IF(MONTH(Table6[[#This Row],[Date]])&gt;=4,1,0)</f>
        <v>2026</v>
      </c>
      <c r="C889" s="79">
        <f>YEAR(Table6[[#This Row],[Date]])</f>
        <v>2025</v>
      </c>
      <c r="D889" s="79" t="s">
        <v>344</v>
      </c>
      <c r="E889" s="284">
        <f>Table6[[#This Row],[Date]]-DAY(Table6[[#This Row],[Date]])+1</f>
        <v>45809</v>
      </c>
      <c r="F889" s="285">
        <v>45827</v>
      </c>
      <c r="G889" s="79" t="s">
        <v>102</v>
      </c>
      <c r="H889" s="79" t="str">
        <f>IFERROR(_xlfn.XLOOKUP(Table6[[#This Row],[Affected Feeder ]],'Basic Data'!$A:$A,'Basic Data'!$B:$B),"")</f>
        <v>PWEPL</v>
      </c>
      <c r="I889" s="79" t="str">
        <f>IFERROR(_xlfn.XLOOKUP(Table6[[#This Row],[Affected Feeder ]],'Basic Data'!$A:$A,'Basic Data'!$C:$C),"")</f>
        <v>MSEDCL</v>
      </c>
      <c r="J889" s="295">
        <f>IFERROR(_xlfn.XLOOKUP(Table6[[#This Row],[Affected Feeder ]],'Basic Data'!$A:$A,'Basic Data'!$E:$E),"")</f>
        <v>2.2727272727272728E-2</v>
      </c>
      <c r="K889" s="296" t="s">
        <v>171</v>
      </c>
      <c r="L889" s="297">
        <v>0.22013888888888888</v>
      </c>
      <c r="M889" s="297">
        <v>0.22013888888888888</v>
      </c>
      <c r="N889" s="297">
        <v>0.23402777777777781</v>
      </c>
      <c r="O889" s="19">
        <f>(Table6[[#This Row],[Work Start TimeStamp]]-Table6[[#This Row],[Fault Start TimeStamp]])*24</f>
        <v>0</v>
      </c>
      <c r="P889" s="19">
        <f>(Table6[[#This Row],[Fault Clearance time]]-Table6[[#This Row],[Fault Start TimeStamp]])*24</f>
        <v>0.33333333333333415</v>
      </c>
      <c r="Q889" s="19">
        <f>(Table6[[#This Row],[Fault Clearance time]]-Table6[[#This Row],[Fault Start TimeStamp]])*24</f>
        <v>0.33333333333333415</v>
      </c>
      <c r="R889" s="79" t="s">
        <v>353</v>
      </c>
      <c r="S889" s="79" t="s">
        <v>339</v>
      </c>
      <c r="T889" s="298">
        <f>IFERROR(Table6[[#This Row],[Breakdown Time]]*Table6[[#This Row],[Plant Equivalent Weightage]],"")</f>
        <v>7.5757575757575942E-3</v>
      </c>
      <c r="U889" s="79" t="s">
        <v>421</v>
      </c>
      <c r="W889" s="79">
        <v>716</v>
      </c>
    </row>
    <row r="890" spans="1:23">
      <c r="A890" s="79">
        <f t="shared" si="13"/>
        <v>889</v>
      </c>
      <c r="B890" s="79">
        <f>YEAR(Table6[[#This Row],[Date]])+IF(MONTH(Table6[[#This Row],[Date]])&gt;=4,1,0)</f>
        <v>2026</v>
      </c>
      <c r="C890" s="79">
        <f>YEAR(Table6[[#This Row],[Date]])</f>
        <v>2025</v>
      </c>
      <c r="D890" s="79" t="s">
        <v>344</v>
      </c>
      <c r="E890" s="284">
        <f>Table6[[#This Row],[Date]]-DAY(Table6[[#This Row],[Date]])+1</f>
        <v>45809</v>
      </c>
      <c r="F890" s="285">
        <v>45827</v>
      </c>
      <c r="G890" s="79" t="s">
        <v>119</v>
      </c>
      <c r="H890" s="79" t="str">
        <f>IFERROR(_xlfn.XLOOKUP(Table6[[#This Row],[Affected Feeder ]],'Basic Data'!$A:$A,'Basic Data'!$B:$B),"")</f>
        <v>PWEPL</v>
      </c>
      <c r="I890" s="79" t="str">
        <f>IFERROR(_xlfn.XLOOKUP(Table6[[#This Row],[Affected Feeder ]],'Basic Data'!$A:$A,'Basic Data'!$C:$C),"")</f>
        <v>MSEDCL</v>
      </c>
      <c r="J890" s="295">
        <f>IFERROR(_xlfn.XLOOKUP(Table6[[#This Row],[Affected Feeder ]],'Basic Data'!$A:$A,'Basic Data'!$E:$E),"")</f>
        <v>2.2727272727272728E-2</v>
      </c>
      <c r="K890" s="296" t="s">
        <v>171</v>
      </c>
      <c r="L890" s="297">
        <v>0.22013888888888888</v>
      </c>
      <c r="M890" s="297">
        <v>0.22013888888888888</v>
      </c>
      <c r="N890" s="297">
        <v>0.23402777777777781</v>
      </c>
      <c r="O890" s="19">
        <f>(Table6[[#This Row],[Work Start TimeStamp]]-Table6[[#This Row],[Fault Start TimeStamp]])*24</f>
        <v>0</v>
      </c>
      <c r="P890" s="19">
        <f>(Table6[[#This Row],[Fault Clearance time]]-Table6[[#This Row],[Fault Start TimeStamp]])*24</f>
        <v>0.33333333333333415</v>
      </c>
      <c r="Q890" s="19">
        <f>(Table6[[#This Row],[Fault Clearance time]]-Table6[[#This Row],[Fault Start TimeStamp]])*24</f>
        <v>0.33333333333333415</v>
      </c>
      <c r="R890" s="79" t="s">
        <v>353</v>
      </c>
      <c r="S890" s="79" t="s">
        <v>339</v>
      </c>
      <c r="T890" s="298">
        <f>IFERROR(Table6[[#This Row],[Breakdown Time]]*Table6[[#This Row],[Plant Equivalent Weightage]],"")</f>
        <v>7.5757575757575942E-3</v>
      </c>
      <c r="U890" s="79" t="s">
        <v>421</v>
      </c>
      <c r="W890" s="79">
        <v>716</v>
      </c>
    </row>
    <row r="891" spans="1:23">
      <c r="A891" s="79">
        <f t="shared" si="13"/>
        <v>890</v>
      </c>
      <c r="B891" s="79">
        <f>YEAR(Table6[[#This Row],[Date]])+IF(MONTH(Table6[[#This Row],[Date]])&gt;=4,1,0)</f>
        <v>2026</v>
      </c>
      <c r="C891" s="79">
        <f>YEAR(Table6[[#This Row],[Date]])</f>
        <v>2025</v>
      </c>
      <c r="D891" s="79" t="s">
        <v>344</v>
      </c>
      <c r="E891" s="284">
        <f>Table6[[#This Row],[Date]]-DAY(Table6[[#This Row],[Date]])+1</f>
        <v>45809</v>
      </c>
      <c r="F891" s="285">
        <v>45827</v>
      </c>
      <c r="G891" s="79" t="s">
        <v>103</v>
      </c>
      <c r="H891" s="79" t="str">
        <f>IFERROR(_xlfn.XLOOKUP(Table6[[#This Row],[Affected Feeder ]],'Basic Data'!$A:$A,'Basic Data'!$B:$B),"")</f>
        <v>PWEPL</v>
      </c>
      <c r="I891" s="79" t="str">
        <f>IFERROR(_xlfn.XLOOKUP(Table6[[#This Row],[Affected Feeder ]],'Basic Data'!$A:$A,'Basic Data'!$C:$C),"")</f>
        <v>MSEDCL</v>
      </c>
      <c r="J891" s="295">
        <f>IFERROR(_xlfn.XLOOKUP(Table6[[#This Row],[Affected Feeder ]],'Basic Data'!$A:$A,'Basic Data'!$E:$E),"")</f>
        <v>2.2727272727272728E-2</v>
      </c>
      <c r="K891" s="296" t="s">
        <v>171</v>
      </c>
      <c r="L891" s="297">
        <v>0.22013888888888888</v>
      </c>
      <c r="M891" s="297">
        <v>0.22013888888888888</v>
      </c>
      <c r="N891" s="297">
        <v>0.23402777777777781</v>
      </c>
      <c r="O891" s="19">
        <f>(Table6[[#This Row],[Work Start TimeStamp]]-Table6[[#This Row],[Fault Start TimeStamp]])*24</f>
        <v>0</v>
      </c>
      <c r="P891" s="19">
        <f>(Table6[[#This Row],[Fault Clearance time]]-Table6[[#This Row],[Fault Start TimeStamp]])*24</f>
        <v>0.33333333333333415</v>
      </c>
      <c r="Q891" s="19">
        <f>(Table6[[#This Row],[Fault Clearance time]]-Table6[[#This Row],[Fault Start TimeStamp]])*24</f>
        <v>0.33333333333333415</v>
      </c>
      <c r="R891" s="79" t="s">
        <v>353</v>
      </c>
      <c r="S891" s="79" t="s">
        <v>339</v>
      </c>
      <c r="T891" s="298">
        <f>IFERROR(Table6[[#This Row],[Breakdown Time]]*Table6[[#This Row],[Plant Equivalent Weightage]],"")</f>
        <v>7.5757575757575942E-3</v>
      </c>
      <c r="U891" s="79" t="s">
        <v>421</v>
      </c>
      <c r="W891" s="79">
        <v>716</v>
      </c>
    </row>
    <row r="892" spans="1:23">
      <c r="A892" s="79">
        <f t="shared" si="13"/>
        <v>891</v>
      </c>
      <c r="B892" s="79">
        <f>YEAR(Table6[[#This Row],[Date]])+IF(MONTH(Table6[[#This Row],[Date]])&gt;=4,1,0)</f>
        <v>2026</v>
      </c>
      <c r="C892" s="79">
        <f>YEAR(Table6[[#This Row],[Date]])</f>
        <v>2025</v>
      </c>
      <c r="D892" s="79" t="s">
        <v>344</v>
      </c>
      <c r="E892" s="284">
        <f>Table6[[#This Row],[Date]]-DAY(Table6[[#This Row],[Date]])+1</f>
        <v>45809</v>
      </c>
      <c r="F892" s="285">
        <v>45827</v>
      </c>
      <c r="G892" s="79" t="s">
        <v>105</v>
      </c>
      <c r="H892" s="79" t="str">
        <f>IFERROR(_xlfn.XLOOKUP(Table6[[#This Row],[Affected Feeder ]],'Basic Data'!$A:$A,'Basic Data'!$B:$B),"")</f>
        <v>PWEPL</v>
      </c>
      <c r="I892" s="79" t="str">
        <f>IFERROR(_xlfn.XLOOKUP(Table6[[#This Row],[Affected Feeder ]],'Basic Data'!$A:$A,'Basic Data'!$C:$C),"")</f>
        <v>MSEDCL</v>
      </c>
      <c r="J892" s="295">
        <f>IFERROR(_xlfn.XLOOKUP(Table6[[#This Row],[Affected Feeder ]],'Basic Data'!$A:$A,'Basic Data'!$E:$E),"")</f>
        <v>2.2727272727272728E-2</v>
      </c>
      <c r="K892" s="296" t="s">
        <v>171</v>
      </c>
      <c r="L892" s="297">
        <v>0.22013888888888888</v>
      </c>
      <c r="M892" s="297">
        <v>0.22013888888888888</v>
      </c>
      <c r="N892" s="297">
        <v>0.23402777777777781</v>
      </c>
      <c r="O892" s="19">
        <f>(Table6[[#This Row],[Work Start TimeStamp]]-Table6[[#This Row],[Fault Start TimeStamp]])*24</f>
        <v>0</v>
      </c>
      <c r="P892" s="19">
        <f>(Table6[[#This Row],[Fault Clearance time]]-Table6[[#This Row],[Fault Start TimeStamp]])*24</f>
        <v>0.33333333333333415</v>
      </c>
      <c r="Q892" s="19">
        <f>(Table6[[#This Row],[Fault Clearance time]]-Table6[[#This Row],[Fault Start TimeStamp]])*24</f>
        <v>0.33333333333333415</v>
      </c>
      <c r="R892" s="79" t="s">
        <v>353</v>
      </c>
      <c r="S892" s="79" t="s">
        <v>339</v>
      </c>
      <c r="T892" s="298">
        <f>IFERROR(Table6[[#This Row],[Breakdown Time]]*Table6[[#This Row],[Plant Equivalent Weightage]],"")</f>
        <v>7.5757575757575942E-3</v>
      </c>
      <c r="U892" s="79" t="s">
        <v>421</v>
      </c>
      <c r="W892" s="79">
        <v>716</v>
      </c>
    </row>
    <row r="893" spans="1:23">
      <c r="A893" s="79">
        <f t="shared" si="13"/>
        <v>892</v>
      </c>
      <c r="B893" s="79">
        <f>YEAR(Table6[[#This Row],[Date]])+IF(MONTH(Table6[[#This Row],[Date]])&gt;=4,1,0)</f>
        <v>2026</v>
      </c>
      <c r="C893" s="79">
        <f>YEAR(Table6[[#This Row],[Date]])</f>
        <v>2025</v>
      </c>
      <c r="D893" s="79" t="s">
        <v>344</v>
      </c>
      <c r="E893" s="284">
        <f>Table6[[#This Row],[Date]]-DAY(Table6[[#This Row],[Date]])+1</f>
        <v>45809</v>
      </c>
      <c r="F893" s="285">
        <v>45827</v>
      </c>
      <c r="G893" s="79" t="s">
        <v>115</v>
      </c>
      <c r="H893" s="79" t="str">
        <f>IFERROR(_xlfn.XLOOKUP(Table6[[#This Row],[Affected Feeder ]],'Basic Data'!$A:$A,'Basic Data'!$B:$B),"")</f>
        <v>PWEPL</v>
      </c>
      <c r="I893" s="79" t="str">
        <f>IFERROR(_xlfn.XLOOKUP(Table6[[#This Row],[Affected Feeder ]],'Basic Data'!$A:$A,'Basic Data'!$C:$C),"")</f>
        <v>MSEDCL</v>
      </c>
      <c r="J893" s="295">
        <f>IFERROR(_xlfn.XLOOKUP(Table6[[#This Row],[Affected Feeder ]],'Basic Data'!$A:$A,'Basic Data'!$E:$E),"")</f>
        <v>2.2727272727272728E-2</v>
      </c>
      <c r="K893" s="296" t="s">
        <v>171</v>
      </c>
      <c r="L893" s="297">
        <v>0.22013888888888888</v>
      </c>
      <c r="M893" s="297">
        <v>0.22013888888888888</v>
      </c>
      <c r="N893" s="297">
        <v>0.23402777777777781</v>
      </c>
      <c r="O893" s="19">
        <f>(Table6[[#This Row],[Work Start TimeStamp]]-Table6[[#This Row],[Fault Start TimeStamp]])*24</f>
        <v>0</v>
      </c>
      <c r="P893" s="19">
        <f>(Table6[[#This Row],[Fault Clearance time]]-Table6[[#This Row],[Fault Start TimeStamp]])*24</f>
        <v>0.33333333333333415</v>
      </c>
      <c r="Q893" s="19">
        <f>(Table6[[#This Row],[Fault Clearance time]]-Table6[[#This Row],[Fault Start TimeStamp]])*24</f>
        <v>0.33333333333333415</v>
      </c>
      <c r="R893" s="79" t="s">
        <v>353</v>
      </c>
      <c r="S893" s="79" t="s">
        <v>339</v>
      </c>
      <c r="T893" s="298">
        <f>IFERROR(Table6[[#This Row],[Breakdown Time]]*Table6[[#This Row],[Plant Equivalent Weightage]],"")</f>
        <v>7.5757575757575942E-3</v>
      </c>
      <c r="U893" s="79" t="s">
        <v>421</v>
      </c>
      <c r="W893" s="79">
        <v>716</v>
      </c>
    </row>
    <row r="894" spans="1:23">
      <c r="A894" s="79">
        <f t="shared" si="13"/>
        <v>893</v>
      </c>
      <c r="B894" s="79">
        <f>YEAR(Table6[[#This Row],[Date]])+IF(MONTH(Table6[[#This Row],[Date]])&gt;=4,1,0)</f>
        <v>2026</v>
      </c>
      <c r="C894" s="79">
        <f>YEAR(Table6[[#This Row],[Date]])</f>
        <v>2025</v>
      </c>
      <c r="D894" s="79" t="s">
        <v>344</v>
      </c>
      <c r="E894" s="284">
        <f>Table6[[#This Row],[Date]]-DAY(Table6[[#This Row],[Date]])+1</f>
        <v>45809</v>
      </c>
      <c r="F894" s="285">
        <v>45827</v>
      </c>
      <c r="G894" s="79" t="s">
        <v>116</v>
      </c>
      <c r="H894" s="79" t="str">
        <f>IFERROR(_xlfn.XLOOKUP(Table6[[#This Row],[Affected Feeder ]],'Basic Data'!$A:$A,'Basic Data'!$B:$B),"")</f>
        <v>PWEPL</v>
      </c>
      <c r="I894" s="79" t="str">
        <f>IFERROR(_xlfn.XLOOKUP(Table6[[#This Row],[Affected Feeder ]],'Basic Data'!$A:$A,'Basic Data'!$C:$C),"")</f>
        <v>MSEDCL</v>
      </c>
      <c r="J894" s="295">
        <f>IFERROR(_xlfn.XLOOKUP(Table6[[#This Row],[Affected Feeder ]],'Basic Data'!$A:$A,'Basic Data'!$E:$E),"")</f>
        <v>2.2727272727272728E-2</v>
      </c>
      <c r="K894" s="296" t="s">
        <v>171</v>
      </c>
      <c r="L894" s="297">
        <v>0.22013888888888888</v>
      </c>
      <c r="M894" s="297">
        <v>0.22013888888888888</v>
      </c>
      <c r="N894" s="297">
        <v>0.23402777777777781</v>
      </c>
      <c r="O894" s="19">
        <f>(Table6[[#This Row],[Work Start TimeStamp]]-Table6[[#This Row],[Fault Start TimeStamp]])*24</f>
        <v>0</v>
      </c>
      <c r="P894" s="19">
        <f>(Table6[[#This Row],[Fault Clearance time]]-Table6[[#This Row],[Fault Start TimeStamp]])*24</f>
        <v>0.33333333333333415</v>
      </c>
      <c r="Q894" s="19">
        <f>(Table6[[#This Row],[Fault Clearance time]]-Table6[[#This Row],[Fault Start TimeStamp]])*24</f>
        <v>0.33333333333333415</v>
      </c>
      <c r="R894" s="79" t="s">
        <v>353</v>
      </c>
      <c r="S894" s="79" t="s">
        <v>339</v>
      </c>
      <c r="T894" s="298">
        <f>IFERROR(Table6[[#This Row],[Breakdown Time]]*Table6[[#This Row],[Plant Equivalent Weightage]],"")</f>
        <v>7.5757575757575942E-3</v>
      </c>
      <c r="U894" s="79" t="s">
        <v>421</v>
      </c>
      <c r="W894" s="79">
        <v>716</v>
      </c>
    </row>
    <row r="895" spans="1:23">
      <c r="A895" s="79">
        <f t="shared" si="13"/>
        <v>894</v>
      </c>
      <c r="B895" s="79">
        <f>YEAR(Table6[[#This Row],[Date]])+IF(MONTH(Table6[[#This Row],[Date]])&gt;=4,1,0)</f>
        <v>2026</v>
      </c>
      <c r="C895" s="79">
        <f>YEAR(Table6[[#This Row],[Date]])</f>
        <v>2025</v>
      </c>
      <c r="D895" s="79" t="s">
        <v>344</v>
      </c>
      <c r="E895" s="284">
        <f>Table6[[#This Row],[Date]]-DAY(Table6[[#This Row],[Date]])+1</f>
        <v>45809</v>
      </c>
      <c r="F895" s="285">
        <v>45827</v>
      </c>
      <c r="G895" s="79" t="s">
        <v>117</v>
      </c>
      <c r="H895" s="79" t="str">
        <f>IFERROR(_xlfn.XLOOKUP(Table6[[#This Row],[Affected Feeder ]],'Basic Data'!$A:$A,'Basic Data'!$B:$B),"")</f>
        <v>PWEPL</v>
      </c>
      <c r="I895" s="79" t="str">
        <f>IFERROR(_xlfn.XLOOKUP(Table6[[#This Row],[Affected Feeder ]],'Basic Data'!$A:$A,'Basic Data'!$C:$C),"")</f>
        <v>MSEDCL</v>
      </c>
      <c r="J895" s="295">
        <f>IFERROR(_xlfn.XLOOKUP(Table6[[#This Row],[Affected Feeder ]],'Basic Data'!$A:$A,'Basic Data'!$E:$E),"")</f>
        <v>2.2727272727272728E-2</v>
      </c>
      <c r="K895" s="296" t="s">
        <v>171</v>
      </c>
      <c r="L895" s="297">
        <v>0.22013888888888888</v>
      </c>
      <c r="M895" s="297">
        <v>0.22013888888888888</v>
      </c>
      <c r="N895" s="297">
        <v>0.23402777777777781</v>
      </c>
      <c r="O895" s="19">
        <f>(Table6[[#This Row],[Work Start TimeStamp]]-Table6[[#This Row],[Fault Start TimeStamp]])*24</f>
        <v>0</v>
      </c>
      <c r="P895" s="19">
        <f>(Table6[[#This Row],[Fault Clearance time]]-Table6[[#This Row],[Fault Start TimeStamp]])*24</f>
        <v>0.33333333333333415</v>
      </c>
      <c r="Q895" s="19">
        <f>(Table6[[#This Row],[Fault Clearance time]]-Table6[[#This Row],[Fault Start TimeStamp]])*24</f>
        <v>0.33333333333333415</v>
      </c>
      <c r="R895" s="79" t="s">
        <v>353</v>
      </c>
      <c r="S895" s="79" t="s">
        <v>339</v>
      </c>
      <c r="T895" s="298">
        <f>IFERROR(Table6[[#This Row],[Breakdown Time]]*Table6[[#This Row],[Plant Equivalent Weightage]],"")</f>
        <v>7.5757575757575942E-3</v>
      </c>
      <c r="U895" s="79" t="s">
        <v>421</v>
      </c>
      <c r="W895" s="79">
        <v>716</v>
      </c>
    </row>
    <row r="896" spans="1:23">
      <c r="A896" s="79">
        <f t="shared" si="13"/>
        <v>895</v>
      </c>
      <c r="B896" s="79">
        <f>YEAR(Table6[[#This Row],[Date]])+IF(MONTH(Table6[[#This Row],[Date]])&gt;=4,1,0)</f>
        <v>2026</v>
      </c>
      <c r="C896" s="79">
        <f>YEAR(Table6[[#This Row],[Date]])</f>
        <v>2025</v>
      </c>
      <c r="D896" s="79" t="s">
        <v>344</v>
      </c>
      <c r="E896" s="284">
        <f>Table6[[#This Row],[Date]]-DAY(Table6[[#This Row],[Date]])+1</f>
        <v>45809</v>
      </c>
      <c r="F896" s="285">
        <v>45827</v>
      </c>
      <c r="G896" s="79" t="s">
        <v>118</v>
      </c>
      <c r="H896" s="79" t="str">
        <f>IFERROR(_xlfn.XLOOKUP(Table6[[#This Row],[Affected Feeder ]],'Basic Data'!$A:$A,'Basic Data'!$B:$B),"")</f>
        <v>PWEPL</v>
      </c>
      <c r="I896" s="79" t="str">
        <f>IFERROR(_xlfn.XLOOKUP(Table6[[#This Row],[Affected Feeder ]],'Basic Data'!$A:$A,'Basic Data'!$C:$C),"")</f>
        <v>MSEDCL</v>
      </c>
      <c r="J896" s="295">
        <f>IFERROR(_xlfn.XLOOKUP(Table6[[#This Row],[Affected Feeder ]],'Basic Data'!$A:$A,'Basic Data'!$E:$E),"")</f>
        <v>2.2727272727272728E-2</v>
      </c>
      <c r="K896" s="296" t="s">
        <v>171</v>
      </c>
      <c r="L896" s="297">
        <v>0.22013888888888888</v>
      </c>
      <c r="M896" s="297">
        <v>0.22013888888888888</v>
      </c>
      <c r="N896" s="297">
        <v>0.23402777777777781</v>
      </c>
      <c r="O896" s="19">
        <f>(Table6[[#This Row],[Work Start TimeStamp]]-Table6[[#This Row],[Fault Start TimeStamp]])*24</f>
        <v>0</v>
      </c>
      <c r="P896" s="19">
        <f>(Table6[[#This Row],[Fault Clearance time]]-Table6[[#This Row],[Fault Start TimeStamp]])*24</f>
        <v>0.33333333333333415</v>
      </c>
      <c r="Q896" s="19">
        <f>(Table6[[#This Row],[Fault Clearance time]]-Table6[[#This Row],[Fault Start TimeStamp]])*24</f>
        <v>0.33333333333333415</v>
      </c>
      <c r="R896" s="79" t="s">
        <v>353</v>
      </c>
      <c r="S896" s="79" t="s">
        <v>339</v>
      </c>
      <c r="T896" s="298">
        <f>IFERROR(Table6[[#This Row],[Breakdown Time]]*Table6[[#This Row],[Plant Equivalent Weightage]],"")</f>
        <v>7.5757575757575942E-3</v>
      </c>
      <c r="U896" s="79" t="s">
        <v>421</v>
      </c>
      <c r="W896" s="79">
        <v>716</v>
      </c>
    </row>
    <row r="897" spans="1:23">
      <c r="A897" s="79">
        <f t="shared" si="13"/>
        <v>896</v>
      </c>
      <c r="B897" s="79">
        <f>YEAR(Table6[[#This Row],[Date]])+IF(MONTH(Table6[[#This Row],[Date]])&gt;=4,1,0)</f>
        <v>2026</v>
      </c>
      <c r="C897" s="79">
        <f>YEAR(Table6[[#This Row],[Date]])</f>
        <v>2025</v>
      </c>
      <c r="D897" s="79" t="s">
        <v>344</v>
      </c>
      <c r="E897" s="284">
        <f>Table6[[#This Row],[Date]]-DAY(Table6[[#This Row],[Date]])+1</f>
        <v>45809</v>
      </c>
      <c r="F897" s="285">
        <v>45827</v>
      </c>
      <c r="G897" s="79" t="s">
        <v>406</v>
      </c>
      <c r="H897" s="79" t="str">
        <f>IFERROR(_xlfn.XLOOKUP(Table6[[#This Row],[Affected Feeder ]],'Basic Data'!$A:$A,'Basic Data'!$B:$B),"")</f>
        <v>PWEPL</v>
      </c>
      <c r="I897" s="79" t="str">
        <f>IFERROR(_xlfn.XLOOKUP(Table6[[#This Row],[Affected Feeder ]],'Basic Data'!$A:$A,'Basic Data'!$C:$C),"")</f>
        <v>MSEDCL</v>
      </c>
      <c r="J897" s="295">
        <f>IFERROR(_xlfn.XLOOKUP(Table6[[#This Row],[Affected Feeder ]],'Basic Data'!$A:$A,'Basic Data'!$E:$E),"")</f>
        <v>0.29545454545454541</v>
      </c>
      <c r="K897" s="296" t="s">
        <v>419</v>
      </c>
      <c r="L897" s="297">
        <v>0.68541666666666667</v>
      </c>
      <c r="M897" s="297">
        <v>0.68541666666666667</v>
      </c>
      <c r="N897" s="297">
        <v>0.7055555555555556</v>
      </c>
      <c r="O897" s="19">
        <f>(Table6[[#This Row],[Work Start TimeStamp]]-Table6[[#This Row],[Fault Start TimeStamp]])*24</f>
        <v>0</v>
      </c>
      <c r="P897" s="19">
        <f>(Table6[[#This Row],[Fault Clearance time]]-Table6[[#This Row],[Fault Start TimeStamp]])*24</f>
        <v>0.48333333333333428</v>
      </c>
      <c r="Q897" s="19">
        <f>(Table6[[#This Row],[Fault Clearance time]]-Table6[[#This Row],[Fault Start TimeStamp]])*24</f>
        <v>0.48333333333333428</v>
      </c>
      <c r="R897" s="79" t="s">
        <v>420</v>
      </c>
      <c r="S897" s="79" t="s">
        <v>339</v>
      </c>
      <c r="T897" s="298">
        <f>IFERROR(Table6[[#This Row],[Breakdown Time]]*Table6[[#This Row],[Plant Equivalent Weightage]],"")</f>
        <v>0.14280303030303057</v>
      </c>
      <c r="U897" s="79" t="s">
        <v>421</v>
      </c>
      <c r="W897" s="79">
        <v>9372</v>
      </c>
    </row>
    <row r="898" spans="1:23">
      <c r="A898" s="79">
        <f t="shared" si="13"/>
        <v>897</v>
      </c>
      <c r="B898" s="79">
        <f>YEAR(Table6[[#This Row],[Date]])+IF(MONTH(Table6[[#This Row],[Date]])&gt;=4,1,0)</f>
        <v>2026</v>
      </c>
      <c r="C898" s="79">
        <f>YEAR(Table6[[#This Row],[Date]])</f>
        <v>2025</v>
      </c>
      <c r="D898" s="79" t="s">
        <v>344</v>
      </c>
      <c r="E898" s="284">
        <f>Table6[[#This Row],[Date]]-DAY(Table6[[#This Row],[Date]])+1</f>
        <v>45809</v>
      </c>
      <c r="F898" s="285">
        <v>45827</v>
      </c>
      <c r="G898" s="79" t="s">
        <v>76</v>
      </c>
      <c r="H898" s="79" t="str">
        <f>IFERROR(_xlfn.XLOOKUP(Table6[[#This Row],[Affected Feeder ]],'Basic Data'!$A:$A,'Basic Data'!$B:$B),"")</f>
        <v>PWEPL</v>
      </c>
      <c r="I898" s="79" t="str">
        <f>IFERROR(_xlfn.XLOOKUP(Table6[[#This Row],[Affected Feeder ]],'Basic Data'!$A:$A,'Basic Data'!$C:$C),"")</f>
        <v>MSEDCL</v>
      </c>
      <c r="J898" s="295">
        <f>IFERROR(_xlfn.XLOOKUP(Table6[[#This Row],[Affected Feeder ]],'Basic Data'!$A:$A,'Basic Data'!$E:$E),"")</f>
        <v>2.2727272727272728E-2</v>
      </c>
      <c r="K898" s="296" t="s">
        <v>171</v>
      </c>
      <c r="L898" s="297">
        <v>0.7055555555555556</v>
      </c>
      <c r="M898" s="297">
        <v>0.7055555555555556</v>
      </c>
      <c r="N898" s="297">
        <v>0.71944444444444444</v>
      </c>
      <c r="O898" s="19">
        <f>(Table6[[#This Row],[Work Start TimeStamp]]-Table6[[#This Row],[Fault Start TimeStamp]])*24</f>
        <v>0</v>
      </c>
      <c r="P898" s="19">
        <f>(Table6[[#This Row],[Fault Clearance time]]-Table6[[#This Row],[Fault Start TimeStamp]])*24</f>
        <v>0.33333333333333215</v>
      </c>
      <c r="Q898" s="19">
        <f>(Table6[[#This Row],[Fault Clearance time]]-Table6[[#This Row],[Fault Start TimeStamp]])*24</f>
        <v>0.33333333333333215</v>
      </c>
      <c r="R898" s="79" t="s">
        <v>353</v>
      </c>
      <c r="S898" s="79" t="s">
        <v>339</v>
      </c>
      <c r="T898" s="298">
        <f>IFERROR(Table6[[#This Row],[Breakdown Time]]*Table6[[#This Row],[Plant Equivalent Weightage]],"")</f>
        <v>7.5757575757575491E-3</v>
      </c>
      <c r="U898" s="79" t="s">
        <v>421</v>
      </c>
      <c r="W898" s="79">
        <v>497</v>
      </c>
    </row>
    <row r="899" spans="1:23">
      <c r="A899" s="79">
        <f t="shared" si="13"/>
        <v>898</v>
      </c>
      <c r="B899" s="79">
        <f>YEAR(Table6[[#This Row],[Date]])+IF(MONTH(Table6[[#This Row],[Date]])&gt;=4,1,0)</f>
        <v>2026</v>
      </c>
      <c r="C899" s="79">
        <f>YEAR(Table6[[#This Row],[Date]])</f>
        <v>2025</v>
      </c>
      <c r="D899" s="79" t="s">
        <v>344</v>
      </c>
      <c r="E899" s="284">
        <f>Table6[[#This Row],[Date]]-DAY(Table6[[#This Row],[Date]])+1</f>
        <v>45809</v>
      </c>
      <c r="F899" s="285">
        <v>45827</v>
      </c>
      <c r="G899" s="79" t="s">
        <v>77</v>
      </c>
      <c r="H899" s="79" t="str">
        <f>IFERROR(_xlfn.XLOOKUP(Table6[[#This Row],[Affected Feeder ]],'Basic Data'!$A:$A,'Basic Data'!$B:$B),"")</f>
        <v>PWEPL</v>
      </c>
      <c r="I899" s="79" t="str">
        <f>IFERROR(_xlfn.XLOOKUP(Table6[[#This Row],[Affected Feeder ]],'Basic Data'!$A:$A,'Basic Data'!$C:$C),"")</f>
        <v>MSEDCL</v>
      </c>
      <c r="J899" s="295">
        <f>IFERROR(_xlfn.XLOOKUP(Table6[[#This Row],[Affected Feeder ]],'Basic Data'!$A:$A,'Basic Data'!$E:$E),"")</f>
        <v>2.2727272727272728E-2</v>
      </c>
      <c r="K899" s="296" t="s">
        <v>171</v>
      </c>
      <c r="L899" s="297">
        <v>0.7055555555555556</v>
      </c>
      <c r="M899" s="297">
        <v>0.7055555555555556</v>
      </c>
      <c r="N899" s="297">
        <v>0.70694444444444438</v>
      </c>
      <c r="O899" s="19">
        <f>(Table6[[#This Row],[Work Start TimeStamp]]-Table6[[#This Row],[Fault Start TimeStamp]])*24</f>
        <v>0</v>
      </c>
      <c r="P899" s="19">
        <f>(Table6[[#This Row],[Fault Clearance time]]-Table6[[#This Row],[Fault Start TimeStamp]])*24</f>
        <v>3.333333333333055E-2</v>
      </c>
      <c r="Q899" s="19">
        <f>(Table6[[#This Row],[Fault Clearance time]]-Table6[[#This Row],[Fault Start TimeStamp]])*24</f>
        <v>3.333333333333055E-2</v>
      </c>
      <c r="R899" s="79" t="s">
        <v>353</v>
      </c>
      <c r="S899" s="79" t="s">
        <v>339</v>
      </c>
      <c r="T899" s="298">
        <f>IFERROR(Table6[[#This Row],[Breakdown Time]]*Table6[[#This Row],[Plant Equivalent Weightage]],"")</f>
        <v>7.5757575757569437E-4</v>
      </c>
      <c r="U899" s="79" t="s">
        <v>421</v>
      </c>
      <c r="W899" s="79">
        <v>49</v>
      </c>
    </row>
    <row r="900" spans="1:23">
      <c r="A900" s="79">
        <f t="shared" ref="A900:A963" si="14">A899+1</f>
        <v>899</v>
      </c>
      <c r="B900" s="79">
        <f>YEAR(Table6[[#This Row],[Date]])+IF(MONTH(Table6[[#This Row],[Date]])&gt;=4,1,0)</f>
        <v>2026</v>
      </c>
      <c r="C900" s="79">
        <f>YEAR(Table6[[#This Row],[Date]])</f>
        <v>2025</v>
      </c>
      <c r="D900" s="79" t="s">
        <v>344</v>
      </c>
      <c r="E900" s="284">
        <f>Table6[[#This Row],[Date]]-DAY(Table6[[#This Row],[Date]])+1</f>
        <v>45809</v>
      </c>
      <c r="F900" s="285">
        <v>45827</v>
      </c>
      <c r="G900" s="79" t="s">
        <v>78</v>
      </c>
      <c r="H900" s="79" t="str">
        <f>IFERROR(_xlfn.XLOOKUP(Table6[[#This Row],[Affected Feeder ]],'Basic Data'!$A:$A,'Basic Data'!$B:$B),"")</f>
        <v>PWEPL</v>
      </c>
      <c r="I900" s="79" t="str">
        <f>IFERROR(_xlfn.XLOOKUP(Table6[[#This Row],[Affected Feeder ]],'Basic Data'!$A:$A,'Basic Data'!$C:$C),"")</f>
        <v>MSEDCL</v>
      </c>
      <c r="J900" s="295">
        <f>IFERROR(_xlfn.XLOOKUP(Table6[[#This Row],[Affected Feeder ]],'Basic Data'!$A:$A,'Basic Data'!$E:$E),"")</f>
        <v>2.2727272727272728E-2</v>
      </c>
      <c r="K900" s="296" t="s">
        <v>171</v>
      </c>
      <c r="L900" s="297">
        <v>0.7055555555555556</v>
      </c>
      <c r="M900" s="297">
        <v>0.7055555555555556</v>
      </c>
      <c r="N900" s="297">
        <v>0.71944444444444444</v>
      </c>
      <c r="O900" s="19">
        <f>(Table6[[#This Row],[Work Start TimeStamp]]-Table6[[#This Row],[Fault Start TimeStamp]])*24</f>
        <v>0</v>
      </c>
      <c r="P900" s="19">
        <f>(Table6[[#This Row],[Fault Clearance time]]-Table6[[#This Row],[Fault Start TimeStamp]])*24</f>
        <v>0.33333333333333215</v>
      </c>
      <c r="Q900" s="19">
        <f>(Table6[[#This Row],[Fault Clearance time]]-Table6[[#This Row],[Fault Start TimeStamp]])*24</f>
        <v>0.33333333333333215</v>
      </c>
      <c r="R900" s="79" t="s">
        <v>353</v>
      </c>
      <c r="S900" s="79" t="s">
        <v>339</v>
      </c>
      <c r="T900" s="298">
        <f>IFERROR(Table6[[#This Row],[Breakdown Time]]*Table6[[#This Row],[Plant Equivalent Weightage]],"")</f>
        <v>7.5757575757575491E-3</v>
      </c>
      <c r="U900" s="79" t="s">
        <v>421</v>
      </c>
      <c r="W900" s="79">
        <v>497</v>
      </c>
    </row>
    <row r="901" spans="1:23">
      <c r="A901" s="79">
        <f t="shared" si="14"/>
        <v>900</v>
      </c>
      <c r="B901" s="79">
        <f>YEAR(Table6[[#This Row],[Date]])+IF(MONTH(Table6[[#This Row],[Date]])&gt;=4,1,0)</f>
        <v>2026</v>
      </c>
      <c r="C901" s="79">
        <f>YEAR(Table6[[#This Row],[Date]])</f>
        <v>2025</v>
      </c>
      <c r="D901" s="79" t="s">
        <v>344</v>
      </c>
      <c r="E901" s="284">
        <f>Table6[[#This Row],[Date]]-DAY(Table6[[#This Row],[Date]])+1</f>
        <v>45809</v>
      </c>
      <c r="F901" s="285">
        <v>45827</v>
      </c>
      <c r="G901" s="79" t="s">
        <v>82</v>
      </c>
      <c r="H901" s="79" t="str">
        <f>IFERROR(_xlfn.XLOOKUP(Table6[[#This Row],[Affected Feeder ]],'Basic Data'!$A:$A,'Basic Data'!$B:$B),"")</f>
        <v>PWEPL</v>
      </c>
      <c r="I901" s="79" t="str">
        <f>IFERROR(_xlfn.XLOOKUP(Table6[[#This Row],[Affected Feeder ]],'Basic Data'!$A:$A,'Basic Data'!$C:$C),"")</f>
        <v>MSEDCL</v>
      </c>
      <c r="J901" s="295">
        <f>IFERROR(_xlfn.XLOOKUP(Table6[[#This Row],[Affected Feeder ]],'Basic Data'!$A:$A,'Basic Data'!$E:$E),"")</f>
        <v>2.2727272727272728E-2</v>
      </c>
      <c r="K901" s="296" t="s">
        <v>171</v>
      </c>
      <c r="L901" s="297">
        <v>0.7055555555555556</v>
      </c>
      <c r="M901" s="297">
        <v>0.7055555555555556</v>
      </c>
      <c r="N901" s="297">
        <v>0.71944444444444444</v>
      </c>
      <c r="O901" s="19">
        <f>(Table6[[#This Row],[Work Start TimeStamp]]-Table6[[#This Row],[Fault Start TimeStamp]])*24</f>
        <v>0</v>
      </c>
      <c r="P901" s="19">
        <f>(Table6[[#This Row],[Fault Clearance time]]-Table6[[#This Row],[Fault Start TimeStamp]])*24</f>
        <v>0.33333333333333215</v>
      </c>
      <c r="Q901" s="19">
        <f>(Table6[[#This Row],[Fault Clearance time]]-Table6[[#This Row],[Fault Start TimeStamp]])*24</f>
        <v>0.33333333333333215</v>
      </c>
      <c r="R901" s="79" t="s">
        <v>353</v>
      </c>
      <c r="S901" s="79" t="s">
        <v>339</v>
      </c>
      <c r="T901" s="298">
        <f>IFERROR(Table6[[#This Row],[Breakdown Time]]*Table6[[#This Row],[Plant Equivalent Weightage]],"")</f>
        <v>7.5757575757575491E-3</v>
      </c>
      <c r="U901" s="79" t="s">
        <v>421</v>
      </c>
      <c r="W901" s="79">
        <v>497</v>
      </c>
    </row>
    <row r="902" spans="1:23">
      <c r="A902" s="79">
        <f t="shared" si="14"/>
        <v>901</v>
      </c>
      <c r="B902" s="79">
        <f>YEAR(Table6[[#This Row],[Date]])+IF(MONTH(Table6[[#This Row],[Date]])&gt;=4,1,0)</f>
        <v>2026</v>
      </c>
      <c r="C902" s="79">
        <f>YEAR(Table6[[#This Row],[Date]])</f>
        <v>2025</v>
      </c>
      <c r="D902" s="79" t="s">
        <v>344</v>
      </c>
      <c r="E902" s="284">
        <f>Table6[[#This Row],[Date]]-DAY(Table6[[#This Row],[Date]])+1</f>
        <v>45809</v>
      </c>
      <c r="F902" s="285">
        <v>45827</v>
      </c>
      <c r="G902" s="79" t="s">
        <v>93</v>
      </c>
      <c r="H902" s="79" t="str">
        <f>IFERROR(_xlfn.XLOOKUP(Table6[[#This Row],[Affected Feeder ]],'Basic Data'!$A:$A,'Basic Data'!$B:$B),"")</f>
        <v>PWEPL</v>
      </c>
      <c r="I902" s="79" t="str">
        <f>IFERROR(_xlfn.XLOOKUP(Table6[[#This Row],[Affected Feeder ]],'Basic Data'!$A:$A,'Basic Data'!$C:$C),"")</f>
        <v>MSEDCL</v>
      </c>
      <c r="J902" s="295">
        <f>IFERROR(_xlfn.XLOOKUP(Table6[[#This Row],[Affected Feeder ]],'Basic Data'!$A:$A,'Basic Data'!$E:$E),"")</f>
        <v>2.2727272727272728E-2</v>
      </c>
      <c r="K902" s="296" t="s">
        <v>171</v>
      </c>
      <c r="L902" s="297">
        <v>0.7055555555555556</v>
      </c>
      <c r="M902" s="297">
        <v>0.7055555555555556</v>
      </c>
      <c r="N902" s="297">
        <v>0.71944444444444444</v>
      </c>
      <c r="O902" s="19">
        <f>(Table6[[#This Row],[Work Start TimeStamp]]-Table6[[#This Row],[Fault Start TimeStamp]])*24</f>
        <v>0</v>
      </c>
      <c r="P902" s="19">
        <f>(Table6[[#This Row],[Fault Clearance time]]-Table6[[#This Row],[Fault Start TimeStamp]])*24</f>
        <v>0.33333333333333215</v>
      </c>
      <c r="Q902" s="19">
        <f>(Table6[[#This Row],[Fault Clearance time]]-Table6[[#This Row],[Fault Start TimeStamp]])*24</f>
        <v>0.33333333333333215</v>
      </c>
      <c r="R902" s="79" t="s">
        <v>353</v>
      </c>
      <c r="S902" s="79" t="s">
        <v>339</v>
      </c>
      <c r="T902" s="298">
        <f>IFERROR(Table6[[#This Row],[Breakdown Time]]*Table6[[#This Row],[Plant Equivalent Weightage]],"")</f>
        <v>7.5757575757575491E-3</v>
      </c>
      <c r="U902" s="79" t="s">
        <v>421</v>
      </c>
      <c r="W902" s="79">
        <v>497</v>
      </c>
    </row>
    <row r="903" spans="1:23">
      <c r="A903" s="79">
        <f t="shared" si="14"/>
        <v>902</v>
      </c>
      <c r="B903" s="79">
        <f>YEAR(Table6[[#This Row],[Date]])+IF(MONTH(Table6[[#This Row],[Date]])&gt;=4,1,0)</f>
        <v>2026</v>
      </c>
      <c r="C903" s="79">
        <f>YEAR(Table6[[#This Row],[Date]])</f>
        <v>2025</v>
      </c>
      <c r="D903" s="79" t="s">
        <v>344</v>
      </c>
      <c r="E903" s="284">
        <f>Table6[[#This Row],[Date]]-DAY(Table6[[#This Row],[Date]])+1</f>
        <v>45809</v>
      </c>
      <c r="F903" s="285">
        <v>45827</v>
      </c>
      <c r="G903" s="79" t="s">
        <v>102</v>
      </c>
      <c r="H903" s="79" t="str">
        <f>IFERROR(_xlfn.XLOOKUP(Table6[[#This Row],[Affected Feeder ]],'Basic Data'!$A:$A,'Basic Data'!$B:$B),"")</f>
        <v>PWEPL</v>
      </c>
      <c r="I903" s="79" t="str">
        <f>IFERROR(_xlfn.XLOOKUP(Table6[[#This Row],[Affected Feeder ]],'Basic Data'!$A:$A,'Basic Data'!$C:$C),"")</f>
        <v>MSEDCL</v>
      </c>
      <c r="J903" s="295">
        <f>IFERROR(_xlfn.XLOOKUP(Table6[[#This Row],[Affected Feeder ]],'Basic Data'!$A:$A,'Basic Data'!$E:$E),"")</f>
        <v>2.2727272727272728E-2</v>
      </c>
      <c r="K903" s="296" t="s">
        <v>171</v>
      </c>
      <c r="L903" s="297">
        <v>0.7055555555555556</v>
      </c>
      <c r="M903" s="297">
        <v>0.7055555555555556</v>
      </c>
      <c r="N903" s="297">
        <v>0.71944444444444444</v>
      </c>
      <c r="O903" s="19">
        <f>(Table6[[#This Row],[Work Start TimeStamp]]-Table6[[#This Row],[Fault Start TimeStamp]])*24</f>
        <v>0</v>
      </c>
      <c r="P903" s="19">
        <f>(Table6[[#This Row],[Fault Clearance time]]-Table6[[#This Row],[Fault Start TimeStamp]])*24</f>
        <v>0.33333333333333215</v>
      </c>
      <c r="Q903" s="19">
        <f>(Table6[[#This Row],[Fault Clearance time]]-Table6[[#This Row],[Fault Start TimeStamp]])*24</f>
        <v>0.33333333333333215</v>
      </c>
      <c r="R903" s="79" t="s">
        <v>353</v>
      </c>
      <c r="S903" s="79" t="s">
        <v>339</v>
      </c>
      <c r="T903" s="298">
        <f>IFERROR(Table6[[#This Row],[Breakdown Time]]*Table6[[#This Row],[Plant Equivalent Weightage]],"")</f>
        <v>7.5757575757575491E-3</v>
      </c>
      <c r="U903" s="79" t="s">
        <v>421</v>
      </c>
      <c r="W903" s="79">
        <v>497</v>
      </c>
    </row>
    <row r="904" spans="1:23">
      <c r="A904" s="79">
        <f t="shared" si="14"/>
        <v>903</v>
      </c>
      <c r="B904" s="79">
        <f>YEAR(Table6[[#This Row],[Date]])+IF(MONTH(Table6[[#This Row],[Date]])&gt;=4,1,0)</f>
        <v>2026</v>
      </c>
      <c r="C904" s="79">
        <f>YEAR(Table6[[#This Row],[Date]])</f>
        <v>2025</v>
      </c>
      <c r="D904" s="79" t="s">
        <v>344</v>
      </c>
      <c r="E904" s="284">
        <f>Table6[[#This Row],[Date]]-DAY(Table6[[#This Row],[Date]])+1</f>
        <v>45809</v>
      </c>
      <c r="F904" s="285">
        <v>45827</v>
      </c>
      <c r="G904" s="79" t="s">
        <v>119</v>
      </c>
      <c r="H904" s="79" t="str">
        <f>IFERROR(_xlfn.XLOOKUP(Table6[[#This Row],[Affected Feeder ]],'Basic Data'!$A:$A,'Basic Data'!$B:$B),"")</f>
        <v>PWEPL</v>
      </c>
      <c r="I904" s="79" t="str">
        <f>IFERROR(_xlfn.XLOOKUP(Table6[[#This Row],[Affected Feeder ]],'Basic Data'!$A:$A,'Basic Data'!$C:$C),"")</f>
        <v>MSEDCL</v>
      </c>
      <c r="J904" s="295">
        <f>IFERROR(_xlfn.XLOOKUP(Table6[[#This Row],[Affected Feeder ]],'Basic Data'!$A:$A,'Basic Data'!$E:$E),"")</f>
        <v>2.2727272727272728E-2</v>
      </c>
      <c r="K904" s="296" t="s">
        <v>171</v>
      </c>
      <c r="L904" s="297">
        <v>0.7055555555555556</v>
      </c>
      <c r="M904" s="297">
        <v>0.7055555555555556</v>
      </c>
      <c r="N904" s="297">
        <v>0.71944444444444444</v>
      </c>
      <c r="O904" s="19">
        <f>(Table6[[#This Row],[Work Start TimeStamp]]-Table6[[#This Row],[Fault Start TimeStamp]])*24</f>
        <v>0</v>
      </c>
      <c r="P904" s="19">
        <f>(Table6[[#This Row],[Fault Clearance time]]-Table6[[#This Row],[Fault Start TimeStamp]])*24</f>
        <v>0.33333333333333215</v>
      </c>
      <c r="Q904" s="19">
        <f>(Table6[[#This Row],[Fault Clearance time]]-Table6[[#This Row],[Fault Start TimeStamp]])*24</f>
        <v>0.33333333333333215</v>
      </c>
      <c r="R904" s="79" t="s">
        <v>353</v>
      </c>
      <c r="S904" s="79" t="s">
        <v>339</v>
      </c>
      <c r="T904" s="298">
        <f>IFERROR(Table6[[#This Row],[Breakdown Time]]*Table6[[#This Row],[Plant Equivalent Weightage]],"")</f>
        <v>7.5757575757575491E-3</v>
      </c>
      <c r="U904" s="79" t="s">
        <v>421</v>
      </c>
      <c r="W904" s="79">
        <v>497</v>
      </c>
    </row>
    <row r="905" spans="1:23">
      <c r="A905" s="79">
        <f t="shared" si="14"/>
        <v>904</v>
      </c>
      <c r="B905" s="79">
        <f>YEAR(Table6[[#This Row],[Date]])+IF(MONTH(Table6[[#This Row],[Date]])&gt;=4,1,0)</f>
        <v>2026</v>
      </c>
      <c r="C905" s="79">
        <f>YEAR(Table6[[#This Row],[Date]])</f>
        <v>2025</v>
      </c>
      <c r="D905" s="79" t="s">
        <v>344</v>
      </c>
      <c r="E905" s="284">
        <f>Table6[[#This Row],[Date]]-DAY(Table6[[#This Row],[Date]])+1</f>
        <v>45809</v>
      </c>
      <c r="F905" s="285">
        <v>45827</v>
      </c>
      <c r="G905" s="79" t="s">
        <v>103</v>
      </c>
      <c r="H905" s="79" t="str">
        <f>IFERROR(_xlfn.XLOOKUP(Table6[[#This Row],[Affected Feeder ]],'Basic Data'!$A:$A,'Basic Data'!$B:$B),"")</f>
        <v>PWEPL</v>
      </c>
      <c r="I905" s="79" t="str">
        <f>IFERROR(_xlfn.XLOOKUP(Table6[[#This Row],[Affected Feeder ]],'Basic Data'!$A:$A,'Basic Data'!$C:$C),"")</f>
        <v>MSEDCL</v>
      </c>
      <c r="J905" s="295">
        <f>IFERROR(_xlfn.XLOOKUP(Table6[[#This Row],[Affected Feeder ]],'Basic Data'!$A:$A,'Basic Data'!$E:$E),"")</f>
        <v>2.2727272727272728E-2</v>
      </c>
      <c r="K905" s="296" t="s">
        <v>171</v>
      </c>
      <c r="L905" s="297">
        <v>0.7055555555555556</v>
      </c>
      <c r="M905" s="297">
        <v>0.7055555555555556</v>
      </c>
      <c r="N905" s="297">
        <v>0.71944444444444444</v>
      </c>
      <c r="O905" s="19">
        <f>(Table6[[#This Row],[Work Start TimeStamp]]-Table6[[#This Row],[Fault Start TimeStamp]])*24</f>
        <v>0</v>
      </c>
      <c r="P905" s="19">
        <f>(Table6[[#This Row],[Fault Clearance time]]-Table6[[#This Row],[Fault Start TimeStamp]])*24</f>
        <v>0.33333333333333215</v>
      </c>
      <c r="Q905" s="19">
        <f>(Table6[[#This Row],[Fault Clearance time]]-Table6[[#This Row],[Fault Start TimeStamp]])*24</f>
        <v>0.33333333333333215</v>
      </c>
      <c r="R905" s="79" t="s">
        <v>353</v>
      </c>
      <c r="S905" s="79" t="s">
        <v>339</v>
      </c>
      <c r="T905" s="298">
        <f>IFERROR(Table6[[#This Row],[Breakdown Time]]*Table6[[#This Row],[Plant Equivalent Weightage]],"")</f>
        <v>7.5757575757575491E-3</v>
      </c>
      <c r="U905" s="79" t="s">
        <v>421</v>
      </c>
      <c r="W905" s="79">
        <v>497</v>
      </c>
    </row>
    <row r="906" spans="1:23">
      <c r="A906" s="79">
        <f t="shared" si="14"/>
        <v>905</v>
      </c>
      <c r="B906" s="79">
        <f>YEAR(Table6[[#This Row],[Date]])+IF(MONTH(Table6[[#This Row],[Date]])&gt;=4,1,0)</f>
        <v>2026</v>
      </c>
      <c r="C906" s="79">
        <f>YEAR(Table6[[#This Row],[Date]])</f>
        <v>2025</v>
      </c>
      <c r="D906" s="79" t="s">
        <v>344</v>
      </c>
      <c r="E906" s="284">
        <f>Table6[[#This Row],[Date]]-DAY(Table6[[#This Row],[Date]])+1</f>
        <v>45809</v>
      </c>
      <c r="F906" s="285">
        <v>45827</v>
      </c>
      <c r="G906" s="79" t="s">
        <v>105</v>
      </c>
      <c r="H906" s="79" t="str">
        <f>IFERROR(_xlfn.XLOOKUP(Table6[[#This Row],[Affected Feeder ]],'Basic Data'!$A:$A,'Basic Data'!$B:$B),"")</f>
        <v>PWEPL</v>
      </c>
      <c r="I906" s="79" t="str">
        <f>IFERROR(_xlfn.XLOOKUP(Table6[[#This Row],[Affected Feeder ]],'Basic Data'!$A:$A,'Basic Data'!$C:$C),"")</f>
        <v>MSEDCL</v>
      </c>
      <c r="J906" s="295">
        <f>IFERROR(_xlfn.XLOOKUP(Table6[[#This Row],[Affected Feeder ]],'Basic Data'!$A:$A,'Basic Data'!$E:$E),"")</f>
        <v>2.2727272727272728E-2</v>
      </c>
      <c r="K906" s="296" t="s">
        <v>171</v>
      </c>
      <c r="L906" s="297">
        <v>0.7055555555555556</v>
      </c>
      <c r="M906" s="297">
        <v>0.7055555555555556</v>
      </c>
      <c r="N906" s="297">
        <v>0.71944444444444444</v>
      </c>
      <c r="O906" s="19">
        <f>(Table6[[#This Row],[Work Start TimeStamp]]-Table6[[#This Row],[Fault Start TimeStamp]])*24</f>
        <v>0</v>
      </c>
      <c r="P906" s="19">
        <f>(Table6[[#This Row],[Fault Clearance time]]-Table6[[#This Row],[Fault Start TimeStamp]])*24</f>
        <v>0.33333333333333215</v>
      </c>
      <c r="Q906" s="19">
        <f>(Table6[[#This Row],[Fault Clearance time]]-Table6[[#This Row],[Fault Start TimeStamp]])*24</f>
        <v>0.33333333333333215</v>
      </c>
      <c r="R906" s="79" t="s">
        <v>353</v>
      </c>
      <c r="S906" s="79" t="s">
        <v>339</v>
      </c>
      <c r="T906" s="298">
        <f>IFERROR(Table6[[#This Row],[Breakdown Time]]*Table6[[#This Row],[Plant Equivalent Weightage]],"")</f>
        <v>7.5757575757575491E-3</v>
      </c>
      <c r="U906" s="79" t="s">
        <v>421</v>
      </c>
      <c r="W906" s="79">
        <v>497</v>
      </c>
    </row>
    <row r="907" spans="1:23">
      <c r="A907" s="79">
        <f t="shared" si="14"/>
        <v>906</v>
      </c>
      <c r="B907" s="79">
        <f>YEAR(Table6[[#This Row],[Date]])+IF(MONTH(Table6[[#This Row],[Date]])&gt;=4,1,0)</f>
        <v>2026</v>
      </c>
      <c r="C907" s="79">
        <f>YEAR(Table6[[#This Row],[Date]])</f>
        <v>2025</v>
      </c>
      <c r="D907" s="79" t="s">
        <v>344</v>
      </c>
      <c r="E907" s="284">
        <f>Table6[[#This Row],[Date]]-DAY(Table6[[#This Row],[Date]])+1</f>
        <v>45809</v>
      </c>
      <c r="F907" s="285">
        <v>45827</v>
      </c>
      <c r="G907" s="79" t="s">
        <v>115</v>
      </c>
      <c r="H907" s="79" t="str">
        <f>IFERROR(_xlfn.XLOOKUP(Table6[[#This Row],[Affected Feeder ]],'Basic Data'!$A:$A,'Basic Data'!$B:$B),"")</f>
        <v>PWEPL</v>
      </c>
      <c r="I907" s="79" t="str">
        <f>IFERROR(_xlfn.XLOOKUP(Table6[[#This Row],[Affected Feeder ]],'Basic Data'!$A:$A,'Basic Data'!$C:$C),"")</f>
        <v>MSEDCL</v>
      </c>
      <c r="J907" s="295">
        <f>IFERROR(_xlfn.XLOOKUP(Table6[[#This Row],[Affected Feeder ]],'Basic Data'!$A:$A,'Basic Data'!$E:$E),"")</f>
        <v>2.2727272727272728E-2</v>
      </c>
      <c r="K907" s="296" t="s">
        <v>171</v>
      </c>
      <c r="L907" s="297">
        <v>0.7055555555555556</v>
      </c>
      <c r="M907" s="297">
        <v>0.7055555555555556</v>
      </c>
      <c r="N907" s="297">
        <v>0.71944444444444444</v>
      </c>
      <c r="O907" s="19">
        <f>(Table6[[#This Row],[Work Start TimeStamp]]-Table6[[#This Row],[Fault Start TimeStamp]])*24</f>
        <v>0</v>
      </c>
      <c r="P907" s="19">
        <f>(Table6[[#This Row],[Fault Clearance time]]-Table6[[#This Row],[Fault Start TimeStamp]])*24</f>
        <v>0.33333333333333215</v>
      </c>
      <c r="Q907" s="19">
        <f>(Table6[[#This Row],[Fault Clearance time]]-Table6[[#This Row],[Fault Start TimeStamp]])*24</f>
        <v>0.33333333333333215</v>
      </c>
      <c r="R907" s="79" t="s">
        <v>353</v>
      </c>
      <c r="S907" s="79" t="s">
        <v>339</v>
      </c>
      <c r="T907" s="298">
        <f>IFERROR(Table6[[#This Row],[Breakdown Time]]*Table6[[#This Row],[Plant Equivalent Weightage]],"")</f>
        <v>7.5757575757575491E-3</v>
      </c>
      <c r="U907" s="79" t="s">
        <v>421</v>
      </c>
      <c r="W907" s="79">
        <v>497</v>
      </c>
    </row>
    <row r="908" spans="1:23">
      <c r="A908" s="79">
        <f t="shared" si="14"/>
        <v>907</v>
      </c>
      <c r="B908" s="79">
        <f>YEAR(Table6[[#This Row],[Date]])+IF(MONTH(Table6[[#This Row],[Date]])&gt;=4,1,0)</f>
        <v>2026</v>
      </c>
      <c r="C908" s="79">
        <f>YEAR(Table6[[#This Row],[Date]])</f>
        <v>2025</v>
      </c>
      <c r="D908" s="79" t="s">
        <v>344</v>
      </c>
      <c r="E908" s="284">
        <f>Table6[[#This Row],[Date]]-DAY(Table6[[#This Row],[Date]])+1</f>
        <v>45809</v>
      </c>
      <c r="F908" s="285">
        <v>45827</v>
      </c>
      <c r="G908" s="79" t="s">
        <v>116</v>
      </c>
      <c r="H908" s="79" t="str">
        <f>IFERROR(_xlfn.XLOOKUP(Table6[[#This Row],[Affected Feeder ]],'Basic Data'!$A:$A,'Basic Data'!$B:$B),"")</f>
        <v>PWEPL</v>
      </c>
      <c r="I908" s="79" t="str">
        <f>IFERROR(_xlfn.XLOOKUP(Table6[[#This Row],[Affected Feeder ]],'Basic Data'!$A:$A,'Basic Data'!$C:$C),"")</f>
        <v>MSEDCL</v>
      </c>
      <c r="J908" s="295">
        <f>IFERROR(_xlfn.XLOOKUP(Table6[[#This Row],[Affected Feeder ]],'Basic Data'!$A:$A,'Basic Data'!$E:$E),"")</f>
        <v>2.2727272727272728E-2</v>
      </c>
      <c r="K908" s="296" t="s">
        <v>171</v>
      </c>
      <c r="L908" s="297">
        <v>0.7055555555555556</v>
      </c>
      <c r="M908" s="297">
        <v>0.7055555555555556</v>
      </c>
      <c r="N908" s="297">
        <v>0.71944444444444444</v>
      </c>
      <c r="O908" s="19">
        <f>(Table6[[#This Row],[Work Start TimeStamp]]-Table6[[#This Row],[Fault Start TimeStamp]])*24</f>
        <v>0</v>
      </c>
      <c r="P908" s="19">
        <f>(Table6[[#This Row],[Fault Clearance time]]-Table6[[#This Row],[Fault Start TimeStamp]])*24</f>
        <v>0.33333333333333215</v>
      </c>
      <c r="Q908" s="19">
        <f>(Table6[[#This Row],[Fault Clearance time]]-Table6[[#This Row],[Fault Start TimeStamp]])*24</f>
        <v>0.33333333333333215</v>
      </c>
      <c r="R908" s="79" t="s">
        <v>353</v>
      </c>
      <c r="S908" s="79" t="s">
        <v>339</v>
      </c>
      <c r="T908" s="298">
        <f>IFERROR(Table6[[#This Row],[Breakdown Time]]*Table6[[#This Row],[Plant Equivalent Weightage]],"")</f>
        <v>7.5757575757575491E-3</v>
      </c>
      <c r="U908" s="79" t="s">
        <v>421</v>
      </c>
      <c r="W908" s="79">
        <v>497</v>
      </c>
    </row>
    <row r="909" spans="1:23">
      <c r="A909" s="79">
        <f t="shared" si="14"/>
        <v>908</v>
      </c>
      <c r="B909" s="79">
        <f>YEAR(Table6[[#This Row],[Date]])+IF(MONTH(Table6[[#This Row],[Date]])&gt;=4,1,0)</f>
        <v>2026</v>
      </c>
      <c r="C909" s="79">
        <f>YEAR(Table6[[#This Row],[Date]])</f>
        <v>2025</v>
      </c>
      <c r="D909" s="79" t="s">
        <v>344</v>
      </c>
      <c r="E909" s="284">
        <f>Table6[[#This Row],[Date]]-DAY(Table6[[#This Row],[Date]])+1</f>
        <v>45809</v>
      </c>
      <c r="F909" s="285">
        <v>45827</v>
      </c>
      <c r="G909" s="79" t="s">
        <v>117</v>
      </c>
      <c r="H909" s="79" t="str">
        <f>IFERROR(_xlfn.XLOOKUP(Table6[[#This Row],[Affected Feeder ]],'Basic Data'!$A:$A,'Basic Data'!$B:$B),"")</f>
        <v>PWEPL</v>
      </c>
      <c r="I909" s="79" t="str">
        <f>IFERROR(_xlfn.XLOOKUP(Table6[[#This Row],[Affected Feeder ]],'Basic Data'!$A:$A,'Basic Data'!$C:$C),"")</f>
        <v>MSEDCL</v>
      </c>
      <c r="J909" s="295">
        <f>IFERROR(_xlfn.XLOOKUP(Table6[[#This Row],[Affected Feeder ]],'Basic Data'!$A:$A,'Basic Data'!$E:$E),"")</f>
        <v>2.2727272727272728E-2</v>
      </c>
      <c r="K909" s="296" t="s">
        <v>171</v>
      </c>
      <c r="L909" s="297">
        <v>0.7055555555555556</v>
      </c>
      <c r="M909" s="297">
        <v>0.7055555555555556</v>
      </c>
      <c r="N909" s="297">
        <v>0.71944444444444444</v>
      </c>
      <c r="O909" s="19">
        <f>(Table6[[#This Row],[Work Start TimeStamp]]-Table6[[#This Row],[Fault Start TimeStamp]])*24</f>
        <v>0</v>
      </c>
      <c r="P909" s="19">
        <f>(Table6[[#This Row],[Fault Clearance time]]-Table6[[#This Row],[Fault Start TimeStamp]])*24</f>
        <v>0.33333333333333215</v>
      </c>
      <c r="Q909" s="19">
        <f>(Table6[[#This Row],[Fault Clearance time]]-Table6[[#This Row],[Fault Start TimeStamp]])*24</f>
        <v>0.33333333333333215</v>
      </c>
      <c r="R909" s="79" t="s">
        <v>353</v>
      </c>
      <c r="S909" s="79" t="s">
        <v>339</v>
      </c>
      <c r="T909" s="298">
        <f>IFERROR(Table6[[#This Row],[Breakdown Time]]*Table6[[#This Row],[Plant Equivalent Weightage]],"")</f>
        <v>7.5757575757575491E-3</v>
      </c>
      <c r="U909" s="79" t="s">
        <v>421</v>
      </c>
      <c r="W909" s="79">
        <v>497</v>
      </c>
    </row>
    <row r="910" spans="1:23">
      <c r="A910" s="79">
        <f t="shared" si="14"/>
        <v>909</v>
      </c>
      <c r="B910" s="79">
        <f>YEAR(Table6[[#This Row],[Date]])+IF(MONTH(Table6[[#This Row],[Date]])&gt;=4,1,0)</f>
        <v>2026</v>
      </c>
      <c r="C910" s="79">
        <f>YEAR(Table6[[#This Row],[Date]])</f>
        <v>2025</v>
      </c>
      <c r="D910" s="79" t="s">
        <v>344</v>
      </c>
      <c r="E910" s="284">
        <f>Table6[[#This Row],[Date]]-DAY(Table6[[#This Row],[Date]])+1</f>
        <v>45809</v>
      </c>
      <c r="F910" s="285">
        <v>45827</v>
      </c>
      <c r="G910" s="79" t="s">
        <v>118</v>
      </c>
      <c r="H910" s="79" t="str">
        <f>IFERROR(_xlfn.XLOOKUP(Table6[[#This Row],[Affected Feeder ]],'Basic Data'!$A:$A,'Basic Data'!$B:$B),"")</f>
        <v>PWEPL</v>
      </c>
      <c r="I910" s="79" t="str">
        <f>IFERROR(_xlfn.XLOOKUP(Table6[[#This Row],[Affected Feeder ]],'Basic Data'!$A:$A,'Basic Data'!$C:$C),"")</f>
        <v>MSEDCL</v>
      </c>
      <c r="J910" s="295">
        <f>IFERROR(_xlfn.XLOOKUP(Table6[[#This Row],[Affected Feeder ]],'Basic Data'!$A:$A,'Basic Data'!$E:$E),"")</f>
        <v>2.2727272727272728E-2</v>
      </c>
      <c r="K910" s="296" t="s">
        <v>171</v>
      </c>
      <c r="L910" s="297">
        <v>0.7055555555555556</v>
      </c>
      <c r="M910" s="297">
        <v>0.7055555555555556</v>
      </c>
      <c r="N910" s="297">
        <v>0.71944444444444444</v>
      </c>
      <c r="O910" s="19">
        <f>(Table6[[#This Row],[Work Start TimeStamp]]-Table6[[#This Row],[Fault Start TimeStamp]])*24</f>
        <v>0</v>
      </c>
      <c r="P910" s="19">
        <f>(Table6[[#This Row],[Fault Clearance time]]-Table6[[#This Row],[Fault Start TimeStamp]])*24</f>
        <v>0.33333333333333215</v>
      </c>
      <c r="Q910" s="19">
        <f>(Table6[[#This Row],[Fault Clearance time]]-Table6[[#This Row],[Fault Start TimeStamp]])*24</f>
        <v>0.33333333333333215</v>
      </c>
      <c r="R910" s="79" t="s">
        <v>353</v>
      </c>
      <c r="S910" s="79" t="s">
        <v>339</v>
      </c>
      <c r="T910" s="298">
        <f>IFERROR(Table6[[#This Row],[Breakdown Time]]*Table6[[#This Row],[Plant Equivalent Weightage]],"")</f>
        <v>7.5757575757575491E-3</v>
      </c>
      <c r="U910" s="79" t="s">
        <v>421</v>
      </c>
      <c r="W910" s="79">
        <v>497</v>
      </c>
    </row>
    <row r="911" spans="1:23">
      <c r="A911" s="79">
        <f t="shared" si="14"/>
        <v>910</v>
      </c>
      <c r="B911" s="79">
        <f>YEAR(Table6[[#This Row],[Date]])+IF(MONTH(Table6[[#This Row],[Date]])&gt;=4,1,0)</f>
        <v>2026</v>
      </c>
      <c r="C911" s="79">
        <f>YEAR(Table6[[#This Row],[Date]])</f>
        <v>2025</v>
      </c>
      <c r="D911" s="79" t="s">
        <v>344</v>
      </c>
      <c r="E911" s="284">
        <f>Table6[[#This Row],[Date]]-DAY(Table6[[#This Row],[Date]])+1</f>
        <v>45809</v>
      </c>
      <c r="F911" s="285">
        <v>45827</v>
      </c>
      <c r="G911" s="79" t="s">
        <v>103</v>
      </c>
      <c r="H911" s="79" t="str">
        <f>IFERROR(_xlfn.XLOOKUP(Table6[[#This Row],[Affected Feeder ]],'Basic Data'!$A:$A,'Basic Data'!$B:$B),"")</f>
        <v>PWEPL</v>
      </c>
      <c r="I911" s="79" t="str">
        <f>IFERROR(_xlfn.XLOOKUP(Table6[[#This Row],[Affected Feeder ]],'Basic Data'!$A:$A,'Basic Data'!$C:$C),"")</f>
        <v>MSEDCL</v>
      </c>
      <c r="J911" s="295">
        <f>IFERROR(_xlfn.XLOOKUP(Table6[[#This Row],[Affected Feeder ]],'Basic Data'!$A:$A,'Basic Data'!$E:$E),"")</f>
        <v>2.2727272727272728E-2</v>
      </c>
      <c r="K911" s="296" t="s">
        <v>796</v>
      </c>
      <c r="L911" s="297">
        <v>0.23402777777777781</v>
      </c>
      <c r="M911" s="297">
        <v>0.23402777777777781</v>
      </c>
      <c r="N911" s="297">
        <v>0.3034722222222222</v>
      </c>
      <c r="O911" s="19">
        <f>(Table6[[#This Row],[Work Start TimeStamp]]-Table6[[#This Row],[Fault Start TimeStamp]])*24</f>
        <v>0</v>
      </c>
      <c r="P911" s="19">
        <f>(Table6[[#This Row],[Fault Clearance time]]-Table6[[#This Row],[Fault Start TimeStamp]])*24</f>
        <v>1.6666666666666654</v>
      </c>
      <c r="Q911" s="19">
        <f>(Table6[[#This Row],[Fault Clearance time]]-Table6[[#This Row],[Fault Start TimeStamp]])*24</f>
        <v>1.6666666666666654</v>
      </c>
      <c r="R911" s="79" t="s">
        <v>424</v>
      </c>
      <c r="S911" s="79" t="s">
        <v>339</v>
      </c>
      <c r="T911" s="298">
        <f>IFERROR(Table6[[#This Row],[Breakdown Time]]*Table6[[#This Row],[Plant Equivalent Weightage]],"")</f>
        <v>3.7878787878787852E-2</v>
      </c>
      <c r="U911" s="79" t="s">
        <v>421</v>
      </c>
      <c r="W911" s="79">
        <v>0</v>
      </c>
    </row>
    <row r="912" spans="1:23">
      <c r="A912" s="79">
        <f t="shared" si="14"/>
        <v>911</v>
      </c>
      <c r="B912" s="79">
        <f>YEAR(Table6[[#This Row],[Date]])+IF(MONTH(Table6[[#This Row],[Date]])&gt;=4,1,0)</f>
        <v>2026</v>
      </c>
      <c r="C912" s="79">
        <f>YEAR(Table6[[#This Row],[Date]])</f>
        <v>2025</v>
      </c>
      <c r="D912" s="79" t="s">
        <v>344</v>
      </c>
      <c r="E912" s="284">
        <f>Table6[[#This Row],[Date]]-DAY(Table6[[#This Row],[Date]])+1</f>
        <v>45809</v>
      </c>
      <c r="F912" s="285">
        <v>45827</v>
      </c>
      <c r="G912" s="79" t="s">
        <v>103</v>
      </c>
      <c r="H912" s="79" t="str">
        <f>IFERROR(_xlfn.XLOOKUP(Table6[[#This Row],[Affected Feeder ]],'Basic Data'!$A:$A,'Basic Data'!$B:$B),"")</f>
        <v>PWEPL</v>
      </c>
      <c r="I912" s="79" t="str">
        <f>IFERROR(_xlfn.XLOOKUP(Table6[[#This Row],[Affected Feeder ]],'Basic Data'!$A:$A,'Basic Data'!$C:$C),"")</f>
        <v>MSEDCL</v>
      </c>
      <c r="J912" s="295">
        <f>IFERROR(_xlfn.XLOOKUP(Table6[[#This Row],[Affected Feeder ]],'Basic Data'!$A:$A,'Basic Data'!$E:$E),"")</f>
        <v>2.2727272727272728E-2</v>
      </c>
      <c r="K912" s="296" t="s">
        <v>171</v>
      </c>
      <c r="L912" s="297">
        <v>0.3034722222222222</v>
      </c>
      <c r="M912" s="297">
        <v>0.3034722222222222</v>
      </c>
      <c r="N912" s="297">
        <v>0.31736111111111115</v>
      </c>
      <c r="O912" s="19">
        <f>(Table6[[#This Row],[Work Start TimeStamp]]-Table6[[#This Row],[Fault Start TimeStamp]])*24</f>
        <v>0</v>
      </c>
      <c r="P912" s="19">
        <f>(Table6[[#This Row],[Fault Clearance time]]-Table6[[#This Row],[Fault Start TimeStamp]])*24</f>
        <v>0.33333333333333481</v>
      </c>
      <c r="Q912" s="19">
        <f>(Table6[[#This Row],[Fault Clearance time]]-Table6[[#This Row],[Fault Start TimeStamp]])*24</f>
        <v>0.33333333333333481</v>
      </c>
      <c r="R912" s="79" t="s">
        <v>353</v>
      </c>
      <c r="S912" s="79" t="s">
        <v>339</v>
      </c>
      <c r="T912" s="298">
        <f>IFERROR(Table6[[#This Row],[Breakdown Time]]*Table6[[#This Row],[Plant Equivalent Weightage]],"")</f>
        <v>7.5757575757576098E-3</v>
      </c>
      <c r="U912" s="79" t="s">
        <v>421</v>
      </c>
      <c r="W912" s="79">
        <v>0</v>
      </c>
    </row>
    <row r="913" spans="1:23">
      <c r="A913" s="79">
        <f t="shared" si="14"/>
        <v>912</v>
      </c>
      <c r="B913" s="79">
        <f>YEAR(Table6[[#This Row],[Date]])+IF(MONTH(Table6[[#This Row],[Date]])&gt;=4,1,0)</f>
        <v>2026</v>
      </c>
      <c r="C913" s="79">
        <f>YEAR(Table6[[#This Row],[Date]])</f>
        <v>2025</v>
      </c>
      <c r="D913" s="79" t="s">
        <v>344</v>
      </c>
      <c r="E913" s="284">
        <f>Table6[[#This Row],[Date]]-DAY(Table6[[#This Row],[Date]])+1</f>
        <v>45809</v>
      </c>
      <c r="F913" s="285">
        <v>45827</v>
      </c>
      <c r="G913" s="79" t="s">
        <v>117</v>
      </c>
      <c r="H913" s="79" t="str">
        <f>IFERROR(_xlfn.XLOOKUP(Table6[[#This Row],[Affected Feeder ]],'Basic Data'!$A:$A,'Basic Data'!$B:$B),"")</f>
        <v>PWEPL</v>
      </c>
      <c r="I913" s="79" t="str">
        <f>IFERROR(_xlfn.XLOOKUP(Table6[[#This Row],[Affected Feeder ]],'Basic Data'!$A:$A,'Basic Data'!$C:$C),"")</f>
        <v>MSEDCL</v>
      </c>
      <c r="J913" s="295">
        <f>IFERROR(_xlfn.XLOOKUP(Table6[[#This Row],[Affected Feeder ]],'Basic Data'!$A:$A,'Basic Data'!$E:$E),"")</f>
        <v>2.2727272727272728E-2</v>
      </c>
      <c r="K913" s="296" t="s">
        <v>796</v>
      </c>
      <c r="L913" s="297">
        <v>0.23402777777777781</v>
      </c>
      <c r="M913" s="297">
        <v>0.23402777777777781</v>
      </c>
      <c r="N913" s="297">
        <v>0.3034722222222222</v>
      </c>
      <c r="O913" s="19">
        <f>(Table6[[#This Row],[Work Start TimeStamp]]-Table6[[#This Row],[Fault Start TimeStamp]])*24</f>
        <v>0</v>
      </c>
      <c r="P913" s="19">
        <f>(Table6[[#This Row],[Fault Clearance time]]-Table6[[#This Row],[Fault Start TimeStamp]])*24</f>
        <v>1.6666666666666654</v>
      </c>
      <c r="Q913" s="19">
        <f>(Table6[[#This Row],[Fault Clearance time]]-Table6[[#This Row],[Fault Start TimeStamp]])*24</f>
        <v>1.6666666666666654</v>
      </c>
      <c r="R913" s="79" t="s">
        <v>424</v>
      </c>
      <c r="S913" s="79" t="s">
        <v>339</v>
      </c>
      <c r="T913" s="298">
        <f>IFERROR(Table6[[#This Row],[Breakdown Time]]*Table6[[#This Row],[Plant Equivalent Weightage]],"")</f>
        <v>3.7878787878787852E-2</v>
      </c>
      <c r="U913" s="79" t="s">
        <v>421</v>
      </c>
      <c r="W913" s="79">
        <v>6723</v>
      </c>
    </row>
    <row r="914" spans="1:23">
      <c r="A914" s="79">
        <f t="shared" si="14"/>
        <v>913</v>
      </c>
      <c r="B914" s="79">
        <f>YEAR(Table6[[#This Row],[Date]])+IF(MONTH(Table6[[#This Row],[Date]])&gt;=4,1,0)</f>
        <v>2026</v>
      </c>
      <c r="C914" s="79">
        <f>YEAR(Table6[[#This Row],[Date]])</f>
        <v>2025</v>
      </c>
      <c r="D914" s="79" t="s">
        <v>344</v>
      </c>
      <c r="E914" s="284">
        <f>Table6[[#This Row],[Date]]-DAY(Table6[[#This Row],[Date]])+1</f>
        <v>45809</v>
      </c>
      <c r="F914" s="285">
        <v>45827</v>
      </c>
      <c r="G914" s="79" t="s">
        <v>117</v>
      </c>
      <c r="H914" s="79" t="str">
        <f>IFERROR(_xlfn.XLOOKUP(Table6[[#This Row],[Affected Feeder ]],'Basic Data'!$A:$A,'Basic Data'!$B:$B),"")</f>
        <v>PWEPL</v>
      </c>
      <c r="I914" s="79" t="str">
        <f>IFERROR(_xlfn.XLOOKUP(Table6[[#This Row],[Affected Feeder ]],'Basic Data'!$A:$A,'Basic Data'!$C:$C),"")</f>
        <v>MSEDCL</v>
      </c>
      <c r="J914" s="295">
        <f>IFERROR(_xlfn.XLOOKUP(Table6[[#This Row],[Affected Feeder ]],'Basic Data'!$A:$A,'Basic Data'!$E:$E),"")</f>
        <v>2.2727272727272728E-2</v>
      </c>
      <c r="K914" s="296" t="s">
        <v>171</v>
      </c>
      <c r="L914" s="297">
        <v>0.3034722222222222</v>
      </c>
      <c r="M914" s="297">
        <v>0.3034722222222222</v>
      </c>
      <c r="N914" s="297">
        <v>0.31736111111111115</v>
      </c>
      <c r="O914" s="19">
        <f>(Table6[[#This Row],[Work Start TimeStamp]]-Table6[[#This Row],[Fault Start TimeStamp]])*24</f>
        <v>0</v>
      </c>
      <c r="P914" s="19">
        <f>(Table6[[#This Row],[Fault Clearance time]]-Table6[[#This Row],[Fault Start TimeStamp]])*24</f>
        <v>0.33333333333333481</v>
      </c>
      <c r="Q914" s="19">
        <f>(Table6[[#This Row],[Fault Clearance time]]-Table6[[#This Row],[Fault Start TimeStamp]])*24</f>
        <v>0.33333333333333481</v>
      </c>
      <c r="R914" s="79" t="s">
        <v>353</v>
      </c>
      <c r="S914" s="79" t="s">
        <v>339</v>
      </c>
      <c r="T914" s="298">
        <f>IFERROR(Table6[[#This Row],[Breakdown Time]]*Table6[[#This Row],[Plant Equivalent Weightage]],"")</f>
        <v>7.5757575757576098E-3</v>
      </c>
      <c r="U914" s="79" t="s">
        <v>421</v>
      </c>
      <c r="W914" s="79">
        <v>1680</v>
      </c>
    </row>
    <row r="915" spans="1:23">
      <c r="A915" s="79">
        <f t="shared" si="14"/>
        <v>914</v>
      </c>
      <c r="B915" s="79">
        <f>YEAR(Table6[[#This Row],[Date]])+IF(MONTH(Table6[[#This Row],[Date]])&gt;=4,1,0)</f>
        <v>2026</v>
      </c>
      <c r="C915" s="79">
        <f>YEAR(Table6[[#This Row],[Date]])</f>
        <v>2025</v>
      </c>
      <c r="D915" s="79" t="s">
        <v>344</v>
      </c>
      <c r="E915" s="284">
        <f>Table6[[#This Row],[Date]]-DAY(Table6[[#This Row],[Date]])+1</f>
        <v>45809</v>
      </c>
      <c r="F915" s="285">
        <v>45827</v>
      </c>
      <c r="G915" s="79" t="s">
        <v>118</v>
      </c>
      <c r="H915" s="79" t="str">
        <f>IFERROR(_xlfn.XLOOKUP(Table6[[#This Row],[Affected Feeder ]],'Basic Data'!$A:$A,'Basic Data'!$B:$B),"")</f>
        <v>PWEPL</v>
      </c>
      <c r="I915" s="79" t="str">
        <f>IFERROR(_xlfn.XLOOKUP(Table6[[#This Row],[Affected Feeder ]],'Basic Data'!$A:$A,'Basic Data'!$C:$C),"")</f>
        <v>MSEDCL</v>
      </c>
      <c r="J915" s="295">
        <f>IFERROR(_xlfn.XLOOKUP(Table6[[#This Row],[Affected Feeder ]],'Basic Data'!$A:$A,'Basic Data'!$E:$E),"")</f>
        <v>2.2727272727272728E-2</v>
      </c>
      <c r="K915" s="296" t="s">
        <v>796</v>
      </c>
      <c r="L915" s="297">
        <v>0.23402777777777781</v>
      </c>
      <c r="M915" s="297">
        <v>0.23402777777777781</v>
      </c>
      <c r="N915" s="297">
        <v>0.3034722222222222</v>
      </c>
      <c r="O915" s="19">
        <f>(Table6[[#This Row],[Work Start TimeStamp]]-Table6[[#This Row],[Fault Start TimeStamp]])*24</f>
        <v>0</v>
      </c>
      <c r="P915" s="19">
        <f>(Table6[[#This Row],[Fault Clearance time]]-Table6[[#This Row],[Fault Start TimeStamp]])*24</f>
        <v>1.6666666666666654</v>
      </c>
      <c r="Q915" s="19">
        <f>(Table6[[#This Row],[Fault Clearance time]]-Table6[[#This Row],[Fault Start TimeStamp]])*24</f>
        <v>1.6666666666666654</v>
      </c>
      <c r="R915" s="79" t="s">
        <v>424</v>
      </c>
      <c r="S915" s="79" t="s">
        <v>339</v>
      </c>
      <c r="T915" s="298">
        <f>IFERROR(Table6[[#This Row],[Breakdown Time]]*Table6[[#This Row],[Plant Equivalent Weightage]],"")</f>
        <v>3.7878787878787852E-2</v>
      </c>
      <c r="U915" s="79" t="s">
        <v>421</v>
      </c>
      <c r="W915" s="79">
        <v>759</v>
      </c>
    </row>
    <row r="916" spans="1:23">
      <c r="A916" s="79">
        <f t="shared" si="14"/>
        <v>915</v>
      </c>
      <c r="B916" s="79">
        <f>YEAR(Table6[[#This Row],[Date]])+IF(MONTH(Table6[[#This Row],[Date]])&gt;=4,1,0)</f>
        <v>2026</v>
      </c>
      <c r="C916" s="79">
        <f>YEAR(Table6[[#This Row],[Date]])</f>
        <v>2025</v>
      </c>
      <c r="D916" s="79" t="s">
        <v>344</v>
      </c>
      <c r="E916" s="284">
        <f>Table6[[#This Row],[Date]]-DAY(Table6[[#This Row],[Date]])+1</f>
        <v>45809</v>
      </c>
      <c r="F916" s="285">
        <v>45827</v>
      </c>
      <c r="G916" s="79" t="s">
        <v>118</v>
      </c>
      <c r="H916" s="79" t="str">
        <f>IFERROR(_xlfn.XLOOKUP(Table6[[#This Row],[Affected Feeder ]],'Basic Data'!$A:$A,'Basic Data'!$B:$B),"")</f>
        <v>PWEPL</v>
      </c>
      <c r="I916" s="79" t="str">
        <f>IFERROR(_xlfn.XLOOKUP(Table6[[#This Row],[Affected Feeder ]],'Basic Data'!$A:$A,'Basic Data'!$C:$C),"")</f>
        <v>MSEDCL</v>
      </c>
      <c r="J916" s="295">
        <f>IFERROR(_xlfn.XLOOKUP(Table6[[#This Row],[Affected Feeder ]],'Basic Data'!$A:$A,'Basic Data'!$E:$E),"")</f>
        <v>2.2727272727272728E-2</v>
      </c>
      <c r="K916" s="296" t="s">
        <v>171</v>
      </c>
      <c r="L916" s="297">
        <v>0.3034722222222222</v>
      </c>
      <c r="M916" s="297">
        <v>0.3034722222222222</v>
      </c>
      <c r="N916" s="297">
        <v>0.31736111111111115</v>
      </c>
      <c r="O916" s="19">
        <f>(Table6[[#This Row],[Work Start TimeStamp]]-Table6[[#This Row],[Fault Start TimeStamp]])*24</f>
        <v>0</v>
      </c>
      <c r="P916" s="19">
        <f>(Table6[[#This Row],[Fault Clearance time]]-Table6[[#This Row],[Fault Start TimeStamp]])*24</f>
        <v>0.33333333333333481</v>
      </c>
      <c r="Q916" s="19">
        <f>(Table6[[#This Row],[Fault Clearance time]]-Table6[[#This Row],[Fault Start TimeStamp]])*24</f>
        <v>0.33333333333333481</v>
      </c>
      <c r="R916" s="79" t="s">
        <v>353</v>
      </c>
      <c r="S916" s="79" t="s">
        <v>339</v>
      </c>
      <c r="T916" s="298">
        <f>IFERROR(Table6[[#This Row],[Breakdown Time]]*Table6[[#This Row],[Plant Equivalent Weightage]],"")</f>
        <v>7.5757575757576098E-3</v>
      </c>
      <c r="U916" s="79" t="s">
        <v>421</v>
      </c>
      <c r="W916" s="79">
        <v>189</v>
      </c>
    </row>
    <row r="917" spans="1:23">
      <c r="A917" s="79">
        <f t="shared" si="14"/>
        <v>916</v>
      </c>
      <c r="B917" s="79">
        <f>YEAR(Table6[[#This Row],[Date]])+IF(MONTH(Table6[[#This Row],[Date]])&gt;=4,1,0)</f>
        <v>2026</v>
      </c>
      <c r="C917" s="79">
        <f>YEAR(Table6[[#This Row],[Date]])</f>
        <v>2025</v>
      </c>
      <c r="D917" s="79" t="s">
        <v>344</v>
      </c>
      <c r="E917" s="284">
        <f>Table6[[#This Row],[Date]]-DAY(Table6[[#This Row],[Date]])+1</f>
        <v>45809</v>
      </c>
      <c r="F917" s="285">
        <v>45827</v>
      </c>
      <c r="G917" s="79" t="s">
        <v>97</v>
      </c>
      <c r="H917" s="79" t="str">
        <f>IFERROR(_xlfn.XLOOKUP(Table6[[#This Row],[Affected Feeder ]],'Basic Data'!$A:$A,'Basic Data'!$B:$B),"")</f>
        <v>PWEPL</v>
      </c>
      <c r="I917" s="79" t="str">
        <f>IFERROR(_xlfn.XLOOKUP(Table6[[#This Row],[Affected Feeder ]],'Basic Data'!$A:$A,'Basic Data'!$C:$C),"")</f>
        <v>MSEDCL</v>
      </c>
      <c r="J917" s="295">
        <f>IFERROR(_xlfn.XLOOKUP(Table6[[#This Row],[Affected Feeder ]],'Basic Data'!$A:$A,'Basic Data'!$E:$E),"")</f>
        <v>2.2727272727272728E-2</v>
      </c>
      <c r="K917" s="296" t="s">
        <v>796</v>
      </c>
      <c r="L917" s="297">
        <v>0.15902777777777777</v>
      </c>
      <c r="M917" s="297">
        <v>0.15902777777777777</v>
      </c>
      <c r="N917" s="297">
        <v>0.20138888888888887</v>
      </c>
      <c r="O917" s="19">
        <f>(Table6[[#This Row],[Work Start TimeStamp]]-Table6[[#This Row],[Fault Start TimeStamp]])*24</f>
        <v>0</v>
      </c>
      <c r="P917" s="19">
        <f>(Table6[[#This Row],[Fault Clearance time]]-Table6[[#This Row],[Fault Start TimeStamp]])*24</f>
        <v>1.0166666666666664</v>
      </c>
      <c r="Q917" s="19">
        <f>(Table6[[#This Row],[Fault Clearance time]]-Table6[[#This Row],[Fault Start TimeStamp]])*24</f>
        <v>1.0166666666666664</v>
      </c>
      <c r="R917" s="79" t="s">
        <v>424</v>
      </c>
      <c r="S917" s="79" t="s">
        <v>339</v>
      </c>
      <c r="T917" s="298">
        <f>IFERROR(Table6[[#This Row],[Breakdown Time]]*Table6[[#This Row],[Plant Equivalent Weightage]],"")</f>
        <v>2.3106060606060599E-2</v>
      </c>
      <c r="U917" s="79" t="s">
        <v>421</v>
      </c>
      <c r="W917" s="79">
        <v>1721</v>
      </c>
    </row>
    <row r="918" spans="1:23">
      <c r="A918" s="79">
        <f t="shared" si="14"/>
        <v>917</v>
      </c>
      <c r="B918" s="79">
        <f>YEAR(Table6[[#This Row],[Date]])+IF(MONTH(Table6[[#This Row],[Date]])&gt;=4,1,0)</f>
        <v>2026</v>
      </c>
      <c r="C918" s="79">
        <f>YEAR(Table6[[#This Row],[Date]])</f>
        <v>2025</v>
      </c>
      <c r="D918" s="79" t="s">
        <v>344</v>
      </c>
      <c r="E918" s="284">
        <f>Table6[[#This Row],[Date]]-DAY(Table6[[#This Row],[Date]])+1</f>
        <v>45809</v>
      </c>
      <c r="F918" s="285">
        <v>45827</v>
      </c>
      <c r="G918" s="79" t="s">
        <v>97</v>
      </c>
      <c r="H918" s="79" t="str">
        <f>IFERROR(_xlfn.XLOOKUP(Table6[[#This Row],[Affected Feeder ]],'Basic Data'!$A:$A,'Basic Data'!$B:$B),"")</f>
        <v>PWEPL</v>
      </c>
      <c r="I918" s="79" t="str">
        <f>IFERROR(_xlfn.XLOOKUP(Table6[[#This Row],[Affected Feeder ]],'Basic Data'!$A:$A,'Basic Data'!$C:$C),"")</f>
        <v>MSEDCL</v>
      </c>
      <c r="J918" s="295">
        <f>IFERROR(_xlfn.XLOOKUP(Table6[[#This Row],[Affected Feeder ]],'Basic Data'!$A:$A,'Basic Data'!$E:$E),"")</f>
        <v>2.2727272727272728E-2</v>
      </c>
      <c r="K918" s="296" t="s">
        <v>171</v>
      </c>
      <c r="L918" s="297">
        <v>0.20138888888888887</v>
      </c>
      <c r="M918" s="297">
        <v>0.20138888888888887</v>
      </c>
      <c r="N918" s="297">
        <v>0.20486111111111113</v>
      </c>
      <c r="O918" s="19">
        <f>(Table6[[#This Row],[Work Start TimeStamp]]-Table6[[#This Row],[Fault Start TimeStamp]])*24</f>
        <v>0</v>
      </c>
      <c r="P918" s="19">
        <f>(Table6[[#This Row],[Fault Clearance time]]-Table6[[#This Row],[Fault Start TimeStamp]])*24</f>
        <v>8.333333333333437E-2</v>
      </c>
      <c r="Q918" s="19">
        <f>(Table6[[#This Row],[Fault Clearance time]]-Table6[[#This Row],[Fault Start TimeStamp]])*24</f>
        <v>8.333333333333437E-2</v>
      </c>
      <c r="R918" s="79" t="s">
        <v>353</v>
      </c>
      <c r="S918" s="79" t="s">
        <v>339</v>
      </c>
      <c r="T918" s="298">
        <f>IFERROR(Table6[[#This Row],[Breakdown Time]]*Table6[[#This Row],[Plant Equivalent Weightage]],"")</f>
        <v>1.8939393939394176E-3</v>
      </c>
      <c r="U918" s="79" t="s">
        <v>421</v>
      </c>
      <c r="W918" s="79">
        <v>153</v>
      </c>
    </row>
    <row r="919" spans="1:23">
      <c r="A919" s="79">
        <f t="shared" si="14"/>
        <v>918</v>
      </c>
      <c r="B919" s="79">
        <f>YEAR(Table6[[#This Row],[Date]])+IF(MONTH(Table6[[#This Row],[Date]])&gt;=4,1,0)</f>
        <v>2026</v>
      </c>
      <c r="C919" s="79">
        <f>YEAR(Table6[[#This Row],[Date]])</f>
        <v>2025</v>
      </c>
      <c r="D919" s="79" t="s">
        <v>344</v>
      </c>
      <c r="E919" s="284">
        <f>Table6[[#This Row],[Date]]-DAY(Table6[[#This Row],[Date]])+1</f>
        <v>45809</v>
      </c>
      <c r="F919" s="285">
        <v>45827</v>
      </c>
      <c r="G919" s="79" t="s">
        <v>87</v>
      </c>
      <c r="H919" s="79" t="str">
        <f>IFERROR(_xlfn.XLOOKUP(Table6[[#This Row],[Affected Feeder ]],'Basic Data'!$A:$A,'Basic Data'!$B:$B),"")</f>
        <v>PWEPL</v>
      </c>
      <c r="I919" s="79" t="str">
        <f>IFERROR(_xlfn.XLOOKUP(Table6[[#This Row],[Affected Feeder ]],'Basic Data'!$A:$A,'Basic Data'!$C:$C),"")</f>
        <v>MSEDCL</v>
      </c>
      <c r="J919" s="295">
        <f>IFERROR(_xlfn.XLOOKUP(Table6[[#This Row],[Affected Feeder ]],'Basic Data'!$A:$A,'Basic Data'!$E:$E),"")</f>
        <v>2.2727272727272728E-2</v>
      </c>
      <c r="K919" s="296" t="s">
        <v>796</v>
      </c>
      <c r="L919" s="297">
        <v>0.20416666666666669</v>
      </c>
      <c r="M919" s="297">
        <v>0.20416666666666669</v>
      </c>
      <c r="N919" s="297">
        <v>0.23124999999999998</v>
      </c>
      <c r="O919" s="19">
        <f>(Table6[[#This Row],[Work Start TimeStamp]]-Table6[[#This Row],[Fault Start TimeStamp]])*24</f>
        <v>0</v>
      </c>
      <c r="P919" s="19">
        <f>(Table6[[#This Row],[Fault Clearance time]]-Table6[[#This Row],[Fault Start TimeStamp]])*24</f>
        <v>0.64999999999999902</v>
      </c>
      <c r="Q919" s="19">
        <f>(Table6[[#This Row],[Fault Clearance time]]-Table6[[#This Row],[Fault Start TimeStamp]])*24</f>
        <v>0.64999999999999902</v>
      </c>
      <c r="R919" s="79" t="s">
        <v>424</v>
      </c>
      <c r="S919" s="79" t="s">
        <v>339</v>
      </c>
      <c r="T919" s="298">
        <f>IFERROR(Table6[[#This Row],[Breakdown Time]]*Table6[[#This Row],[Plant Equivalent Weightage]],"")</f>
        <v>1.4772727272727252E-2</v>
      </c>
      <c r="U919" s="79" t="s">
        <v>421</v>
      </c>
      <c r="W919" s="79">
        <v>896</v>
      </c>
    </row>
    <row r="920" spans="1:23">
      <c r="A920" s="79">
        <f t="shared" si="14"/>
        <v>919</v>
      </c>
      <c r="B920" s="79">
        <f>YEAR(Table6[[#This Row],[Date]])+IF(MONTH(Table6[[#This Row],[Date]])&gt;=4,1,0)</f>
        <v>2026</v>
      </c>
      <c r="C920" s="79">
        <f>YEAR(Table6[[#This Row],[Date]])</f>
        <v>2025</v>
      </c>
      <c r="D920" s="79" t="s">
        <v>344</v>
      </c>
      <c r="E920" s="284">
        <f>Table6[[#This Row],[Date]]-DAY(Table6[[#This Row],[Date]])+1</f>
        <v>45809</v>
      </c>
      <c r="F920" s="285">
        <v>45827</v>
      </c>
      <c r="G920" s="79" t="s">
        <v>87</v>
      </c>
      <c r="H920" s="79" t="str">
        <f>IFERROR(_xlfn.XLOOKUP(Table6[[#This Row],[Affected Feeder ]],'Basic Data'!$A:$A,'Basic Data'!$B:$B),"")</f>
        <v>PWEPL</v>
      </c>
      <c r="I920" s="79" t="str">
        <f>IFERROR(_xlfn.XLOOKUP(Table6[[#This Row],[Affected Feeder ]],'Basic Data'!$A:$A,'Basic Data'!$C:$C),"")</f>
        <v>MSEDCL</v>
      </c>
      <c r="J920" s="295">
        <f>IFERROR(_xlfn.XLOOKUP(Table6[[#This Row],[Affected Feeder ]],'Basic Data'!$A:$A,'Basic Data'!$E:$E),"")</f>
        <v>2.2727272727272728E-2</v>
      </c>
      <c r="K920" s="296" t="s">
        <v>171</v>
      </c>
      <c r="L920" s="297">
        <v>0.23124999999999998</v>
      </c>
      <c r="M920" s="297">
        <v>0.23124999999999998</v>
      </c>
      <c r="N920" s="297">
        <v>0.24513888888888888</v>
      </c>
      <c r="O920" s="19">
        <f>(Table6[[#This Row],[Work Start TimeStamp]]-Table6[[#This Row],[Fault Start TimeStamp]])*24</f>
        <v>0</v>
      </c>
      <c r="P920" s="19">
        <f>(Table6[[#This Row],[Fault Clearance time]]-Table6[[#This Row],[Fault Start TimeStamp]])*24</f>
        <v>0.33333333333333348</v>
      </c>
      <c r="Q920" s="19">
        <f>(Table6[[#This Row],[Fault Clearance time]]-Table6[[#This Row],[Fault Start TimeStamp]])*24</f>
        <v>0.33333333333333348</v>
      </c>
      <c r="R920" s="79" t="s">
        <v>353</v>
      </c>
      <c r="S920" s="79" t="s">
        <v>339</v>
      </c>
      <c r="T920" s="298">
        <f>IFERROR(Table6[[#This Row],[Breakdown Time]]*Table6[[#This Row],[Plant Equivalent Weightage]],"")</f>
        <v>7.5757575757575794E-3</v>
      </c>
      <c r="U920" s="79" t="s">
        <v>421</v>
      </c>
      <c r="W920" s="79">
        <v>943</v>
      </c>
    </row>
    <row r="921" spans="1:23">
      <c r="A921" s="79">
        <f t="shared" si="14"/>
        <v>920</v>
      </c>
      <c r="B921" s="79">
        <f>YEAR(Table6[[#This Row],[Date]])+IF(MONTH(Table6[[#This Row],[Date]])&gt;=4,1,0)</f>
        <v>2026</v>
      </c>
      <c r="C921" s="79">
        <f>YEAR(Table6[[#This Row],[Date]])</f>
        <v>2025</v>
      </c>
      <c r="D921" s="79" t="s">
        <v>344</v>
      </c>
      <c r="E921" s="284">
        <f>Table6[[#This Row],[Date]]-DAY(Table6[[#This Row],[Date]])+1</f>
        <v>45809</v>
      </c>
      <c r="F921" s="285">
        <v>45827</v>
      </c>
      <c r="G921" s="79" t="s">
        <v>103</v>
      </c>
      <c r="H921" s="79" t="str">
        <f>IFERROR(_xlfn.XLOOKUP(Table6[[#This Row],[Affected Feeder ]],'Basic Data'!$A:$A,'Basic Data'!$B:$B),"")</f>
        <v>PWEPL</v>
      </c>
      <c r="I921" s="79" t="str">
        <f>IFERROR(_xlfn.XLOOKUP(Table6[[#This Row],[Affected Feeder ]],'Basic Data'!$A:$A,'Basic Data'!$C:$C),"")</f>
        <v>MSEDCL</v>
      </c>
      <c r="J921" s="295">
        <f>IFERROR(_xlfn.XLOOKUP(Table6[[#This Row],[Affected Feeder ]],'Basic Data'!$A:$A,'Basic Data'!$E:$E),"")</f>
        <v>2.2727272727272728E-2</v>
      </c>
      <c r="K921" s="296" t="s">
        <v>796</v>
      </c>
      <c r="L921" s="297">
        <v>0.71944444444444444</v>
      </c>
      <c r="M921" s="297">
        <v>0.71944444444444444</v>
      </c>
      <c r="N921" s="297">
        <v>0.8027777777777777</v>
      </c>
      <c r="O921" s="19">
        <f>(Table6[[#This Row],[Work Start TimeStamp]]-Table6[[#This Row],[Fault Start TimeStamp]])*24</f>
        <v>0</v>
      </c>
      <c r="P921" s="19">
        <f>(Table6[[#This Row],[Fault Clearance time]]-Table6[[#This Row],[Fault Start TimeStamp]])*24</f>
        <v>1.9999999999999982</v>
      </c>
      <c r="Q921" s="19">
        <f>(Table6[[#This Row],[Fault Clearance time]]-Table6[[#This Row],[Fault Start TimeStamp]])*24</f>
        <v>1.9999999999999982</v>
      </c>
      <c r="R921" s="79" t="s">
        <v>424</v>
      </c>
      <c r="S921" s="79" t="s">
        <v>339</v>
      </c>
      <c r="T921" s="298">
        <f>IFERROR(Table6[[#This Row],[Breakdown Time]]*Table6[[#This Row],[Plant Equivalent Weightage]],"")</f>
        <v>4.5454545454545414E-2</v>
      </c>
      <c r="U921" s="79" t="s">
        <v>421</v>
      </c>
      <c r="W921" s="79">
        <v>1178</v>
      </c>
    </row>
    <row r="922" spans="1:23">
      <c r="A922" s="79">
        <f t="shared" si="14"/>
        <v>921</v>
      </c>
      <c r="B922" s="79">
        <f>YEAR(Table6[[#This Row],[Date]])+IF(MONTH(Table6[[#This Row],[Date]])&gt;=4,1,0)</f>
        <v>2026</v>
      </c>
      <c r="C922" s="79">
        <f>YEAR(Table6[[#This Row],[Date]])</f>
        <v>2025</v>
      </c>
      <c r="D922" s="79" t="s">
        <v>344</v>
      </c>
      <c r="E922" s="284">
        <f>Table6[[#This Row],[Date]]-DAY(Table6[[#This Row],[Date]])+1</f>
        <v>45809</v>
      </c>
      <c r="F922" s="285">
        <v>45827</v>
      </c>
      <c r="G922" s="79" t="s">
        <v>103</v>
      </c>
      <c r="H922" s="79" t="str">
        <f>IFERROR(_xlfn.XLOOKUP(Table6[[#This Row],[Affected Feeder ]],'Basic Data'!$A:$A,'Basic Data'!$B:$B),"")</f>
        <v>PWEPL</v>
      </c>
      <c r="I922" s="79" t="str">
        <f>IFERROR(_xlfn.XLOOKUP(Table6[[#This Row],[Affected Feeder ]],'Basic Data'!$A:$A,'Basic Data'!$C:$C),"")</f>
        <v>MSEDCL</v>
      </c>
      <c r="J922" s="295">
        <f>IFERROR(_xlfn.XLOOKUP(Table6[[#This Row],[Affected Feeder ]],'Basic Data'!$A:$A,'Basic Data'!$E:$E),"")</f>
        <v>2.2727272727272728E-2</v>
      </c>
      <c r="K922" s="296" t="s">
        <v>171</v>
      </c>
      <c r="L922" s="297">
        <v>0.8027777777777777</v>
      </c>
      <c r="M922" s="297">
        <v>0.8027777777777777</v>
      </c>
      <c r="N922" s="297">
        <v>0.81527777777777777</v>
      </c>
      <c r="O922" s="19">
        <f>(Table6[[#This Row],[Work Start TimeStamp]]-Table6[[#This Row],[Fault Start TimeStamp]])*24</f>
        <v>0</v>
      </c>
      <c r="P922" s="19">
        <f>(Table6[[#This Row],[Fault Clearance time]]-Table6[[#This Row],[Fault Start TimeStamp]])*24</f>
        <v>0.3000000000000016</v>
      </c>
      <c r="Q922" s="19">
        <f>(Table6[[#This Row],[Fault Clearance time]]-Table6[[#This Row],[Fault Start TimeStamp]])*24</f>
        <v>0.3000000000000016</v>
      </c>
      <c r="R922" s="79" t="s">
        <v>353</v>
      </c>
      <c r="S922" s="79" t="s">
        <v>339</v>
      </c>
      <c r="T922" s="298">
        <f>IFERROR(Table6[[#This Row],[Breakdown Time]]*Table6[[#This Row],[Plant Equivalent Weightage]],"")</f>
        <v>6.8181818181818543E-3</v>
      </c>
      <c r="U922" s="79" t="s">
        <v>421</v>
      </c>
      <c r="W922" s="79">
        <v>207</v>
      </c>
    </row>
    <row r="923" spans="1:23">
      <c r="A923" s="79">
        <f t="shared" si="14"/>
        <v>922</v>
      </c>
      <c r="B923" s="79">
        <f>YEAR(Table6[[#This Row],[Date]])+IF(MONTH(Table6[[#This Row],[Date]])&gt;=4,1,0)</f>
        <v>2026</v>
      </c>
      <c r="C923" s="79">
        <f>YEAR(Table6[[#This Row],[Date]])</f>
        <v>2025</v>
      </c>
      <c r="D923" s="79" t="s">
        <v>344</v>
      </c>
      <c r="E923" s="284">
        <f>Table6[[#This Row],[Date]]-DAY(Table6[[#This Row],[Date]])+1</f>
        <v>45809</v>
      </c>
      <c r="F923" s="285">
        <v>45827</v>
      </c>
      <c r="G923" s="79" t="s">
        <v>117</v>
      </c>
      <c r="H923" s="79" t="str">
        <f>IFERROR(_xlfn.XLOOKUP(Table6[[#This Row],[Affected Feeder ]],'Basic Data'!$A:$A,'Basic Data'!$B:$B),"")</f>
        <v>PWEPL</v>
      </c>
      <c r="I923" s="79" t="str">
        <f>IFERROR(_xlfn.XLOOKUP(Table6[[#This Row],[Affected Feeder ]],'Basic Data'!$A:$A,'Basic Data'!$C:$C),"")</f>
        <v>MSEDCL</v>
      </c>
      <c r="J923" s="295">
        <f>IFERROR(_xlfn.XLOOKUP(Table6[[#This Row],[Affected Feeder ]],'Basic Data'!$A:$A,'Basic Data'!$E:$E),"")</f>
        <v>2.2727272727272728E-2</v>
      </c>
      <c r="K923" s="296" t="s">
        <v>796</v>
      </c>
      <c r="L923" s="297">
        <v>0.71944444444444444</v>
      </c>
      <c r="M923" s="297">
        <v>0.71944444444444444</v>
      </c>
      <c r="N923" s="297">
        <v>0.76111111111111107</v>
      </c>
      <c r="O923" s="19">
        <f>(Table6[[#This Row],[Work Start TimeStamp]]-Table6[[#This Row],[Fault Start TimeStamp]])*24</f>
        <v>0</v>
      </c>
      <c r="P923" s="19">
        <f>(Table6[[#This Row],[Fault Clearance time]]-Table6[[#This Row],[Fault Start TimeStamp]])*24</f>
        <v>0.99999999999999911</v>
      </c>
      <c r="Q923" s="19">
        <f>(Table6[[#This Row],[Fault Clearance time]]-Table6[[#This Row],[Fault Start TimeStamp]])*24</f>
        <v>0.99999999999999911</v>
      </c>
      <c r="R923" s="79" t="s">
        <v>424</v>
      </c>
      <c r="S923" s="79" t="s">
        <v>339</v>
      </c>
      <c r="T923" s="298">
        <f>IFERROR(Table6[[#This Row],[Breakdown Time]]*Table6[[#This Row],[Plant Equivalent Weightage]],"")</f>
        <v>2.2727272727272707E-2</v>
      </c>
      <c r="U923" s="79" t="s">
        <v>421</v>
      </c>
      <c r="W923" s="79">
        <v>101.65</v>
      </c>
    </row>
    <row r="924" spans="1:23">
      <c r="A924" s="79">
        <f t="shared" si="14"/>
        <v>923</v>
      </c>
      <c r="B924" s="79">
        <f>YEAR(Table6[[#This Row],[Date]])+IF(MONTH(Table6[[#This Row],[Date]])&gt;=4,1,0)</f>
        <v>2026</v>
      </c>
      <c r="C924" s="79">
        <f>YEAR(Table6[[#This Row],[Date]])</f>
        <v>2025</v>
      </c>
      <c r="D924" s="79" t="s">
        <v>344</v>
      </c>
      <c r="E924" s="284">
        <f>Table6[[#This Row],[Date]]-DAY(Table6[[#This Row],[Date]])+1</f>
        <v>45809</v>
      </c>
      <c r="F924" s="285">
        <v>45827</v>
      </c>
      <c r="G924" s="79" t="s">
        <v>117</v>
      </c>
      <c r="H924" s="79" t="str">
        <f>IFERROR(_xlfn.XLOOKUP(Table6[[#This Row],[Affected Feeder ]],'Basic Data'!$A:$A,'Basic Data'!$B:$B),"")</f>
        <v>PWEPL</v>
      </c>
      <c r="I924" s="79" t="str">
        <f>IFERROR(_xlfn.XLOOKUP(Table6[[#This Row],[Affected Feeder ]],'Basic Data'!$A:$A,'Basic Data'!$C:$C),"")</f>
        <v>MSEDCL</v>
      </c>
      <c r="J924" s="295">
        <f>IFERROR(_xlfn.XLOOKUP(Table6[[#This Row],[Affected Feeder ]],'Basic Data'!$A:$A,'Basic Data'!$E:$E),"")</f>
        <v>2.2727272727272728E-2</v>
      </c>
      <c r="K924" s="296" t="s">
        <v>171</v>
      </c>
      <c r="L924" s="297">
        <v>0.76111111111111107</v>
      </c>
      <c r="M924" s="297">
        <v>0.76111111111111107</v>
      </c>
      <c r="N924" s="297">
        <v>0.76458333333333339</v>
      </c>
      <c r="O924" s="19">
        <f>(Table6[[#This Row],[Work Start TimeStamp]]-Table6[[#This Row],[Fault Start TimeStamp]])*24</f>
        <v>0</v>
      </c>
      <c r="P924" s="19">
        <f>(Table6[[#This Row],[Fault Clearance time]]-Table6[[#This Row],[Fault Start TimeStamp]])*24</f>
        <v>8.3333333333335702E-2</v>
      </c>
      <c r="Q924" s="19">
        <f>(Table6[[#This Row],[Fault Clearance time]]-Table6[[#This Row],[Fault Start TimeStamp]])*24</f>
        <v>8.3333333333335702E-2</v>
      </c>
      <c r="R924" s="79" t="s">
        <v>353</v>
      </c>
      <c r="S924" s="79" t="s">
        <v>339</v>
      </c>
      <c r="T924" s="298">
        <f>IFERROR(Table6[[#This Row],[Breakdown Time]]*Table6[[#This Row],[Plant Equivalent Weightage]],"")</f>
        <v>1.8939393939394478E-3</v>
      </c>
      <c r="U924" s="79" t="s">
        <v>421</v>
      </c>
      <c r="W924" s="79">
        <v>5.35</v>
      </c>
    </row>
    <row r="925" spans="1:23">
      <c r="A925" s="79">
        <f t="shared" si="14"/>
        <v>924</v>
      </c>
      <c r="B925" s="79">
        <f>YEAR(Table6[[#This Row],[Date]])+IF(MONTH(Table6[[#This Row],[Date]])&gt;=4,1,0)</f>
        <v>2026</v>
      </c>
      <c r="C925" s="79">
        <f>YEAR(Table6[[#This Row],[Date]])</f>
        <v>2025</v>
      </c>
      <c r="D925" s="79" t="s">
        <v>344</v>
      </c>
      <c r="E925" s="284">
        <f>Table6[[#This Row],[Date]]-DAY(Table6[[#This Row],[Date]])+1</f>
        <v>45809</v>
      </c>
      <c r="F925" s="285">
        <v>45827</v>
      </c>
      <c r="G925" s="79" t="s">
        <v>118</v>
      </c>
      <c r="H925" s="79" t="str">
        <f>IFERROR(_xlfn.XLOOKUP(Table6[[#This Row],[Affected Feeder ]],'Basic Data'!$A:$A,'Basic Data'!$B:$B),"")</f>
        <v>PWEPL</v>
      </c>
      <c r="I925" s="79" t="str">
        <f>IFERROR(_xlfn.XLOOKUP(Table6[[#This Row],[Affected Feeder ]],'Basic Data'!$A:$A,'Basic Data'!$C:$C),"")</f>
        <v>MSEDCL</v>
      </c>
      <c r="J925" s="295">
        <f>IFERROR(_xlfn.XLOOKUP(Table6[[#This Row],[Affected Feeder ]],'Basic Data'!$A:$A,'Basic Data'!$E:$E),"")</f>
        <v>2.2727272727272728E-2</v>
      </c>
      <c r="K925" s="296" t="s">
        <v>796</v>
      </c>
      <c r="L925" s="297">
        <v>0.71944444444444444</v>
      </c>
      <c r="M925" s="297">
        <v>0.71944444444444444</v>
      </c>
      <c r="N925" s="297">
        <v>0.8027777777777777</v>
      </c>
      <c r="O925" s="19">
        <f>(Table6[[#This Row],[Work Start TimeStamp]]-Table6[[#This Row],[Fault Start TimeStamp]])*24</f>
        <v>0</v>
      </c>
      <c r="P925" s="19">
        <f>(Table6[[#This Row],[Fault Clearance time]]-Table6[[#This Row],[Fault Start TimeStamp]])*24</f>
        <v>1.9999999999999982</v>
      </c>
      <c r="Q925" s="19">
        <f>(Table6[[#This Row],[Fault Clearance time]]-Table6[[#This Row],[Fault Start TimeStamp]])*24</f>
        <v>1.9999999999999982</v>
      </c>
      <c r="R925" s="79" t="s">
        <v>424</v>
      </c>
      <c r="S925" s="79" t="s">
        <v>339</v>
      </c>
      <c r="T925" s="298">
        <f>IFERROR(Table6[[#This Row],[Breakdown Time]]*Table6[[#This Row],[Plant Equivalent Weightage]],"")</f>
        <v>4.5454545454545414E-2</v>
      </c>
      <c r="U925" s="79" t="s">
        <v>421</v>
      </c>
      <c r="W925" s="79">
        <v>3400</v>
      </c>
    </row>
    <row r="926" spans="1:23">
      <c r="A926" s="79">
        <f t="shared" si="14"/>
        <v>925</v>
      </c>
      <c r="B926" s="79">
        <f>YEAR(Table6[[#This Row],[Date]])+IF(MONTH(Table6[[#This Row],[Date]])&gt;=4,1,0)</f>
        <v>2026</v>
      </c>
      <c r="C926" s="79">
        <f>YEAR(Table6[[#This Row],[Date]])</f>
        <v>2025</v>
      </c>
      <c r="D926" s="79" t="s">
        <v>344</v>
      </c>
      <c r="E926" s="284">
        <f>Table6[[#This Row],[Date]]-DAY(Table6[[#This Row],[Date]])+1</f>
        <v>45809</v>
      </c>
      <c r="F926" s="285">
        <v>45827</v>
      </c>
      <c r="G926" s="79" t="s">
        <v>118</v>
      </c>
      <c r="H926" s="79" t="str">
        <f>IFERROR(_xlfn.XLOOKUP(Table6[[#This Row],[Affected Feeder ]],'Basic Data'!$A:$A,'Basic Data'!$B:$B),"")</f>
        <v>PWEPL</v>
      </c>
      <c r="I926" s="79" t="str">
        <f>IFERROR(_xlfn.XLOOKUP(Table6[[#This Row],[Affected Feeder ]],'Basic Data'!$A:$A,'Basic Data'!$C:$C),"")</f>
        <v>MSEDCL</v>
      </c>
      <c r="J926" s="295">
        <f>IFERROR(_xlfn.XLOOKUP(Table6[[#This Row],[Affected Feeder ]],'Basic Data'!$A:$A,'Basic Data'!$E:$E),"")</f>
        <v>2.2727272727272728E-2</v>
      </c>
      <c r="K926" s="296" t="s">
        <v>171</v>
      </c>
      <c r="L926" s="297">
        <v>0.8027777777777777</v>
      </c>
      <c r="M926" s="297">
        <v>0.8027777777777777</v>
      </c>
      <c r="N926" s="297">
        <v>0.81041666666666667</v>
      </c>
      <c r="O926" s="19">
        <f>(Table6[[#This Row],[Work Start TimeStamp]]-Table6[[#This Row],[Fault Start TimeStamp]])*24</f>
        <v>0</v>
      </c>
      <c r="P926" s="19">
        <f>(Table6[[#This Row],[Fault Clearance time]]-Table6[[#This Row],[Fault Start TimeStamp]])*24</f>
        <v>0.18333333333333535</v>
      </c>
      <c r="Q926" s="19">
        <f>(Table6[[#This Row],[Fault Clearance time]]-Table6[[#This Row],[Fault Start TimeStamp]])*24</f>
        <v>0.18333333333333535</v>
      </c>
      <c r="R926" s="79" t="s">
        <v>353</v>
      </c>
      <c r="S926" s="79" t="s">
        <v>339</v>
      </c>
      <c r="T926" s="298">
        <f>IFERROR(Table6[[#This Row],[Breakdown Time]]*Table6[[#This Row],[Plant Equivalent Weightage]],"")</f>
        <v>4.1666666666667126E-3</v>
      </c>
      <c r="U926" s="79" t="s">
        <v>421</v>
      </c>
      <c r="W926" s="79">
        <v>343</v>
      </c>
    </row>
    <row r="927" spans="1:23">
      <c r="A927" s="79">
        <f t="shared" si="14"/>
        <v>926</v>
      </c>
      <c r="B927" s="79">
        <f>YEAR(Table6[[#This Row],[Date]])+IF(MONTH(Table6[[#This Row],[Date]])&gt;=4,1,0)</f>
        <v>2026</v>
      </c>
      <c r="C927" s="79">
        <f>YEAR(Table6[[#This Row],[Date]])</f>
        <v>2025</v>
      </c>
      <c r="D927" s="79" t="s">
        <v>344</v>
      </c>
      <c r="E927" s="284">
        <f>Table6[[#This Row],[Date]]-DAY(Table6[[#This Row],[Date]])+1</f>
        <v>45809</v>
      </c>
      <c r="F927" s="285">
        <v>45828</v>
      </c>
      <c r="G927" s="79" t="s">
        <v>406</v>
      </c>
      <c r="H927" s="79" t="str">
        <f>IFERROR(_xlfn.XLOOKUP(Table6[[#This Row],[Affected Feeder ]],'Basic Data'!$A:$A,'Basic Data'!$B:$B),"")</f>
        <v>PWEPL</v>
      </c>
      <c r="I927" s="79" t="str">
        <f>IFERROR(_xlfn.XLOOKUP(Table6[[#This Row],[Affected Feeder ]],'Basic Data'!$A:$A,'Basic Data'!$C:$C),"")</f>
        <v>MSEDCL</v>
      </c>
      <c r="J927" s="295">
        <f>IFERROR(_xlfn.XLOOKUP(Table6[[#This Row],[Affected Feeder ]],'Basic Data'!$A:$A,'Basic Data'!$E:$E),"")</f>
        <v>0.29545454545454541</v>
      </c>
      <c r="K927" s="296" t="s">
        <v>447</v>
      </c>
      <c r="L927" s="297">
        <v>6.8749999999999992E-2</v>
      </c>
      <c r="M927" s="297">
        <v>6.8749999999999992E-2</v>
      </c>
      <c r="N927" s="297">
        <v>7.4305555555555555E-2</v>
      </c>
      <c r="O927" s="298">
        <f>(Table6[[#This Row],[Work Start TimeStamp]]-Table6[[#This Row],[Fault Start TimeStamp]])*24</f>
        <v>0</v>
      </c>
      <c r="P927" s="298">
        <f>(Table6[[#This Row],[Fault Clearance time]]-Table6[[#This Row],[Fault Start TimeStamp]])*24</f>
        <v>0.13333333333333353</v>
      </c>
      <c r="Q927" s="298">
        <f>(Table6[[#This Row],[Fault Clearance time]]-Table6[[#This Row],[Fault Start TimeStamp]])*24</f>
        <v>0.13333333333333353</v>
      </c>
      <c r="R927" s="79" t="s">
        <v>420</v>
      </c>
      <c r="S927" s="79" t="s">
        <v>339</v>
      </c>
      <c r="T927" s="298">
        <f>IFERROR(Table6[[#This Row],[Breakdown Time]]*Table6[[#This Row],[Plant Equivalent Weightage]],"")</f>
        <v>3.9393939393939446E-2</v>
      </c>
      <c r="U927" s="79" t="s">
        <v>421</v>
      </c>
      <c r="W927" s="79">
        <v>3504</v>
      </c>
    </row>
    <row r="928" spans="1:23">
      <c r="A928" s="79">
        <f t="shared" si="14"/>
        <v>927</v>
      </c>
      <c r="B928" s="79">
        <f>YEAR(Table6[[#This Row],[Date]])+IF(MONTH(Table6[[#This Row],[Date]])&gt;=4,1,0)</f>
        <v>2026</v>
      </c>
      <c r="C928" s="79">
        <f>YEAR(Table6[[#This Row],[Date]])</f>
        <v>2025</v>
      </c>
      <c r="D928" s="79" t="s">
        <v>344</v>
      </c>
      <c r="E928" s="284">
        <f>Table6[[#This Row],[Date]]-DAY(Table6[[#This Row],[Date]])+1</f>
        <v>45809</v>
      </c>
      <c r="F928" s="285">
        <v>45828</v>
      </c>
      <c r="G928" s="79" t="s">
        <v>76</v>
      </c>
      <c r="H928" s="79" t="str">
        <f>IFERROR(_xlfn.XLOOKUP(Table6[[#This Row],[Affected Feeder ]],'Basic Data'!$A:$A,'Basic Data'!$B:$B),"")</f>
        <v>PWEPL</v>
      </c>
      <c r="I928" s="79" t="str">
        <f>IFERROR(_xlfn.XLOOKUP(Table6[[#This Row],[Affected Feeder ]],'Basic Data'!$A:$A,'Basic Data'!$C:$C),"")</f>
        <v>MSEDCL</v>
      </c>
      <c r="J928" s="295">
        <f>IFERROR(_xlfn.XLOOKUP(Table6[[#This Row],[Affected Feeder ]],'Basic Data'!$A:$A,'Basic Data'!$E:$E),"")</f>
        <v>2.2727272727272728E-2</v>
      </c>
      <c r="K928" s="296" t="s">
        <v>171</v>
      </c>
      <c r="L928" s="297">
        <v>7.4305555555555555E-2</v>
      </c>
      <c r="M928" s="297">
        <v>7.4305555555555555E-2</v>
      </c>
      <c r="N928" s="297">
        <v>8.819444444444445E-2</v>
      </c>
      <c r="O928" s="298">
        <f>(Table6[[#This Row],[Work Start TimeStamp]]-Table6[[#This Row],[Fault Start TimeStamp]])*24</f>
        <v>0</v>
      </c>
      <c r="P928" s="298">
        <f>(Table6[[#This Row],[Fault Clearance time]]-Table6[[#This Row],[Fault Start TimeStamp]])*24</f>
        <v>0.33333333333333348</v>
      </c>
      <c r="Q928" s="298">
        <f>(Table6[[#This Row],[Fault Clearance time]]-Table6[[#This Row],[Fault Start TimeStamp]])*24</f>
        <v>0.33333333333333348</v>
      </c>
      <c r="R928" s="79" t="s">
        <v>353</v>
      </c>
      <c r="S928" s="79" t="s">
        <v>339</v>
      </c>
      <c r="T928" s="298">
        <f>IFERROR(Table6[[#This Row],[Breakdown Time]]*Table6[[#This Row],[Plant Equivalent Weightage]],"")</f>
        <v>7.5757575757575794E-3</v>
      </c>
      <c r="U928" s="79" t="s">
        <v>421</v>
      </c>
      <c r="W928" s="79">
        <v>674</v>
      </c>
    </row>
    <row r="929" spans="1:23">
      <c r="A929" s="79">
        <f t="shared" si="14"/>
        <v>928</v>
      </c>
      <c r="B929" s="79">
        <f>YEAR(Table6[[#This Row],[Date]])+IF(MONTH(Table6[[#This Row],[Date]])&gt;=4,1,0)</f>
        <v>2026</v>
      </c>
      <c r="C929" s="79">
        <f>YEAR(Table6[[#This Row],[Date]])</f>
        <v>2025</v>
      </c>
      <c r="D929" s="79" t="s">
        <v>344</v>
      </c>
      <c r="E929" s="284">
        <f>Table6[[#This Row],[Date]]-DAY(Table6[[#This Row],[Date]])+1</f>
        <v>45809</v>
      </c>
      <c r="F929" s="285">
        <v>45828</v>
      </c>
      <c r="G929" s="79" t="s">
        <v>77</v>
      </c>
      <c r="H929" s="79" t="str">
        <f>IFERROR(_xlfn.XLOOKUP(Table6[[#This Row],[Affected Feeder ]],'Basic Data'!$A:$A,'Basic Data'!$B:$B),"")</f>
        <v>PWEPL</v>
      </c>
      <c r="I929" s="79" t="str">
        <f>IFERROR(_xlfn.XLOOKUP(Table6[[#This Row],[Affected Feeder ]],'Basic Data'!$A:$A,'Basic Data'!$C:$C),"")</f>
        <v>MSEDCL</v>
      </c>
      <c r="J929" s="295">
        <f>IFERROR(_xlfn.XLOOKUP(Table6[[#This Row],[Affected Feeder ]],'Basic Data'!$A:$A,'Basic Data'!$E:$E),"")</f>
        <v>2.2727272727272728E-2</v>
      </c>
      <c r="K929" s="296" t="s">
        <v>171</v>
      </c>
      <c r="L929" s="297">
        <v>7.4305555555555555E-2</v>
      </c>
      <c r="M929" s="297">
        <v>7.4305555555555555E-2</v>
      </c>
      <c r="N929" s="297">
        <v>8.819444444444445E-2</v>
      </c>
      <c r="O929" s="298">
        <f>(Table6[[#This Row],[Work Start TimeStamp]]-Table6[[#This Row],[Fault Start TimeStamp]])*24</f>
        <v>0</v>
      </c>
      <c r="P929" s="298">
        <f>(Table6[[#This Row],[Fault Clearance time]]-Table6[[#This Row],[Fault Start TimeStamp]])*24</f>
        <v>0.33333333333333348</v>
      </c>
      <c r="Q929" s="298">
        <f>(Table6[[#This Row],[Fault Clearance time]]-Table6[[#This Row],[Fault Start TimeStamp]])*24</f>
        <v>0.33333333333333348</v>
      </c>
      <c r="R929" s="79" t="s">
        <v>353</v>
      </c>
      <c r="S929" s="79" t="s">
        <v>339</v>
      </c>
      <c r="T929" s="298">
        <f>IFERROR(Table6[[#This Row],[Breakdown Time]]*Table6[[#This Row],[Plant Equivalent Weightage]],"")</f>
        <v>7.5757575757575794E-3</v>
      </c>
      <c r="U929" s="79" t="s">
        <v>421</v>
      </c>
      <c r="W929" s="79">
        <v>674</v>
      </c>
    </row>
    <row r="930" spans="1:23">
      <c r="A930" s="79">
        <f t="shared" si="14"/>
        <v>929</v>
      </c>
      <c r="B930" s="79">
        <f>YEAR(Table6[[#This Row],[Date]])+IF(MONTH(Table6[[#This Row],[Date]])&gt;=4,1,0)</f>
        <v>2026</v>
      </c>
      <c r="C930" s="79">
        <f>YEAR(Table6[[#This Row],[Date]])</f>
        <v>2025</v>
      </c>
      <c r="D930" s="79" t="s">
        <v>344</v>
      </c>
      <c r="E930" s="284">
        <f>Table6[[#This Row],[Date]]-DAY(Table6[[#This Row],[Date]])+1</f>
        <v>45809</v>
      </c>
      <c r="F930" s="285">
        <v>45828</v>
      </c>
      <c r="G930" s="79" t="s">
        <v>78</v>
      </c>
      <c r="H930" s="79" t="str">
        <f>IFERROR(_xlfn.XLOOKUP(Table6[[#This Row],[Affected Feeder ]],'Basic Data'!$A:$A,'Basic Data'!$B:$B),"")</f>
        <v>PWEPL</v>
      </c>
      <c r="I930" s="79" t="str">
        <f>IFERROR(_xlfn.XLOOKUP(Table6[[#This Row],[Affected Feeder ]],'Basic Data'!$A:$A,'Basic Data'!$C:$C),"")</f>
        <v>MSEDCL</v>
      </c>
      <c r="J930" s="295">
        <f>IFERROR(_xlfn.XLOOKUP(Table6[[#This Row],[Affected Feeder ]],'Basic Data'!$A:$A,'Basic Data'!$E:$E),"")</f>
        <v>2.2727272727272728E-2</v>
      </c>
      <c r="K930" s="296" t="s">
        <v>171</v>
      </c>
      <c r="L930" s="297">
        <v>7.4305555555555555E-2</v>
      </c>
      <c r="M930" s="297">
        <v>7.4305555555555555E-2</v>
      </c>
      <c r="N930" s="297">
        <v>8.819444444444445E-2</v>
      </c>
      <c r="O930" s="298">
        <f>(Table6[[#This Row],[Work Start TimeStamp]]-Table6[[#This Row],[Fault Start TimeStamp]])*24</f>
        <v>0</v>
      </c>
      <c r="P930" s="298">
        <f>(Table6[[#This Row],[Fault Clearance time]]-Table6[[#This Row],[Fault Start TimeStamp]])*24</f>
        <v>0.33333333333333348</v>
      </c>
      <c r="Q930" s="298">
        <f>(Table6[[#This Row],[Fault Clearance time]]-Table6[[#This Row],[Fault Start TimeStamp]])*24</f>
        <v>0.33333333333333348</v>
      </c>
      <c r="R930" s="79" t="s">
        <v>353</v>
      </c>
      <c r="S930" s="79" t="s">
        <v>339</v>
      </c>
      <c r="T930" s="298">
        <f>IFERROR(Table6[[#This Row],[Breakdown Time]]*Table6[[#This Row],[Plant Equivalent Weightage]],"")</f>
        <v>7.5757575757575794E-3</v>
      </c>
      <c r="U930" s="79" t="s">
        <v>421</v>
      </c>
      <c r="W930" s="79">
        <v>674</v>
      </c>
    </row>
    <row r="931" spans="1:23">
      <c r="A931" s="79">
        <f t="shared" si="14"/>
        <v>930</v>
      </c>
      <c r="B931" s="79">
        <f>YEAR(Table6[[#This Row],[Date]])+IF(MONTH(Table6[[#This Row],[Date]])&gt;=4,1,0)</f>
        <v>2026</v>
      </c>
      <c r="C931" s="79">
        <f>YEAR(Table6[[#This Row],[Date]])</f>
        <v>2025</v>
      </c>
      <c r="D931" s="79" t="s">
        <v>344</v>
      </c>
      <c r="E931" s="284">
        <f>Table6[[#This Row],[Date]]-DAY(Table6[[#This Row],[Date]])+1</f>
        <v>45809</v>
      </c>
      <c r="F931" s="285">
        <v>45828</v>
      </c>
      <c r="G931" s="79" t="s">
        <v>82</v>
      </c>
      <c r="H931" s="79" t="str">
        <f>IFERROR(_xlfn.XLOOKUP(Table6[[#This Row],[Affected Feeder ]],'Basic Data'!$A:$A,'Basic Data'!$B:$B),"")</f>
        <v>PWEPL</v>
      </c>
      <c r="I931" s="79" t="str">
        <f>IFERROR(_xlfn.XLOOKUP(Table6[[#This Row],[Affected Feeder ]],'Basic Data'!$A:$A,'Basic Data'!$C:$C),"")</f>
        <v>MSEDCL</v>
      </c>
      <c r="J931" s="295">
        <f>IFERROR(_xlfn.XLOOKUP(Table6[[#This Row],[Affected Feeder ]],'Basic Data'!$A:$A,'Basic Data'!$E:$E),"")</f>
        <v>2.2727272727272728E-2</v>
      </c>
      <c r="K931" s="296" t="s">
        <v>171</v>
      </c>
      <c r="L931" s="297">
        <v>7.4305555555555555E-2</v>
      </c>
      <c r="M931" s="297">
        <v>7.4305555555555555E-2</v>
      </c>
      <c r="N931" s="297">
        <v>8.819444444444445E-2</v>
      </c>
      <c r="O931" s="298">
        <f>(Table6[[#This Row],[Work Start TimeStamp]]-Table6[[#This Row],[Fault Start TimeStamp]])*24</f>
        <v>0</v>
      </c>
      <c r="P931" s="298">
        <f>(Table6[[#This Row],[Fault Clearance time]]-Table6[[#This Row],[Fault Start TimeStamp]])*24</f>
        <v>0.33333333333333348</v>
      </c>
      <c r="Q931" s="298">
        <f>(Table6[[#This Row],[Fault Clearance time]]-Table6[[#This Row],[Fault Start TimeStamp]])*24</f>
        <v>0.33333333333333348</v>
      </c>
      <c r="R931" s="79" t="s">
        <v>353</v>
      </c>
      <c r="S931" s="79" t="s">
        <v>339</v>
      </c>
      <c r="T931" s="298">
        <f>IFERROR(Table6[[#This Row],[Breakdown Time]]*Table6[[#This Row],[Plant Equivalent Weightage]],"")</f>
        <v>7.5757575757575794E-3</v>
      </c>
      <c r="U931" s="79" t="s">
        <v>421</v>
      </c>
      <c r="W931" s="79">
        <v>674</v>
      </c>
    </row>
    <row r="932" spans="1:23">
      <c r="A932" s="79">
        <f t="shared" si="14"/>
        <v>931</v>
      </c>
      <c r="B932" s="79">
        <f>YEAR(Table6[[#This Row],[Date]])+IF(MONTH(Table6[[#This Row],[Date]])&gt;=4,1,0)</f>
        <v>2026</v>
      </c>
      <c r="C932" s="79">
        <f>YEAR(Table6[[#This Row],[Date]])</f>
        <v>2025</v>
      </c>
      <c r="D932" s="79" t="s">
        <v>344</v>
      </c>
      <c r="E932" s="284">
        <f>Table6[[#This Row],[Date]]-DAY(Table6[[#This Row],[Date]])+1</f>
        <v>45809</v>
      </c>
      <c r="F932" s="285">
        <v>45828</v>
      </c>
      <c r="G932" s="79" t="s">
        <v>93</v>
      </c>
      <c r="H932" s="79" t="str">
        <f>IFERROR(_xlfn.XLOOKUP(Table6[[#This Row],[Affected Feeder ]],'Basic Data'!$A:$A,'Basic Data'!$B:$B),"")</f>
        <v>PWEPL</v>
      </c>
      <c r="I932" s="79" t="str">
        <f>IFERROR(_xlfn.XLOOKUP(Table6[[#This Row],[Affected Feeder ]],'Basic Data'!$A:$A,'Basic Data'!$C:$C),"")</f>
        <v>MSEDCL</v>
      </c>
      <c r="J932" s="295">
        <f>IFERROR(_xlfn.XLOOKUP(Table6[[#This Row],[Affected Feeder ]],'Basic Data'!$A:$A,'Basic Data'!$E:$E),"")</f>
        <v>2.2727272727272728E-2</v>
      </c>
      <c r="K932" s="296" t="s">
        <v>171</v>
      </c>
      <c r="L932" s="297">
        <v>7.4305555555555555E-2</v>
      </c>
      <c r="M932" s="297">
        <v>7.4305555555555555E-2</v>
      </c>
      <c r="N932" s="297">
        <v>8.819444444444445E-2</v>
      </c>
      <c r="O932" s="298">
        <f>(Table6[[#This Row],[Work Start TimeStamp]]-Table6[[#This Row],[Fault Start TimeStamp]])*24</f>
        <v>0</v>
      </c>
      <c r="P932" s="298">
        <f>(Table6[[#This Row],[Fault Clearance time]]-Table6[[#This Row],[Fault Start TimeStamp]])*24</f>
        <v>0.33333333333333348</v>
      </c>
      <c r="Q932" s="298">
        <f>(Table6[[#This Row],[Fault Clearance time]]-Table6[[#This Row],[Fault Start TimeStamp]])*24</f>
        <v>0.33333333333333348</v>
      </c>
      <c r="R932" s="79" t="s">
        <v>353</v>
      </c>
      <c r="S932" s="79" t="s">
        <v>339</v>
      </c>
      <c r="T932" s="298">
        <f>IFERROR(Table6[[#This Row],[Breakdown Time]]*Table6[[#This Row],[Plant Equivalent Weightage]],"")</f>
        <v>7.5757575757575794E-3</v>
      </c>
      <c r="U932" s="79" t="s">
        <v>421</v>
      </c>
      <c r="W932" s="79">
        <v>674</v>
      </c>
    </row>
    <row r="933" spans="1:23">
      <c r="A933" s="79">
        <f t="shared" si="14"/>
        <v>932</v>
      </c>
      <c r="B933" s="79">
        <f>YEAR(Table6[[#This Row],[Date]])+IF(MONTH(Table6[[#This Row],[Date]])&gt;=4,1,0)</f>
        <v>2026</v>
      </c>
      <c r="C933" s="79">
        <f>YEAR(Table6[[#This Row],[Date]])</f>
        <v>2025</v>
      </c>
      <c r="D933" s="79" t="s">
        <v>344</v>
      </c>
      <c r="E933" s="284">
        <f>Table6[[#This Row],[Date]]-DAY(Table6[[#This Row],[Date]])+1</f>
        <v>45809</v>
      </c>
      <c r="F933" s="285">
        <v>45828</v>
      </c>
      <c r="G933" s="79" t="s">
        <v>102</v>
      </c>
      <c r="H933" s="79" t="str">
        <f>IFERROR(_xlfn.XLOOKUP(Table6[[#This Row],[Affected Feeder ]],'Basic Data'!$A:$A,'Basic Data'!$B:$B),"")</f>
        <v>PWEPL</v>
      </c>
      <c r="I933" s="79" t="str">
        <f>IFERROR(_xlfn.XLOOKUP(Table6[[#This Row],[Affected Feeder ]],'Basic Data'!$A:$A,'Basic Data'!$C:$C),"")</f>
        <v>MSEDCL</v>
      </c>
      <c r="J933" s="295">
        <f>IFERROR(_xlfn.XLOOKUP(Table6[[#This Row],[Affected Feeder ]],'Basic Data'!$A:$A,'Basic Data'!$E:$E),"")</f>
        <v>2.2727272727272728E-2</v>
      </c>
      <c r="K933" s="296" t="s">
        <v>171</v>
      </c>
      <c r="L933" s="297">
        <v>7.4305555555555555E-2</v>
      </c>
      <c r="M933" s="297">
        <v>7.4305555555555555E-2</v>
      </c>
      <c r="N933" s="297">
        <v>8.819444444444445E-2</v>
      </c>
      <c r="O933" s="298">
        <f>(Table6[[#This Row],[Work Start TimeStamp]]-Table6[[#This Row],[Fault Start TimeStamp]])*24</f>
        <v>0</v>
      </c>
      <c r="P933" s="298">
        <f>(Table6[[#This Row],[Fault Clearance time]]-Table6[[#This Row],[Fault Start TimeStamp]])*24</f>
        <v>0.33333333333333348</v>
      </c>
      <c r="Q933" s="298">
        <f>(Table6[[#This Row],[Fault Clearance time]]-Table6[[#This Row],[Fault Start TimeStamp]])*24</f>
        <v>0.33333333333333348</v>
      </c>
      <c r="R933" s="79" t="s">
        <v>353</v>
      </c>
      <c r="S933" s="79" t="s">
        <v>339</v>
      </c>
      <c r="T933" s="298">
        <f>IFERROR(Table6[[#This Row],[Breakdown Time]]*Table6[[#This Row],[Plant Equivalent Weightage]],"")</f>
        <v>7.5757575757575794E-3</v>
      </c>
      <c r="U933" s="79" t="s">
        <v>421</v>
      </c>
      <c r="W933" s="79">
        <v>674</v>
      </c>
    </row>
    <row r="934" spans="1:23">
      <c r="A934" s="79">
        <f t="shared" si="14"/>
        <v>933</v>
      </c>
      <c r="B934" s="79">
        <f>YEAR(Table6[[#This Row],[Date]])+IF(MONTH(Table6[[#This Row],[Date]])&gt;=4,1,0)</f>
        <v>2026</v>
      </c>
      <c r="C934" s="79">
        <f>YEAR(Table6[[#This Row],[Date]])</f>
        <v>2025</v>
      </c>
      <c r="D934" s="79" t="s">
        <v>344</v>
      </c>
      <c r="E934" s="284">
        <f>Table6[[#This Row],[Date]]-DAY(Table6[[#This Row],[Date]])+1</f>
        <v>45809</v>
      </c>
      <c r="F934" s="285">
        <v>45828</v>
      </c>
      <c r="G934" s="79" t="s">
        <v>119</v>
      </c>
      <c r="H934" s="79" t="str">
        <f>IFERROR(_xlfn.XLOOKUP(Table6[[#This Row],[Affected Feeder ]],'Basic Data'!$A:$A,'Basic Data'!$B:$B),"")</f>
        <v>PWEPL</v>
      </c>
      <c r="I934" s="79" t="str">
        <f>IFERROR(_xlfn.XLOOKUP(Table6[[#This Row],[Affected Feeder ]],'Basic Data'!$A:$A,'Basic Data'!$C:$C),"")</f>
        <v>MSEDCL</v>
      </c>
      <c r="J934" s="295">
        <f>IFERROR(_xlfn.XLOOKUP(Table6[[#This Row],[Affected Feeder ]],'Basic Data'!$A:$A,'Basic Data'!$E:$E),"")</f>
        <v>2.2727272727272728E-2</v>
      </c>
      <c r="K934" s="296" t="s">
        <v>171</v>
      </c>
      <c r="L934" s="297">
        <v>7.4305555555555555E-2</v>
      </c>
      <c r="M934" s="297">
        <v>7.4305555555555555E-2</v>
      </c>
      <c r="N934" s="297">
        <v>8.819444444444445E-2</v>
      </c>
      <c r="O934" s="298">
        <f>(Table6[[#This Row],[Work Start TimeStamp]]-Table6[[#This Row],[Fault Start TimeStamp]])*24</f>
        <v>0</v>
      </c>
      <c r="P934" s="298">
        <f>(Table6[[#This Row],[Fault Clearance time]]-Table6[[#This Row],[Fault Start TimeStamp]])*24</f>
        <v>0.33333333333333348</v>
      </c>
      <c r="Q934" s="298">
        <f>(Table6[[#This Row],[Fault Clearance time]]-Table6[[#This Row],[Fault Start TimeStamp]])*24</f>
        <v>0.33333333333333348</v>
      </c>
      <c r="R934" s="79" t="s">
        <v>353</v>
      </c>
      <c r="S934" s="79" t="s">
        <v>339</v>
      </c>
      <c r="T934" s="298">
        <f>IFERROR(Table6[[#This Row],[Breakdown Time]]*Table6[[#This Row],[Plant Equivalent Weightage]],"")</f>
        <v>7.5757575757575794E-3</v>
      </c>
      <c r="U934" s="79" t="s">
        <v>421</v>
      </c>
      <c r="W934" s="79">
        <v>674</v>
      </c>
    </row>
    <row r="935" spans="1:23">
      <c r="A935" s="79">
        <f t="shared" si="14"/>
        <v>934</v>
      </c>
      <c r="B935" s="79">
        <f>YEAR(Table6[[#This Row],[Date]])+IF(MONTH(Table6[[#This Row],[Date]])&gt;=4,1,0)</f>
        <v>2026</v>
      </c>
      <c r="C935" s="79">
        <f>YEAR(Table6[[#This Row],[Date]])</f>
        <v>2025</v>
      </c>
      <c r="D935" s="79" t="s">
        <v>344</v>
      </c>
      <c r="E935" s="284">
        <f>Table6[[#This Row],[Date]]-DAY(Table6[[#This Row],[Date]])+1</f>
        <v>45809</v>
      </c>
      <c r="F935" s="285">
        <v>45828</v>
      </c>
      <c r="G935" s="79" t="s">
        <v>103</v>
      </c>
      <c r="H935" s="79" t="str">
        <f>IFERROR(_xlfn.XLOOKUP(Table6[[#This Row],[Affected Feeder ]],'Basic Data'!$A:$A,'Basic Data'!$B:$B),"")</f>
        <v>PWEPL</v>
      </c>
      <c r="I935" s="79" t="str">
        <f>IFERROR(_xlfn.XLOOKUP(Table6[[#This Row],[Affected Feeder ]],'Basic Data'!$A:$A,'Basic Data'!$C:$C),"")</f>
        <v>MSEDCL</v>
      </c>
      <c r="J935" s="295">
        <f>IFERROR(_xlfn.XLOOKUP(Table6[[#This Row],[Affected Feeder ]],'Basic Data'!$A:$A,'Basic Data'!$E:$E),"")</f>
        <v>2.2727272727272728E-2</v>
      </c>
      <c r="K935" s="296" t="s">
        <v>171</v>
      </c>
      <c r="L935" s="297">
        <v>7.4305555555555555E-2</v>
      </c>
      <c r="M935" s="297">
        <v>7.4305555555555555E-2</v>
      </c>
      <c r="N935" s="297">
        <v>8.819444444444445E-2</v>
      </c>
      <c r="O935" s="298">
        <f>(Table6[[#This Row],[Work Start TimeStamp]]-Table6[[#This Row],[Fault Start TimeStamp]])*24</f>
        <v>0</v>
      </c>
      <c r="P935" s="298">
        <f>(Table6[[#This Row],[Fault Clearance time]]-Table6[[#This Row],[Fault Start TimeStamp]])*24</f>
        <v>0.33333333333333348</v>
      </c>
      <c r="Q935" s="298">
        <f>(Table6[[#This Row],[Fault Clearance time]]-Table6[[#This Row],[Fault Start TimeStamp]])*24</f>
        <v>0.33333333333333348</v>
      </c>
      <c r="R935" s="79" t="s">
        <v>353</v>
      </c>
      <c r="S935" s="79" t="s">
        <v>339</v>
      </c>
      <c r="T935" s="298">
        <f>IFERROR(Table6[[#This Row],[Breakdown Time]]*Table6[[#This Row],[Plant Equivalent Weightage]],"")</f>
        <v>7.5757575757575794E-3</v>
      </c>
      <c r="U935" s="79" t="s">
        <v>421</v>
      </c>
      <c r="W935" s="79">
        <v>674</v>
      </c>
    </row>
    <row r="936" spans="1:23">
      <c r="A936" s="79">
        <f t="shared" si="14"/>
        <v>935</v>
      </c>
      <c r="B936" s="79">
        <f>YEAR(Table6[[#This Row],[Date]])+IF(MONTH(Table6[[#This Row],[Date]])&gt;=4,1,0)</f>
        <v>2026</v>
      </c>
      <c r="C936" s="79">
        <f>YEAR(Table6[[#This Row],[Date]])</f>
        <v>2025</v>
      </c>
      <c r="D936" s="79" t="s">
        <v>344</v>
      </c>
      <c r="E936" s="284">
        <f>Table6[[#This Row],[Date]]-DAY(Table6[[#This Row],[Date]])+1</f>
        <v>45809</v>
      </c>
      <c r="F936" s="285">
        <v>45828</v>
      </c>
      <c r="G936" s="79" t="s">
        <v>105</v>
      </c>
      <c r="H936" s="79" t="str">
        <f>IFERROR(_xlfn.XLOOKUP(Table6[[#This Row],[Affected Feeder ]],'Basic Data'!$A:$A,'Basic Data'!$B:$B),"")</f>
        <v>PWEPL</v>
      </c>
      <c r="I936" s="79" t="str">
        <f>IFERROR(_xlfn.XLOOKUP(Table6[[#This Row],[Affected Feeder ]],'Basic Data'!$A:$A,'Basic Data'!$C:$C),"")</f>
        <v>MSEDCL</v>
      </c>
      <c r="J936" s="295">
        <f>IFERROR(_xlfn.XLOOKUP(Table6[[#This Row],[Affected Feeder ]],'Basic Data'!$A:$A,'Basic Data'!$E:$E),"")</f>
        <v>2.2727272727272728E-2</v>
      </c>
      <c r="K936" s="296" t="s">
        <v>171</v>
      </c>
      <c r="L936" s="297">
        <v>7.4305555555555555E-2</v>
      </c>
      <c r="M936" s="297">
        <v>7.4305555555555555E-2</v>
      </c>
      <c r="N936" s="297">
        <v>8.819444444444445E-2</v>
      </c>
      <c r="O936" s="298">
        <f>(Table6[[#This Row],[Work Start TimeStamp]]-Table6[[#This Row],[Fault Start TimeStamp]])*24</f>
        <v>0</v>
      </c>
      <c r="P936" s="298">
        <f>(Table6[[#This Row],[Fault Clearance time]]-Table6[[#This Row],[Fault Start TimeStamp]])*24</f>
        <v>0.33333333333333348</v>
      </c>
      <c r="Q936" s="298">
        <f>(Table6[[#This Row],[Fault Clearance time]]-Table6[[#This Row],[Fault Start TimeStamp]])*24</f>
        <v>0.33333333333333348</v>
      </c>
      <c r="R936" s="79" t="s">
        <v>353</v>
      </c>
      <c r="S936" s="79" t="s">
        <v>339</v>
      </c>
      <c r="T936" s="298">
        <f>IFERROR(Table6[[#This Row],[Breakdown Time]]*Table6[[#This Row],[Plant Equivalent Weightage]],"")</f>
        <v>7.5757575757575794E-3</v>
      </c>
      <c r="U936" s="79" t="s">
        <v>421</v>
      </c>
      <c r="W936" s="79">
        <v>674</v>
      </c>
    </row>
    <row r="937" spans="1:23">
      <c r="A937" s="79">
        <f t="shared" si="14"/>
        <v>936</v>
      </c>
      <c r="B937" s="79">
        <f>YEAR(Table6[[#This Row],[Date]])+IF(MONTH(Table6[[#This Row],[Date]])&gt;=4,1,0)</f>
        <v>2026</v>
      </c>
      <c r="C937" s="79">
        <f>YEAR(Table6[[#This Row],[Date]])</f>
        <v>2025</v>
      </c>
      <c r="D937" s="79" t="s">
        <v>344</v>
      </c>
      <c r="E937" s="284">
        <f>Table6[[#This Row],[Date]]-DAY(Table6[[#This Row],[Date]])+1</f>
        <v>45809</v>
      </c>
      <c r="F937" s="285">
        <v>45828</v>
      </c>
      <c r="G937" s="79" t="s">
        <v>115</v>
      </c>
      <c r="H937" s="79" t="str">
        <f>IFERROR(_xlfn.XLOOKUP(Table6[[#This Row],[Affected Feeder ]],'Basic Data'!$A:$A,'Basic Data'!$B:$B),"")</f>
        <v>PWEPL</v>
      </c>
      <c r="I937" s="79" t="str">
        <f>IFERROR(_xlfn.XLOOKUP(Table6[[#This Row],[Affected Feeder ]],'Basic Data'!$A:$A,'Basic Data'!$C:$C),"")</f>
        <v>MSEDCL</v>
      </c>
      <c r="J937" s="295">
        <f>IFERROR(_xlfn.XLOOKUP(Table6[[#This Row],[Affected Feeder ]],'Basic Data'!$A:$A,'Basic Data'!$E:$E),"")</f>
        <v>2.2727272727272728E-2</v>
      </c>
      <c r="K937" s="296" t="s">
        <v>171</v>
      </c>
      <c r="L937" s="297">
        <v>7.4305555555555555E-2</v>
      </c>
      <c r="M937" s="297">
        <v>7.4305555555555555E-2</v>
      </c>
      <c r="N937" s="297">
        <v>8.819444444444445E-2</v>
      </c>
      <c r="O937" s="298">
        <f>(Table6[[#This Row],[Work Start TimeStamp]]-Table6[[#This Row],[Fault Start TimeStamp]])*24</f>
        <v>0</v>
      </c>
      <c r="P937" s="298">
        <f>(Table6[[#This Row],[Fault Clearance time]]-Table6[[#This Row],[Fault Start TimeStamp]])*24</f>
        <v>0.33333333333333348</v>
      </c>
      <c r="Q937" s="298">
        <f>(Table6[[#This Row],[Fault Clearance time]]-Table6[[#This Row],[Fault Start TimeStamp]])*24</f>
        <v>0.33333333333333348</v>
      </c>
      <c r="R937" s="79" t="s">
        <v>353</v>
      </c>
      <c r="S937" s="79" t="s">
        <v>339</v>
      </c>
      <c r="T937" s="298">
        <f>IFERROR(Table6[[#This Row],[Breakdown Time]]*Table6[[#This Row],[Plant Equivalent Weightage]],"")</f>
        <v>7.5757575757575794E-3</v>
      </c>
      <c r="U937" s="79" t="s">
        <v>421</v>
      </c>
      <c r="W937" s="79">
        <v>674</v>
      </c>
    </row>
    <row r="938" spans="1:23">
      <c r="A938" s="79">
        <f t="shared" si="14"/>
        <v>937</v>
      </c>
      <c r="B938" s="79">
        <f>YEAR(Table6[[#This Row],[Date]])+IF(MONTH(Table6[[#This Row],[Date]])&gt;=4,1,0)</f>
        <v>2026</v>
      </c>
      <c r="C938" s="79">
        <f>YEAR(Table6[[#This Row],[Date]])</f>
        <v>2025</v>
      </c>
      <c r="D938" s="79" t="s">
        <v>344</v>
      </c>
      <c r="E938" s="284">
        <f>Table6[[#This Row],[Date]]-DAY(Table6[[#This Row],[Date]])+1</f>
        <v>45809</v>
      </c>
      <c r="F938" s="285">
        <v>45828</v>
      </c>
      <c r="G938" s="79" t="s">
        <v>116</v>
      </c>
      <c r="H938" s="79" t="str">
        <f>IFERROR(_xlfn.XLOOKUP(Table6[[#This Row],[Affected Feeder ]],'Basic Data'!$A:$A,'Basic Data'!$B:$B),"")</f>
        <v>PWEPL</v>
      </c>
      <c r="I938" s="79" t="str">
        <f>IFERROR(_xlfn.XLOOKUP(Table6[[#This Row],[Affected Feeder ]],'Basic Data'!$A:$A,'Basic Data'!$C:$C),"")</f>
        <v>MSEDCL</v>
      </c>
      <c r="J938" s="295">
        <f>IFERROR(_xlfn.XLOOKUP(Table6[[#This Row],[Affected Feeder ]],'Basic Data'!$A:$A,'Basic Data'!$E:$E),"")</f>
        <v>2.2727272727272728E-2</v>
      </c>
      <c r="K938" s="296" t="s">
        <v>171</v>
      </c>
      <c r="L938" s="297">
        <v>7.4305555555555555E-2</v>
      </c>
      <c r="M938" s="297">
        <v>7.4305555555555555E-2</v>
      </c>
      <c r="N938" s="297">
        <v>8.819444444444445E-2</v>
      </c>
      <c r="O938" s="298">
        <f>(Table6[[#This Row],[Work Start TimeStamp]]-Table6[[#This Row],[Fault Start TimeStamp]])*24</f>
        <v>0</v>
      </c>
      <c r="P938" s="298">
        <f>(Table6[[#This Row],[Fault Clearance time]]-Table6[[#This Row],[Fault Start TimeStamp]])*24</f>
        <v>0.33333333333333348</v>
      </c>
      <c r="Q938" s="298">
        <f>(Table6[[#This Row],[Fault Clearance time]]-Table6[[#This Row],[Fault Start TimeStamp]])*24</f>
        <v>0.33333333333333348</v>
      </c>
      <c r="R938" s="79" t="s">
        <v>353</v>
      </c>
      <c r="S938" s="79" t="s">
        <v>339</v>
      </c>
      <c r="T938" s="298">
        <f>IFERROR(Table6[[#This Row],[Breakdown Time]]*Table6[[#This Row],[Plant Equivalent Weightage]],"")</f>
        <v>7.5757575757575794E-3</v>
      </c>
      <c r="U938" s="79" t="s">
        <v>421</v>
      </c>
      <c r="W938" s="79">
        <v>674</v>
      </c>
    </row>
    <row r="939" spans="1:23">
      <c r="A939" s="79">
        <f t="shared" si="14"/>
        <v>938</v>
      </c>
      <c r="B939" s="79">
        <f>YEAR(Table6[[#This Row],[Date]])+IF(MONTH(Table6[[#This Row],[Date]])&gt;=4,1,0)</f>
        <v>2026</v>
      </c>
      <c r="C939" s="79">
        <f>YEAR(Table6[[#This Row],[Date]])</f>
        <v>2025</v>
      </c>
      <c r="D939" s="79" t="s">
        <v>344</v>
      </c>
      <c r="E939" s="284">
        <f>Table6[[#This Row],[Date]]-DAY(Table6[[#This Row],[Date]])+1</f>
        <v>45809</v>
      </c>
      <c r="F939" s="285">
        <v>45828</v>
      </c>
      <c r="G939" s="79" t="s">
        <v>117</v>
      </c>
      <c r="H939" s="79" t="str">
        <f>IFERROR(_xlfn.XLOOKUP(Table6[[#This Row],[Affected Feeder ]],'Basic Data'!$A:$A,'Basic Data'!$B:$B),"")</f>
        <v>PWEPL</v>
      </c>
      <c r="I939" s="79" t="str">
        <f>IFERROR(_xlfn.XLOOKUP(Table6[[#This Row],[Affected Feeder ]],'Basic Data'!$A:$A,'Basic Data'!$C:$C),"")</f>
        <v>MSEDCL</v>
      </c>
      <c r="J939" s="295">
        <f>IFERROR(_xlfn.XLOOKUP(Table6[[#This Row],[Affected Feeder ]],'Basic Data'!$A:$A,'Basic Data'!$E:$E),"")</f>
        <v>2.2727272727272728E-2</v>
      </c>
      <c r="K939" s="296" t="s">
        <v>171</v>
      </c>
      <c r="L939" s="297">
        <v>7.4305555555555555E-2</v>
      </c>
      <c r="M939" s="297">
        <v>7.4305555555555555E-2</v>
      </c>
      <c r="N939" s="297">
        <v>8.819444444444445E-2</v>
      </c>
      <c r="O939" s="298">
        <f>(Table6[[#This Row],[Work Start TimeStamp]]-Table6[[#This Row],[Fault Start TimeStamp]])*24</f>
        <v>0</v>
      </c>
      <c r="P939" s="298">
        <f>(Table6[[#This Row],[Fault Clearance time]]-Table6[[#This Row],[Fault Start TimeStamp]])*24</f>
        <v>0.33333333333333348</v>
      </c>
      <c r="Q939" s="298">
        <f>(Table6[[#This Row],[Fault Clearance time]]-Table6[[#This Row],[Fault Start TimeStamp]])*24</f>
        <v>0.33333333333333348</v>
      </c>
      <c r="R939" s="79" t="s">
        <v>353</v>
      </c>
      <c r="S939" s="79" t="s">
        <v>339</v>
      </c>
      <c r="T939" s="298">
        <f>IFERROR(Table6[[#This Row],[Breakdown Time]]*Table6[[#This Row],[Plant Equivalent Weightage]],"")</f>
        <v>7.5757575757575794E-3</v>
      </c>
      <c r="U939" s="79" t="s">
        <v>421</v>
      </c>
      <c r="W939" s="79">
        <v>674</v>
      </c>
    </row>
    <row r="940" spans="1:23">
      <c r="A940" s="79">
        <f t="shared" si="14"/>
        <v>939</v>
      </c>
      <c r="B940" s="79">
        <f>YEAR(Table6[[#This Row],[Date]])+IF(MONTH(Table6[[#This Row],[Date]])&gt;=4,1,0)</f>
        <v>2026</v>
      </c>
      <c r="C940" s="79">
        <f>YEAR(Table6[[#This Row],[Date]])</f>
        <v>2025</v>
      </c>
      <c r="D940" s="79" t="s">
        <v>344</v>
      </c>
      <c r="E940" s="284">
        <f>Table6[[#This Row],[Date]]-DAY(Table6[[#This Row],[Date]])+1</f>
        <v>45809</v>
      </c>
      <c r="F940" s="285">
        <v>45828</v>
      </c>
      <c r="G940" s="79" t="s">
        <v>118</v>
      </c>
      <c r="H940" s="79" t="str">
        <f>IFERROR(_xlfn.XLOOKUP(Table6[[#This Row],[Affected Feeder ]],'Basic Data'!$A:$A,'Basic Data'!$B:$B),"")</f>
        <v>PWEPL</v>
      </c>
      <c r="I940" s="79" t="str">
        <f>IFERROR(_xlfn.XLOOKUP(Table6[[#This Row],[Affected Feeder ]],'Basic Data'!$A:$A,'Basic Data'!$C:$C),"")</f>
        <v>MSEDCL</v>
      </c>
      <c r="J940" s="295">
        <f>IFERROR(_xlfn.XLOOKUP(Table6[[#This Row],[Affected Feeder ]],'Basic Data'!$A:$A,'Basic Data'!$E:$E),"")</f>
        <v>2.2727272727272728E-2</v>
      </c>
      <c r="K940" s="296" t="s">
        <v>171</v>
      </c>
      <c r="L940" s="297">
        <v>7.4305555555555555E-2</v>
      </c>
      <c r="M940" s="297">
        <v>7.4305555555555555E-2</v>
      </c>
      <c r="N940" s="297">
        <v>8.819444444444445E-2</v>
      </c>
      <c r="O940" s="298">
        <f>(Table6[[#This Row],[Work Start TimeStamp]]-Table6[[#This Row],[Fault Start TimeStamp]])*24</f>
        <v>0</v>
      </c>
      <c r="P940" s="298">
        <f>(Table6[[#This Row],[Fault Clearance time]]-Table6[[#This Row],[Fault Start TimeStamp]])*24</f>
        <v>0.33333333333333348</v>
      </c>
      <c r="Q940" s="298">
        <f>(Table6[[#This Row],[Fault Clearance time]]-Table6[[#This Row],[Fault Start TimeStamp]])*24</f>
        <v>0.33333333333333348</v>
      </c>
      <c r="R940" s="79" t="s">
        <v>353</v>
      </c>
      <c r="S940" s="79" t="s">
        <v>339</v>
      </c>
      <c r="T940" s="298">
        <f>IFERROR(Table6[[#This Row],[Breakdown Time]]*Table6[[#This Row],[Plant Equivalent Weightage]],"")</f>
        <v>7.5757575757575794E-3</v>
      </c>
      <c r="U940" s="79" t="s">
        <v>421</v>
      </c>
      <c r="W940" s="79">
        <v>674</v>
      </c>
    </row>
    <row r="941" spans="1:23">
      <c r="A941" s="79">
        <f t="shared" si="14"/>
        <v>940</v>
      </c>
      <c r="B941" s="79">
        <f>YEAR(Table6[[#This Row],[Date]])+IF(MONTH(Table6[[#This Row],[Date]])&gt;=4,1,0)</f>
        <v>2026</v>
      </c>
      <c r="C941" s="79">
        <f>YEAR(Table6[[#This Row],[Date]])</f>
        <v>2025</v>
      </c>
      <c r="D941" s="79" t="s">
        <v>344</v>
      </c>
      <c r="E941" s="284">
        <f>Table6[[#This Row],[Date]]-DAY(Table6[[#This Row],[Date]])+1</f>
        <v>45809</v>
      </c>
      <c r="F941" s="285">
        <v>45828</v>
      </c>
      <c r="G941" s="79" t="s">
        <v>406</v>
      </c>
      <c r="H941" s="79" t="str">
        <f>IFERROR(_xlfn.XLOOKUP(Table6[[#This Row],[Affected Feeder ]],'Basic Data'!$A:$A,'Basic Data'!$B:$B),"")</f>
        <v>PWEPL</v>
      </c>
      <c r="I941" s="79" t="str">
        <f>IFERROR(_xlfn.XLOOKUP(Table6[[#This Row],[Affected Feeder ]],'Basic Data'!$A:$A,'Basic Data'!$C:$C),"")</f>
        <v>MSEDCL</v>
      </c>
      <c r="J941" s="295">
        <f>IFERROR(_xlfn.XLOOKUP(Table6[[#This Row],[Affected Feeder ]],'Basic Data'!$A:$A,'Basic Data'!$E:$E),"")</f>
        <v>0.29545454545454541</v>
      </c>
      <c r="K941" s="296" t="s">
        <v>447</v>
      </c>
      <c r="L941" s="297">
        <v>0.10347222222222223</v>
      </c>
      <c r="M941" s="297">
        <v>0.10347222222222223</v>
      </c>
      <c r="N941" s="297">
        <v>0.12222222222222223</v>
      </c>
      <c r="O941" s="298">
        <f>(Table6[[#This Row],[Work Start TimeStamp]]-Table6[[#This Row],[Fault Start TimeStamp]])*24</f>
        <v>0</v>
      </c>
      <c r="P941" s="298">
        <f>(Table6[[#This Row],[Fault Clearance time]]-Table6[[#This Row],[Fault Start TimeStamp]])*24</f>
        <v>0.45000000000000007</v>
      </c>
      <c r="Q941" s="298">
        <f>(Table6[[#This Row],[Fault Clearance time]]-Table6[[#This Row],[Fault Start TimeStamp]])*24</f>
        <v>0.45000000000000007</v>
      </c>
      <c r="R941" s="79" t="s">
        <v>420</v>
      </c>
      <c r="S941" s="79" t="s">
        <v>339</v>
      </c>
      <c r="T941" s="298">
        <f>IFERROR(Table6[[#This Row],[Breakdown Time]]*Table6[[#This Row],[Plant Equivalent Weightage]],"")</f>
        <v>0.13295454545454546</v>
      </c>
      <c r="U941" s="79" t="s">
        <v>421</v>
      </c>
      <c r="W941" s="79">
        <v>9577</v>
      </c>
    </row>
    <row r="942" spans="1:23">
      <c r="A942" s="79">
        <f t="shared" si="14"/>
        <v>941</v>
      </c>
      <c r="B942" s="79">
        <f>YEAR(Table6[[#This Row],[Date]])+IF(MONTH(Table6[[#This Row],[Date]])&gt;=4,1,0)</f>
        <v>2026</v>
      </c>
      <c r="C942" s="79">
        <f>YEAR(Table6[[#This Row],[Date]])</f>
        <v>2025</v>
      </c>
      <c r="D942" s="79" t="s">
        <v>344</v>
      </c>
      <c r="E942" s="284">
        <f>Table6[[#This Row],[Date]]-DAY(Table6[[#This Row],[Date]])+1</f>
        <v>45809</v>
      </c>
      <c r="F942" s="285">
        <v>45828</v>
      </c>
      <c r="G942" s="79" t="s">
        <v>76</v>
      </c>
      <c r="H942" s="79" t="str">
        <f>IFERROR(_xlfn.XLOOKUP(Table6[[#This Row],[Affected Feeder ]],'Basic Data'!$A:$A,'Basic Data'!$B:$B),"")</f>
        <v>PWEPL</v>
      </c>
      <c r="I942" s="79" t="str">
        <f>IFERROR(_xlfn.XLOOKUP(Table6[[#This Row],[Affected Feeder ]],'Basic Data'!$A:$A,'Basic Data'!$C:$C),"")</f>
        <v>MSEDCL</v>
      </c>
      <c r="J942" s="295">
        <f>IFERROR(_xlfn.XLOOKUP(Table6[[#This Row],[Affected Feeder ]],'Basic Data'!$A:$A,'Basic Data'!$E:$E),"")</f>
        <v>2.2727272727272728E-2</v>
      </c>
      <c r="K942" s="296" t="s">
        <v>171</v>
      </c>
      <c r="L942" s="297">
        <v>0.12222222222222223</v>
      </c>
      <c r="M942" s="297">
        <v>0.12222222222222223</v>
      </c>
      <c r="N942" s="297">
        <v>0.1361111111111111</v>
      </c>
      <c r="O942" s="298">
        <f>(Table6[[#This Row],[Work Start TimeStamp]]-Table6[[#This Row],[Fault Start TimeStamp]])*24</f>
        <v>0</v>
      </c>
      <c r="P942" s="298">
        <f>(Table6[[#This Row],[Fault Clearance time]]-Table6[[#This Row],[Fault Start TimeStamp]])*24</f>
        <v>0.33333333333333282</v>
      </c>
      <c r="Q942" s="298">
        <f>(Table6[[#This Row],[Fault Clearance time]]-Table6[[#This Row],[Fault Start TimeStamp]])*24</f>
        <v>0.33333333333333282</v>
      </c>
      <c r="R942" s="79" t="s">
        <v>353</v>
      </c>
      <c r="S942" s="79" t="s">
        <v>339</v>
      </c>
      <c r="T942" s="298">
        <f>IFERROR(Table6[[#This Row],[Breakdown Time]]*Table6[[#This Row],[Plant Equivalent Weightage]],"")</f>
        <v>7.5757575757575638E-3</v>
      </c>
      <c r="U942" s="79" t="s">
        <v>421</v>
      </c>
      <c r="W942" s="79">
        <v>591</v>
      </c>
    </row>
    <row r="943" spans="1:23">
      <c r="A943" s="79">
        <f t="shared" si="14"/>
        <v>942</v>
      </c>
      <c r="B943" s="79">
        <f>YEAR(Table6[[#This Row],[Date]])+IF(MONTH(Table6[[#This Row],[Date]])&gt;=4,1,0)</f>
        <v>2026</v>
      </c>
      <c r="C943" s="79">
        <f>YEAR(Table6[[#This Row],[Date]])</f>
        <v>2025</v>
      </c>
      <c r="D943" s="79" t="s">
        <v>344</v>
      </c>
      <c r="E943" s="284">
        <f>Table6[[#This Row],[Date]]-DAY(Table6[[#This Row],[Date]])+1</f>
        <v>45809</v>
      </c>
      <c r="F943" s="285">
        <v>45828</v>
      </c>
      <c r="G943" s="79" t="s">
        <v>77</v>
      </c>
      <c r="H943" s="79" t="str">
        <f>IFERROR(_xlfn.XLOOKUP(Table6[[#This Row],[Affected Feeder ]],'Basic Data'!$A:$A,'Basic Data'!$B:$B),"")</f>
        <v>PWEPL</v>
      </c>
      <c r="I943" s="79" t="str">
        <f>IFERROR(_xlfn.XLOOKUP(Table6[[#This Row],[Affected Feeder ]],'Basic Data'!$A:$A,'Basic Data'!$C:$C),"")</f>
        <v>MSEDCL</v>
      </c>
      <c r="J943" s="295">
        <f>IFERROR(_xlfn.XLOOKUP(Table6[[#This Row],[Affected Feeder ]],'Basic Data'!$A:$A,'Basic Data'!$E:$E),"")</f>
        <v>2.2727272727272728E-2</v>
      </c>
      <c r="K943" s="296" t="s">
        <v>171</v>
      </c>
      <c r="L943" s="297">
        <v>0.12222222222222223</v>
      </c>
      <c r="M943" s="297">
        <v>0.12222222222222223</v>
      </c>
      <c r="N943" s="297">
        <v>0.1361111111111111</v>
      </c>
      <c r="O943" s="298">
        <f>(Table6[[#This Row],[Work Start TimeStamp]]-Table6[[#This Row],[Fault Start TimeStamp]])*24</f>
        <v>0</v>
      </c>
      <c r="P943" s="298">
        <f>(Table6[[#This Row],[Fault Clearance time]]-Table6[[#This Row],[Fault Start TimeStamp]])*24</f>
        <v>0.33333333333333282</v>
      </c>
      <c r="Q943" s="298">
        <f>(Table6[[#This Row],[Fault Clearance time]]-Table6[[#This Row],[Fault Start TimeStamp]])*24</f>
        <v>0.33333333333333282</v>
      </c>
      <c r="R943" s="79" t="s">
        <v>353</v>
      </c>
      <c r="S943" s="79" t="s">
        <v>339</v>
      </c>
      <c r="T943" s="298">
        <f>IFERROR(Table6[[#This Row],[Breakdown Time]]*Table6[[#This Row],[Plant Equivalent Weightage]],"")</f>
        <v>7.5757575757575638E-3</v>
      </c>
      <c r="U943" s="79" t="s">
        <v>421</v>
      </c>
      <c r="W943" s="79">
        <v>591</v>
      </c>
    </row>
    <row r="944" spans="1:23">
      <c r="A944" s="79">
        <f t="shared" si="14"/>
        <v>943</v>
      </c>
      <c r="B944" s="79">
        <f>YEAR(Table6[[#This Row],[Date]])+IF(MONTH(Table6[[#This Row],[Date]])&gt;=4,1,0)</f>
        <v>2026</v>
      </c>
      <c r="C944" s="79">
        <f>YEAR(Table6[[#This Row],[Date]])</f>
        <v>2025</v>
      </c>
      <c r="D944" s="79" t="s">
        <v>344</v>
      </c>
      <c r="E944" s="284">
        <f>Table6[[#This Row],[Date]]-DAY(Table6[[#This Row],[Date]])+1</f>
        <v>45809</v>
      </c>
      <c r="F944" s="285">
        <v>45828</v>
      </c>
      <c r="G944" s="79" t="s">
        <v>78</v>
      </c>
      <c r="H944" s="79" t="str">
        <f>IFERROR(_xlfn.XLOOKUP(Table6[[#This Row],[Affected Feeder ]],'Basic Data'!$A:$A,'Basic Data'!$B:$B),"")</f>
        <v>PWEPL</v>
      </c>
      <c r="I944" s="79" t="str">
        <f>IFERROR(_xlfn.XLOOKUP(Table6[[#This Row],[Affected Feeder ]],'Basic Data'!$A:$A,'Basic Data'!$C:$C),"")</f>
        <v>MSEDCL</v>
      </c>
      <c r="J944" s="295">
        <f>IFERROR(_xlfn.XLOOKUP(Table6[[#This Row],[Affected Feeder ]],'Basic Data'!$A:$A,'Basic Data'!$E:$E),"")</f>
        <v>2.2727272727272728E-2</v>
      </c>
      <c r="K944" s="296" t="s">
        <v>171</v>
      </c>
      <c r="L944" s="297">
        <v>0.12222222222222223</v>
      </c>
      <c r="M944" s="297">
        <v>0.12222222222222223</v>
      </c>
      <c r="N944" s="297">
        <v>0.1361111111111111</v>
      </c>
      <c r="O944" s="298">
        <f>(Table6[[#This Row],[Work Start TimeStamp]]-Table6[[#This Row],[Fault Start TimeStamp]])*24</f>
        <v>0</v>
      </c>
      <c r="P944" s="298">
        <f>(Table6[[#This Row],[Fault Clearance time]]-Table6[[#This Row],[Fault Start TimeStamp]])*24</f>
        <v>0.33333333333333282</v>
      </c>
      <c r="Q944" s="298">
        <f>(Table6[[#This Row],[Fault Clearance time]]-Table6[[#This Row],[Fault Start TimeStamp]])*24</f>
        <v>0.33333333333333282</v>
      </c>
      <c r="R944" s="79" t="s">
        <v>353</v>
      </c>
      <c r="S944" s="79" t="s">
        <v>339</v>
      </c>
      <c r="T944" s="298">
        <f>IFERROR(Table6[[#This Row],[Breakdown Time]]*Table6[[#This Row],[Plant Equivalent Weightage]],"")</f>
        <v>7.5757575757575638E-3</v>
      </c>
      <c r="U944" s="79" t="s">
        <v>421</v>
      </c>
      <c r="W944" s="79">
        <v>591</v>
      </c>
    </row>
    <row r="945" spans="1:23">
      <c r="A945" s="79">
        <f t="shared" si="14"/>
        <v>944</v>
      </c>
      <c r="B945" s="79">
        <f>YEAR(Table6[[#This Row],[Date]])+IF(MONTH(Table6[[#This Row],[Date]])&gt;=4,1,0)</f>
        <v>2026</v>
      </c>
      <c r="C945" s="79">
        <f>YEAR(Table6[[#This Row],[Date]])</f>
        <v>2025</v>
      </c>
      <c r="D945" s="79" t="s">
        <v>344</v>
      </c>
      <c r="E945" s="284">
        <f>Table6[[#This Row],[Date]]-DAY(Table6[[#This Row],[Date]])+1</f>
        <v>45809</v>
      </c>
      <c r="F945" s="285">
        <v>45828</v>
      </c>
      <c r="G945" s="79" t="s">
        <v>82</v>
      </c>
      <c r="H945" s="79" t="str">
        <f>IFERROR(_xlfn.XLOOKUP(Table6[[#This Row],[Affected Feeder ]],'Basic Data'!$A:$A,'Basic Data'!$B:$B),"")</f>
        <v>PWEPL</v>
      </c>
      <c r="I945" s="79" t="str">
        <f>IFERROR(_xlfn.XLOOKUP(Table6[[#This Row],[Affected Feeder ]],'Basic Data'!$A:$A,'Basic Data'!$C:$C),"")</f>
        <v>MSEDCL</v>
      </c>
      <c r="J945" s="295">
        <f>IFERROR(_xlfn.XLOOKUP(Table6[[#This Row],[Affected Feeder ]],'Basic Data'!$A:$A,'Basic Data'!$E:$E),"")</f>
        <v>2.2727272727272728E-2</v>
      </c>
      <c r="K945" s="296" t="s">
        <v>171</v>
      </c>
      <c r="L945" s="297">
        <v>0.12222222222222223</v>
      </c>
      <c r="M945" s="297">
        <v>0.12222222222222223</v>
      </c>
      <c r="N945" s="297">
        <v>0.1361111111111111</v>
      </c>
      <c r="O945" s="298">
        <f>(Table6[[#This Row],[Work Start TimeStamp]]-Table6[[#This Row],[Fault Start TimeStamp]])*24</f>
        <v>0</v>
      </c>
      <c r="P945" s="298">
        <f>(Table6[[#This Row],[Fault Clearance time]]-Table6[[#This Row],[Fault Start TimeStamp]])*24</f>
        <v>0.33333333333333282</v>
      </c>
      <c r="Q945" s="298">
        <f>(Table6[[#This Row],[Fault Clearance time]]-Table6[[#This Row],[Fault Start TimeStamp]])*24</f>
        <v>0.33333333333333282</v>
      </c>
      <c r="R945" s="79" t="s">
        <v>353</v>
      </c>
      <c r="S945" s="79" t="s">
        <v>339</v>
      </c>
      <c r="T945" s="298">
        <f>IFERROR(Table6[[#This Row],[Breakdown Time]]*Table6[[#This Row],[Plant Equivalent Weightage]],"")</f>
        <v>7.5757575757575638E-3</v>
      </c>
      <c r="U945" s="79" t="s">
        <v>421</v>
      </c>
      <c r="W945" s="79">
        <v>591</v>
      </c>
    </row>
    <row r="946" spans="1:23">
      <c r="A946" s="79">
        <f t="shared" si="14"/>
        <v>945</v>
      </c>
      <c r="B946" s="79">
        <f>YEAR(Table6[[#This Row],[Date]])+IF(MONTH(Table6[[#This Row],[Date]])&gt;=4,1,0)</f>
        <v>2026</v>
      </c>
      <c r="C946" s="79">
        <f>YEAR(Table6[[#This Row],[Date]])</f>
        <v>2025</v>
      </c>
      <c r="D946" s="79" t="s">
        <v>344</v>
      </c>
      <c r="E946" s="284">
        <f>Table6[[#This Row],[Date]]-DAY(Table6[[#This Row],[Date]])+1</f>
        <v>45809</v>
      </c>
      <c r="F946" s="285">
        <v>45828</v>
      </c>
      <c r="G946" s="79" t="s">
        <v>93</v>
      </c>
      <c r="H946" s="79" t="str">
        <f>IFERROR(_xlfn.XLOOKUP(Table6[[#This Row],[Affected Feeder ]],'Basic Data'!$A:$A,'Basic Data'!$B:$B),"")</f>
        <v>PWEPL</v>
      </c>
      <c r="I946" s="79" t="str">
        <f>IFERROR(_xlfn.XLOOKUP(Table6[[#This Row],[Affected Feeder ]],'Basic Data'!$A:$A,'Basic Data'!$C:$C),"")</f>
        <v>MSEDCL</v>
      </c>
      <c r="J946" s="295">
        <f>IFERROR(_xlfn.XLOOKUP(Table6[[#This Row],[Affected Feeder ]],'Basic Data'!$A:$A,'Basic Data'!$E:$E),"")</f>
        <v>2.2727272727272728E-2</v>
      </c>
      <c r="K946" s="296" t="s">
        <v>171</v>
      </c>
      <c r="L946" s="297">
        <v>0.12222222222222223</v>
      </c>
      <c r="M946" s="297">
        <v>0.12222222222222223</v>
      </c>
      <c r="N946" s="297">
        <v>0.1361111111111111</v>
      </c>
      <c r="O946" s="298">
        <f>(Table6[[#This Row],[Work Start TimeStamp]]-Table6[[#This Row],[Fault Start TimeStamp]])*24</f>
        <v>0</v>
      </c>
      <c r="P946" s="298">
        <f>(Table6[[#This Row],[Fault Clearance time]]-Table6[[#This Row],[Fault Start TimeStamp]])*24</f>
        <v>0.33333333333333282</v>
      </c>
      <c r="Q946" s="298">
        <f>(Table6[[#This Row],[Fault Clearance time]]-Table6[[#This Row],[Fault Start TimeStamp]])*24</f>
        <v>0.33333333333333282</v>
      </c>
      <c r="R946" s="79" t="s">
        <v>353</v>
      </c>
      <c r="S946" s="79" t="s">
        <v>339</v>
      </c>
      <c r="T946" s="298">
        <f>IFERROR(Table6[[#This Row],[Breakdown Time]]*Table6[[#This Row],[Plant Equivalent Weightage]],"")</f>
        <v>7.5757575757575638E-3</v>
      </c>
      <c r="U946" s="79" t="s">
        <v>421</v>
      </c>
      <c r="W946" s="79">
        <v>591</v>
      </c>
    </row>
    <row r="947" spans="1:23">
      <c r="A947" s="79">
        <f t="shared" si="14"/>
        <v>946</v>
      </c>
      <c r="B947" s="79">
        <f>YEAR(Table6[[#This Row],[Date]])+IF(MONTH(Table6[[#This Row],[Date]])&gt;=4,1,0)</f>
        <v>2026</v>
      </c>
      <c r="C947" s="79">
        <f>YEAR(Table6[[#This Row],[Date]])</f>
        <v>2025</v>
      </c>
      <c r="D947" s="79" t="s">
        <v>344</v>
      </c>
      <c r="E947" s="284">
        <f>Table6[[#This Row],[Date]]-DAY(Table6[[#This Row],[Date]])+1</f>
        <v>45809</v>
      </c>
      <c r="F947" s="285">
        <v>45828</v>
      </c>
      <c r="G947" s="79" t="s">
        <v>102</v>
      </c>
      <c r="H947" s="79" t="str">
        <f>IFERROR(_xlfn.XLOOKUP(Table6[[#This Row],[Affected Feeder ]],'Basic Data'!$A:$A,'Basic Data'!$B:$B),"")</f>
        <v>PWEPL</v>
      </c>
      <c r="I947" s="79" t="str">
        <f>IFERROR(_xlfn.XLOOKUP(Table6[[#This Row],[Affected Feeder ]],'Basic Data'!$A:$A,'Basic Data'!$C:$C),"")</f>
        <v>MSEDCL</v>
      </c>
      <c r="J947" s="295">
        <f>IFERROR(_xlfn.XLOOKUP(Table6[[#This Row],[Affected Feeder ]],'Basic Data'!$A:$A,'Basic Data'!$E:$E),"")</f>
        <v>2.2727272727272728E-2</v>
      </c>
      <c r="K947" s="296" t="s">
        <v>171</v>
      </c>
      <c r="L947" s="297">
        <v>0.12222222222222223</v>
      </c>
      <c r="M947" s="297">
        <v>0.12222222222222223</v>
      </c>
      <c r="N947" s="297">
        <v>0.1361111111111111</v>
      </c>
      <c r="O947" s="298">
        <f>(Table6[[#This Row],[Work Start TimeStamp]]-Table6[[#This Row],[Fault Start TimeStamp]])*24</f>
        <v>0</v>
      </c>
      <c r="P947" s="298">
        <f>(Table6[[#This Row],[Fault Clearance time]]-Table6[[#This Row],[Fault Start TimeStamp]])*24</f>
        <v>0.33333333333333282</v>
      </c>
      <c r="Q947" s="298">
        <f>(Table6[[#This Row],[Fault Clearance time]]-Table6[[#This Row],[Fault Start TimeStamp]])*24</f>
        <v>0.33333333333333282</v>
      </c>
      <c r="R947" s="79" t="s">
        <v>353</v>
      </c>
      <c r="S947" s="79" t="s">
        <v>339</v>
      </c>
      <c r="T947" s="298">
        <f>IFERROR(Table6[[#This Row],[Breakdown Time]]*Table6[[#This Row],[Plant Equivalent Weightage]],"")</f>
        <v>7.5757575757575638E-3</v>
      </c>
      <c r="U947" s="79" t="s">
        <v>421</v>
      </c>
      <c r="W947" s="79">
        <v>591</v>
      </c>
    </row>
    <row r="948" spans="1:23">
      <c r="A948" s="79">
        <f t="shared" si="14"/>
        <v>947</v>
      </c>
      <c r="B948" s="79">
        <f>YEAR(Table6[[#This Row],[Date]])+IF(MONTH(Table6[[#This Row],[Date]])&gt;=4,1,0)</f>
        <v>2026</v>
      </c>
      <c r="C948" s="79">
        <f>YEAR(Table6[[#This Row],[Date]])</f>
        <v>2025</v>
      </c>
      <c r="D948" s="79" t="s">
        <v>344</v>
      </c>
      <c r="E948" s="284">
        <f>Table6[[#This Row],[Date]]-DAY(Table6[[#This Row],[Date]])+1</f>
        <v>45809</v>
      </c>
      <c r="F948" s="285">
        <v>45828</v>
      </c>
      <c r="G948" s="79" t="s">
        <v>119</v>
      </c>
      <c r="H948" s="79" t="str">
        <f>IFERROR(_xlfn.XLOOKUP(Table6[[#This Row],[Affected Feeder ]],'Basic Data'!$A:$A,'Basic Data'!$B:$B),"")</f>
        <v>PWEPL</v>
      </c>
      <c r="I948" s="79" t="str">
        <f>IFERROR(_xlfn.XLOOKUP(Table6[[#This Row],[Affected Feeder ]],'Basic Data'!$A:$A,'Basic Data'!$C:$C),"")</f>
        <v>MSEDCL</v>
      </c>
      <c r="J948" s="295">
        <f>IFERROR(_xlfn.XLOOKUP(Table6[[#This Row],[Affected Feeder ]],'Basic Data'!$A:$A,'Basic Data'!$E:$E),"")</f>
        <v>2.2727272727272728E-2</v>
      </c>
      <c r="K948" s="296" t="s">
        <v>171</v>
      </c>
      <c r="L948" s="297">
        <v>0.12222222222222223</v>
      </c>
      <c r="M948" s="297">
        <v>0.12222222222222223</v>
      </c>
      <c r="N948" s="297">
        <v>0.1361111111111111</v>
      </c>
      <c r="O948" s="298">
        <f>(Table6[[#This Row],[Work Start TimeStamp]]-Table6[[#This Row],[Fault Start TimeStamp]])*24</f>
        <v>0</v>
      </c>
      <c r="P948" s="298">
        <f>(Table6[[#This Row],[Fault Clearance time]]-Table6[[#This Row],[Fault Start TimeStamp]])*24</f>
        <v>0.33333333333333282</v>
      </c>
      <c r="Q948" s="298">
        <f>(Table6[[#This Row],[Fault Clearance time]]-Table6[[#This Row],[Fault Start TimeStamp]])*24</f>
        <v>0.33333333333333282</v>
      </c>
      <c r="R948" s="79" t="s">
        <v>353</v>
      </c>
      <c r="S948" s="79" t="s">
        <v>339</v>
      </c>
      <c r="T948" s="298">
        <f>IFERROR(Table6[[#This Row],[Breakdown Time]]*Table6[[#This Row],[Plant Equivalent Weightage]],"")</f>
        <v>7.5757575757575638E-3</v>
      </c>
      <c r="U948" s="79" t="s">
        <v>421</v>
      </c>
      <c r="W948" s="79">
        <v>591</v>
      </c>
    </row>
    <row r="949" spans="1:23">
      <c r="A949" s="79">
        <f t="shared" si="14"/>
        <v>948</v>
      </c>
      <c r="B949" s="79">
        <f>YEAR(Table6[[#This Row],[Date]])+IF(MONTH(Table6[[#This Row],[Date]])&gt;=4,1,0)</f>
        <v>2026</v>
      </c>
      <c r="C949" s="79">
        <f>YEAR(Table6[[#This Row],[Date]])</f>
        <v>2025</v>
      </c>
      <c r="D949" s="79" t="s">
        <v>344</v>
      </c>
      <c r="E949" s="284">
        <f>Table6[[#This Row],[Date]]-DAY(Table6[[#This Row],[Date]])+1</f>
        <v>45809</v>
      </c>
      <c r="F949" s="285">
        <v>45828</v>
      </c>
      <c r="G949" s="79" t="s">
        <v>105</v>
      </c>
      <c r="H949" s="79" t="str">
        <f>IFERROR(_xlfn.XLOOKUP(Table6[[#This Row],[Affected Feeder ]],'Basic Data'!$A:$A,'Basic Data'!$B:$B),"")</f>
        <v>PWEPL</v>
      </c>
      <c r="I949" s="79" t="str">
        <f>IFERROR(_xlfn.XLOOKUP(Table6[[#This Row],[Affected Feeder ]],'Basic Data'!$A:$A,'Basic Data'!$C:$C),"")</f>
        <v>MSEDCL</v>
      </c>
      <c r="J949" s="295">
        <f>IFERROR(_xlfn.XLOOKUP(Table6[[#This Row],[Affected Feeder ]],'Basic Data'!$A:$A,'Basic Data'!$E:$E),"")</f>
        <v>2.2727272727272728E-2</v>
      </c>
      <c r="K949" s="296" t="s">
        <v>171</v>
      </c>
      <c r="L949" s="297">
        <v>0.12222222222222223</v>
      </c>
      <c r="M949" s="297">
        <v>0.12222222222222223</v>
      </c>
      <c r="N949" s="297">
        <v>0.1361111111111111</v>
      </c>
      <c r="O949" s="298">
        <f>(Table6[[#This Row],[Work Start TimeStamp]]-Table6[[#This Row],[Fault Start TimeStamp]])*24</f>
        <v>0</v>
      </c>
      <c r="P949" s="298">
        <f>(Table6[[#This Row],[Fault Clearance time]]-Table6[[#This Row],[Fault Start TimeStamp]])*24</f>
        <v>0.33333333333333282</v>
      </c>
      <c r="Q949" s="298">
        <f>(Table6[[#This Row],[Fault Clearance time]]-Table6[[#This Row],[Fault Start TimeStamp]])*24</f>
        <v>0.33333333333333282</v>
      </c>
      <c r="R949" s="79" t="s">
        <v>353</v>
      </c>
      <c r="S949" s="79" t="s">
        <v>339</v>
      </c>
      <c r="T949" s="298">
        <f>IFERROR(Table6[[#This Row],[Breakdown Time]]*Table6[[#This Row],[Plant Equivalent Weightage]],"")</f>
        <v>7.5757575757575638E-3</v>
      </c>
      <c r="U949" s="79" t="s">
        <v>421</v>
      </c>
      <c r="W949" s="79">
        <v>591</v>
      </c>
    </row>
    <row r="950" spans="1:23">
      <c r="A950" s="79">
        <f t="shared" si="14"/>
        <v>949</v>
      </c>
      <c r="B950" s="79">
        <f>YEAR(Table6[[#This Row],[Date]])+IF(MONTH(Table6[[#This Row],[Date]])&gt;=4,1,0)</f>
        <v>2026</v>
      </c>
      <c r="C950" s="79">
        <f>YEAR(Table6[[#This Row],[Date]])</f>
        <v>2025</v>
      </c>
      <c r="D950" s="79" t="s">
        <v>344</v>
      </c>
      <c r="E950" s="284">
        <f>Table6[[#This Row],[Date]]-DAY(Table6[[#This Row],[Date]])+1</f>
        <v>45809</v>
      </c>
      <c r="F950" s="285">
        <v>45828</v>
      </c>
      <c r="G950" s="79" t="s">
        <v>115</v>
      </c>
      <c r="H950" s="79" t="str">
        <f>IFERROR(_xlfn.XLOOKUP(Table6[[#This Row],[Affected Feeder ]],'Basic Data'!$A:$A,'Basic Data'!$B:$B),"")</f>
        <v>PWEPL</v>
      </c>
      <c r="I950" s="79" t="str">
        <f>IFERROR(_xlfn.XLOOKUP(Table6[[#This Row],[Affected Feeder ]],'Basic Data'!$A:$A,'Basic Data'!$C:$C),"")</f>
        <v>MSEDCL</v>
      </c>
      <c r="J950" s="295">
        <f>IFERROR(_xlfn.XLOOKUP(Table6[[#This Row],[Affected Feeder ]],'Basic Data'!$A:$A,'Basic Data'!$E:$E),"")</f>
        <v>2.2727272727272728E-2</v>
      </c>
      <c r="K950" s="296" t="s">
        <v>171</v>
      </c>
      <c r="L950" s="297">
        <v>0.12222222222222223</v>
      </c>
      <c r="M950" s="297">
        <v>0.12222222222222223</v>
      </c>
      <c r="N950" s="297">
        <v>0.1361111111111111</v>
      </c>
      <c r="O950" s="298">
        <f>(Table6[[#This Row],[Work Start TimeStamp]]-Table6[[#This Row],[Fault Start TimeStamp]])*24</f>
        <v>0</v>
      </c>
      <c r="P950" s="298">
        <f>(Table6[[#This Row],[Fault Clearance time]]-Table6[[#This Row],[Fault Start TimeStamp]])*24</f>
        <v>0.33333333333333282</v>
      </c>
      <c r="Q950" s="298">
        <f>(Table6[[#This Row],[Fault Clearance time]]-Table6[[#This Row],[Fault Start TimeStamp]])*24</f>
        <v>0.33333333333333282</v>
      </c>
      <c r="R950" s="79" t="s">
        <v>353</v>
      </c>
      <c r="S950" s="79" t="s">
        <v>339</v>
      </c>
      <c r="T950" s="298">
        <f>IFERROR(Table6[[#This Row],[Breakdown Time]]*Table6[[#This Row],[Plant Equivalent Weightage]],"")</f>
        <v>7.5757575757575638E-3</v>
      </c>
      <c r="U950" s="79" t="s">
        <v>421</v>
      </c>
      <c r="W950" s="79">
        <v>591</v>
      </c>
    </row>
    <row r="951" spans="1:23">
      <c r="A951" s="79">
        <f t="shared" si="14"/>
        <v>950</v>
      </c>
      <c r="B951" s="79">
        <f>YEAR(Table6[[#This Row],[Date]])+IF(MONTH(Table6[[#This Row],[Date]])&gt;=4,1,0)</f>
        <v>2026</v>
      </c>
      <c r="C951" s="79">
        <f>YEAR(Table6[[#This Row],[Date]])</f>
        <v>2025</v>
      </c>
      <c r="D951" s="79" t="s">
        <v>344</v>
      </c>
      <c r="E951" s="284">
        <f>Table6[[#This Row],[Date]]-DAY(Table6[[#This Row],[Date]])+1</f>
        <v>45809</v>
      </c>
      <c r="F951" s="285">
        <v>45828</v>
      </c>
      <c r="G951" s="79" t="s">
        <v>116</v>
      </c>
      <c r="H951" s="79" t="str">
        <f>IFERROR(_xlfn.XLOOKUP(Table6[[#This Row],[Affected Feeder ]],'Basic Data'!$A:$A,'Basic Data'!$B:$B),"")</f>
        <v>PWEPL</v>
      </c>
      <c r="I951" s="79" t="str">
        <f>IFERROR(_xlfn.XLOOKUP(Table6[[#This Row],[Affected Feeder ]],'Basic Data'!$A:$A,'Basic Data'!$C:$C),"")</f>
        <v>MSEDCL</v>
      </c>
      <c r="J951" s="295">
        <f>IFERROR(_xlfn.XLOOKUP(Table6[[#This Row],[Affected Feeder ]],'Basic Data'!$A:$A,'Basic Data'!$E:$E),"")</f>
        <v>2.2727272727272728E-2</v>
      </c>
      <c r="K951" s="296" t="s">
        <v>171</v>
      </c>
      <c r="L951" s="297">
        <v>0.12222222222222223</v>
      </c>
      <c r="M951" s="297">
        <v>0.12222222222222223</v>
      </c>
      <c r="N951" s="297">
        <v>0.1361111111111111</v>
      </c>
      <c r="O951" s="298">
        <f>(Table6[[#This Row],[Work Start TimeStamp]]-Table6[[#This Row],[Fault Start TimeStamp]])*24</f>
        <v>0</v>
      </c>
      <c r="P951" s="298">
        <f>(Table6[[#This Row],[Fault Clearance time]]-Table6[[#This Row],[Fault Start TimeStamp]])*24</f>
        <v>0.33333333333333282</v>
      </c>
      <c r="Q951" s="298">
        <f>(Table6[[#This Row],[Fault Clearance time]]-Table6[[#This Row],[Fault Start TimeStamp]])*24</f>
        <v>0.33333333333333282</v>
      </c>
      <c r="R951" s="79" t="s">
        <v>353</v>
      </c>
      <c r="S951" s="79" t="s">
        <v>339</v>
      </c>
      <c r="T951" s="298">
        <f>IFERROR(Table6[[#This Row],[Breakdown Time]]*Table6[[#This Row],[Plant Equivalent Weightage]],"")</f>
        <v>7.5757575757575638E-3</v>
      </c>
      <c r="U951" s="79" t="s">
        <v>421</v>
      </c>
      <c r="W951" s="79">
        <v>591</v>
      </c>
    </row>
    <row r="952" spans="1:23">
      <c r="A952" s="79">
        <f t="shared" si="14"/>
        <v>951</v>
      </c>
      <c r="B952" s="79">
        <f>YEAR(Table6[[#This Row],[Date]])+IF(MONTH(Table6[[#This Row],[Date]])&gt;=4,1,0)</f>
        <v>2026</v>
      </c>
      <c r="C952" s="79">
        <f>YEAR(Table6[[#This Row],[Date]])</f>
        <v>2025</v>
      </c>
      <c r="D952" s="79" t="s">
        <v>344</v>
      </c>
      <c r="E952" s="284">
        <f>Table6[[#This Row],[Date]]-DAY(Table6[[#This Row],[Date]])+1</f>
        <v>45809</v>
      </c>
      <c r="F952" s="285">
        <v>45828</v>
      </c>
      <c r="G952" s="79" t="s">
        <v>117</v>
      </c>
      <c r="H952" s="79" t="str">
        <f>IFERROR(_xlfn.XLOOKUP(Table6[[#This Row],[Affected Feeder ]],'Basic Data'!$A:$A,'Basic Data'!$B:$B),"")</f>
        <v>PWEPL</v>
      </c>
      <c r="I952" s="79" t="str">
        <f>IFERROR(_xlfn.XLOOKUP(Table6[[#This Row],[Affected Feeder ]],'Basic Data'!$A:$A,'Basic Data'!$C:$C),"")</f>
        <v>MSEDCL</v>
      </c>
      <c r="J952" s="295">
        <f>IFERROR(_xlfn.XLOOKUP(Table6[[#This Row],[Affected Feeder ]],'Basic Data'!$A:$A,'Basic Data'!$E:$E),"")</f>
        <v>2.2727272727272728E-2</v>
      </c>
      <c r="K952" s="296" t="s">
        <v>171</v>
      </c>
      <c r="L952" s="297">
        <v>0.12222222222222223</v>
      </c>
      <c r="M952" s="297">
        <v>0.12222222222222223</v>
      </c>
      <c r="N952" s="297">
        <v>0.1361111111111111</v>
      </c>
      <c r="O952" s="298">
        <f>(Table6[[#This Row],[Work Start TimeStamp]]-Table6[[#This Row],[Fault Start TimeStamp]])*24</f>
        <v>0</v>
      </c>
      <c r="P952" s="298">
        <f>(Table6[[#This Row],[Fault Clearance time]]-Table6[[#This Row],[Fault Start TimeStamp]])*24</f>
        <v>0.33333333333333282</v>
      </c>
      <c r="Q952" s="298">
        <f>(Table6[[#This Row],[Fault Clearance time]]-Table6[[#This Row],[Fault Start TimeStamp]])*24</f>
        <v>0.33333333333333282</v>
      </c>
      <c r="R952" s="79" t="s">
        <v>353</v>
      </c>
      <c r="S952" s="79" t="s">
        <v>339</v>
      </c>
      <c r="T952" s="298">
        <f>IFERROR(Table6[[#This Row],[Breakdown Time]]*Table6[[#This Row],[Plant Equivalent Weightage]],"")</f>
        <v>7.5757575757575638E-3</v>
      </c>
      <c r="U952" s="79" t="s">
        <v>421</v>
      </c>
      <c r="W952" s="79">
        <v>591</v>
      </c>
    </row>
    <row r="953" spans="1:23">
      <c r="A953" s="79">
        <f t="shared" si="14"/>
        <v>952</v>
      </c>
      <c r="B953" s="79">
        <f>YEAR(Table6[[#This Row],[Date]])+IF(MONTH(Table6[[#This Row],[Date]])&gt;=4,1,0)</f>
        <v>2026</v>
      </c>
      <c r="C953" s="79">
        <f>YEAR(Table6[[#This Row],[Date]])</f>
        <v>2025</v>
      </c>
      <c r="D953" s="79" t="s">
        <v>344</v>
      </c>
      <c r="E953" s="284">
        <f>Table6[[#This Row],[Date]]-DAY(Table6[[#This Row],[Date]])+1</f>
        <v>45809</v>
      </c>
      <c r="F953" s="285">
        <v>45828</v>
      </c>
      <c r="G953" s="79" t="s">
        <v>118</v>
      </c>
      <c r="H953" s="79" t="str">
        <f>IFERROR(_xlfn.XLOOKUP(Table6[[#This Row],[Affected Feeder ]],'Basic Data'!$A:$A,'Basic Data'!$B:$B),"")</f>
        <v>PWEPL</v>
      </c>
      <c r="I953" s="79" t="str">
        <f>IFERROR(_xlfn.XLOOKUP(Table6[[#This Row],[Affected Feeder ]],'Basic Data'!$A:$A,'Basic Data'!$C:$C),"")</f>
        <v>MSEDCL</v>
      </c>
      <c r="J953" s="295">
        <f>IFERROR(_xlfn.XLOOKUP(Table6[[#This Row],[Affected Feeder ]],'Basic Data'!$A:$A,'Basic Data'!$E:$E),"")</f>
        <v>2.2727272727272728E-2</v>
      </c>
      <c r="K953" s="296" t="s">
        <v>171</v>
      </c>
      <c r="L953" s="297">
        <v>0.12222222222222223</v>
      </c>
      <c r="M953" s="297">
        <v>0.12222222222222223</v>
      </c>
      <c r="N953" s="297">
        <v>0.1361111111111111</v>
      </c>
      <c r="O953" s="298">
        <f>(Table6[[#This Row],[Work Start TimeStamp]]-Table6[[#This Row],[Fault Start TimeStamp]])*24</f>
        <v>0</v>
      </c>
      <c r="P953" s="298">
        <f>(Table6[[#This Row],[Fault Clearance time]]-Table6[[#This Row],[Fault Start TimeStamp]])*24</f>
        <v>0.33333333333333282</v>
      </c>
      <c r="Q953" s="298">
        <f>(Table6[[#This Row],[Fault Clearance time]]-Table6[[#This Row],[Fault Start TimeStamp]])*24</f>
        <v>0.33333333333333282</v>
      </c>
      <c r="R953" s="79" t="s">
        <v>353</v>
      </c>
      <c r="S953" s="79" t="s">
        <v>339</v>
      </c>
      <c r="T953" s="298">
        <f>IFERROR(Table6[[#This Row],[Breakdown Time]]*Table6[[#This Row],[Plant Equivalent Weightage]],"")</f>
        <v>7.5757575757575638E-3</v>
      </c>
      <c r="U953" s="79" t="s">
        <v>421</v>
      </c>
      <c r="W953" s="79">
        <v>591</v>
      </c>
    </row>
    <row r="954" spans="1:23">
      <c r="A954" s="79">
        <f t="shared" si="14"/>
        <v>953</v>
      </c>
      <c r="B954" s="79">
        <f>YEAR(Table6[[#This Row],[Date]])+IF(MONTH(Table6[[#This Row],[Date]])&gt;=4,1,0)</f>
        <v>2026</v>
      </c>
      <c r="C954" s="79">
        <f>YEAR(Table6[[#This Row],[Date]])</f>
        <v>2025</v>
      </c>
      <c r="D954" s="79" t="s">
        <v>344</v>
      </c>
      <c r="E954" s="284">
        <f>Table6[[#This Row],[Date]]-DAY(Table6[[#This Row],[Date]])+1</f>
        <v>45809</v>
      </c>
      <c r="F954" s="285">
        <v>45828</v>
      </c>
      <c r="G954" s="79" t="s">
        <v>103</v>
      </c>
      <c r="H954" s="79" t="str">
        <f>IFERROR(_xlfn.XLOOKUP(Table6[[#This Row],[Affected Feeder ]],'Basic Data'!$A:$A,'Basic Data'!$B:$B),"")</f>
        <v>PWEPL</v>
      </c>
      <c r="I954" s="79" t="str">
        <f>IFERROR(_xlfn.XLOOKUP(Table6[[#This Row],[Affected Feeder ]],'Basic Data'!$A:$A,'Basic Data'!$C:$C),"")</f>
        <v>MSEDCL</v>
      </c>
      <c r="J954" s="295">
        <f>IFERROR(_xlfn.XLOOKUP(Table6[[#This Row],[Affected Feeder ]],'Basic Data'!$A:$A,'Basic Data'!$E:$E),"")</f>
        <v>2.2727272727272728E-2</v>
      </c>
      <c r="K954" s="296" t="s">
        <v>934</v>
      </c>
      <c r="L954" s="297">
        <v>0.12222222222222223</v>
      </c>
      <c r="M954" s="297">
        <v>0.12222222222222223</v>
      </c>
      <c r="N954" s="297">
        <v>0.18055555555555555</v>
      </c>
      <c r="O954" s="298">
        <f>(Table6[[#This Row],[Work Start TimeStamp]]-Table6[[#This Row],[Fault Start TimeStamp]])*24</f>
        <v>0</v>
      </c>
      <c r="P954" s="298">
        <f>(Table6[[#This Row],[Fault Clearance time]]-Table6[[#This Row],[Fault Start TimeStamp]])*24</f>
        <v>1.3999999999999997</v>
      </c>
      <c r="Q954" s="298">
        <f>(Table6[[#This Row],[Fault Clearance time]]-Table6[[#This Row],[Fault Start TimeStamp]])*24</f>
        <v>1.3999999999999997</v>
      </c>
      <c r="R954" s="79" t="s">
        <v>935</v>
      </c>
      <c r="S954" s="79" t="s">
        <v>339</v>
      </c>
      <c r="T954" s="298">
        <f>IFERROR(Table6[[#This Row],[Breakdown Time]]*Table6[[#This Row],[Plant Equivalent Weightage]],"")</f>
        <v>3.1818181818181815E-2</v>
      </c>
      <c r="U954" s="79" t="s">
        <v>421</v>
      </c>
      <c r="W954" s="79">
        <v>194</v>
      </c>
    </row>
    <row r="955" spans="1:23">
      <c r="A955" s="79">
        <f t="shared" si="14"/>
        <v>954</v>
      </c>
      <c r="B955" s="79">
        <f>YEAR(Table6[[#This Row],[Date]])+IF(MONTH(Table6[[#This Row],[Date]])&gt;=4,1,0)</f>
        <v>2026</v>
      </c>
      <c r="C955" s="79">
        <f>YEAR(Table6[[#This Row],[Date]])</f>
        <v>2025</v>
      </c>
      <c r="D955" s="79" t="s">
        <v>344</v>
      </c>
      <c r="E955" s="284">
        <f>Table6[[#This Row],[Date]]-DAY(Table6[[#This Row],[Date]])+1</f>
        <v>45809</v>
      </c>
      <c r="F955" s="285">
        <v>45828</v>
      </c>
      <c r="G955" s="79" t="s">
        <v>103</v>
      </c>
      <c r="H955" s="79" t="str">
        <f>IFERROR(_xlfn.XLOOKUP(Table6[[#This Row],[Affected Feeder ]],'Basic Data'!$A:$A,'Basic Data'!$B:$B),"")</f>
        <v>PWEPL</v>
      </c>
      <c r="I955" s="79" t="str">
        <f>IFERROR(_xlfn.XLOOKUP(Table6[[#This Row],[Affected Feeder ]],'Basic Data'!$A:$A,'Basic Data'!$C:$C),"")</f>
        <v>MSEDCL</v>
      </c>
      <c r="J955" s="295">
        <f>IFERROR(_xlfn.XLOOKUP(Table6[[#This Row],[Affected Feeder ]],'Basic Data'!$A:$A,'Basic Data'!$E:$E),"")</f>
        <v>2.2727272727272728E-2</v>
      </c>
      <c r="K955" s="296" t="s">
        <v>171</v>
      </c>
      <c r="L955" s="297">
        <v>0.18055555555555555</v>
      </c>
      <c r="M955" s="297">
        <v>0.18055555555555555</v>
      </c>
      <c r="N955" s="297">
        <v>0.19444444444444445</v>
      </c>
      <c r="O955" s="298">
        <f>(Table6[[#This Row],[Work Start TimeStamp]]-Table6[[#This Row],[Fault Start TimeStamp]])*24</f>
        <v>0</v>
      </c>
      <c r="P955" s="298">
        <f>(Table6[[#This Row],[Fault Clearance time]]-Table6[[#This Row],[Fault Start TimeStamp]])*24</f>
        <v>0.33333333333333348</v>
      </c>
      <c r="Q955" s="298">
        <f>(Table6[[#This Row],[Fault Clearance time]]-Table6[[#This Row],[Fault Start TimeStamp]])*24</f>
        <v>0.33333333333333348</v>
      </c>
      <c r="R955" s="79" t="s">
        <v>353</v>
      </c>
      <c r="S955" s="79" t="s">
        <v>339</v>
      </c>
      <c r="T955" s="298">
        <f>IFERROR(Table6[[#This Row],[Breakdown Time]]*Table6[[#This Row],[Plant Equivalent Weightage]],"")</f>
        <v>7.5757575757575794E-3</v>
      </c>
      <c r="U955" s="79" t="s">
        <v>421</v>
      </c>
      <c r="W955" s="79">
        <v>60</v>
      </c>
    </row>
    <row r="956" spans="1:23">
      <c r="A956" s="79">
        <f t="shared" si="14"/>
        <v>955</v>
      </c>
      <c r="B956" s="79">
        <f>YEAR(Table6[[#This Row],[Date]])+IF(MONTH(Table6[[#This Row],[Date]])&gt;=4,1,0)</f>
        <v>2026</v>
      </c>
      <c r="C956" s="79">
        <f>YEAR(Table6[[#This Row],[Date]])</f>
        <v>2025</v>
      </c>
      <c r="D956" s="79" t="s">
        <v>344</v>
      </c>
      <c r="E956" s="284">
        <f>Table6[[#This Row],[Date]]-DAY(Table6[[#This Row],[Date]])+1</f>
        <v>45809</v>
      </c>
      <c r="F956" s="285">
        <v>45828</v>
      </c>
      <c r="G956" s="79" t="s">
        <v>103</v>
      </c>
      <c r="H956" s="79" t="str">
        <f>IFERROR(_xlfn.XLOOKUP(Table6[[#This Row],[Affected Feeder ]],'Basic Data'!$A:$A,'Basic Data'!$B:$B),"")</f>
        <v>PWEPL</v>
      </c>
      <c r="I956" s="79" t="str">
        <f>IFERROR(_xlfn.XLOOKUP(Table6[[#This Row],[Affected Feeder ]],'Basic Data'!$A:$A,'Basic Data'!$C:$C),"")</f>
        <v>MSEDCL</v>
      </c>
      <c r="J956" s="295">
        <f>IFERROR(_xlfn.XLOOKUP(Table6[[#This Row],[Affected Feeder ]],'Basic Data'!$A:$A,'Basic Data'!$E:$E),"")</f>
        <v>2.2727272727272728E-2</v>
      </c>
      <c r="K956" s="296" t="s">
        <v>796</v>
      </c>
      <c r="L956" s="297">
        <v>8.819444444444445E-2</v>
      </c>
      <c r="M956" s="297">
        <v>8.819444444444445E-2</v>
      </c>
      <c r="N956" s="297">
        <v>0.14097222222222222</v>
      </c>
      <c r="O956" s="298">
        <f>(Table6[[#This Row],[Work Start TimeStamp]]-Table6[[#This Row],[Fault Start TimeStamp]])*24</f>
        <v>0</v>
      </c>
      <c r="P956" s="298">
        <f>(Table6[[#This Row],[Fault Clearance time]]-Table6[[#This Row],[Fault Start TimeStamp]])*24</f>
        <v>1.2666666666666666</v>
      </c>
      <c r="Q956" s="298">
        <f>(Table6[[#This Row],[Fault Clearance time]]-Table6[[#This Row],[Fault Start TimeStamp]])*24</f>
        <v>1.2666666666666666</v>
      </c>
      <c r="R956" s="79" t="s">
        <v>424</v>
      </c>
      <c r="S956" s="79" t="s">
        <v>339</v>
      </c>
      <c r="T956" s="298">
        <f>IFERROR(Table6[[#This Row],[Breakdown Time]]*Table6[[#This Row],[Plant Equivalent Weightage]],"")</f>
        <v>2.8787878787878786E-2</v>
      </c>
      <c r="U956" s="79" t="s">
        <v>421</v>
      </c>
      <c r="W956" s="79">
        <v>0</v>
      </c>
    </row>
    <row r="957" spans="1:23">
      <c r="A957" s="79">
        <f t="shared" si="14"/>
        <v>956</v>
      </c>
      <c r="B957" s="79">
        <f>YEAR(Table6[[#This Row],[Date]])+IF(MONTH(Table6[[#This Row],[Date]])&gt;=4,1,0)</f>
        <v>2026</v>
      </c>
      <c r="C957" s="79">
        <f>YEAR(Table6[[#This Row],[Date]])</f>
        <v>2025</v>
      </c>
      <c r="D957" s="79" t="s">
        <v>344</v>
      </c>
      <c r="E957" s="284">
        <f>Table6[[#This Row],[Date]]-DAY(Table6[[#This Row],[Date]])+1</f>
        <v>45809</v>
      </c>
      <c r="F957" s="285">
        <v>45828</v>
      </c>
      <c r="G957" s="79" t="s">
        <v>103</v>
      </c>
      <c r="H957" s="79" t="str">
        <f>IFERROR(_xlfn.XLOOKUP(Table6[[#This Row],[Affected Feeder ]],'Basic Data'!$A:$A,'Basic Data'!$B:$B),"")</f>
        <v>PWEPL</v>
      </c>
      <c r="I957" s="79" t="str">
        <f>IFERROR(_xlfn.XLOOKUP(Table6[[#This Row],[Affected Feeder ]],'Basic Data'!$A:$A,'Basic Data'!$C:$C),"")</f>
        <v>MSEDCL</v>
      </c>
      <c r="J957" s="295">
        <f>IFERROR(_xlfn.XLOOKUP(Table6[[#This Row],[Affected Feeder ]],'Basic Data'!$A:$A,'Basic Data'!$E:$E),"")</f>
        <v>2.2727272727272728E-2</v>
      </c>
      <c r="K957" s="296" t="s">
        <v>171</v>
      </c>
      <c r="L957" s="297">
        <v>0.14097222222222222</v>
      </c>
      <c r="M957" s="297">
        <v>0.14097222222222222</v>
      </c>
      <c r="N957" s="297">
        <v>0.15486111111111112</v>
      </c>
      <c r="O957" s="298">
        <f>(Table6[[#This Row],[Work Start TimeStamp]]-Table6[[#This Row],[Fault Start TimeStamp]])*24</f>
        <v>0</v>
      </c>
      <c r="P957" s="298">
        <f>(Table6[[#This Row],[Fault Clearance time]]-Table6[[#This Row],[Fault Start TimeStamp]])*24</f>
        <v>0.33333333333333348</v>
      </c>
      <c r="Q957" s="298">
        <f>(Table6[[#This Row],[Fault Clearance time]]-Table6[[#This Row],[Fault Start TimeStamp]])*24</f>
        <v>0.33333333333333348</v>
      </c>
      <c r="R957" s="79" t="s">
        <v>353</v>
      </c>
      <c r="S957" s="79" t="s">
        <v>339</v>
      </c>
      <c r="T957" s="298">
        <f>IFERROR(Table6[[#This Row],[Breakdown Time]]*Table6[[#This Row],[Plant Equivalent Weightage]],"")</f>
        <v>7.5757575757575794E-3</v>
      </c>
      <c r="U957" s="79" t="s">
        <v>421</v>
      </c>
      <c r="W957" s="79">
        <v>0</v>
      </c>
    </row>
    <row r="958" spans="1:23">
      <c r="A958" s="79">
        <f t="shared" si="14"/>
        <v>957</v>
      </c>
      <c r="B958" s="79">
        <f>YEAR(Table6[[#This Row],[Date]])+IF(MONTH(Table6[[#This Row],[Date]])&gt;=4,1,0)</f>
        <v>2026</v>
      </c>
      <c r="C958" s="79">
        <f>YEAR(Table6[[#This Row],[Date]])</f>
        <v>2025</v>
      </c>
      <c r="D958" s="79" t="s">
        <v>344</v>
      </c>
      <c r="E958" s="284">
        <f>Table6[[#This Row],[Date]]-DAY(Table6[[#This Row],[Date]])+1</f>
        <v>45809</v>
      </c>
      <c r="F958" s="285">
        <v>45828</v>
      </c>
      <c r="G958" s="79" t="s">
        <v>117</v>
      </c>
      <c r="H958" s="79" t="str">
        <f>IFERROR(_xlfn.XLOOKUP(Table6[[#This Row],[Affected Feeder ]],'Basic Data'!$A:$A,'Basic Data'!$B:$B),"")</f>
        <v>PWEPL</v>
      </c>
      <c r="I958" s="79" t="str">
        <f>IFERROR(_xlfn.XLOOKUP(Table6[[#This Row],[Affected Feeder ]],'Basic Data'!$A:$A,'Basic Data'!$C:$C),"")</f>
        <v>MSEDCL</v>
      </c>
      <c r="J958" s="295">
        <f>IFERROR(_xlfn.XLOOKUP(Table6[[#This Row],[Affected Feeder ]],'Basic Data'!$A:$A,'Basic Data'!$E:$E),"")</f>
        <v>2.2727272727272728E-2</v>
      </c>
      <c r="K958" s="296" t="s">
        <v>796</v>
      </c>
      <c r="L958" s="297">
        <v>8.819444444444445E-2</v>
      </c>
      <c r="M958" s="297">
        <v>8.819444444444445E-2</v>
      </c>
      <c r="N958" s="297">
        <v>0.14097222222222222</v>
      </c>
      <c r="O958" s="298">
        <f>(Table6[[#This Row],[Work Start TimeStamp]]-Table6[[#This Row],[Fault Start TimeStamp]])*24</f>
        <v>0</v>
      </c>
      <c r="P958" s="298">
        <f>(Table6[[#This Row],[Fault Clearance time]]-Table6[[#This Row],[Fault Start TimeStamp]])*24</f>
        <v>1.2666666666666666</v>
      </c>
      <c r="Q958" s="298">
        <f>(Table6[[#This Row],[Fault Clearance time]]-Table6[[#This Row],[Fault Start TimeStamp]])*24</f>
        <v>1.2666666666666666</v>
      </c>
      <c r="R958" s="79" t="s">
        <v>424</v>
      </c>
      <c r="S958" s="79" t="s">
        <v>339</v>
      </c>
      <c r="T958" s="298">
        <f>IFERROR(Table6[[#This Row],[Breakdown Time]]*Table6[[#This Row],[Plant Equivalent Weightage]],"")</f>
        <v>2.8787878787878786E-2</v>
      </c>
      <c r="U958" s="79" t="s">
        <v>421</v>
      </c>
      <c r="W958" s="79">
        <v>320</v>
      </c>
    </row>
    <row r="959" spans="1:23">
      <c r="A959" s="79">
        <f t="shared" si="14"/>
        <v>958</v>
      </c>
      <c r="B959" s="79">
        <f>YEAR(Table6[[#This Row],[Date]])+IF(MONTH(Table6[[#This Row],[Date]])&gt;=4,1,0)</f>
        <v>2026</v>
      </c>
      <c r="C959" s="79">
        <f>YEAR(Table6[[#This Row],[Date]])</f>
        <v>2025</v>
      </c>
      <c r="D959" s="79" t="s">
        <v>344</v>
      </c>
      <c r="E959" s="284">
        <f>Table6[[#This Row],[Date]]-DAY(Table6[[#This Row],[Date]])+1</f>
        <v>45809</v>
      </c>
      <c r="F959" s="285">
        <v>45828</v>
      </c>
      <c r="G959" s="79" t="s">
        <v>117</v>
      </c>
      <c r="H959" s="79" t="str">
        <f>IFERROR(_xlfn.XLOOKUP(Table6[[#This Row],[Affected Feeder ]],'Basic Data'!$A:$A,'Basic Data'!$B:$B),"")</f>
        <v>PWEPL</v>
      </c>
      <c r="I959" s="79" t="str">
        <f>IFERROR(_xlfn.XLOOKUP(Table6[[#This Row],[Affected Feeder ]],'Basic Data'!$A:$A,'Basic Data'!$C:$C),"")</f>
        <v>MSEDCL</v>
      </c>
      <c r="J959" s="295">
        <f>IFERROR(_xlfn.XLOOKUP(Table6[[#This Row],[Affected Feeder ]],'Basic Data'!$A:$A,'Basic Data'!$E:$E),"")</f>
        <v>2.2727272727272728E-2</v>
      </c>
      <c r="K959" s="296" t="s">
        <v>171</v>
      </c>
      <c r="L959" s="297">
        <v>0.14097222222222222</v>
      </c>
      <c r="M959" s="297">
        <v>0.14097222222222222</v>
      </c>
      <c r="N959" s="297">
        <v>0.15486111111111112</v>
      </c>
      <c r="O959" s="298">
        <f>(Table6[[#This Row],[Work Start TimeStamp]]-Table6[[#This Row],[Fault Start TimeStamp]])*24</f>
        <v>0</v>
      </c>
      <c r="P959" s="298">
        <f>(Table6[[#This Row],[Fault Clearance time]]-Table6[[#This Row],[Fault Start TimeStamp]])*24</f>
        <v>0.33333333333333348</v>
      </c>
      <c r="Q959" s="298">
        <f>(Table6[[#This Row],[Fault Clearance time]]-Table6[[#This Row],[Fault Start TimeStamp]])*24</f>
        <v>0.33333333333333348</v>
      </c>
      <c r="R959" s="79" t="s">
        <v>353</v>
      </c>
      <c r="S959" s="79" t="s">
        <v>339</v>
      </c>
      <c r="T959" s="298">
        <f>IFERROR(Table6[[#This Row],[Breakdown Time]]*Table6[[#This Row],[Plant Equivalent Weightage]],"")</f>
        <v>7.5757575757575794E-3</v>
      </c>
      <c r="U959" s="79" t="s">
        <v>421</v>
      </c>
      <c r="W959" s="79">
        <v>113</v>
      </c>
    </row>
    <row r="960" spans="1:23">
      <c r="A960" s="79">
        <f t="shared" si="14"/>
        <v>959</v>
      </c>
      <c r="B960" s="79">
        <f>YEAR(Table6[[#This Row],[Date]])+IF(MONTH(Table6[[#This Row],[Date]])&gt;=4,1,0)</f>
        <v>2026</v>
      </c>
      <c r="C960" s="79">
        <f>YEAR(Table6[[#This Row],[Date]])</f>
        <v>2025</v>
      </c>
      <c r="D960" s="79" t="s">
        <v>344</v>
      </c>
      <c r="E960" s="284">
        <f>Table6[[#This Row],[Date]]-DAY(Table6[[#This Row],[Date]])+1</f>
        <v>45809</v>
      </c>
      <c r="F960" s="285">
        <v>45828</v>
      </c>
      <c r="G960" s="79" t="s">
        <v>118</v>
      </c>
      <c r="H960" s="79" t="str">
        <f>IFERROR(_xlfn.XLOOKUP(Table6[[#This Row],[Affected Feeder ]],'Basic Data'!$A:$A,'Basic Data'!$B:$B),"")</f>
        <v>PWEPL</v>
      </c>
      <c r="I960" s="79" t="str">
        <f>IFERROR(_xlfn.XLOOKUP(Table6[[#This Row],[Affected Feeder ]],'Basic Data'!$A:$A,'Basic Data'!$C:$C),"")</f>
        <v>MSEDCL</v>
      </c>
      <c r="J960" s="295">
        <f>IFERROR(_xlfn.XLOOKUP(Table6[[#This Row],[Affected Feeder ]],'Basic Data'!$A:$A,'Basic Data'!$E:$E),"")</f>
        <v>2.2727272727272728E-2</v>
      </c>
      <c r="K960" s="296" t="s">
        <v>796</v>
      </c>
      <c r="L960" s="297">
        <v>8.819444444444445E-2</v>
      </c>
      <c r="M960" s="297">
        <v>8.819444444444445E-2</v>
      </c>
      <c r="N960" s="297">
        <v>0.10416666666666667</v>
      </c>
      <c r="O960" s="298">
        <f>(Table6[[#This Row],[Work Start TimeStamp]]-Table6[[#This Row],[Fault Start TimeStamp]])*24</f>
        <v>0</v>
      </c>
      <c r="P960" s="298">
        <f>(Table6[[#This Row],[Fault Clearance time]]-Table6[[#This Row],[Fault Start TimeStamp]])*24</f>
        <v>0.3833333333333333</v>
      </c>
      <c r="Q960" s="298">
        <f>(Table6[[#This Row],[Fault Clearance time]]-Table6[[#This Row],[Fault Start TimeStamp]])*24</f>
        <v>0.3833333333333333</v>
      </c>
      <c r="R960" s="79" t="s">
        <v>424</v>
      </c>
      <c r="S960" s="79" t="s">
        <v>339</v>
      </c>
      <c r="T960" s="298">
        <f>IFERROR(Table6[[#This Row],[Breakdown Time]]*Table6[[#This Row],[Plant Equivalent Weightage]],"")</f>
        <v>8.712121212121211E-3</v>
      </c>
      <c r="U960" s="79" t="s">
        <v>421</v>
      </c>
      <c r="W960" s="79">
        <v>746</v>
      </c>
    </row>
    <row r="961" spans="1:23">
      <c r="A961" s="79">
        <f t="shared" si="14"/>
        <v>960</v>
      </c>
      <c r="B961" s="79">
        <f>YEAR(Table6[[#This Row],[Date]])+IF(MONTH(Table6[[#This Row],[Date]])&gt;=4,1,0)</f>
        <v>2026</v>
      </c>
      <c r="C961" s="79">
        <f>YEAR(Table6[[#This Row],[Date]])</f>
        <v>2025</v>
      </c>
      <c r="D961" s="79" t="s">
        <v>344</v>
      </c>
      <c r="E961" s="284">
        <f>Table6[[#This Row],[Date]]-DAY(Table6[[#This Row],[Date]])+1</f>
        <v>45809</v>
      </c>
      <c r="F961" s="285">
        <v>45828</v>
      </c>
      <c r="G961" s="79" t="s">
        <v>118</v>
      </c>
      <c r="H961" s="79" t="str">
        <f>IFERROR(_xlfn.XLOOKUP(Table6[[#This Row],[Affected Feeder ]],'Basic Data'!$A:$A,'Basic Data'!$B:$B),"")</f>
        <v>PWEPL</v>
      </c>
      <c r="I961" s="79" t="str">
        <f>IFERROR(_xlfn.XLOOKUP(Table6[[#This Row],[Affected Feeder ]],'Basic Data'!$A:$A,'Basic Data'!$C:$C),"")</f>
        <v>MSEDCL</v>
      </c>
      <c r="J961" s="295">
        <f>IFERROR(_xlfn.XLOOKUP(Table6[[#This Row],[Affected Feeder ]],'Basic Data'!$A:$A,'Basic Data'!$E:$E),"")</f>
        <v>2.2727272727272728E-2</v>
      </c>
      <c r="K961" s="296" t="s">
        <v>171</v>
      </c>
      <c r="L961" s="297">
        <v>0.10416666666666667</v>
      </c>
      <c r="M961" s="297">
        <v>0.10416666666666667</v>
      </c>
      <c r="N961" s="297">
        <v>0.10902777777777778</v>
      </c>
      <c r="O961" s="298">
        <f>(Table6[[#This Row],[Work Start TimeStamp]]-Table6[[#This Row],[Fault Start TimeStamp]])*24</f>
        <v>0</v>
      </c>
      <c r="P961" s="298">
        <f>(Table6[[#This Row],[Fault Clearance time]]-Table6[[#This Row],[Fault Start TimeStamp]])*24</f>
        <v>0.11666666666666659</v>
      </c>
      <c r="Q961" s="298">
        <f>(Table6[[#This Row],[Fault Clearance time]]-Table6[[#This Row],[Fault Start TimeStamp]])*24</f>
        <v>0.11666666666666659</v>
      </c>
      <c r="R961" s="79" t="s">
        <v>353</v>
      </c>
      <c r="S961" s="79" t="s">
        <v>339</v>
      </c>
      <c r="T961" s="298">
        <f>IFERROR(Table6[[#This Row],[Breakdown Time]]*Table6[[#This Row],[Plant Equivalent Weightage]],"")</f>
        <v>2.6515151515151499E-3</v>
      </c>
      <c r="U961" s="79" t="s">
        <v>421</v>
      </c>
      <c r="W961" s="79">
        <v>326</v>
      </c>
    </row>
    <row r="962" spans="1:23">
      <c r="A962" s="79">
        <f t="shared" si="14"/>
        <v>961</v>
      </c>
      <c r="B962" s="79">
        <f>YEAR(Table6[[#This Row],[Date]])+IF(MONTH(Table6[[#This Row],[Date]])&gt;=4,1,0)</f>
        <v>2026</v>
      </c>
      <c r="C962" s="79">
        <f>YEAR(Table6[[#This Row],[Date]])</f>
        <v>2025</v>
      </c>
      <c r="D962" s="79" t="s">
        <v>344</v>
      </c>
      <c r="E962" s="284">
        <f>Table6[[#This Row],[Date]]-DAY(Table6[[#This Row],[Date]])+1</f>
        <v>45809</v>
      </c>
      <c r="F962" s="285">
        <v>45828</v>
      </c>
      <c r="G962" s="79" t="s">
        <v>117</v>
      </c>
      <c r="H962" s="79" t="str">
        <f>IFERROR(_xlfn.XLOOKUP(Table6[[#This Row],[Affected Feeder ]],'Basic Data'!$A:$A,'Basic Data'!$B:$B),"")</f>
        <v>PWEPL</v>
      </c>
      <c r="I962" s="79" t="str">
        <f>IFERROR(_xlfn.XLOOKUP(Table6[[#This Row],[Affected Feeder ]],'Basic Data'!$A:$A,'Basic Data'!$C:$C),"")</f>
        <v>MSEDCL</v>
      </c>
      <c r="J962" s="295">
        <f>IFERROR(_xlfn.XLOOKUP(Table6[[#This Row],[Affected Feeder ]],'Basic Data'!$A:$A,'Basic Data'!$E:$E),"")</f>
        <v>2.2727272727272728E-2</v>
      </c>
      <c r="K962" s="296" t="s">
        <v>796</v>
      </c>
      <c r="L962" s="297">
        <v>0.1361111111111111</v>
      </c>
      <c r="M962" s="297">
        <v>0.1361111111111111</v>
      </c>
      <c r="N962" s="297">
        <v>0.18194444444444444</v>
      </c>
      <c r="O962" s="298">
        <f>(Table6[[#This Row],[Work Start TimeStamp]]-Table6[[#This Row],[Fault Start TimeStamp]])*24</f>
        <v>0</v>
      </c>
      <c r="P962" s="298">
        <f>(Table6[[#This Row],[Fault Clearance time]]-Table6[[#This Row],[Fault Start TimeStamp]])*24</f>
        <v>1.1000000000000001</v>
      </c>
      <c r="Q962" s="298">
        <f>(Table6[[#This Row],[Fault Clearance time]]-Table6[[#This Row],[Fault Start TimeStamp]])*24</f>
        <v>1.1000000000000001</v>
      </c>
      <c r="R962" s="79" t="s">
        <v>424</v>
      </c>
      <c r="S962" s="79" t="s">
        <v>339</v>
      </c>
      <c r="T962" s="298">
        <f>IFERROR(Table6[[#This Row],[Breakdown Time]]*Table6[[#This Row],[Plant Equivalent Weightage]],"")</f>
        <v>2.5000000000000001E-2</v>
      </c>
      <c r="U962" s="79" t="s">
        <v>421</v>
      </c>
      <c r="W962" s="79">
        <v>87</v>
      </c>
    </row>
    <row r="963" spans="1:23">
      <c r="A963" s="79">
        <f t="shared" si="14"/>
        <v>962</v>
      </c>
      <c r="B963" s="79">
        <f>YEAR(Table6[[#This Row],[Date]])+IF(MONTH(Table6[[#This Row],[Date]])&gt;=4,1,0)</f>
        <v>2026</v>
      </c>
      <c r="C963" s="79">
        <f>YEAR(Table6[[#This Row],[Date]])</f>
        <v>2025</v>
      </c>
      <c r="D963" s="79" t="s">
        <v>344</v>
      </c>
      <c r="E963" s="284">
        <f>Table6[[#This Row],[Date]]-DAY(Table6[[#This Row],[Date]])+1</f>
        <v>45809</v>
      </c>
      <c r="F963" s="285">
        <v>45828</v>
      </c>
      <c r="G963" s="79" t="s">
        <v>117</v>
      </c>
      <c r="H963" s="79" t="str">
        <f>IFERROR(_xlfn.XLOOKUP(Table6[[#This Row],[Affected Feeder ]],'Basic Data'!$A:$A,'Basic Data'!$B:$B),"")</f>
        <v>PWEPL</v>
      </c>
      <c r="I963" s="79" t="str">
        <f>IFERROR(_xlfn.XLOOKUP(Table6[[#This Row],[Affected Feeder ]],'Basic Data'!$A:$A,'Basic Data'!$C:$C),"")</f>
        <v>MSEDCL</v>
      </c>
      <c r="J963" s="295">
        <f>IFERROR(_xlfn.XLOOKUP(Table6[[#This Row],[Affected Feeder ]],'Basic Data'!$A:$A,'Basic Data'!$E:$E),"")</f>
        <v>2.2727272727272728E-2</v>
      </c>
      <c r="K963" s="296" t="s">
        <v>171</v>
      </c>
      <c r="L963" s="297">
        <v>0.18194444444444444</v>
      </c>
      <c r="M963" s="297">
        <v>0.18194444444444444</v>
      </c>
      <c r="N963" s="297">
        <v>0.19583333333333333</v>
      </c>
      <c r="O963" s="298">
        <f>(Table6[[#This Row],[Work Start TimeStamp]]-Table6[[#This Row],[Fault Start TimeStamp]])*24</f>
        <v>0</v>
      </c>
      <c r="P963" s="298">
        <f>(Table6[[#This Row],[Fault Clearance time]]-Table6[[#This Row],[Fault Start TimeStamp]])*24</f>
        <v>0.33333333333333348</v>
      </c>
      <c r="Q963" s="298">
        <f>(Table6[[#This Row],[Fault Clearance time]]-Table6[[#This Row],[Fault Start TimeStamp]])*24</f>
        <v>0.33333333333333348</v>
      </c>
      <c r="R963" s="79" t="s">
        <v>353</v>
      </c>
      <c r="S963" s="79" t="s">
        <v>339</v>
      </c>
      <c r="T963" s="298">
        <f>IFERROR(Table6[[#This Row],[Breakdown Time]]*Table6[[#This Row],[Plant Equivalent Weightage]],"")</f>
        <v>7.5757575757575794E-3</v>
      </c>
      <c r="U963" s="79" t="s">
        <v>421</v>
      </c>
      <c r="W963" s="79">
        <v>37</v>
      </c>
    </row>
    <row r="964" spans="1:23">
      <c r="A964" s="79">
        <f t="shared" ref="A964:A1027" si="15">A963+1</f>
        <v>963</v>
      </c>
      <c r="B964" s="79">
        <f>YEAR(Table6[[#This Row],[Date]])+IF(MONTH(Table6[[#This Row],[Date]])&gt;=4,1,0)</f>
        <v>2026</v>
      </c>
      <c r="C964" s="79">
        <f>YEAR(Table6[[#This Row],[Date]])</f>
        <v>2025</v>
      </c>
      <c r="D964" s="79" t="s">
        <v>344</v>
      </c>
      <c r="E964" s="284">
        <f>Table6[[#This Row],[Date]]-DAY(Table6[[#This Row],[Date]])+1</f>
        <v>45809</v>
      </c>
      <c r="F964" s="285">
        <v>45828</v>
      </c>
      <c r="G964" s="79" t="s">
        <v>406</v>
      </c>
      <c r="H964" s="79" t="str">
        <f>IFERROR(_xlfn.XLOOKUP(Table6[[#This Row],[Affected Feeder ]],'Basic Data'!$A:$A,'Basic Data'!$B:$B),"")</f>
        <v>PWEPL</v>
      </c>
      <c r="I964" s="79" t="str">
        <f>IFERROR(_xlfn.XLOOKUP(Table6[[#This Row],[Affected Feeder ]],'Basic Data'!$A:$A,'Basic Data'!$C:$C),"")</f>
        <v>MSEDCL</v>
      </c>
      <c r="J964" s="295">
        <f>IFERROR(_xlfn.XLOOKUP(Table6[[#This Row],[Affected Feeder ]],'Basic Data'!$A:$A,'Basic Data'!$E:$E),"")</f>
        <v>0.29545454545454541</v>
      </c>
      <c r="K964" s="296" t="s">
        <v>447</v>
      </c>
      <c r="L964" s="297">
        <v>0.25277777777777777</v>
      </c>
      <c r="M964" s="297">
        <v>0.25277777777777777</v>
      </c>
      <c r="N964" s="297">
        <v>0.28263888888888888</v>
      </c>
      <c r="O964" s="298">
        <f>(Table6[[#This Row],[Work Start TimeStamp]]-Table6[[#This Row],[Fault Start TimeStamp]])*24</f>
        <v>0</v>
      </c>
      <c r="P964" s="298">
        <f>(Table6[[#This Row],[Fault Clearance time]]-Table6[[#This Row],[Fault Start TimeStamp]])*24</f>
        <v>0.71666666666666679</v>
      </c>
      <c r="Q964" s="298">
        <f>(Table6[[#This Row],[Fault Clearance time]]-Table6[[#This Row],[Fault Start TimeStamp]])*24</f>
        <v>0.71666666666666679</v>
      </c>
      <c r="R964" s="79" t="s">
        <v>420</v>
      </c>
      <c r="S964" s="79" t="s">
        <v>339</v>
      </c>
      <c r="T964" s="298">
        <f>IFERROR(Table6[[#This Row],[Breakdown Time]]*Table6[[#This Row],[Plant Equivalent Weightage]],"")</f>
        <v>0.21174242424242426</v>
      </c>
      <c r="U964" s="79" t="s">
        <v>421</v>
      </c>
      <c r="W964" s="79">
        <v>13176</v>
      </c>
    </row>
    <row r="965" spans="1:23">
      <c r="A965" s="79">
        <f t="shared" si="15"/>
        <v>964</v>
      </c>
      <c r="B965" s="79">
        <f>YEAR(Table6[[#This Row],[Date]])+IF(MONTH(Table6[[#This Row],[Date]])&gt;=4,1,0)</f>
        <v>2026</v>
      </c>
      <c r="C965" s="79">
        <f>YEAR(Table6[[#This Row],[Date]])</f>
        <v>2025</v>
      </c>
      <c r="D965" s="79" t="s">
        <v>344</v>
      </c>
      <c r="E965" s="284">
        <f>Table6[[#This Row],[Date]]-DAY(Table6[[#This Row],[Date]])+1</f>
        <v>45809</v>
      </c>
      <c r="F965" s="285">
        <v>45828</v>
      </c>
      <c r="G965" s="79" t="s">
        <v>76</v>
      </c>
      <c r="H965" s="79" t="str">
        <f>IFERROR(_xlfn.XLOOKUP(Table6[[#This Row],[Affected Feeder ]],'Basic Data'!$A:$A,'Basic Data'!$B:$B),"")</f>
        <v>PWEPL</v>
      </c>
      <c r="I965" s="79" t="str">
        <f>IFERROR(_xlfn.XLOOKUP(Table6[[#This Row],[Affected Feeder ]],'Basic Data'!$A:$A,'Basic Data'!$C:$C),"")</f>
        <v>MSEDCL</v>
      </c>
      <c r="J965" s="295">
        <f>IFERROR(_xlfn.XLOOKUP(Table6[[#This Row],[Affected Feeder ]],'Basic Data'!$A:$A,'Basic Data'!$E:$E),"")</f>
        <v>2.2727272727272728E-2</v>
      </c>
      <c r="K965" s="296" t="s">
        <v>171</v>
      </c>
      <c r="L965" s="297">
        <v>0.28263888888888888</v>
      </c>
      <c r="M965" s="297">
        <v>0.28263888888888888</v>
      </c>
      <c r="N965" s="297">
        <v>0.29652777777777778</v>
      </c>
      <c r="O965" s="298">
        <f>(Table6[[#This Row],[Work Start TimeStamp]]-Table6[[#This Row],[Fault Start TimeStamp]])*24</f>
        <v>0</v>
      </c>
      <c r="P965" s="298">
        <f>(Table6[[#This Row],[Fault Clearance time]]-Table6[[#This Row],[Fault Start TimeStamp]])*24</f>
        <v>0.33333333333333348</v>
      </c>
      <c r="Q965" s="298">
        <f>(Table6[[#This Row],[Fault Clearance time]]-Table6[[#This Row],[Fault Start TimeStamp]])*24</f>
        <v>0.33333333333333348</v>
      </c>
      <c r="R965" s="79" t="s">
        <v>353</v>
      </c>
      <c r="S965" s="79" t="s">
        <v>339</v>
      </c>
      <c r="T965" s="298">
        <f>IFERROR(Table6[[#This Row],[Breakdown Time]]*Table6[[#This Row],[Plant Equivalent Weightage]],"")</f>
        <v>7.5757575757575794E-3</v>
      </c>
      <c r="U965" s="79" t="s">
        <v>421</v>
      </c>
      <c r="W965" s="79">
        <v>471</v>
      </c>
    </row>
    <row r="966" spans="1:23">
      <c r="A966" s="79">
        <f t="shared" si="15"/>
        <v>965</v>
      </c>
      <c r="B966" s="79">
        <f>YEAR(Table6[[#This Row],[Date]])+IF(MONTH(Table6[[#This Row],[Date]])&gt;=4,1,0)</f>
        <v>2026</v>
      </c>
      <c r="C966" s="79">
        <f>YEAR(Table6[[#This Row],[Date]])</f>
        <v>2025</v>
      </c>
      <c r="D966" s="79" t="s">
        <v>344</v>
      </c>
      <c r="E966" s="284">
        <f>Table6[[#This Row],[Date]]-DAY(Table6[[#This Row],[Date]])+1</f>
        <v>45809</v>
      </c>
      <c r="F966" s="285">
        <v>45828</v>
      </c>
      <c r="G966" s="79" t="s">
        <v>77</v>
      </c>
      <c r="H966" s="79" t="str">
        <f>IFERROR(_xlfn.XLOOKUP(Table6[[#This Row],[Affected Feeder ]],'Basic Data'!$A:$A,'Basic Data'!$B:$B),"")</f>
        <v>PWEPL</v>
      </c>
      <c r="I966" s="79" t="str">
        <f>IFERROR(_xlfn.XLOOKUP(Table6[[#This Row],[Affected Feeder ]],'Basic Data'!$A:$A,'Basic Data'!$C:$C),"")</f>
        <v>MSEDCL</v>
      </c>
      <c r="J966" s="295">
        <f>IFERROR(_xlfn.XLOOKUP(Table6[[#This Row],[Affected Feeder ]],'Basic Data'!$A:$A,'Basic Data'!$E:$E),"")</f>
        <v>2.2727272727272728E-2</v>
      </c>
      <c r="K966" s="296" t="s">
        <v>171</v>
      </c>
      <c r="L966" s="297">
        <v>0.28263888888888888</v>
      </c>
      <c r="M966" s="297">
        <v>0.28263888888888888</v>
      </c>
      <c r="N966" s="297">
        <v>0.28541666666666665</v>
      </c>
      <c r="O966" s="298">
        <f>(Table6[[#This Row],[Work Start TimeStamp]]-Table6[[#This Row],[Fault Start TimeStamp]])*24</f>
        <v>0</v>
      </c>
      <c r="P966" s="298">
        <f>(Table6[[#This Row],[Fault Clearance time]]-Table6[[#This Row],[Fault Start TimeStamp]])*24</f>
        <v>6.666666666666643E-2</v>
      </c>
      <c r="Q966" s="298">
        <f>(Table6[[#This Row],[Fault Clearance time]]-Table6[[#This Row],[Fault Start TimeStamp]])*24</f>
        <v>6.666666666666643E-2</v>
      </c>
      <c r="R966" s="79" t="s">
        <v>353</v>
      </c>
      <c r="S966" s="79" t="s">
        <v>339</v>
      </c>
      <c r="T966" s="298">
        <f>IFERROR(Table6[[#This Row],[Breakdown Time]]*Table6[[#This Row],[Plant Equivalent Weightage]],"")</f>
        <v>1.5151515151515097E-3</v>
      </c>
      <c r="U966" s="79" t="s">
        <v>421</v>
      </c>
      <c r="W966" s="79">
        <v>94</v>
      </c>
    </row>
    <row r="967" spans="1:23">
      <c r="A967" s="79">
        <f t="shared" si="15"/>
        <v>966</v>
      </c>
      <c r="B967" s="79">
        <f>YEAR(Table6[[#This Row],[Date]])+IF(MONTH(Table6[[#This Row],[Date]])&gt;=4,1,0)</f>
        <v>2026</v>
      </c>
      <c r="C967" s="79">
        <f>YEAR(Table6[[#This Row],[Date]])</f>
        <v>2025</v>
      </c>
      <c r="D967" s="79" t="s">
        <v>344</v>
      </c>
      <c r="E967" s="284">
        <f>Table6[[#This Row],[Date]]-DAY(Table6[[#This Row],[Date]])+1</f>
        <v>45809</v>
      </c>
      <c r="F967" s="285">
        <v>45828</v>
      </c>
      <c r="G967" s="79" t="s">
        <v>78</v>
      </c>
      <c r="H967" s="79" t="str">
        <f>IFERROR(_xlfn.XLOOKUP(Table6[[#This Row],[Affected Feeder ]],'Basic Data'!$A:$A,'Basic Data'!$B:$B),"")</f>
        <v>PWEPL</v>
      </c>
      <c r="I967" s="79" t="str">
        <f>IFERROR(_xlfn.XLOOKUP(Table6[[#This Row],[Affected Feeder ]],'Basic Data'!$A:$A,'Basic Data'!$C:$C),"")</f>
        <v>MSEDCL</v>
      </c>
      <c r="J967" s="295">
        <f>IFERROR(_xlfn.XLOOKUP(Table6[[#This Row],[Affected Feeder ]],'Basic Data'!$A:$A,'Basic Data'!$E:$E),"")</f>
        <v>2.2727272727272728E-2</v>
      </c>
      <c r="K967" s="296" t="s">
        <v>171</v>
      </c>
      <c r="L967" s="297">
        <v>0.28263888888888888</v>
      </c>
      <c r="M967" s="297">
        <v>0.28263888888888888</v>
      </c>
      <c r="N967" s="297">
        <v>0.29652777777777778</v>
      </c>
      <c r="O967" s="298">
        <f>(Table6[[#This Row],[Work Start TimeStamp]]-Table6[[#This Row],[Fault Start TimeStamp]])*24</f>
        <v>0</v>
      </c>
      <c r="P967" s="298">
        <f>(Table6[[#This Row],[Fault Clearance time]]-Table6[[#This Row],[Fault Start TimeStamp]])*24</f>
        <v>0.33333333333333348</v>
      </c>
      <c r="Q967" s="298">
        <f>(Table6[[#This Row],[Fault Clearance time]]-Table6[[#This Row],[Fault Start TimeStamp]])*24</f>
        <v>0.33333333333333348</v>
      </c>
      <c r="R967" s="79" t="s">
        <v>353</v>
      </c>
      <c r="S967" s="79" t="s">
        <v>339</v>
      </c>
      <c r="T967" s="298">
        <f>IFERROR(Table6[[#This Row],[Breakdown Time]]*Table6[[#This Row],[Plant Equivalent Weightage]],"")</f>
        <v>7.5757575757575794E-3</v>
      </c>
      <c r="U967" s="79" t="s">
        <v>421</v>
      </c>
      <c r="W967" s="79">
        <v>471</v>
      </c>
    </row>
    <row r="968" spans="1:23">
      <c r="A968" s="79">
        <f t="shared" si="15"/>
        <v>967</v>
      </c>
      <c r="B968" s="79">
        <f>YEAR(Table6[[#This Row],[Date]])+IF(MONTH(Table6[[#This Row],[Date]])&gt;=4,1,0)</f>
        <v>2026</v>
      </c>
      <c r="C968" s="79">
        <f>YEAR(Table6[[#This Row],[Date]])</f>
        <v>2025</v>
      </c>
      <c r="D968" s="79" t="s">
        <v>344</v>
      </c>
      <c r="E968" s="284">
        <f>Table6[[#This Row],[Date]]-DAY(Table6[[#This Row],[Date]])+1</f>
        <v>45809</v>
      </c>
      <c r="F968" s="285">
        <v>45828</v>
      </c>
      <c r="G968" s="79" t="s">
        <v>82</v>
      </c>
      <c r="H968" s="79" t="str">
        <f>IFERROR(_xlfn.XLOOKUP(Table6[[#This Row],[Affected Feeder ]],'Basic Data'!$A:$A,'Basic Data'!$B:$B),"")</f>
        <v>PWEPL</v>
      </c>
      <c r="I968" s="79" t="str">
        <f>IFERROR(_xlfn.XLOOKUP(Table6[[#This Row],[Affected Feeder ]],'Basic Data'!$A:$A,'Basic Data'!$C:$C),"")</f>
        <v>MSEDCL</v>
      </c>
      <c r="J968" s="295">
        <f>IFERROR(_xlfn.XLOOKUP(Table6[[#This Row],[Affected Feeder ]],'Basic Data'!$A:$A,'Basic Data'!$E:$E),"")</f>
        <v>2.2727272727272728E-2</v>
      </c>
      <c r="K968" s="296" t="s">
        <v>171</v>
      </c>
      <c r="L968" s="297">
        <v>0.28263888888888888</v>
      </c>
      <c r="M968" s="297">
        <v>0.28263888888888888</v>
      </c>
      <c r="N968" s="297">
        <v>0.29236111111111113</v>
      </c>
      <c r="O968" s="298">
        <f>(Table6[[#This Row],[Work Start TimeStamp]]-Table6[[#This Row],[Fault Start TimeStamp]])*24</f>
        <v>0</v>
      </c>
      <c r="P968" s="298">
        <f>(Table6[[#This Row],[Fault Clearance time]]-Table6[[#This Row],[Fault Start TimeStamp]])*24</f>
        <v>0.23333333333333384</v>
      </c>
      <c r="Q968" s="298">
        <f>(Table6[[#This Row],[Fault Clearance time]]-Table6[[#This Row],[Fault Start TimeStamp]])*24</f>
        <v>0.23333333333333384</v>
      </c>
      <c r="R968" s="79" t="s">
        <v>353</v>
      </c>
      <c r="S968" s="79" t="s">
        <v>339</v>
      </c>
      <c r="T968" s="298">
        <f>IFERROR(Table6[[#This Row],[Breakdown Time]]*Table6[[#This Row],[Plant Equivalent Weightage]],"")</f>
        <v>5.3030303030303146E-3</v>
      </c>
      <c r="U968" s="79" t="s">
        <v>421</v>
      </c>
      <c r="W968" s="79">
        <v>330</v>
      </c>
    </row>
    <row r="969" spans="1:23">
      <c r="A969" s="79">
        <f t="shared" si="15"/>
        <v>968</v>
      </c>
      <c r="B969" s="79">
        <f>YEAR(Table6[[#This Row],[Date]])+IF(MONTH(Table6[[#This Row],[Date]])&gt;=4,1,0)</f>
        <v>2026</v>
      </c>
      <c r="C969" s="79">
        <f>YEAR(Table6[[#This Row],[Date]])</f>
        <v>2025</v>
      </c>
      <c r="D969" s="79" t="s">
        <v>344</v>
      </c>
      <c r="E969" s="284">
        <f>Table6[[#This Row],[Date]]-DAY(Table6[[#This Row],[Date]])+1</f>
        <v>45809</v>
      </c>
      <c r="F969" s="285">
        <v>45828</v>
      </c>
      <c r="G969" s="79" t="s">
        <v>93</v>
      </c>
      <c r="H969" s="79" t="str">
        <f>IFERROR(_xlfn.XLOOKUP(Table6[[#This Row],[Affected Feeder ]],'Basic Data'!$A:$A,'Basic Data'!$B:$B),"")</f>
        <v>PWEPL</v>
      </c>
      <c r="I969" s="79" t="str">
        <f>IFERROR(_xlfn.XLOOKUP(Table6[[#This Row],[Affected Feeder ]],'Basic Data'!$A:$A,'Basic Data'!$C:$C),"")</f>
        <v>MSEDCL</v>
      </c>
      <c r="J969" s="295">
        <f>IFERROR(_xlfn.XLOOKUP(Table6[[#This Row],[Affected Feeder ]],'Basic Data'!$A:$A,'Basic Data'!$E:$E),"")</f>
        <v>2.2727272727272728E-2</v>
      </c>
      <c r="K969" s="296" t="s">
        <v>171</v>
      </c>
      <c r="L969" s="297">
        <v>0.28263888888888888</v>
      </c>
      <c r="M969" s="297">
        <v>0.28263888888888888</v>
      </c>
      <c r="N969" s="297">
        <v>0.29652777777777778</v>
      </c>
      <c r="O969" s="298">
        <f>(Table6[[#This Row],[Work Start TimeStamp]]-Table6[[#This Row],[Fault Start TimeStamp]])*24</f>
        <v>0</v>
      </c>
      <c r="P969" s="298">
        <f>(Table6[[#This Row],[Fault Clearance time]]-Table6[[#This Row],[Fault Start TimeStamp]])*24</f>
        <v>0.33333333333333348</v>
      </c>
      <c r="Q969" s="298">
        <f>(Table6[[#This Row],[Fault Clearance time]]-Table6[[#This Row],[Fault Start TimeStamp]])*24</f>
        <v>0.33333333333333348</v>
      </c>
      <c r="R969" s="79" t="s">
        <v>353</v>
      </c>
      <c r="S969" s="79" t="s">
        <v>339</v>
      </c>
      <c r="T969" s="298">
        <f>IFERROR(Table6[[#This Row],[Breakdown Time]]*Table6[[#This Row],[Plant Equivalent Weightage]],"")</f>
        <v>7.5757575757575794E-3</v>
      </c>
      <c r="U969" s="79" t="s">
        <v>421</v>
      </c>
      <c r="W969" s="79">
        <v>471</v>
      </c>
    </row>
    <row r="970" spans="1:23">
      <c r="A970" s="79">
        <f t="shared" si="15"/>
        <v>969</v>
      </c>
      <c r="B970" s="79">
        <f>YEAR(Table6[[#This Row],[Date]])+IF(MONTH(Table6[[#This Row],[Date]])&gt;=4,1,0)</f>
        <v>2026</v>
      </c>
      <c r="C970" s="79">
        <f>YEAR(Table6[[#This Row],[Date]])</f>
        <v>2025</v>
      </c>
      <c r="D970" s="79" t="s">
        <v>344</v>
      </c>
      <c r="E970" s="284">
        <f>Table6[[#This Row],[Date]]-DAY(Table6[[#This Row],[Date]])+1</f>
        <v>45809</v>
      </c>
      <c r="F970" s="285">
        <v>45828</v>
      </c>
      <c r="G970" s="79" t="s">
        <v>102</v>
      </c>
      <c r="H970" s="79" t="str">
        <f>IFERROR(_xlfn.XLOOKUP(Table6[[#This Row],[Affected Feeder ]],'Basic Data'!$A:$A,'Basic Data'!$B:$B),"")</f>
        <v>PWEPL</v>
      </c>
      <c r="I970" s="79" t="str">
        <f>IFERROR(_xlfn.XLOOKUP(Table6[[#This Row],[Affected Feeder ]],'Basic Data'!$A:$A,'Basic Data'!$C:$C),"")</f>
        <v>MSEDCL</v>
      </c>
      <c r="J970" s="295">
        <f>IFERROR(_xlfn.XLOOKUP(Table6[[#This Row],[Affected Feeder ]],'Basic Data'!$A:$A,'Basic Data'!$E:$E),"")</f>
        <v>2.2727272727272728E-2</v>
      </c>
      <c r="K970" s="296" t="s">
        <v>171</v>
      </c>
      <c r="L970" s="297">
        <v>0.28263888888888888</v>
      </c>
      <c r="M970" s="297">
        <v>0.28263888888888888</v>
      </c>
      <c r="N970" s="297">
        <v>0.29652777777777778</v>
      </c>
      <c r="O970" s="298">
        <f>(Table6[[#This Row],[Work Start TimeStamp]]-Table6[[#This Row],[Fault Start TimeStamp]])*24</f>
        <v>0</v>
      </c>
      <c r="P970" s="298">
        <f>(Table6[[#This Row],[Fault Clearance time]]-Table6[[#This Row],[Fault Start TimeStamp]])*24</f>
        <v>0.33333333333333348</v>
      </c>
      <c r="Q970" s="298">
        <f>(Table6[[#This Row],[Fault Clearance time]]-Table6[[#This Row],[Fault Start TimeStamp]])*24</f>
        <v>0.33333333333333348</v>
      </c>
      <c r="R970" s="79" t="s">
        <v>353</v>
      </c>
      <c r="S970" s="79" t="s">
        <v>339</v>
      </c>
      <c r="T970" s="298">
        <f>IFERROR(Table6[[#This Row],[Breakdown Time]]*Table6[[#This Row],[Plant Equivalent Weightage]],"")</f>
        <v>7.5757575757575794E-3</v>
      </c>
      <c r="U970" s="79" t="s">
        <v>421</v>
      </c>
      <c r="W970" s="79">
        <v>471</v>
      </c>
    </row>
    <row r="971" spans="1:23">
      <c r="A971" s="79">
        <f t="shared" si="15"/>
        <v>970</v>
      </c>
      <c r="B971" s="79">
        <f>YEAR(Table6[[#This Row],[Date]])+IF(MONTH(Table6[[#This Row],[Date]])&gt;=4,1,0)</f>
        <v>2026</v>
      </c>
      <c r="C971" s="79">
        <f>YEAR(Table6[[#This Row],[Date]])</f>
        <v>2025</v>
      </c>
      <c r="D971" s="79" t="s">
        <v>344</v>
      </c>
      <c r="E971" s="284">
        <f>Table6[[#This Row],[Date]]-DAY(Table6[[#This Row],[Date]])+1</f>
        <v>45809</v>
      </c>
      <c r="F971" s="285">
        <v>45828</v>
      </c>
      <c r="G971" s="79" t="s">
        <v>119</v>
      </c>
      <c r="H971" s="79" t="str">
        <f>IFERROR(_xlfn.XLOOKUP(Table6[[#This Row],[Affected Feeder ]],'Basic Data'!$A:$A,'Basic Data'!$B:$B),"")</f>
        <v>PWEPL</v>
      </c>
      <c r="I971" s="79" t="str">
        <f>IFERROR(_xlfn.XLOOKUP(Table6[[#This Row],[Affected Feeder ]],'Basic Data'!$A:$A,'Basic Data'!$C:$C),"")</f>
        <v>MSEDCL</v>
      </c>
      <c r="J971" s="295">
        <f>IFERROR(_xlfn.XLOOKUP(Table6[[#This Row],[Affected Feeder ]],'Basic Data'!$A:$A,'Basic Data'!$E:$E),"")</f>
        <v>2.2727272727272728E-2</v>
      </c>
      <c r="K971" s="296" t="s">
        <v>171</v>
      </c>
      <c r="L971" s="297">
        <v>0.28263888888888888</v>
      </c>
      <c r="M971" s="297">
        <v>0.28263888888888888</v>
      </c>
      <c r="N971" s="297">
        <v>0.29652777777777778</v>
      </c>
      <c r="O971" s="298">
        <f>(Table6[[#This Row],[Work Start TimeStamp]]-Table6[[#This Row],[Fault Start TimeStamp]])*24</f>
        <v>0</v>
      </c>
      <c r="P971" s="298">
        <f>(Table6[[#This Row],[Fault Clearance time]]-Table6[[#This Row],[Fault Start TimeStamp]])*24</f>
        <v>0.33333333333333348</v>
      </c>
      <c r="Q971" s="298">
        <f>(Table6[[#This Row],[Fault Clearance time]]-Table6[[#This Row],[Fault Start TimeStamp]])*24</f>
        <v>0.33333333333333348</v>
      </c>
      <c r="R971" s="79" t="s">
        <v>353</v>
      </c>
      <c r="S971" s="79" t="s">
        <v>339</v>
      </c>
      <c r="T971" s="298">
        <f>IFERROR(Table6[[#This Row],[Breakdown Time]]*Table6[[#This Row],[Plant Equivalent Weightage]],"")</f>
        <v>7.5757575757575794E-3</v>
      </c>
      <c r="U971" s="79" t="s">
        <v>421</v>
      </c>
      <c r="W971" s="79">
        <v>471</v>
      </c>
    </row>
    <row r="972" spans="1:23">
      <c r="A972" s="79">
        <f t="shared" si="15"/>
        <v>971</v>
      </c>
      <c r="B972" s="79">
        <f>YEAR(Table6[[#This Row],[Date]])+IF(MONTH(Table6[[#This Row],[Date]])&gt;=4,1,0)</f>
        <v>2026</v>
      </c>
      <c r="C972" s="79">
        <f>YEAR(Table6[[#This Row],[Date]])</f>
        <v>2025</v>
      </c>
      <c r="D972" s="79" t="s">
        <v>344</v>
      </c>
      <c r="E972" s="284">
        <f>Table6[[#This Row],[Date]]-DAY(Table6[[#This Row],[Date]])+1</f>
        <v>45809</v>
      </c>
      <c r="F972" s="285">
        <v>45828</v>
      </c>
      <c r="G972" s="79" t="s">
        <v>103</v>
      </c>
      <c r="H972" s="79" t="str">
        <f>IFERROR(_xlfn.XLOOKUP(Table6[[#This Row],[Affected Feeder ]],'Basic Data'!$A:$A,'Basic Data'!$B:$B),"")</f>
        <v>PWEPL</v>
      </c>
      <c r="I972" s="79" t="str">
        <f>IFERROR(_xlfn.XLOOKUP(Table6[[#This Row],[Affected Feeder ]],'Basic Data'!$A:$A,'Basic Data'!$C:$C),"")</f>
        <v>MSEDCL</v>
      </c>
      <c r="J972" s="295">
        <f>IFERROR(_xlfn.XLOOKUP(Table6[[#This Row],[Affected Feeder ]],'Basic Data'!$A:$A,'Basic Data'!$E:$E),"")</f>
        <v>2.2727272727272728E-2</v>
      </c>
      <c r="K972" s="296" t="s">
        <v>171</v>
      </c>
      <c r="L972" s="297">
        <v>0.28263888888888888</v>
      </c>
      <c r="M972" s="297">
        <v>0.28263888888888888</v>
      </c>
      <c r="N972" s="297">
        <v>0.29652777777777778</v>
      </c>
      <c r="O972" s="298">
        <f>(Table6[[#This Row],[Work Start TimeStamp]]-Table6[[#This Row],[Fault Start TimeStamp]])*24</f>
        <v>0</v>
      </c>
      <c r="P972" s="298">
        <f>(Table6[[#This Row],[Fault Clearance time]]-Table6[[#This Row],[Fault Start TimeStamp]])*24</f>
        <v>0.33333333333333348</v>
      </c>
      <c r="Q972" s="298">
        <f>(Table6[[#This Row],[Fault Clearance time]]-Table6[[#This Row],[Fault Start TimeStamp]])*24</f>
        <v>0.33333333333333348</v>
      </c>
      <c r="R972" s="79" t="s">
        <v>353</v>
      </c>
      <c r="S972" s="79" t="s">
        <v>339</v>
      </c>
      <c r="T972" s="298">
        <f>IFERROR(Table6[[#This Row],[Breakdown Time]]*Table6[[#This Row],[Plant Equivalent Weightage]],"")</f>
        <v>7.5757575757575794E-3</v>
      </c>
      <c r="U972" s="79" t="s">
        <v>421</v>
      </c>
      <c r="W972" s="79">
        <v>471</v>
      </c>
    </row>
    <row r="973" spans="1:23">
      <c r="A973" s="79">
        <f t="shared" si="15"/>
        <v>972</v>
      </c>
      <c r="B973" s="79">
        <f>YEAR(Table6[[#This Row],[Date]])+IF(MONTH(Table6[[#This Row],[Date]])&gt;=4,1,0)</f>
        <v>2026</v>
      </c>
      <c r="C973" s="79">
        <f>YEAR(Table6[[#This Row],[Date]])</f>
        <v>2025</v>
      </c>
      <c r="D973" s="79" t="s">
        <v>344</v>
      </c>
      <c r="E973" s="284">
        <f>Table6[[#This Row],[Date]]-DAY(Table6[[#This Row],[Date]])+1</f>
        <v>45809</v>
      </c>
      <c r="F973" s="285">
        <v>45828</v>
      </c>
      <c r="G973" s="79" t="s">
        <v>105</v>
      </c>
      <c r="H973" s="79" t="str">
        <f>IFERROR(_xlfn.XLOOKUP(Table6[[#This Row],[Affected Feeder ]],'Basic Data'!$A:$A,'Basic Data'!$B:$B),"")</f>
        <v>PWEPL</v>
      </c>
      <c r="I973" s="79" t="str">
        <f>IFERROR(_xlfn.XLOOKUP(Table6[[#This Row],[Affected Feeder ]],'Basic Data'!$A:$A,'Basic Data'!$C:$C),"")</f>
        <v>MSEDCL</v>
      </c>
      <c r="J973" s="295">
        <f>IFERROR(_xlfn.XLOOKUP(Table6[[#This Row],[Affected Feeder ]],'Basic Data'!$A:$A,'Basic Data'!$E:$E),"")</f>
        <v>2.2727272727272728E-2</v>
      </c>
      <c r="K973" s="296" t="s">
        <v>171</v>
      </c>
      <c r="L973" s="297">
        <v>0.28263888888888888</v>
      </c>
      <c r="M973" s="297">
        <v>0.28263888888888888</v>
      </c>
      <c r="N973" s="297">
        <v>0.29652777777777778</v>
      </c>
      <c r="O973" s="298">
        <f>(Table6[[#This Row],[Work Start TimeStamp]]-Table6[[#This Row],[Fault Start TimeStamp]])*24</f>
        <v>0</v>
      </c>
      <c r="P973" s="298">
        <f>(Table6[[#This Row],[Fault Clearance time]]-Table6[[#This Row],[Fault Start TimeStamp]])*24</f>
        <v>0.33333333333333348</v>
      </c>
      <c r="Q973" s="298">
        <f>(Table6[[#This Row],[Fault Clearance time]]-Table6[[#This Row],[Fault Start TimeStamp]])*24</f>
        <v>0.33333333333333348</v>
      </c>
      <c r="R973" s="79" t="s">
        <v>353</v>
      </c>
      <c r="S973" s="79" t="s">
        <v>339</v>
      </c>
      <c r="T973" s="298">
        <f>IFERROR(Table6[[#This Row],[Breakdown Time]]*Table6[[#This Row],[Plant Equivalent Weightage]],"")</f>
        <v>7.5757575757575794E-3</v>
      </c>
      <c r="U973" s="79" t="s">
        <v>421</v>
      </c>
      <c r="W973" s="79">
        <v>471</v>
      </c>
    </row>
    <row r="974" spans="1:23">
      <c r="A974" s="79">
        <f t="shared" si="15"/>
        <v>973</v>
      </c>
      <c r="B974" s="79">
        <f>YEAR(Table6[[#This Row],[Date]])+IF(MONTH(Table6[[#This Row],[Date]])&gt;=4,1,0)</f>
        <v>2026</v>
      </c>
      <c r="C974" s="79">
        <f>YEAR(Table6[[#This Row],[Date]])</f>
        <v>2025</v>
      </c>
      <c r="D974" s="79" t="s">
        <v>344</v>
      </c>
      <c r="E974" s="284">
        <f>Table6[[#This Row],[Date]]-DAY(Table6[[#This Row],[Date]])+1</f>
        <v>45809</v>
      </c>
      <c r="F974" s="285">
        <v>45828</v>
      </c>
      <c r="G974" s="79" t="s">
        <v>115</v>
      </c>
      <c r="H974" s="79" t="str">
        <f>IFERROR(_xlfn.XLOOKUP(Table6[[#This Row],[Affected Feeder ]],'Basic Data'!$A:$A,'Basic Data'!$B:$B),"")</f>
        <v>PWEPL</v>
      </c>
      <c r="I974" s="79" t="str">
        <f>IFERROR(_xlfn.XLOOKUP(Table6[[#This Row],[Affected Feeder ]],'Basic Data'!$A:$A,'Basic Data'!$C:$C),"")</f>
        <v>MSEDCL</v>
      </c>
      <c r="J974" s="295">
        <f>IFERROR(_xlfn.XLOOKUP(Table6[[#This Row],[Affected Feeder ]],'Basic Data'!$A:$A,'Basic Data'!$E:$E),"")</f>
        <v>2.2727272727272728E-2</v>
      </c>
      <c r="K974" s="296" t="s">
        <v>171</v>
      </c>
      <c r="L974" s="297">
        <v>0.28263888888888888</v>
      </c>
      <c r="M974" s="297">
        <v>0.28263888888888888</v>
      </c>
      <c r="N974" s="297">
        <v>0.29652777777777778</v>
      </c>
      <c r="O974" s="298">
        <f>(Table6[[#This Row],[Work Start TimeStamp]]-Table6[[#This Row],[Fault Start TimeStamp]])*24</f>
        <v>0</v>
      </c>
      <c r="P974" s="298">
        <f>(Table6[[#This Row],[Fault Clearance time]]-Table6[[#This Row],[Fault Start TimeStamp]])*24</f>
        <v>0.33333333333333348</v>
      </c>
      <c r="Q974" s="298">
        <f>(Table6[[#This Row],[Fault Clearance time]]-Table6[[#This Row],[Fault Start TimeStamp]])*24</f>
        <v>0.33333333333333348</v>
      </c>
      <c r="R974" s="79" t="s">
        <v>353</v>
      </c>
      <c r="S974" s="79" t="s">
        <v>339</v>
      </c>
      <c r="T974" s="298">
        <f>IFERROR(Table6[[#This Row],[Breakdown Time]]*Table6[[#This Row],[Plant Equivalent Weightage]],"")</f>
        <v>7.5757575757575794E-3</v>
      </c>
      <c r="U974" s="79" t="s">
        <v>421</v>
      </c>
      <c r="W974" s="79">
        <v>471</v>
      </c>
    </row>
    <row r="975" spans="1:23">
      <c r="A975" s="79">
        <f t="shared" si="15"/>
        <v>974</v>
      </c>
      <c r="B975" s="79">
        <f>YEAR(Table6[[#This Row],[Date]])+IF(MONTH(Table6[[#This Row],[Date]])&gt;=4,1,0)</f>
        <v>2026</v>
      </c>
      <c r="C975" s="79">
        <f>YEAR(Table6[[#This Row],[Date]])</f>
        <v>2025</v>
      </c>
      <c r="D975" s="79" t="s">
        <v>344</v>
      </c>
      <c r="E975" s="284">
        <f>Table6[[#This Row],[Date]]-DAY(Table6[[#This Row],[Date]])+1</f>
        <v>45809</v>
      </c>
      <c r="F975" s="285">
        <v>45828</v>
      </c>
      <c r="G975" s="79" t="s">
        <v>116</v>
      </c>
      <c r="H975" s="79" t="str">
        <f>IFERROR(_xlfn.XLOOKUP(Table6[[#This Row],[Affected Feeder ]],'Basic Data'!$A:$A,'Basic Data'!$B:$B),"")</f>
        <v>PWEPL</v>
      </c>
      <c r="I975" s="79" t="str">
        <f>IFERROR(_xlfn.XLOOKUP(Table6[[#This Row],[Affected Feeder ]],'Basic Data'!$A:$A,'Basic Data'!$C:$C),"")</f>
        <v>MSEDCL</v>
      </c>
      <c r="J975" s="295">
        <f>IFERROR(_xlfn.XLOOKUP(Table6[[#This Row],[Affected Feeder ]],'Basic Data'!$A:$A,'Basic Data'!$E:$E),"")</f>
        <v>2.2727272727272728E-2</v>
      </c>
      <c r="K975" s="296" t="s">
        <v>171</v>
      </c>
      <c r="L975" s="297">
        <v>0.28263888888888888</v>
      </c>
      <c r="M975" s="297">
        <v>0.28263888888888888</v>
      </c>
      <c r="N975" s="297">
        <v>0.29652777777777778</v>
      </c>
      <c r="O975" s="298">
        <f>(Table6[[#This Row],[Work Start TimeStamp]]-Table6[[#This Row],[Fault Start TimeStamp]])*24</f>
        <v>0</v>
      </c>
      <c r="P975" s="298">
        <f>(Table6[[#This Row],[Fault Clearance time]]-Table6[[#This Row],[Fault Start TimeStamp]])*24</f>
        <v>0.33333333333333348</v>
      </c>
      <c r="Q975" s="298">
        <f>(Table6[[#This Row],[Fault Clearance time]]-Table6[[#This Row],[Fault Start TimeStamp]])*24</f>
        <v>0.33333333333333348</v>
      </c>
      <c r="R975" s="79" t="s">
        <v>353</v>
      </c>
      <c r="S975" s="79" t="s">
        <v>339</v>
      </c>
      <c r="T975" s="298">
        <f>IFERROR(Table6[[#This Row],[Breakdown Time]]*Table6[[#This Row],[Plant Equivalent Weightage]],"")</f>
        <v>7.5757575757575794E-3</v>
      </c>
      <c r="U975" s="79" t="s">
        <v>421</v>
      </c>
      <c r="W975" s="79">
        <v>471</v>
      </c>
    </row>
    <row r="976" spans="1:23">
      <c r="A976" s="79">
        <f t="shared" si="15"/>
        <v>975</v>
      </c>
      <c r="B976" s="79">
        <f>YEAR(Table6[[#This Row],[Date]])+IF(MONTH(Table6[[#This Row],[Date]])&gt;=4,1,0)</f>
        <v>2026</v>
      </c>
      <c r="C976" s="79">
        <f>YEAR(Table6[[#This Row],[Date]])</f>
        <v>2025</v>
      </c>
      <c r="D976" s="79" t="s">
        <v>344</v>
      </c>
      <c r="E976" s="284">
        <f>Table6[[#This Row],[Date]]-DAY(Table6[[#This Row],[Date]])+1</f>
        <v>45809</v>
      </c>
      <c r="F976" s="285">
        <v>45828</v>
      </c>
      <c r="G976" s="79" t="s">
        <v>117</v>
      </c>
      <c r="H976" s="79" t="str">
        <f>IFERROR(_xlfn.XLOOKUP(Table6[[#This Row],[Affected Feeder ]],'Basic Data'!$A:$A,'Basic Data'!$B:$B),"")</f>
        <v>PWEPL</v>
      </c>
      <c r="I976" s="79" t="str">
        <f>IFERROR(_xlfn.XLOOKUP(Table6[[#This Row],[Affected Feeder ]],'Basic Data'!$A:$A,'Basic Data'!$C:$C),"")</f>
        <v>MSEDCL</v>
      </c>
      <c r="J976" s="295">
        <f>IFERROR(_xlfn.XLOOKUP(Table6[[#This Row],[Affected Feeder ]],'Basic Data'!$A:$A,'Basic Data'!$E:$E),"")</f>
        <v>2.2727272727272728E-2</v>
      </c>
      <c r="K976" s="296" t="s">
        <v>171</v>
      </c>
      <c r="L976" s="297">
        <v>0.28263888888888888</v>
      </c>
      <c r="M976" s="297">
        <v>0.28263888888888888</v>
      </c>
      <c r="N976" s="297">
        <v>0.29652777777777778</v>
      </c>
      <c r="O976" s="298">
        <f>(Table6[[#This Row],[Work Start TimeStamp]]-Table6[[#This Row],[Fault Start TimeStamp]])*24</f>
        <v>0</v>
      </c>
      <c r="P976" s="298">
        <f>(Table6[[#This Row],[Fault Clearance time]]-Table6[[#This Row],[Fault Start TimeStamp]])*24</f>
        <v>0.33333333333333348</v>
      </c>
      <c r="Q976" s="298">
        <f>(Table6[[#This Row],[Fault Clearance time]]-Table6[[#This Row],[Fault Start TimeStamp]])*24</f>
        <v>0.33333333333333348</v>
      </c>
      <c r="R976" s="79" t="s">
        <v>353</v>
      </c>
      <c r="S976" s="79" t="s">
        <v>339</v>
      </c>
      <c r="T976" s="298">
        <f>IFERROR(Table6[[#This Row],[Breakdown Time]]*Table6[[#This Row],[Plant Equivalent Weightage]],"")</f>
        <v>7.5757575757575794E-3</v>
      </c>
      <c r="U976" s="79" t="s">
        <v>421</v>
      </c>
      <c r="W976" s="79">
        <v>471</v>
      </c>
    </row>
    <row r="977" spans="1:23">
      <c r="A977" s="79">
        <f t="shared" si="15"/>
        <v>976</v>
      </c>
      <c r="B977" s="79">
        <f>YEAR(Table6[[#This Row],[Date]])+IF(MONTH(Table6[[#This Row],[Date]])&gt;=4,1,0)</f>
        <v>2026</v>
      </c>
      <c r="C977" s="79">
        <f>YEAR(Table6[[#This Row],[Date]])</f>
        <v>2025</v>
      </c>
      <c r="D977" s="79" t="s">
        <v>344</v>
      </c>
      <c r="E977" s="284">
        <f>Table6[[#This Row],[Date]]-DAY(Table6[[#This Row],[Date]])+1</f>
        <v>45809</v>
      </c>
      <c r="F977" s="285">
        <v>45828</v>
      </c>
      <c r="G977" s="79" t="s">
        <v>118</v>
      </c>
      <c r="H977" s="79" t="str">
        <f>IFERROR(_xlfn.XLOOKUP(Table6[[#This Row],[Affected Feeder ]],'Basic Data'!$A:$A,'Basic Data'!$B:$B),"")</f>
        <v>PWEPL</v>
      </c>
      <c r="I977" s="79" t="str">
        <f>IFERROR(_xlfn.XLOOKUP(Table6[[#This Row],[Affected Feeder ]],'Basic Data'!$A:$A,'Basic Data'!$C:$C),"")</f>
        <v>MSEDCL</v>
      </c>
      <c r="J977" s="295">
        <f>IFERROR(_xlfn.XLOOKUP(Table6[[#This Row],[Affected Feeder ]],'Basic Data'!$A:$A,'Basic Data'!$E:$E),"")</f>
        <v>2.2727272727272728E-2</v>
      </c>
      <c r="K977" s="296" t="s">
        <v>171</v>
      </c>
      <c r="L977" s="297">
        <v>0.28263888888888888</v>
      </c>
      <c r="M977" s="297">
        <v>0.28263888888888888</v>
      </c>
      <c r="N977" s="297">
        <v>0.29652777777777778</v>
      </c>
      <c r="O977" s="298">
        <f>(Table6[[#This Row],[Work Start TimeStamp]]-Table6[[#This Row],[Fault Start TimeStamp]])*24</f>
        <v>0</v>
      </c>
      <c r="P977" s="298">
        <f>(Table6[[#This Row],[Fault Clearance time]]-Table6[[#This Row],[Fault Start TimeStamp]])*24</f>
        <v>0.33333333333333348</v>
      </c>
      <c r="Q977" s="298">
        <f>(Table6[[#This Row],[Fault Clearance time]]-Table6[[#This Row],[Fault Start TimeStamp]])*24</f>
        <v>0.33333333333333348</v>
      </c>
      <c r="R977" s="79" t="s">
        <v>353</v>
      </c>
      <c r="S977" s="79" t="s">
        <v>339</v>
      </c>
      <c r="T977" s="298">
        <f>IFERROR(Table6[[#This Row],[Breakdown Time]]*Table6[[#This Row],[Plant Equivalent Weightage]],"")</f>
        <v>7.5757575757575794E-3</v>
      </c>
      <c r="U977" s="79" t="s">
        <v>421</v>
      </c>
      <c r="W977" s="79">
        <v>471</v>
      </c>
    </row>
    <row r="978" spans="1:23">
      <c r="A978" s="79">
        <f t="shared" si="15"/>
        <v>977</v>
      </c>
      <c r="B978" s="79">
        <f>YEAR(Table6[[#This Row],[Date]])+IF(MONTH(Table6[[#This Row],[Date]])&gt;=4,1,0)</f>
        <v>2026</v>
      </c>
      <c r="C978" s="79">
        <f>YEAR(Table6[[#This Row],[Date]])</f>
        <v>2025</v>
      </c>
      <c r="D978" s="79" t="s">
        <v>344</v>
      </c>
      <c r="E978" s="284">
        <f>Table6[[#This Row],[Date]]-DAY(Table6[[#This Row],[Date]])+1</f>
        <v>45809</v>
      </c>
      <c r="F978" s="285">
        <v>45828</v>
      </c>
      <c r="G978" s="79" t="s">
        <v>103</v>
      </c>
      <c r="H978" s="79" t="str">
        <f>IFERROR(_xlfn.XLOOKUP(Table6[[#This Row],[Affected Feeder ]],'Basic Data'!$A:$A,'Basic Data'!$B:$B),"")</f>
        <v>PWEPL</v>
      </c>
      <c r="I978" s="79" t="str">
        <f>IFERROR(_xlfn.XLOOKUP(Table6[[#This Row],[Affected Feeder ]],'Basic Data'!$A:$A,'Basic Data'!$C:$C),"")</f>
        <v>MSEDCL</v>
      </c>
      <c r="J978" s="295">
        <f>IFERROR(_xlfn.XLOOKUP(Table6[[#This Row],[Affected Feeder ]],'Basic Data'!$A:$A,'Basic Data'!$E:$E),"")</f>
        <v>2.2727272727272728E-2</v>
      </c>
      <c r="K978" s="296" t="s">
        <v>936</v>
      </c>
      <c r="L978" s="297">
        <v>0.55208333333333337</v>
      </c>
      <c r="M978" s="297">
        <v>0.55208333333333337</v>
      </c>
      <c r="N978" s="297">
        <v>0.64722222222222225</v>
      </c>
      <c r="O978" s="298">
        <f>(Table6[[#This Row],[Work Start TimeStamp]]-Table6[[#This Row],[Fault Start TimeStamp]])*24</f>
        <v>0</v>
      </c>
      <c r="P978" s="298">
        <f>(Table6[[#This Row],[Fault Clearance time]]-Table6[[#This Row],[Fault Start TimeStamp]])*24</f>
        <v>2.2833333333333332</v>
      </c>
      <c r="Q978" s="298">
        <f>(Table6[[#This Row],[Fault Clearance time]]-Table6[[#This Row],[Fault Start TimeStamp]])*24</f>
        <v>2.2833333333333332</v>
      </c>
      <c r="R978" s="79" t="s">
        <v>937</v>
      </c>
      <c r="S978" s="79" t="s">
        <v>339</v>
      </c>
      <c r="T978" s="298">
        <f>IFERROR(Table6[[#This Row],[Breakdown Time]]*Table6[[#This Row],[Plant Equivalent Weightage]],"")</f>
        <v>5.1893939393939395E-2</v>
      </c>
      <c r="U978" s="79" t="s">
        <v>416</v>
      </c>
      <c r="W978" s="79">
        <v>258</v>
      </c>
    </row>
    <row r="979" spans="1:23">
      <c r="A979" s="79">
        <f t="shared" si="15"/>
        <v>978</v>
      </c>
      <c r="B979" s="79">
        <f>YEAR(Table6[[#This Row],[Date]])+IF(MONTH(Table6[[#This Row],[Date]])&gt;=4,1,0)</f>
        <v>2026</v>
      </c>
      <c r="C979" s="79">
        <f>YEAR(Table6[[#This Row],[Date]])</f>
        <v>2025</v>
      </c>
      <c r="D979" s="79" t="s">
        <v>344</v>
      </c>
      <c r="E979" s="284">
        <f>Table6[[#This Row],[Date]]-DAY(Table6[[#This Row],[Date]])+1</f>
        <v>45809</v>
      </c>
      <c r="F979" s="285">
        <v>45828</v>
      </c>
      <c r="G979" s="79" t="s">
        <v>103</v>
      </c>
      <c r="H979" s="79" t="str">
        <f>IFERROR(_xlfn.XLOOKUP(Table6[[#This Row],[Affected Feeder ]],'Basic Data'!$A:$A,'Basic Data'!$B:$B),"")</f>
        <v>PWEPL</v>
      </c>
      <c r="I979" s="79" t="str">
        <f>IFERROR(_xlfn.XLOOKUP(Table6[[#This Row],[Affected Feeder ]],'Basic Data'!$A:$A,'Basic Data'!$C:$C),"")</f>
        <v>MSEDCL</v>
      </c>
      <c r="J979" s="295">
        <f>IFERROR(_xlfn.XLOOKUP(Table6[[#This Row],[Affected Feeder ]],'Basic Data'!$A:$A,'Basic Data'!$E:$E),"")</f>
        <v>2.2727272727272728E-2</v>
      </c>
      <c r="K979" s="296" t="s">
        <v>171</v>
      </c>
      <c r="L979" s="297">
        <v>0.64722222222222225</v>
      </c>
      <c r="M979" s="297">
        <v>0.64722222222222225</v>
      </c>
      <c r="N979" s="297">
        <v>0.66111111111111109</v>
      </c>
      <c r="O979" s="298">
        <f>(Table6[[#This Row],[Work Start TimeStamp]]-Table6[[#This Row],[Fault Start TimeStamp]])*24</f>
        <v>0</v>
      </c>
      <c r="P979" s="298">
        <f>(Table6[[#This Row],[Fault Clearance time]]-Table6[[#This Row],[Fault Start TimeStamp]])*24</f>
        <v>0.33333333333333215</v>
      </c>
      <c r="Q979" s="298">
        <f>(Table6[[#This Row],[Fault Clearance time]]-Table6[[#This Row],[Fault Start TimeStamp]])*24</f>
        <v>0.33333333333333215</v>
      </c>
      <c r="R979" s="79" t="s">
        <v>353</v>
      </c>
      <c r="S979" s="79" t="s">
        <v>339</v>
      </c>
      <c r="T979" s="298">
        <f>IFERROR(Table6[[#This Row],[Breakdown Time]]*Table6[[#This Row],[Plant Equivalent Weightage]],"")</f>
        <v>7.5757575757575491E-3</v>
      </c>
      <c r="U979" s="79" t="s">
        <v>416</v>
      </c>
      <c r="W979" s="79">
        <v>43</v>
      </c>
    </row>
    <row r="980" spans="1:23">
      <c r="A980" s="79">
        <f t="shared" si="15"/>
        <v>979</v>
      </c>
      <c r="B980" s="79">
        <f>YEAR(Table6[[#This Row],[Date]])+IF(MONTH(Table6[[#This Row],[Date]])&gt;=4,1,0)</f>
        <v>2026</v>
      </c>
      <c r="C980" s="79">
        <f>YEAR(Table6[[#This Row],[Date]])</f>
        <v>2025</v>
      </c>
      <c r="D980" s="79" t="s">
        <v>344</v>
      </c>
      <c r="E980" s="284">
        <f>Table6[[#This Row],[Date]]-DAY(Table6[[#This Row],[Date]])+1</f>
        <v>45809</v>
      </c>
      <c r="F980" s="285">
        <v>45828</v>
      </c>
      <c r="G980" s="79" t="s">
        <v>105</v>
      </c>
      <c r="H980" s="79" t="str">
        <f>IFERROR(_xlfn.XLOOKUP(Table6[[#This Row],[Affected Feeder ]],'Basic Data'!$A:$A,'Basic Data'!$B:$B),"")</f>
        <v>PWEPL</v>
      </c>
      <c r="I980" s="79" t="str">
        <f>IFERROR(_xlfn.XLOOKUP(Table6[[#This Row],[Affected Feeder ]],'Basic Data'!$A:$A,'Basic Data'!$C:$C),"")</f>
        <v>MSEDCL</v>
      </c>
      <c r="J980" s="295">
        <f>IFERROR(_xlfn.XLOOKUP(Table6[[#This Row],[Affected Feeder ]],'Basic Data'!$A:$A,'Basic Data'!$E:$E),"")</f>
        <v>2.2727272727272728E-2</v>
      </c>
      <c r="K980" s="296" t="s">
        <v>936</v>
      </c>
      <c r="L980" s="297">
        <v>0.55208333333333337</v>
      </c>
      <c r="M980" s="297">
        <v>0.55208333333333337</v>
      </c>
      <c r="N980" s="297">
        <v>0.64722222222222225</v>
      </c>
      <c r="O980" s="298">
        <f>(Table6[[#This Row],[Work Start TimeStamp]]-Table6[[#This Row],[Fault Start TimeStamp]])*24</f>
        <v>0</v>
      </c>
      <c r="P980" s="298">
        <f>(Table6[[#This Row],[Fault Clearance time]]-Table6[[#This Row],[Fault Start TimeStamp]])*24</f>
        <v>2.2833333333333332</v>
      </c>
      <c r="Q980" s="298">
        <f>(Table6[[#This Row],[Fault Clearance time]]-Table6[[#This Row],[Fault Start TimeStamp]])*24</f>
        <v>2.2833333333333332</v>
      </c>
      <c r="R980" s="79" t="s">
        <v>937</v>
      </c>
      <c r="S980" s="79" t="s">
        <v>339</v>
      </c>
      <c r="T980" s="298">
        <f>IFERROR(Table6[[#This Row],[Breakdown Time]]*Table6[[#This Row],[Plant Equivalent Weightage]],"")</f>
        <v>5.1893939393939395E-2</v>
      </c>
      <c r="U980" s="79" t="s">
        <v>416</v>
      </c>
      <c r="W980" s="79">
        <v>211</v>
      </c>
    </row>
    <row r="981" spans="1:23">
      <c r="A981" s="79">
        <f t="shared" si="15"/>
        <v>980</v>
      </c>
      <c r="B981" s="79">
        <f>YEAR(Table6[[#This Row],[Date]])+IF(MONTH(Table6[[#This Row],[Date]])&gt;=4,1,0)</f>
        <v>2026</v>
      </c>
      <c r="C981" s="79">
        <f>YEAR(Table6[[#This Row],[Date]])</f>
        <v>2025</v>
      </c>
      <c r="D981" s="79" t="s">
        <v>344</v>
      </c>
      <c r="E981" s="284">
        <f>Table6[[#This Row],[Date]]-DAY(Table6[[#This Row],[Date]])+1</f>
        <v>45809</v>
      </c>
      <c r="F981" s="285">
        <v>45828</v>
      </c>
      <c r="G981" s="79" t="s">
        <v>105</v>
      </c>
      <c r="H981" s="79" t="str">
        <f>IFERROR(_xlfn.XLOOKUP(Table6[[#This Row],[Affected Feeder ]],'Basic Data'!$A:$A,'Basic Data'!$B:$B),"")</f>
        <v>PWEPL</v>
      </c>
      <c r="I981" s="79" t="str">
        <f>IFERROR(_xlfn.XLOOKUP(Table6[[#This Row],[Affected Feeder ]],'Basic Data'!$A:$A,'Basic Data'!$C:$C),"")</f>
        <v>MSEDCL</v>
      </c>
      <c r="J981" s="295">
        <f>IFERROR(_xlfn.XLOOKUP(Table6[[#This Row],[Affected Feeder ]],'Basic Data'!$A:$A,'Basic Data'!$E:$E),"")</f>
        <v>2.2727272727272728E-2</v>
      </c>
      <c r="K981" s="296" t="s">
        <v>171</v>
      </c>
      <c r="L981" s="297">
        <v>0.64722222222222225</v>
      </c>
      <c r="M981" s="297">
        <v>0.64722222222222225</v>
      </c>
      <c r="N981" s="297">
        <v>0.66111111111111109</v>
      </c>
      <c r="O981" s="298">
        <f>(Table6[[#This Row],[Work Start TimeStamp]]-Table6[[#This Row],[Fault Start TimeStamp]])*24</f>
        <v>0</v>
      </c>
      <c r="P981" s="298">
        <f>(Table6[[#This Row],[Fault Clearance time]]-Table6[[#This Row],[Fault Start TimeStamp]])*24</f>
        <v>0.33333333333333215</v>
      </c>
      <c r="Q981" s="298">
        <f>(Table6[[#This Row],[Fault Clearance time]]-Table6[[#This Row],[Fault Start TimeStamp]])*24</f>
        <v>0.33333333333333215</v>
      </c>
      <c r="R981" s="79" t="s">
        <v>353</v>
      </c>
      <c r="S981" s="79" t="s">
        <v>339</v>
      </c>
      <c r="T981" s="298">
        <f>IFERROR(Table6[[#This Row],[Breakdown Time]]*Table6[[#This Row],[Plant Equivalent Weightage]],"")</f>
        <v>7.5757575757575491E-3</v>
      </c>
      <c r="U981" s="79" t="s">
        <v>416</v>
      </c>
      <c r="W981" s="79">
        <v>36</v>
      </c>
    </row>
    <row r="982" spans="1:23">
      <c r="A982" s="79">
        <f t="shared" si="15"/>
        <v>981</v>
      </c>
      <c r="B982" s="79">
        <f>YEAR(Table6[[#This Row],[Date]])+IF(MONTH(Table6[[#This Row],[Date]])&gt;=4,1,0)</f>
        <v>2026</v>
      </c>
      <c r="C982" s="79">
        <f>YEAR(Table6[[#This Row],[Date]])</f>
        <v>2025</v>
      </c>
      <c r="D982" s="79" t="s">
        <v>344</v>
      </c>
      <c r="E982" s="284">
        <f>Table6[[#This Row],[Date]]-DAY(Table6[[#This Row],[Date]])+1</f>
        <v>45809</v>
      </c>
      <c r="F982" s="285">
        <v>45828</v>
      </c>
      <c r="G982" s="79" t="s">
        <v>115</v>
      </c>
      <c r="H982" s="79" t="str">
        <f>IFERROR(_xlfn.XLOOKUP(Table6[[#This Row],[Affected Feeder ]],'Basic Data'!$A:$A,'Basic Data'!$B:$B),"")</f>
        <v>PWEPL</v>
      </c>
      <c r="I982" s="79" t="str">
        <f>IFERROR(_xlfn.XLOOKUP(Table6[[#This Row],[Affected Feeder ]],'Basic Data'!$A:$A,'Basic Data'!$C:$C),"")</f>
        <v>MSEDCL</v>
      </c>
      <c r="J982" s="295">
        <f>IFERROR(_xlfn.XLOOKUP(Table6[[#This Row],[Affected Feeder ]],'Basic Data'!$A:$A,'Basic Data'!$E:$E),"")</f>
        <v>2.2727272727272728E-2</v>
      </c>
      <c r="K982" s="296" t="s">
        <v>936</v>
      </c>
      <c r="L982" s="297">
        <v>0.55208333333333337</v>
      </c>
      <c r="M982" s="297">
        <v>0.55208333333333337</v>
      </c>
      <c r="N982" s="297">
        <v>0.64722222222222225</v>
      </c>
      <c r="O982" s="298">
        <f>(Table6[[#This Row],[Work Start TimeStamp]]-Table6[[#This Row],[Fault Start TimeStamp]])*24</f>
        <v>0</v>
      </c>
      <c r="P982" s="298">
        <f>(Table6[[#This Row],[Fault Clearance time]]-Table6[[#This Row],[Fault Start TimeStamp]])*24</f>
        <v>2.2833333333333332</v>
      </c>
      <c r="Q982" s="298">
        <f>(Table6[[#This Row],[Fault Clearance time]]-Table6[[#This Row],[Fault Start TimeStamp]])*24</f>
        <v>2.2833333333333332</v>
      </c>
      <c r="R982" s="79" t="s">
        <v>937</v>
      </c>
      <c r="S982" s="79" t="s">
        <v>339</v>
      </c>
      <c r="T982" s="298">
        <f>IFERROR(Table6[[#This Row],[Breakdown Time]]*Table6[[#This Row],[Plant Equivalent Weightage]],"")</f>
        <v>5.1893939393939395E-2</v>
      </c>
      <c r="U982" s="79" t="s">
        <v>416</v>
      </c>
      <c r="W982" s="79">
        <v>211</v>
      </c>
    </row>
    <row r="983" spans="1:23">
      <c r="A983" s="79">
        <f t="shared" si="15"/>
        <v>982</v>
      </c>
      <c r="B983" s="79">
        <f>YEAR(Table6[[#This Row],[Date]])+IF(MONTH(Table6[[#This Row],[Date]])&gt;=4,1,0)</f>
        <v>2026</v>
      </c>
      <c r="C983" s="79">
        <f>YEAR(Table6[[#This Row],[Date]])</f>
        <v>2025</v>
      </c>
      <c r="D983" s="79" t="s">
        <v>344</v>
      </c>
      <c r="E983" s="284">
        <f>Table6[[#This Row],[Date]]-DAY(Table6[[#This Row],[Date]])+1</f>
        <v>45809</v>
      </c>
      <c r="F983" s="285">
        <v>45828</v>
      </c>
      <c r="G983" s="79" t="s">
        <v>115</v>
      </c>
      <c r="H983" s="79" t="str">
        <f>IFERROR(_xlfn.XLOOKUP(Table6[[#This Row],[Affected Feeder ]],'Basic Data'!$A:$A,'Basic Data'!$B:$B),"")</f>
        <v>PWEPL</v>
      </c>
      <c r="I983" s="79" t="str">
        <f>IFERROR(_xlfn.XLOOKUP(Table6[[#This Row],[Affected Feeder ]],'Basic Data'!$A:$A,'Basic Data'!$C:$C),"")</f>
        <v>MSEDCL</v>
      </c>
      <c r="J983" s="295">
        <f>IFERROR(_xlfn.XLOOKUP(Table6[[#This Row],[Affected Feeder ]],'Basic Data'!$A:$A,'Basic Data'!$E:$E),"")</f>
        <v>2.2727272727272728E-2</v>
      </c>
      <c r="K983" s="296" t="s">
        <v>171</v>
      </c>
      <c r="L983" s="297">
        <v>0.64722222222222225</v>
      </c>
      <c r="M983" s="297">
        <v>0.64722222222222225</v>
      </c>
      <c r="N983" s="297">
        <v>0.66111111111111109</v>
      </c>
      <c r="O983" s="298">
        <f>(Table6[[#This Row],[Work Start TimeStamp]]-Table6[[#This Row],[Fault Start TimeStamp]])*24</f>
        <v>0</v>
      </c>
      <c r="P983" s="298">
        <f>(Table6[[#This Row],[Fault Clearance time]]-Table6[[#This Row],[Fault Start TimeStamp]])*24</f>
        <v>0.33333333333333215</v>
      </c>
      <c r="Q983" s="298">
        <f>(Table6[[#This Row],[Fault Clearance time]]-Table6[[#This Row],[Fault Start TimeStamp]])*24</f>
        <v>0.33333333333333215</v>
      </c>
      <c r="R983" s="79" t="s">
        <v>353</v>
      </c>
      <c r="S983" s="79" t="s">
        <v>339</v>
      </c>
      <c r="T983" s="298">
        <f>IFERROR(Table6[[#This Row],[Breakdown Time]]*Table6[[#This Row],[Plant Equivalent Weightage]],"")</f>
        <v>7.5757575757575491E-3</v>
      </c>
      <c r="U983" s="79" t="s">
        <v>416</v>
      </c>
      <c r="W983" s="79">
        <v>36</v>
      </c>
    </row>
    <row r="984" spans="1:23">
      <c r="A984" s="79">
        <f t="shared" si="15"/>
        <v>983</v>
      </c>
      <c r="B984" s="79">
        <f>YEAR(Table6[[#This Row],[Date]])+IF(MONTH(Table6[[#This Row],[Date]])&gt;=4,1,0)</f>
        <v>2026</v>
      </c>
      <c r="C984" s="79">
        <f>YEAR(Table6[[#This Row],[Date]])</f>
        <v>2025</v>
      </c>
      <c r="D984" s="79" t="s">
        <v>344</v>
      </c>
      <c r="E984" s="284">
        <f>Table6[[#This Row],[Date]]-DAY(Table6[[#This Row],[Date]])+1</f>
        <v>45809</v>
      </c>
      <c r="F984" s="285">
        <v>45828</v>
      </c>
      <c r="G984" s="79" t="s">
        <v>116</v>
      </c>
      <c r="H984" s="79" t="str">
        <f>IFERROR(_xlfn.XLOOKUP(Table6[[#This Row],[Affected Feeder ]],'Basic Data'!$A:$A,'Basic Data'!$B:$B),"")</f>
        <v>PWEPL</v>
      </c>
      <c r="I984" s="79" t="str">
        <f>IFERROR(_xlfn.XLOOKUP(Table6[[#This Row],[Affected Feeder ]],'Basic Data'!$A:$A,'Basic Data'!$C:$C),"")</f>
        <v>MSEDCL</v>
      </c>
      <c r="J984" s="295">
        <f>IFERROR(_xlfn.XLOOKUP(Table6[[#This Row],[Affected Feeder ]],'Basic Data'!$A:$A,'Basic Data'!$E:$E),"")</f>
        <v>2.2727272727272728E-2</v>
      </c>
      <c r="K984" s="296" t="s">
        <v>936</v>
      </c>
      <c r="L984" s="297">
        <v>0.55208333333333337</v>
      </c>
      <c r="M984" s="297">
        <v>0.55208333333333337</v>
      </c>
      <c r="N984" s="297">
        <v>0.64722222222222225</v>
      </c>
      <c r="O984" s="298">
        <f>(Table6[[#This Row],[Work Start TimeStamp]]-Table6[[#This Row],[Fault Start TimeStamp]])*24</f>
        <v>0</v>
      </c>
      <c r="P984" s="298">
        <f>(Table6[[#This Row],[Fault Clearance time]]-Table6[[#This Row],[Fault Start TimeStamp]])*24</f>
        <v>2.2833333333333332</v>
      </c>
      <c r="Q984" s="298">
        <f>(Table6[[#This Row],[Fault Clearance time]]-Table6[[#This Row],[Fault Start TimeStamp]])*24</f>
        <v>2.2833333333333332</v>
      </c>
      <c r="R984" s="79" t="s">
        <v>937</v>
      </c>
      <c r="S984" s="79" t="s">
        <v>339</v>
      </c>
      <c r="T984" s="298">
        <f>IFERROR(Table6[[#This Row],[Breakdown Time]]*Table6[[#This Row],[Plant Equivalent Weightage]],"")</f>
        <v>5.1893939393939395E-2</v>
      </c>
      <c r="U984" s="79" t="s">
        <v>416</v>
      </c>
      <c r="W984" s="79">
        <v>262</v>
      </c>
    </row>
    <row r="985" spans="1:23">
      <c r="A985" s="79">
        <f t="shared" si="15"/>
        <v>984</v>
      </c>
      <c r="B985" s="79">
        <f>YEAR(Table6[[#This Row],[Date]])+IF(MONTH(Table6[[#This Row],[Date]])&gt;=4,1,0)</f>
        <v>2026</v>
      </c>
      <c r="C985" s="79">
        <f>YEAR(Table6[[#This Row],[Date]])</f>
        <v>2025</v>
      </c>
      <c r="D985" s="79" t="s">
        <v>344</v>
      </c>
      <c r="E985" s="284">
        <f>Table6[[#This Row],[Date]]-DAY(Table6[[#This Row],[Date]])+1</f>
        <v>45809</v>
      </c>
      <c r="F985" s="285">
        <v>45828</v>
      </c>
      <c r="G985" s="79" t="s">
        <v>116</v>
      </c>
      <c r="H985" s="79" t="str">
        <f>IFERROR(_xlfn.XLOOKUP(Table6[[#This Row],[Affected Feeder ]],'Basic Data'!$A:$A,'Basic Data'!$B:$B),"")</f>
        <v>PWEPL</v>
      </c>
      <c r="I985" s="79" t="str">
        <f>IFERROR(_xlfn.XLOOKUP(Table6[[#This Row],[Affected Feeder ]],'Basic Data'!$A:$A,'Basic Data'!$C:$C),"")</f>
        <v>MSEDCL</v>
      </c>
      <c r="J985" s="295">
        <f>IFERROR(_xlfn.XLOOKUP(Table6[[#This Row],[Affected Feeder ]],'Basic Data'!$A:$A,'Basic Data'!$E:$E),"")</f>
        <v>2.2727272727272728E-2</v>
      </c>
      <c r="K985" s="296" t="s">
        <v>171</v>
      </c>
      <c r="L985" s="297">
        <v>0.64722222222222225</v>
      </c>
      <c r="M985" s="297">
        <v>0.64722222222222225</v>
      </c>
      <c r="N985" s="297">
        <v>0.66111111111111109</v>
      </c>
      <c r="O985" s="298">
        <f>(Table6[[#This Row],[Work Start TimeStamp]]-Table6[[#This Row],[Fault Start TimeStamp]])*24</f>
        <v>0</v>
      </c>
      <c r="P985" s="298">
        <f>(Table6[[#This Row],[Fault Clearance time]]-Table6[[#This Row],[Fault Start TimeStamp]])*24</f>
        <v>0.33333333333333215</v>
      </c>
      <c r="Q985" s="298">
        <f>(Table6[[#This Row],[Fault Clearance time]]-Table6[[#This Row],[Fault Start TimeStamp]])*24</f>
        <v>0.33333333333333215</v>
      </c>
      <c r="R985" s="79" t="s">
        <v>353</v>
      </c>
      <c r="S985" s="79" t="s">
        <v>339</v>
      </c>
      <c r="T985" s="298">
        <f>IFERROR(Table6[[#This Row],[Breakdown Time]]*Table6[[#This Row],[Plant Equivalent Weightage]],"")</f>
        <v>7.5757575757575491E-3</v>
      </c>
      <c r="U985" s="79" t="s">
        <v>416</v>
      </c>
      <c r="W985" s="79">
        <v>44</v>
      </c>
    </row>
    <row r="986" spans="1:23">
      <c r="A986" s="79">
        <f t="shared" si="15"/>
        <v>985</v>
      </c>
      <c r="B986" s="79">
        <f>YEAR(Table6[[#This Row],[Date]])+IF(MONTH(Table6[[#This Row],[Date]])&gt;=4,1,0)</f>
        <v>2026</v>
      </c>
      <c r="C986" s="79">
        <f>YEAR(Table6[[#This Row],[Date]])</f>
        <v>2025</v>
      </c>
      <c r="D986" s="79" t="s">
        <v>344</v>
      </c>
      <c r="E986" s="284">
        <f>Table6[[#This Row],[Date]]-DAY(Table6[[#This Row],[Date]])+1</f>
        <v>45809</v>
      </c>
      <c r="F986" s="285">
        <v>45828</v>
      </c>
      <c r="G986" s="79" t="s">
        <v>117</v>
      </c>
      <c r="H986" s="79" t="str">
        <f>IFERROR(_xlfn.XLOOKUP(Table6[[#This Row],[Affected Feeder ]],'Basic Data'!$A:$A,'Basic Data'!$B:$B),"")</f>
        <v>PWEPL</v>
      </c>
      <c r="I986" s="79" t="str">
        <f>IFERROR(_xlfn.XLOOKUP(Table6[[#This Row],[Affected Feeder ]],'Basic Data'!$A:$A,'Basic Data'!$C:$C),"")</f>
        <v>MSEDCL</v>
      </c>
      <c r="J986" s="295">
        <f>IFERROR(_xlfn.XLOOKUP(Table6[[#This Row],[Affected Feeder ]],'Basic Data'!$A:$A,'Basic Data'!$E:$E),"")</f>
        <v>2.2727272727272728E-2</v>
      </c>
      <c r="K986" s="296" t="s">
        <v>936</v>
      </c>
      <c r="L986" s="297">
        <v>0.55208333333333337</v>
      </c>
      <c r="M986" s="297">
        <v>0.55208333333333337</v>
      </c>
      <c r="N986" s="297">
        <v>0.64722222222222225</v>
      </c>
      <c r="O986" s="298">
        <f>(Table6[[#This Row],[Work Start TimeStamp]]-Table6[[#This Row],[Fault Start TimeStamp]])*24</f>
        <v>0</v>
      </c>
      <c r="P986" s="298">
        <f>(Table6[[#This Row],[Fault Clearance time]]-Table6[[#This Row],[Fault Start TimeStamp]])*24</f>
        <v>2.2833333333333332</v>
      </c>
      <c r="Q986" s="298">
        <f>(Table6[[#This Row],[Fault Clearance time]]-Table6[[#This Row],[Fault Start TimeStamp]])*24</f>
        <v>2.2833333333333332</v>
      </c>
      <c r="R986" s="79" t="s">
        <v>937</v>
      </c>
      <c r="S986" s="79" t="s">
        <v>339</v>
      </c>
      <c r="T986" s="298">
        <f>IFERROR(Table6[[#This Row],[Breakdown Time]]*Table6[[#This Row],[Plant Equivalent Weightage]],"")</f>
        <v>5.1893939393939395E-2</v>
      </c>
      <c r="U986" s="79" t="s">
        <v>416</v>
      </c>
      <c r="W986" s="79">
        <v>211</v>
      </c>
    </row>
    <row r="987" spans="1:23">
      <c r="A987" s="79">
        <f t="shared" si="15"/>
        <v>986</v>
      </c>
      <c r="B987" s="79">
        <f>YEAR(Table6[[#This Row],[Date]])+IF(MONTH(Table6[[#This Row],[Date]])&gt;=4,1,0)</f>
        <v>2026</v>
      </c>
      <c r="C987" s="79">
        <f>YEAR(Table6[[#This Row],[Date]])</f>
        <v>2025</v>
      </c>
      <c r="D987" s="79" t="s">
        <v>344</v>
      </c>
      <c r="E987" s="284">
        <f>Table6[[#This Row],[Date]]-DAY(Table6[[#This Row],[Date]])+1</f>
        <v>45809</v>
      </c>
      <c r="F987" s="285">
        <v>45828</v>
      </c>
      <c r="G987" s="79" t="s">
        <v>117</v>
      </c>
      <c r="H987" s="79" t="str">
        <f>IFERROR(_xlfn.XLOOKUP(Table6[[#This Row],[Affected Feeder ]],'Basic Data'!$A:$A,'Basic Data'!$B:$B),"")</f>
        <v>PWEPL</v>
      </c>
      <c r="I987" s="79" t="str">
        <f>IFERROR(_xlfn.XLOOKUP(Table6[[#This Row],[Affected Feeder ]],'Basic Data'!$A:$A,'Basic Data'!$C:$C),"")</f>
        <v>MSEDCL</v>
      </c>
      <c r="J987" s="295">
        <f>IFERROR(_xlfn.XLOOKUP(Table6[[#This Row],[Affected Feeder ]],'Basic Data'!$A:$A,'Basic Data'!$E:$E),"")</f>
        <v>2.2727272727272728E-2</v>
      </c>
      <c r="K987" s="296" t="s">
        <v>171</v>
      </c>
      <c r="L987" s="297">
        <v>0.64722222222222225</v>
      </c>
      <c r="M987" s="297">
        <v>0.64722222222222225</v>
      </c>
      <c r="N987" s="297">
        <v>0.66111111111111109</v>
      </c>
      <c r="O987" s="298">
        <f>(Table6[[#This Row],[Work Start TimeStamp]]-Table6[[#This Row],[Fault Start TimeStamp]])*24</f>
        <v>0</v>
      </c>
      <c r="P987" s="298">
        <f>(Table6[[#This Row],[Fault Clearance time]]-Table6[[#This Row],[Fault Start TimeStamp]])*24</f>
        <v>0.33333333333333215</v>
      </c>
      <c r="Q987" s="298">
        <f>(Table6[[#This Row],[Fault Clearance time]]-Table6[[#This Row],[Fault Start TimeStamp]])*24</f>
        <v>0.33333333333333215</v>
      </c>
      <c r="R987" s="79" t="s">
        <v>353</v>
      </c>
      <c r="S987" s="79" t="s">
        <v>339</v>
      </c>
      <c r="T987" s="298">
        <f>IFERROR(Table6[[#This Row],[Breakdown Time]]*Table6[[#This Row],[Plant Equivalent Weightage]],"")</f>
        <v>7.5757575757575491E-3</v>
      </c>
      <c r="U987" s="79" t="s">
        <v>416</v>
      </c>
      <c r="W987" s="79">
        <v>36</v>
      </c>
    </row>
    <row r="988" spans="1:23">
      <c r="A988" s="79">
        <f t="shared" si="15"/>
        <v>987</v>
      </c>
      <c r="B988" s="79">
        <f>YEAR(Table6[[#This Row],[Date]])+IF(MONTH(Table6[[#This Row],[Date]])&gt;=4,1,0)</f>
        <v>2026</v>
      </c>
      <c r="C988" s="79">
        <f>YEAR(Table6[[#This Row],[Date]])</f>
        <v>2025</v>
      </c>
      <c r="D988" s="79" t="s">
        <v>344</v>
      </c>
      <c r="E988" s="284">
        <f>Table6[[#This Row],[Date]]-DAY(Table6[[#This Row],[Date]])+1</f>
        <v>45809</v>
      </c>
      <c r="F988" s="285">
        <v>45828</v>
      </c>
      <c r="G988" s="79" t="s">
        <v>118</v>
      </c>
      <c r="H988" s="79" t="str">
        <f>IFERROR(_xlfn.XLOOKUP(Table6[[#This Row],[Affected Feeder ]],'Basic Data'!$A:$A,'Basic Data'!$B:$B),"")</f>
        <v>PWEPL</v>
      </c>
      <c r="I988" s="79" t="str">
        <f>IFERROR(_xlfn.XLOOKUP(Table6[[#This Row],[Affected Feeder ]],'Basic Data'!$A:$A,'Basic Data'!$C:$C),"")</f>
        <v>MSEDCL</v>
      </c>
      <c r="J988" s="295">
        <f>IFERROR(_xlfn.XLOOKUP(Table6[[#This Row],[Affected Feeder ]],'Basic Data'!$A:$A,'Basic Data'!$E:$E),"")</f>
        <v>2.2727272727272728E-2</v>
      </c>
      <c r="K988" s="296" t="s">
        <v>936</v>
      </c>
      <c r="L988" s="297">
        <v>0.55208333333333337</v>
      </c>
      <c r="M988" s="297">
        <v>0.55208333333333337</v>
      </c>
      <c r="N988" s="297">
        <v>0.64722222222222225</v>
      </c>
      <c r="O988" s="298">
        <f>(Table6[[#This Row],[Work Start TimeStamp]]-Table6[[#This Row],[Fault Start TimeStamp]])*24</f>
        <v>0</v>
      </c>
      <c r="P988" s="298">
        <f>(Table6[[#This Row],[Fault Clearance time]]-Table6[[#This Row],[Fault Start TimeStamp]])*24</f>
        <v>2.2833333333333332</v>
      </c>
      <c r="Q988" s="298">
        <f>(Table6[[#This Row],[Fault Clearance time]]-Table6[[#This Row],[Fault Start TimeStamp]])*24</f>
        <v>2.2833333333333332</v>
      </c>
      <c r="R988" s="79" t="s">
        <v>937</v>
      </c>
      <c r="S988" s="79" t="s">
        <v>339</v>
      </c>
      <c r="T988" s="298">
        <f>IFERROR(Table6[[#This Row],[Breakdown Time]]*Table6[[#This Row],[Plant Equivalent Weightage]],"")</f>
        <v>5.1893939393939395E-2</v>
      </c>
      <c r="U988" s="79" t="s">
        <v>416</v>
      </c>
      <c r="W988" s="79">
        <v>3825</v>
      </c>
    </row>
    <row r="989" spans="1:23">
      <c r="A989" s="79">
        <f t="shared" si="15"/>
        <v>988</v>
      </c>
      <c r="B989" s="79">
        <f>YEAR(Table6[[#This Row],[Date]])+IF(MONTH(Table6[[#This Row],[Date]])&gt;=4,1,0)</f>
        <v>2026</v>
      </c>
      <c r="C989" s="79">
        <f>YEAR(Table6[[#This Row],[Date]])</f>
        <v>2025</v>
      </c>
      <c r="D989" s="79" t="s">
        <v>344</v>
      </c>
      <c r="E989" s="284">
        <f>Table6[[#This Row],[Date]]-DAY(Table6[[#This Row],[Date]])+1</f>
        <v>45809</v>
      </c>
      <c r="F989" s="285">
        <v>45828</v>
      </c>
      <c r="G989" s="79" t="s">
        <v>118</v>
      </c>
      <c r="H989" s="79" t="str">
        <f>IFERROR(_xlfn.XLOOKUP(Table6[[#This Row],[Affected Feeder ]],'Basic Data'!$A:$A,'Basic Data'!$B:$B),"")</f>
        <v>PWEPL</v>
      </c>
      <c r="I989" s="79" t="str">
        <f>IFERROR(_xlfn.XLOOKUP(Table6[[#This Row],[Affected Feeder ]],'Basic Data'!$A:$A,'Basic Data'!$C:$C),"")</f>
        <v>MSEDCL</v>
      </c>
      <c r="J989" s="295">
        <f>IFERROR(_xlfn.XLOOKUP(Table6[[#This Row],[Affected Feeder ]],'Basic Data'!$A:$A,'Basic Data'!$E:$E),"")</f>
        <v>2.2727272727272728E-2</v>
      </c>
      <c r="K989" s="296" t="s">
        <v>171</v>
      </c>
      <c r="L989" s="297">
        <v>0.64722222222222225</v>
      </c>
      <c r="M989" s="297">
        <v>0.64722222222222225</v>
      </c>
      <c r="N989" s="297">
        <v>0.66111111111111109</v>
      </c>
      <c r="O989" s="298">
        <f>(Table6[[#This Row],[Work Start TimeStamp]]-Table6[[#This Row],[Fault Start TimeStamp]])*24</f>
        <v>0</v>
      </c>
      <c r="P989" s="298">
        <f>(Table6[[#This Row],[Fault Clearance time]]-Table6[[#This Row],[Fault Start TimeStamp]])*24</f>
        <v>0.33333333333333215</v>
      </c>
      <c r="Q989" s="298">
        <f>(Table6[[#This Row],[Fault Clearance time]]-Table6[[#This Row],[Fault Start TimeStamp]])*24</f>
        <v>0.33333333333333215</v>
      </c>
      <c r="R989" s="79" t="s">
        <v>353</v>
      </c>
      <c r="S989" s="79" t="s">
        <v>339</v>
      </c>
      <c r="T989" s="298">
        <f>IFERROR(Table6[[#This Row],[Breakdown Time]]*Table6[[#This Row],[Plant Equivalent Weightage]],"")</f>
        <v>7.5757575757575491E-3</v>
      </c>
      <c r="U989" s="79" t="s">
        <v>416</v>
      </c>
      <c r="W989" s="79">
        <v>653</v>
      </c>
    </row>
    <row r="990" spans="1:23">
      <c r="A990" s="79">
        <f t="shared" si="15"/>
        <v>989</v>
      </c>
      <c r="B990" s="79">
        <f>YEAR(Table6[[#This Row],[Date]])+IF(MONTH(Table6[[#This Row],[Date]])&gt;=4,1,0)</f>
        <v>2026</v>
      </c>
      <c r="C990" s="79">
        <f>YEAR(Table6[[#This Row],[Date]])</f>
        <v>2025</v>
      </c>
      <c r="D990" s="79" t="s">
        <v>344</v>
      </c>
      <c r="E990" s="284">
        <f>Table6[[#This Row],[Date]]-DAY(Table6[[#This Row],[Date]])+1</f>
        <v>45809</v>
      </c>
      <c r="F990" s="285">
        <v>45831</v>
      </c>
      <c r="G990" s="79" t="s">
        <v>406</v>
      </c>
      <c r="H990" s="79" t="str">
        <f>IFERROR(_xlfn.XLOOKUP(Table6[[#This Row],[Affected Feeder ]],'Basic Data'!$A:$A,'Basic Data'!$B:$B),"")</f>
        <v>PWEPL</v>
      </c>
      <c r="I990" s="79" t="str">
        <f>IFERROR(_xlfn.XLOOKUP(Table6[[#This Row],[Affected Feeder ]],'Basic Data'!$A:$A,'Basic Data'!$C:$C),"")</f>
        <v>MSEDCL</v>
      </c>
      <c r="J990" s="295">
        <f>IFERROR(_xlfn.XLOOKUP(Table6[[#This Row],[Affected Feeder ]],'Basic Data'!$A:$A,'Basic Data'!$E:$E),"")</f>
        <v>0.29545454545454541</v>
      </c>
      <c r="K990" s="296" t="s">
        <v>447</v>
      </c>
      <c r="L990" s="297">
        <v>0.32500000000000001</v>
      </c>
      <c r="M990" s="297">
        <v>0.32500000000000001</v>
      </c>
      <c r="N990" s="297">
        <v>0.47916666666666669</v>
      </c>
      <c r="O990" s="298">
        <f>(Table6[[#This Row],[Work Start TimeStamp]]-Table6[[#This Row],[Fault Start TimeStamp]])*24</f>
        <v>0</v>
      </c>
      <c r="P990" s="298">
        <f>(Table6[[#This Row],[Fault Clearance time]]-Table6[[#This Row],[Fault Start TimeStamp]])*24</f>
        <v>3.7</v>
      </c>
      <c r="Q990" s="298">
        <f>(Table6[[#This Row],[Fault Clearance time]]-Table6[[#This Row],[Fault Start TimeStamp]])*24</f>
        <v>3.7</v>
      </c>
      <c r="R990" s="79" t="s">
        <v>420</v>
      </c>
      <c r="S990" s="79" t="s">
        <v>339</v>
      </c>
      <c r="T990" s="298">
        <f>IFERROR(Table6[[#This Row],[Breakdown Time]]*Table6[[#This Row],[Plant Equivalent Weightage]],"")</f>
        <v>1.093181818181818</v>
      </c>
      <c r="U990" s="79" t="s">
        <v>421</v>
      </c>
      <c r="W990" s="79">
        <v>33792</v>
      </c>
    </row>
    <row r="991" spans="1:23">
      <c r="A991" s="79">
        <f t="shared" si="15"/>
        <v>990</v>
      </c>
      <c r="B991" s="79">
        <f>YEAR(Table6[[#This Row],[Date]])+IF(MONTH(Table6[[#This Row],[Date]])&gt;=4,1,0)</f>
        <v>2026</v>
      </c>
      <c r="C991" s="79">
        <f>YEAR(Table6[[#This Row],[Date]])</f>
        <v>2025</v>
      </c>
      <c r="D991" s="79" t="s">
        <v>344</v>
      </c>
      <c r="E991" s="284">
        <f>Table6[[#This Row],[Date]]-DAY(Table6[[#This Row],[Date]])+1</f>
        <v>45809</v>
      </c>
      <c r="F991" s="285">
        <v>45831</v>
      </c>
      <c r="G991" s="79" t="s">
        <v>76</v>
      </c>
      <c r="H991" s="79" t="str">
        <f>IFERROR(_xlfn.XLOOKUP(Table6[[#This Row],[Affected Feeder ]],'Basic Data'!$A:$A,'Basic Data'!$B:$B),"")</f>
        <v>PWEPL</v>
      </c>
      <c r="I991" s="79" t="str">
        <f>IFERROR(_xlfn.XLOOKUP(Table6[[#This Row],[Affected Feeder ]],'Basic Data'!$A:$A,'Basic Data'!$C:$C),"")</f>
        <v>MSEDCL</v>
      </c>
      <c r="J991" s="295">
        <f>IFERROR(_xlfn.XLOOKUP(Table6[[#This Row],[Affected Feeder ]],'Basic Data'!$A:$A,'Basic Data'!$E:$E),"")</f>
        <v>2.2727272727272728E-2</v>
      </c>
      <c r="K991" s="296" t="s">
        <v>171</v>
      </c>
      <c r="L991" s="297">
        <v>0.47916666666666669</v>
      </c>
      <c r="M991" s="297">
        <v>0.47916666666666669</v>
      </c>
      <c r="N991" s="297">
        <v>0.48680555555555555</v>
      </c>
      <c r="O991" s="298">
        <f>(Table6[[#This Row],[Work Start TimeStamp]]-Table6[[#This Row],[Fault Start TimeStamp]])*24</f>
        <v>0</v>
      </c>
      <c r="P991" s="298">
        <f>(Table6[[#This Row],[Fault Clearance time]]-Table6[[#This Row],[Fault Start TimeStamp]])*24</f>
        <v>0.18333333333333268</v>
      </c>
      <c r="Q991" s="298">
        <f>(Table6[[#This Row],[Fault Clearance time]]-Table6[[#This Row],[Fault Start TimeStamp]])*24</f>
        <v>0.18333333333333268</v>
      </c>
      <c r="R991" s="79" t="s">
        <v>353</v>
      </c>
      <c r="S991" s="79" t="s">
        <v>339</v>
      </c>
      <c r="T991" s="298">
        <f>IFERROR(Table6[[#This Row],[Breakdown Time]]*Table6[[#This Row],[Plant Equivalent Weightage]],"")</f>
        <v>4.1666666666666519E-3</v>
      </c>
      <c r="U991" s="79" t="s">
        <v>421</v>
      </c>
      <c r="W991" s="79">
        <v>241</v>
      </c>
    </row>
    <row r="992" spans="1:23">
      <c r="A992" s="79">
        <f t="shared" si="15"/>
        <v>991</v>
      </c>
      <c r="B992" s="79">
        <f>YEAR(Table6[[#This Row],[Date]])+IF(MONTH(Table6[[#This Row],[Date]])&gt;=4,1,0)</f>
        <v>2026</v>
      </c>
      <c r="C992" s="79">
        <f>YEAR(Table6[[#This Row],[Date]])</f>
        <v>2025</v>
      </c>
      <c r="D992" s="79" t="s">
        <v>344</v>
      </c>
      <c r="E992" s="284">
        <f>Table6[[#This Row],[Date]]-DAY(Table6[[#This Row],[Date]])+1</f>
        <v>45809</v>
      </c>
      <c r="F992" s="285">
        <v>45831</v>
      </c>
      <c r="G992" s="79" t="s">
        <v>77</v>
      </c>
      <c r="H992" s="79" t="str">
        <f>IFERROR(_xlfn.XLOOKUP(Table6[[#This Row],[Affected Feeder ]],'Basic Data'!$A:$A,'Basic Data'!$B:$B),"")</f>
        <v>PWEPL</v>
      </c>
      <c r="I992" s="79" t="str">
        <f>IFERROR(_xlfn.XLOOKUP(Table6[[#This Row],[Affected Feeder ]],'Basic Data'!$A:$A,'Basic Data'!$C:$C),"")</f>
        <v>MSEDCL</v>
      </c>
      <c r="J992" s="295">
        <f>IFERROR(_xlfn.XLOOKUP(Table6[[#This Row],[Affected Feeder ]],'Basic Data'!$A:$A,'Basic Data'!$E:$E),"")</f>
        <v>2.2727272727272728E-2</v>
      </c>
      <c r="K992" s="296" t="s">
        <v>171</v>
      </c>
      <c r="L992" s="297">
        <v>0.47916666666666669</v>
      </c>
      <c r="M992" s="297">
        <v>0.47916666666666669</v>
      </c>
      <c r="N992" s="297">
        <v>0.48472222222222222</v>
      </c>
      <c r="O992" s="298">
        <f>(Table6[[#This Row],[Work Start TimeStamp]]-Table6[[#This Row],[Fault Start TimeStamp]])*24</f>
        <v>0</v>
      </c>
      <c r="P992" s="298">
        <f>(Table6[[#This Row],[Fault Clearance time]]-Table6[[#This Row],[Fault Start TimeStamp]])*24</f>
        <v>0.13333333333333286</v>
      </c>
      <c r="Q992" s="298">
        <f>(Table6[[#This Row],[Fault Clearance time]]-Table6[[#This Row],[Fault Start TimeStamp]])*24</f>
        <v>0.13333333333333286</v>
      </c>
      <c r="R992" s="79" t="s">
        <v>353</v>
      </c>
      <c r="S992" s="79" t="s">
        <v>339</v>
      </c>
      <c r="T992" s="298">
        <f>IFERROR(Table6[[#This Row],[Breakdown Time]]*Table6[[#This Row],[Plant Equivalent Weightage]],"")</f>
        <v>3.0303030303030195E-3</v>
      </c>
      <c r="U992" s="79" t="s">
        <v>421</v>
      </c>
      <c r="W992" s="79">
        <v>175</v>
      </c>
    </row>
    <row r="993" spans="1:23">
      <c r="A993" s="79">
        <f t="shared" si="15"/>
        <v>992</v>
      </c>
      <c r="B993" s="79">
        <f>YEAR(Table6[[#This Row],[Date]])+IF(MONTH(Table6[[#This Row],[Date]])&gt;=4,1,0)</f>
        <v>2026</v>
      </c>
      <c r="C993" s="79">
        <f>YEAR(Table6[[#This Row],[Date]])</f>
        <v>2025</v>
      </c>
      <c r="D993" s="79" t="s">
        <v>344</v>
      </c>
      <c r="E993" s="284">
        <f>Table6[[#This Row],[Date]]-DAY(Table6[[#This Row],[Date]])+1</f>
        <v>45809</v>
      </c>
      <c r="F993" s="285">
        <v>45831</v>
      </c>
      <c r="G993" s="79" t="s">
        <v>78</v>
      </c>
      <c r="H993" s="79" t="str">
        <f>IFERROR(_xlfn.XLOOKUP(Table6[[#This Row],[Affected Feeder ]],'Basic Data'!$A:$A,'Basic Data'!$B:$B),"")</f>
        <v>PWEPL</v>
      </c>
      <c r="I993" s="79" t="str">
        <f>IFERROR(_xlfn.XLOOKUP(Table6[[#This Row],[Affected Feeder ]],'Basic Data'!$A:$A,'Basic Data'!$C:$C),"")</f>
        <v>MSEDCL</v>
      </c>
      <c r="J993" s="295">
        <f>IFERROR(_xlfn.XLOOKUP(Table6[[#This Row],[Affected Feeder ]],'Basic Data'!$A:$A,'Basic Data'!$E:$E),"")</f>
        <v>2.2727272727272728E-2</v>
      </c>
      <c r="K993" s="296" t="s">
        <v>171</v>
      </c>
      <c r="L993" s="297">
        <v>0.47916666666666669</v>
      </c>
      <c r="M993" s="297">
        <v>0.47916666666666669</v>
      </c>
      <c r="N993" s="297">
        <v>0.48819444444444443</v>
      </c>
      <c r="O993" s="298">
        <f>(Table6[[#This Row],[Work Start TimeStamp]]-Table6[[#This Row],[Fault Start TimeStamp]])*24</f>
        <v>0</v>
      </c>
      <c r="P993" s="298">
        <f>(Table6[[#This Row],[Fault Clearance time]]-Table6[[#This Row],[Fault Start TimeStamp]])*24</f>
        <v>0.2166666666666659</v>
      </c>
      <c r="Q993" s="298">
        <f>(Table6[[#This Row],[Fault Clearance time]]-Table6[[#This Row],[Fault Start TimeStamp]])*24</f>
        <v>0.2166666666666659</v>
      </c>
      <c r="R993" s="79" t="s">
        <v>353</v>
      </c>
      <c r="S993" s="79" t="s">
        <v>339</v>
      </c>
      <c r="T993" s="298">
        <f>IFERROR(Table6[[#This Row],[Breakdown Time]]*Table6[[#This Row],[Plant Equivalent Weightage]],"")</f>
        <v>4.9242424242424065E-3</v>
      </c>
      <c r="U993" s="79" t="s">
        <v>421</v>
      </c>
      <c r="W993" s="79">
        <v>285</v>
      </c>
    </row>
    <row r="994" spans="1:23">
      <c r="A994" s="79">
        <f t="shared" si="15"/>
        <v>993</v>
      </c>
      <c r="B994" s="79">
        <f>YEAR(Table6[[#This Row],[Date]])+IF(MONTH(Table6[[#This Row],[Date]])&gt;=4,1,0)</f>
        <v>2026</v>
      </c>
      <c r="C994" s="79">
        <f>YEAR(Table6[[#This Row],[Date]])</f>
        <v>2025</v>
      </c>
      <c r="D994" s="79" t="s">
        <v>344</v>
      </c>
      <c r="E994" s="284">
        <f>Table6[[#This Row],[Date]]-DAY(Table6[[#This Row],[Date]])+1</f>
        <v>45809</v>
      </c>
      <c r="F994" s="285">
        <v>45831</v>
      </c>
      <c r="G994" s="79" t="s">
        <v>82</v>
      </c>
      <c r="H994" s="79" t="str">
        <f>IFERROR(_xlfn.XLOOKUP(Table6[[#This Row],[Affected Feeder ]],'Basic Data'!$A:$A,'Basic Data'!$B:$B),"")</f>
        <v>PWEPL</v>
      </c>
      <c r="I994" s="79" t="str">
        <f>IFERROR(_xlfn.XLOOKUP(Table6[[#This Row],[Affected Feeder ]],'Basic Data'!$A:$A,'Basic Data'!$C:$C),"")</f>
        <v>MSEDCL</v>
      </c>
      <c r="J994" s="295">
        <f>IFERROR(_xlfn.XLOOKUP(Table6[[#This Row],[Affected Feeder ]],'Basic Data'!$A:$A,'Basic Data'!$E:$E),"")</f>
        <v>2.2727272727272728E-2</v>
      </c>
      <c r="K994" s="296" t="s">
        <v>171</v>
      </c>
      <c r="L994" s="297">
        <v>0.47916666666666669</v>
      </c>
      <c r="M994" s="297">
        <v>0.47916666666666669</v>
      </c>
      <c r="N994" s="297">
        <v>0.48888888888888887</v>
      </c>
      <c r="O994" s="298">
        <f>(Table6[[#This Row],[Work Start TimeStamp]]-Table6[[#This Row],[Fault Start TimeStamp]])*24</f>
        <v>0</v>
      </c>
      <c r="P994" s="298">
        <f>(Table6[[#This Row],[Fault Clearance time]]-Table6[[#This Row],[Fault Start TimeStamp]])*24</f>
        <v>0.2333333333333325</v>
      </c>
      <c r="Q994" s="298">
        <f>(Table6[[#This Row],[Fault Clearance time]]-Table6[[#This Row],[Fault Start TimeStamp]])*24</f>
        <v>0.2333333333333325</v>
      </c>
      <c r="R994" s="79" t="s">
        <v>353</v>
      </c>
      <c r="S994" s="79" t="s">
        <v>339</v>
      </c>
      <c r="T994" s="298">
        <f>IFERROR(Table6[[#This Row],[Breakdown Time]]*Table6[[#This Row],[Plant Equivalent Weightage]],"")</f>
        <v>5.3030303030302843E-3</v>
      </c>
      <c r="U994" s="79" t="s">
        <v>421</v>
      </c>
      <c r="W994" s="79">
        <v>307</v>
      </c>
    </row>
    <row r="995" spans="1:23">
      <c r="A995" s="79">
        <f t="shared" si="15"/>
        <v>994</v>
      </c>
      <c r="B995" s="79">
        <f>YEAR(Table6[[#This Row],[Date]])+IF(MONTH(Table6[[#This Row],[Date]])&gt;=4,1,0)</f>
        <v>2026</v>
      </c>
      <c r="C995" s="79">
        <f>YEAR(Table6[[#This Row],[Date]])</f>
        <v>2025</v>
      </c>
      <c r="D995" s="79" t="s">
        <v>344</v>
      </c>
      <c r="E995" s="284">
        <f>Table6[[#This Row],[Date]]-DAY(Table6[[#This Row],[Date]])+1</f>
        <v>45809</v>
      </c>
      <c r="F995" s="285">
        <v>45831</v>
      </c>
      <c r="G995" s="79" t="s">
        <v>93</v>
      </c>
      <c r="H995" s="79" t="str">
        <f>IFERROR(_xlfn.XLOOKUP(Table6[[#This Row],[Affected Feeder ]],'Basic Data'!$A:$A,'Basic Data'!$B:$B),"")</f>
        <v>PWEPL</v>
      </c>
      <c r="I995" s="79" t="str">
        <f>IFERROR(_xlfn.XLOOKUP(Table6[[#This Row],[Affected Feeder ]],'Basic Data'!$A:$A,'Basic Data'!$C:$C),"")</f>
        <v>MSEDCL</v>
      </c>
      <c r="J995" s="295">
        <f>IFERROR(_xlfn.XLOOKUP(Table6[[#This Row],[Affected Feeder ]],'Basic Data'!$A:$A,'Basic Data'!$E:$E),"")</f>
        <v>2.2727272727272728E-2</v>
      </c>
      <c r="K995" s="296" t="s">
        <v>171</v>
      </c>
      <c r="L995" s="297">
        <v>0.47916666666666669</v>
      </c>
      <c r="M995" s="297">
        <v>0.47916666666666669</v>
      </c>
      <c r="N995" s="297">
        <v>0.48888888888888887</v>
      </c>
      <c r="O995" s="298">
        <f>(Table6[[#This Row],[Work Start TimeStamp]]-Table6[[#This Row],[Fault Start TimeStamp]])*24</f>
        <v>0</v>
      </c>
      <c r="P995" s="298">
        <f>(Table6[[#This Row],[Fault Clearance time]]-Table6[[#This Row],[Fault Start TimeStamp]])*24</f>
        <v>0.2333333333333325</v>
      </c>
      <c r="Q995" s="298">
        <f>(Table6[[#This Row],[Fault Clearance time]]-Table6[[#This Row],[Fault Start TimeStamp]])*24</f>
        <v>0.2333333333333325</v>
      </c>
      <c r="R995" s="79" t="s">
        <v>353</v>
      </c>
      <c r="S995" s="79" t="s">
        <v>339</v>
      </c>
      <c r="T995" s="298">
        <f>IFERROR(Table6[[#This Row],[Breakdown Time]]*Table6[[#This Row],[Plant Equivalent Weightage]],"")</f>
        <v>5.3030303030302843E-3</v>
      </c>
      <c r="U995" s="79" t="s">
        <v>421</v>
      </c>
      <c r="W995" s="79">
        <v>307</v>
      </c>
    </row>
    <row r="996" spans="1:23">
      <c r="A996" s="79">
        <f t="shared" si="15"/>
        <v>995</v>
      </c>
      <c r="B996" s="79">
        <f>YEAR(Table6[[#This Row],[Date]])+IF(MONTH(Table6[[#This Row],[Date]])&gt;=4,1,0)</f>
        <v>2026</v>
      </c>
      <c r="C996" s="79">
        <f>YEAR(Table6[[#This Row],[Date]])</f>
        <v>2025</v>
      </c>
      <c r="D996" s="79" t="s">
        <v>344</v>
      </c>
      <c r="E996" s="284">
        <f>Table6[[#This Row],[Date]]-DAY(Table6[[#This Row],[Date]])+1</f>
        <v>45809</v>
      </c>
      <c r="F996" s="285">
        <v>45831</v>
      </c>
      <c r="G996" s="79" t="s">
        <v>102</v>
      </c>
      <c r="H996" s="79" t="str">
        <f>IFERROR(_xlfn.XLOOKUP(Table6[[#This Row],[Affected Feeder ]],'Basic Data'!$A:$A,'Basic Data'!$B:$B),"")</f>
        <v>PWEPL</v>
      </c>
      <c r="I996" s="79" t="str">
        <f>IFERROR(_xlfn.XLOOKUP(Table6[[#This Row],[Affected Feeder ]],'Basic Data'!$A:$A,'Basic Data'!$C:$C),"")</f>
        <v>MSEDCL</v>
      </c>
      <c r="J996" s="295">
        <f>IFERROR(_xlfn.XLOOKUP(Table6[[#This Row],[Affected Feeder ]],'Basic Data'!$A:$A,'Basic Data'!$E:$E),"")</f>
        <v>2.2727272727272728E-2</v>
      </c>
      <c r="K996" s="296" t="s">
        <v>171</v>
      </c>
      <c r="L996" s="297">
        <v>0.47916666666666669</v>
      </c>
      <c r="M996" s="297">
        <v>0.47916666666666669</v>
      </c>
      <c r="N996" s="297">
        <v>0.48958333333333331</v>
      </c>
      <c r="O996" s="298">
        <f>(Table6[[#This Row],[Work Start TimeStamp]]-Table6[[#This Row],[Fault Start TimeStamp]])*24</f>
        <v>0</v>
      </c>
      <c r="P996" s="298">
        <f>(Table6[[#This Row],[Fault Clearance time]]-Table6[[#This Row],[Fault Start TimeStamp]])*24</f>
        <v>0.24999999999999911</v>
      </c>
      <c r="Q996" s="298">
        <f>(Table6[[#This Row],[Fault Clearance time]]-Table6[[#This Row],[Fault Start TimeStamp]])*24</f>
        <v>0.24999999999999911</v>
      </c>
      <c r="R996" s="79" t="s">
        <v>353</v>
      </c>
      <c r="S996" s="79" t="s">
        <v>339</v>
      </c>
      <c r="T996" s="298">
        <f>IFERROR(Table6[[#This Row],[Breakdown Time]]*Table6[[#This Row],[Plant Equivalent Weightage]],"")</f>
        <v>5.681818181818162E-3</v>
      </c>
      <c r="U996" s="79" t="s">
        <v>421</v>
      </c>
      <c r="W996" s="79">
        <v>329</v>
      </c>
    </row>
    <row r="997" spans="1:23">
      <c r="A997" s="79">
        <f t="shared" si="15"/>
        <v>996</v>
      </c>
      <c r="B997" s="79">
        <f>YEAR(Table6[[#This Row],[Date]])+IF(MONTH(Table6[[#This Row],[Date]])&gt;=4,1,0)</f>
        <v>2026</v>
      </c>
      <c r="C997" s="79">
        <f>YEAR(Table6[[#This Row],[Date]])</f>
        <v>2025</v>
      </c>
      <c r="D997" s="79" t="s">
        <v>344</v>
      </c>
      <c r="E997" s="284">
        <f>Table6[[#This Row],[Date]]-DAY(Table6[[#This Row],[Date]])+1</f>
        <v>45809</v>
      </c>
      <c r="F997" s="285">
        <v>45831</v>
      </c>
      <c r="G997" s="79" t="s">
        <v>119</v>
      </c>
      <c r="H997" s="79" t="str">
        <f>IFERROR(_xlfn.XLOOKUP(Table6[[#This Row],[Affected Feeder ]],'Basic Data'!$A:$A,'Basic Data'!$B:$B),"")</f>
        <v>PWEPL</v>
      </c>
      <c r="I997" s="79" t="str">
        <f>IFERROR(_xlfn.XLOOKUP(Table6[[#This Row],[Affected Feeder ]],'Basic Data'!$A:$A,'Basic Data'!$C:$C),"")</f>
        <v>MSEDCL</v>
      </c>
      <c r="J997" s="295">
        <f>IFERROR(_xlfn.XLOOKUP(Table6[[#This Row],[Affected Feeder ]],'Basic Data'!$A:$A,'Basic Data'!$E:$E),"")</f>
        <v>2.2727272727272728E-2</v>
      </c>
      <c r="K997" s="296" t="s">
        <v>171</v>
      </c>
      <c r="L997" s="297">
        <v>0.47916666666666669</v>
      </c>
      <c r="M997" s="297">
        <v>0.47916666666666669</v>
      </c>
      <c r="N997" s="297">
        <v>0.48402777777777778</v>
      </c>
      <c r="O997" s="298">
        <f>(Table6[[#This Row],[Work Start TimeStamp]]-Table6[[#This Row],[Fault Start TimeStamp]])*24</f>
        <v>0</v>
      </c>
      <c r="P997" s="298">
        <f>(Table6[[#This Row],[Fault Clearance time]]-Table6[[#This Row],[Fault Start TimeStamp]])*24</f>
        <v>0.11666666666666625</v>
      </c>
      <c r="Q997" s="298">
        <f>(Table6[[#This Row],[Fault Clearance time]]-Table6[[#This Row],[Fault Start TimeStamp]])*24</f>
        <v>0.11666666666666625</v>
      </c>
      <c r="R997" s="79" t="s">
        <v>353</v>
      </c>
      <c r="S997" s="79" t="s">
        <v>339</v>
      </c>
      <c r="T997" s="298">
        <f>IFERROR(Table6[[#This Row],[Breakdown Time]]*Table6[[#This Row],[Plant Equivalent Weightage]],"")</f>
        <v>2.6515151515151421E-3</v>
      </c>
      <c r="U997" s="79" t="s">
        <v>421</v>
      </c>
      <c r="W997" s="79">
        <v>153</v>
      </c>
    </row>
    <row r="998" spans="1:23">
      <c r="A998" s="79">
        <f t="shared" si="15"/>
        <v>997</v>
      </c>
      <c r="B998" s="79">
        <f>YEAR(Table6[[#This Row],[Date]])+IF(MONTH(Table6[[#This Row],[Date]])&gt;=4,1,0)</f>
        <v>2026</v>
      </c>
      <c r="C998" s="79">
        <f>YEAR(Table6[[#This Row],[Date]])</f>
        <v>2025</v>
      </c>
      <c r="D998" s="79" t="s">
        <v>344</v>
      </c>
      <c r="E998" s="284">
        <f>Table6[[#This Row],[Date]]-DAY(Table6[[#This Row],[Date]])+1</f>
        <v>45809</v>
      </c>
      <c r="F998" s="285">
        <v>45831</v>
      </c>
      <c r="G998" s="79" t="s">
        <v>103</v>
      </c>
      <c r="H998" s="79" t="str">
        <f>IFERROR(_xlfn.XLOOKUP(Table6[[#This Row],[Affected Feeder ]],'Basic Data'!$A:$A,'Basic Data'!$B:$B),"")</f>
        <v>PWEPL</v>
      </c>
      <c r="I998" s="79" t="str">
        <f>IFERROR(_xlfn.XLOOKUP(Table6[[#This Row],[Affected Feeder ]],'Basic Data'!$A:$A,'Basic Data'!$C:$C),"")</f>
        <v>MSEDCL</v>
      </c>
      <c r="J998" s="295">
        <f>IFERROR(_xlfn.XLOOKUP(Table6[[#This Row],[Affected Feeder ]],'Basic Data'!$A:$A,'Basic Data'!$E:$E),"")</f>
        <v>2.2727272727272728E-2</v>
      </c>
      <c r="K998" s="296" t="s">
        <v>909</v>
      </c>
      <c r="L998" s="297">
        <v>0.47916666666666669</v>
      </c>
      <c r="M998" s="297">
        <v>0.47916666666666669</v>
      </c>
      <c r="N998" s="297">
        <v>0.50763888888888886</v>
      </c>
      <c r="O998" s="298">
        <f>(Table6[[#This Row],[Work Start TimeStamp]]-Table6[[#This Row],[Fault Start TimeStamp]])*24</f>
        <v>0</v>
      </c>
      <c r="P998" s="298">
        <f>(Table6[[#This Row],[Fault Clearance time]]-Table6[[#This Row],[Fault Start TimeStamp]])*24</f>
        <v>0.68333333333333224</v>
      </c>
      <c r="Q998" s="298">
        <f>(Table6[[#This Row],[Fault Clearance time]]-Table6[[#This Row],[Fault Start TimeStamp]])*24</f>
        <v>0.68333333333333224</v>
      </c>
      <c r="R998" s="79" t="s">
        <v>353</v>
      </c>
      <c r="S998" s="79" t="s">
        <v>339</v>
      </c>
      <c r="T998" s="298">
        <f>IFERROR(Table6[[#This Row],[Breakdown Time]]*Table6[[#This Row],[Plant Equivalent Weightage]],"")</f>
        <v>1.5530303030303005E-2</v>
      </c>
      <c r="U998" s="79" t="s">
        <v>421</v>
      </c>
      <c r="W998" s="79">
        <v>1062</v>
      </c>
    </row>
    <row r="999" spans="1:23">
      <c r="A999" s="79">
        <f t="shared" si="15"/>
        <v>998</v>
      </c>
      <c r="B999" s="79">
        <f>YEAR(Table6[[#This Row],[Date]])+IF(MONTH(Table6[[#This Row],[Date]])&gt;=4,1,0)</f>
        <v>2026</v>
      </c>
      <c r="C999" s="79">
        <f>YEAR(Table6[[#This Row],[Date]])</f>
        <v>2025</v>
      </c>
      <c r="D999" s="79" t="s">
        <v>344</v>
      </c>
      <c r="E999" s="284">
        <f>Table6[[#This Row],[Date]]-DAY(Table6[[#This Row],[Date]])+1</f>
        <v>45809</v>
      </c>
      <c r="F999" s="285">
        <v>45831</v>
      </c>
      <c r="G999" s="79" t="s">
        <v>103</v>
      </c>
      <c r="H999" s="79" t="str">
        <f>IFERROR(_xlfn.XLOOKUP(Table6[[#This Row],[Affected Feeder ]],'Basic Data'!$A:$A,'Basic Data'!$B:$B),"")</f>
        <v>PWEPL</v>
      </c>
      <c r="I999" s="79" t="str">
        <f>IFERROR(_xlfn.XLOOKUP(Table6[[#This Row],[Affected Feeder ]],'Basic Data'!$A:$A,'Basic Data'!$C:$C),"")</f>
        <v>MSEDCL</v>
      </c>
      <c r="J999" s="295">
        <f>IFERROR(_xlfn.XLOOKUP(Table6[[#This Row],[Affected Feeder ]],'Basic Data'!$A:$A,'Basic Data'!$E:$E),"")</f>
        <v>2.2727272727272728E-2</v>
      </c>
      <c r="K999" s="296" t="s">
        <v>171</v>
      </c>
      <c r="L999" s="297">
        <v>0.50763888888888886</v>
      </c>
      <c r="M999" s="297">
        <v>0.50763888888888886</v>
      </c>
      <c r="N999" s="297">
        <v>0.52152777777777781</v>
      </c>
      <c r="O999" s="298">
        <f>(Table6[[#This Row],[Work Start TimeStamp]]-Table6[[#This Row],[Fault Start TimeStamp]])*24</f>
        <v>0</v>
      </c>
      <c r="P999" s="298">
        <f>(Table6[[#This Row],[Fault Clearance time]]-Table6[[#This Row],[Fault Start TimeStamp]])*24</f>
        <v>0.33333333333333481</v>
      </c>
      <c r="Q999" s="298">
        <f>(Table6[[#This Row],[Fault Clearance time]]-Table6[[#This Row],[Fault Start TimeStamp]])*24</f>
        <v>0.33333333333333481</v>
      </c>
      <c r="R999" s="79" t="s">
        <v>353</v>
      </c>
      <c r="S999" s="79" t="s">
        <v>339</v>
      </c>
      <c r="T999" s="298">
        <f>IFERROR(Table6[[#This Row],[Breakdown Time]]*Table6[[#This Row],[Plant Equivalent Weightage]],"")</f>
        <v>7.5757575757576098E-3</v>
      </c>
      <c r="U999" s="79" t="s">
        <v>421</v>
      </c>
      <c r="W999" s="79">
        <v>531</v>
      </c>
    </row>
    <row r="1000" spans="1:23">
      <c r="A1000" s="79">
        <f t="shared" si="15"/>
        <v>999</v>
      </c>
      <c r="B1000" s="79">
        <f>YEAR(Table6[[#This Row],[Date]])+IF(MONTH(Table6[[#This Row],[Date]])&gt;=4,1,0)</f>
        <v>2026</v>
      </c>
      <c r="C1000" s="79">
        <f>YEAR(Table6[[#This Row],[Date]])</f>
        <v>2025</v>
      </c>
      <c r="D1000" s="79" t="s">
        <v>344</v>
      </c>
      <c r="E1000" s="284">
        <f>Table6[[#This Row],[Date]]-DAY(Table6[[#This Row],[Date]])+1</f>
        <v>45809</v>
      </c>
      <c r="F1000" s="285">
        <v>45831</v>
      </c>
      <c r="G1000" s="79" t="s">
        <v>105</v>
      </c>
      <c r="H1000" s="79" t="str">
        <f>IFERROR(_xlfn.XLOOKUP(Table6[[#This Row],[Affected Feeder ]],'Basic Data'!$A:$A,'Basic Data'!$B:$B),"")</f>
        <v>PWEPL</v>
      </c>
      <c r="I1000" s="79" t="str">
        <f>IFERROR(_xlfn.XLOOKUP(Table6[[#This Row],[Affected Feeder ]],'Basic Data'!$A:$A,'Basic Data'!$C:$C),"")</f>
        <v>MSEDCL</v>
      </c>
      <c r="J1000" s="295">
        <f>IFERROR(_xlfn.XLOOKUP(Table6[[#This Row],[Affected Feeder ]],'Basic Data'!$A:$A,'Basic Data'!$E:$E),"")</f>
        <v>2.2727272727272728E-2</v>
      </c>
      <c r="K1000" s="296" t="s">
        <v>909</v>
      </c>
      <c r="L1000" s="297">
        <v>0.47916666666666669</v>
      </c>
      <c r="M1000" s="297">
        <v>0.47916666666666669</v>
      </c>
      <c r="N1000" s="297">
        <v>0.50763888888888886</v>
      </c>
      <c r="O1000" s="298">
        <f>(Table6[[#This Row],[Work Start TimeStamp]]-Table6[[#This Row],[Fault Start TimeStamp]])*24</f>
        <v>0</v>
      </c>
      <c r="P1000" s="298">
        <f>(Table6[[#This Row],[Fault Clearance time]]-Table6[[#This Row],[Fault Start TimeStamp]])*24</f>
        <v>0.68333333333333224</v>
      </c>
      <c r="Q1000" s="298">
        <f>(Table6[[#This Row],[Fault Clearance time]]-Table6[[#This Row],[Fault Start TimeStamp]])*24</f>
        <v>0.68333333333333224</v>
      </c>
      <c r="R1000" s="79" t="s">
        <v>353</v>
      </c>
      <c r="S1000" s="79" t="s">
        <v>339</v>
      </c>
      <c r="T1000" s="298">
        <f>IFERROR(Table6[[#This Row],[Breakdown Time]]*Table6[[#This Row],[Plant Equivalent Weightage]],"")</f>
        <v>1.5530303030303005E-2</v>
      </c>
      <c r="U1000" s="79" t="s">
        <v>421</v>
      </c>
      <c r="W1000" s="79">
        <v>1248</v>
      </c>
    </row>
    <row r="1001" spans="1:23">
      <c r="A1001" s="79">
        <f t="shared" si="15"/>
        <v>1000</v>
      </c>
      <c r="B1001" s="79">
        <f>YEAR(Table6[[#This Row],[Date]])+IF(MONTH(Table6[[#This Row],[Date]])&gt;=4,1,0)</f>
        <v>2026</v>
      </c>
      <c r="C1001" s="79">
        <f>YEAR(Table6[[#This Row],[Date]])</f>
        <v>2025</v>
      </c>
      <c r="D1001" s="79" t="s">
        <v>344</v>
      </c>
      <c r="E1001" s="284">
        <f>Table6[[#This Row],[Date]]-DAY(Table6[[#This Row],[Date]])+1</f>
        <v>45809</v>
      </c>
      <c r="F1001" s="285">
        <v>45831</v>
      </c>
      <c r="G1001" s="79" t="s">
        <v>105</v>
      </c>
      <c r="H1001" s="79" t="str">
        <f>IFERROR(_xlfn.XLOOKUP(Table6[[#This Row],[Affected Feeder ]],'Basic Data'!$A:$A,'Basic Data'!$B:$B),"")</f>
        <v>PWEPL</v>
      </c>
      <c r="I1001" s="79" t="str">
        <f>IFERROR(_xlfn.XLOOKUP(Table6[[#This Row],[Affected Feeder ]],'Basic Data'!$A:$A,'Basic Data'!$C:$C),"")</f>
        <v>MSEDCL</v>
      </c>
      <c r="J1001" s="295">
        <f>IFERROR(_xlfn.XLOOKUP(Table6[[#This Row],[Affected Feeder ]],'Basic Data'!$A:$A,'Basic Data'!$E:$E),"")</f>
        <v>2.2727272727272728E-2</v>
      </c>
      <c r="K1001" s="296" t="s">
        <v>171</v>
      </c>
      <c r="L1001" s="297">
        <v>0.50763888888888886</v>
      </c>
      <c r="M1001" s="297">
        <v>0.50763888888888886</v>
      </c>
      <c r="N1001" s="297">
        <v>0.51666666666666672</v>
      </c>
      <c r="O1001" s="298">
        <f>(Table6[[#This Row],[Work Start TimeStamp]]-Table6[[#This Row],[Fault Start TimeStamp]])*24</f>
        <v>0</v>
      </c>
      <c r="P1001" s="298">
        <f>(Table6[[#This Row],[Fault Clearance time]]-Table6[[#This Row],[Fault Start TimeStamp]])*24</f>
        <v>0.21666666666666856</v>
      </c>
      <c r="Q1001" s="298">
        <f>(Table6[[#This Row],[Fault Clearance time]]-Table6[[#This Row],[Fault Start TimeStamp]])*24</f>
        <v>0.21666666666666856</v>
      </c>
      <c r="R1001" s="79" t="s">
        <v>353</v>
      </c>
      <c r="S1001" s="79" t="s">
        <v>339</v>
      </c>
      <c r="T1001" s="298">
        <f>IFERROR(Table6[[#This Row],[Breakdown Time]]*Table6[[#This Row],[Plant Equivalent Weightage]],"")</f>
        <v>4.9242424242424672E-3</v>
      </c>
      <c r="U1001" s="79" t="s">
        <v>421</v>
      </c>
      <c r="W1001" s="79">
        <v>345</v>
      </c>
    </row>
    <row r="1002" spans="1:23">
      <c r="A1002" s="79">
        <f t="shared" si="15"/>
        <v>1001</v>
      </c>
      <c r="B1002" s="79">
        <f>YEAR(Table6[[#This Row],[Date]])+IF(MONTH(Table6[[#This Row],[Date]])&gt;=4,1,0)</f>
        <v>2026</v>
      </c>
      <c r="C1002" s="79">
        <f>YEAR(Table6[[#This Row],[Date]])</f>
        <v>2025</v>
      </c>
      <c r="D1002" s="79" t="s">
        <v>344</v>
      </c>
      <c r="E1002" s="284">
        <f>Table6[[#This Row],[Date]]-DAY(Table6[[#This Row],[Date]])+1</f>
        <v>45809</v>
      </c>
      <c r="F1002" s="285">
        <v>45831</v>
      </c>
      <c r="G1002" s="79" t="s">
        <v>115</v>
      </c>
      <c r="H1002" s="79" t="str">
        <f>IFERROR(_xlfn.XLOOKUP(Table6[[#This Row],[Affected Feeder ]],'Basic Data'!$A:$A,'Basic Data'!$B:$B),"")</f>
        <v>PWEPL</v>
      </c>
      <c r="I1002" s="79" t="str">
        <f>IFERROR(_xlfn.XLOOKUP(Table6[[#This Row],[Affected Feeder ]],'Basic Data'!$A:$A,'Basic Data'!$C:$C),"")</f>
        <v>MSEDCL</v>
      </c>
      <c r="J1002" s="295">
        <f>IFERROR(_xlfn.XLOOKUP(Table6[[#This Row],[Affected Feeder ]],'Basic Data'!$A:$A,'Basic Data'!$E:$E),"")</f>
        <v>2.2727272727272728E-2</v>
      </c>
      <c r="K1002" s="296" t="s">
        <v>909</v>
      </c>
      <c r="L1002" s="297">
        <v>0.47916666666666669</v>
      </c>
      <c r="M1002" s="297">
        <v>0.47916666666666669</v>
      </c>
      <c r="N1002" s="297">
        <v>0.50763888888888886</v>
      </c>
      <c r="O1002" s="298">
        <f>(Table6[[#This Row],[Work Start TimeStamp]]-Table6[[#This Row],[Fault Start TimeStamp]])*24</f>
        <v>0</v>
      </c>
      <c r="P1002" s="298">
        <f>(Table6[[#This Row],[Fault Clearance time]]-Table6[[#This Row],[Fault Start TimeStamp]])*24</f>
        <v>0.68333333333333224</v>
      </c>
      <c r="Q1002" s="298">
        <f>(Table6[[#This Row],[Fault Clearance time]]-Table6[[#This Row],[Fault Start TimeStamp]])*24</f>
        <v>0.68333333333333224</v>
      </c>
      <c r="R1002" s="79" t="s">
        <v>353</v>
      </c>
      <c r="S1002" s="79" t="s">
        <v>339</v>
      </c>
      <c r="T1002" s="298">
        <f>IFERROR(Table6[[#This Row],[Breakdown Time]]*Table6[[#This Row],[Plant Equivalent Weightage]],"")</f>
        <v>1.5530303030303005E-2</v>
      </c>
      <c r="U1002" s="79" t="s">
        <v>421</v>
      </c>
      <c r="W1002" s="79">
        <v>1102</v>
      </c>
    </row>
    <row r="1003" spans="1:23">
      <c r="A1003" s="79">
        <f t="shared" si="15"/>
        <v>1002</v>
      </c>
      <c r="B1003" s="79">
        <f>YEAR(Table6[[#This Row],[Date]])+IF(MONTH(Table6[[#This Row],[Date]])&gt;=4,1,0)</f>
        <v>2026</v>
      </c>
      <c r="C1003" s="79">
        <f>YEAR(Table6[[#This Row],[Date]])</f>
        <v>2025</v>
      </c>
      <c r="D1003" s="79" t="s">
        <v>344</v>
      </c>
      <c r="E1003" s="284">
        <f>Table6[[#This Row],[Date]]-DAY(Table6[[#This Row],[Date]])+1</f>
        <v>45809</v>
      </c>
      <c r="F1003" s="285">
        <v>45831</v>
      </c>
      <c r="G1003" s="79" t="s">
        <v>115</v>
      </c>
      <c r="H1003" s="79" t="str">
        <f>IFERROR(_xlfn.XLOOKUP(Table6[[#This Row],[Affected Feeder ]],'Basic Data'!$A:$A,'Basic Data'!$B:$B),"")</f>
        <v>PWEPL</v>
      </c>
      <c r="I1003" s="79" t="str">
        <f>IFERROR(_xlfn.XLOOKUP(Table6[[#This Row],[Affected Feeder ]],'Basic Data'!$A:$A,'Basic Data'!$C:$C),"")</f>
        <v>MSEDCL</v>
      </c>
      <c r="J1003" s="295">
        <f>IFERROR(_xlfn.XLOOKUP(Table6[[#This Row],[Affected Feeder ]],'Basic Data'!$A:$A,'Basic Data'!$E:$E),"")</f>
        <v>2.2727272727272728E-2</v>
      </c>
      <c r="K1003" s="296" t="s">
        <v>171</v>
      </c>
      <c r="L1003" s="297">
        <v>0.50763888888888886</v>
      </c>
      <c r="M1003" s="297">
        <v>0.50763888888888886</v>
      </c>
      <c r="N1003" s="297">
        <v>0.51944444444444449</v>
      </c>
      <c r="O1003" s="298">
        <f>(Table6[[#This Row],[Work Start TimeStamp]]-Table6[[#This Row],[Fault Start TimeStamp]])*24</f>
        <v>0</v>
      </c>
      <c r="P1003" s="298">
        <f>(Table6[[#This Row],[Fault Clearance time]]-Table6[[#This Row],[Fault Start TimeStamp]])*24</f>
        <v>0.28333333333333499</v>
      </c>
      <c r="Q1003" s="298">
        <f>(Table6[[#This Row],[Fault Clearance time]]-Table6[[#This Row],[Fault Start TimeStamp]])*24</f>
        <v>0.28333333333333499</v>
      </c>
      <c r="R1003" s="79" t="s">
        <v>353</v>
      </c>
      <c r="S1003" s="79" t="s">
        <v>339</v>
      </c>
      <c r="T1003" s="298">
        <f>IFERROR(Table6[[#This Row],[Breakdown Time]]*Table6[[#This Row],[Plant Equivalent Weightage]],"")</f>
        <v>6.4393939393939774E-3</v>
      </c>
      <c r="U1003" s="79" t="s">
        <v>421</v>
      </c>
      <c r="W1003" s="79">
        <v>451</v>
      </c>
    </row>
    <row r="1004" spans="1:23">
      <c r="A1004" s="79">
        <f t="shared" si="15"/>
        <v>1003</v>
      </c>
      <c r="B1004" s="79">
        <f>YEAR(Table6[[#This Row],[Date]])+IF(MONTH(Table6[[#This Row],[Date]])&gt;=4,1,0)</f>
        <v>2026</v>
      </c>
      <c r="C1004" s="79">
        <f>YEAR(Table6[[#This Row],[Date]])</f>
        <v>2025</v>
      </c>
      <c r="D1004" s="79" t="s">
        <v>344</v>
      </c>
      <c r="E1004" s="284">
        <f>Table6[[#This Row],[Date]]-DAY(Table6[[#This Row],[Date]])+1</f>
        <v>45809</v>
      </c>
      <c r="F1004" s="285">
        <v>45831</v>
      </c>
      <c r="G1004" s="79" t="s">
        <v>116</v>
      </c>
      <c r="H1004" s="79" t="str">
        <f>IFERROR(_xlfn.XLOOKUP(Table6[[#This Row],[Affected Feeder ]],'Basic Data'!$A:$A,'Basic Data'!$B:$B),"")</f>
        <v>PWEPL</v>
      </c>
      <c r="I1004" s="79" t="str">
        <f>IFERROR(_xlfn.XLOOKUP(Table6[[#This Row],[Affected Feeder ]],'Basic Data'!$A:$A,'Basic Data'!$C:$C),"")</f>
        <v>MSEDCL</v>
      </c>
      <c r="J1004" s="295">
        <f>IFERROR(_xlfn.XLOOKUP(Table6[[#This Row],[Affected Feeder ]],'Basic Data'!$A:$A,'Basic Data'!$E:$E),"")</f>
        <v>2.2727272727272728E-2</v>
      </c>
      <c r="K1004" s="296" t="s">
        <v>909</v>
      </c>
      <c r="L1004" s="297">
        <v>0.47916666666666669</v>
      </c>
      <c r="M1004" s="297">
        <v>0.47916666666666669</v>
      </c>
      <c r="N1004" s="297">
        <v>0.50763888888888886</v>
      </c>
      <c r="O1004" s="298">
        <f>(Table6[[#This Row],[Work Start TimeStamp]]-Table6[[#This Row],[Fault Start TimeStamp]])*24</f>
        <v>0</v>
      </c>
      <c r="P1004" s="298">
        <f>(Table6[[#This Row],[Fault Clearance time]]-Table6[[#This Row],[Fault Start TimeStamp]])*24</f>
        <v>0.68333333333333224</v>
      </c>
      <c r="Q1004" s="298">
        <f>(Table6[[#This Row],[Fault Clearance time]]-Table6[[#This Row],[Fault Start TimeStamp]])*24</f>
        <v>0.68333333333333224</v>
      </c>
      <c r="R1004" s="79" t="s">
        <v>353</v>
      </c>
      <c r="S1004" s="79" t="s">
        <v>339</v>
      </c>
      <c r="T1004" s="298">
        <f>IFERROR(Table6[[#This Row],[Breakdown Time]]*Table6[[#This Row],[Plant Equivalent Weightage]],"")</f>
        <v>1.5530303030303005E-2</v>
      </c>
      <c r="U1004" s="79" t="s">
        <v>421</v>
      </c>
      <c r="W1004" s="79">
        <v>1102</v>
      </c>
    </row>
    <row r="1005" spans="1:23">
      <c r="A1005" s="79">
        <f t="shared" si="15"/>
        <v>1004</v>
      </c>
      <c r="B1005" s="79">
        <f>YEAR(Table6[[#This Row],[Date]])+IF(MONTH(Table6[[#This Row],[Date]])&gt;=4,1,0)</f>
        <v>2026</v>
      </c>
      <c r="C1005" s="79">
        <f>YEAR(Table6[[#This Row],[Date]])</f>
        <v>2025</v>
      </c>
      <c r="D1005" s="79" t="s">
        <v>344</v>
      </c>
      <c r="E1005" s="284">
        <f>Table6[[#This Row],[Date]]-DAY(Table6[[#This Row],[Date]])+1</f>
        <v>45809</v>
      </c>
      <c r="F1005" s="285">
        <v>45831</v>
      </c>
      <c r="G1005" s="79" t="s">
        <v>116</v>
      </c>
      <c r="H1005" s="79" t="str">
        <f>IFERROR(_xlfn.XLOOKUP(Table6[[#This Row],[Affected Feeder ]],'Basic Data'!$A:$A,'Basic Data'!$B:$B),"")</f>
        <v>PWEPL</v>
      </c>
      <c r="I1005" s="79" t="str">
        <f>IFERROR(_xlfn.XLOOKUP(Table6[[#This Row],[Affected Feeder ]],'Basic Data'!$A:$A,'Basic Data'!$C:$C),"")</f>
        <v>MSEDCL</v>
      </c>
      <c r="J1005" s="295">
        <f>IFERROR(_xlfn.XLOOKUP(Table6[[#This Row],[Affected Feeder ]],'Basic Data'!$A:$A,'Basic Data'!$E:$E),"")</f>
        <v>2.2727272727272728E-2</v>
      </c>
      <c r="K1005" s="296" t="s">
        <v>171</v>
      </c>
      <c r="L1005" s="297">
        <v>0.50763888888888886</v>
      </c>
      <c r="M1005" s="297">
        <v>0.50763888888888886</v>
      </c>
      <c r="N1005" s="297">
        <v>0.51944444444444449</v>
      </c>
      <c r="O1005" s="298">
        <f>(Table6[[#This Row],[Work Start TimeStamp]]-Table6[[#This Row],[Fault Start TimeStamp]])*24</f>
        <v>0</v>
      </c>
      <c r="P1005" s="298">
        <f>(Table6[[#This Row],[Fault Clearance time]]-Table6[[#This Row],[Fault Start TimeStamp]])*24</f>
        <v>0.28333333333333499</v>
      </c>
      <c r="Q1005" s="298">
        <f>(Table6[[#This Row],[Fault Clearance time]]-Table6[[#This Row],[Fault Start TimeStamp]])*24</f>
        <v>0.28333333333333499</v>
      </c>
      <c r="R1005" s="79" t="s">
        <v>353</v>
      </c>
      <c r="S1005" s="79" t="s">
        <v>339</v>
      </c>
      <c r="T1005" s="298">
        <f>IFERROR(Table6[[#This Row],[Breakdown Time]]*Table6[[#This Row],[Plant Equivalent Weightage]],"")</f>
        <v>6.4393939393939774E-3</v>
      </c>
      <c r="U1005" s="79" t="s">
        <v>421</v>
      </c>
      <c r="W1005" s="79">
        <v>451</v>
      </c>
    </row>
    <row r="1006" spans="1:23">
      <c r="A1006" s="79">
        <f t="shared" si="15"/>
        <v>1005</v>
      </c>
      <c r="B1006" s="79">
        <f>YEAR(Table6[[#This Row],[Date]])+IF(MONTH(Table6[[#This Row],[Date]])&gt;=4,1,0)</f>
        <v>2026</v>
      </c>
      <c r="C1006" s="79">
        <f>YEAR(Table6[[#This Row],[Date]])</f>
        <v>2025</v>
      </c>
      <c r="D1006" s="79" t="s">
        <v>344</v>
      </c>
      <c r="E1006" s="284">
        <f>Table6[[#This Row],[Date]]-DAY(Table6[[#This Row],[Date]])+1</f>
        <v>45809</v>
      </c>
      <c r="F1006" s="285">
        <v>45831</v>
      </c>
      <c r="G1006" s="79" t="s">
        <v>117</v>
      </c>
      <c r="H1006" s="79" t="str">
        <f>IFERROR(_xlfn.XLOOKUP(Table6[[#This Row],[Affected Feeder ]],'Basic Data'!$A:$A,'Basic Data'!$B:$B),"")</f>
        <v>PWEPL</v>
      </c>
      <c r="I1006" s="79" t="str">
        <f>IFERROR(_xlfn.XLOOKUP(Table6[[#This Row],[Affected Feeder ]],'Basic Data'!$A:$A,'Basic Data'!$C:$C),"")</f>
        <v>MSEDCL</v>
      </c>
      <c r="J1006" s="295">
        <f>IFERROR(_xlfn.XLOOKUP(Table6[[#This Row],[Affected Feeder ]],'Basic Data'!$A:$A,'Basic Data'!$E:$E),"")</f>
        <v>2.2727272727272728E-2</v>
      </c>
      <c r="K1006" s="296" t="s">
        <v>909</v>
      </c>
      <c r="L1006" s="297">
        <v>0.47916666666666669</v>
      </c>
      <c r="M1006" s="297">
        <v>0.47916666666666669</v>
      </c>
      <c r="N1006" s="297">
        <v>0.50763888888888886</v>
      </c>
      <c r="O1006" s="298">
        <f>(Table6[[#This Row],[Work Start TimeStamp]]-Table6[[#This Row],[Fault Start TimeStamp]])*24</f>
        <v>0</v>
      </c>
      <c r="P1006" s="298">
        <f>(Table6[[#This Row],[Fault Clearance time]]-Table6[[#This Row],[Fault Start TimeStamp]])*24</f>
        <v>0.68333333333333224</v>
      </c>
      <c r="Q1006" s="298">
        <f>(Table6[[#This Row],[Fault Clearance time]]-Table6[[#This Row],[Fault Start TimeStamp]])*24</f>
        <v>0.68333333333333224</v>
      </c>
      <c r="R1006" s="79" t="s">
        <v>353</v>
      </c>
      <c r="S1006" s="79" t="s">
        <v>339</v>
      </c>
      <c r="T1006" s="298">
        <f>IFERROR(Table6[[#This Row],[Breakdown Time]]*Table6[[#This Row],[Plant Equivalent Weightage]],"")</f>
        <v>1.5530303030303005E-2</v>
      </c>
      <c r="U1006" s="79" t="s">
        <v>421</v>
      </c>
      <c r="W1006" s="79">
        <v>1089</v>
      </c>
    </row>
    <row r="1007" spans="1:23">
      <c r="A1007" s="79">
        <f t="shared" si="15"/>
        <v>1006</v>
      </c>
      <c r="B1007" s="79">
        <f>YEAR(Table6[[#This Row],[Date]])+IF(MONTH(Table6[[#This Row],[Date]])&gt;=4,1,0)</f>
        <v>2026</v>
      </c>
      <c r="C1007" s="79">
        <f>YEAR(Table6[[#This Row],[Date]])</f>
        <v>2025</v>
      </c>
      <c r="D1007" s="79" t="s">
        <v>344</v>
      </c>
      <c r="E1007" s="284">
        <f>Table6[[#This Row],[Date]]-DAY(Table6[[#This Row],[Date]])+1</f>
        <v>45809</v>
      </c>
      <c r="F1007" s="285">
        <v>45831</v>
      </c>
      <c r="G1007" s="79" t="s">
        <v>117</v>
      </c>
      <c r="H1007" s="79" t="str">
        <f>IFERROR(_xlfn.XLOOKUP(Table6[[#This Row],[Affected Feeder ]],'Basic Data'!$A:$A,'Basic Data'!$B:$B),"")</f>
        <v>PWEPL</v>
      </c>
      <c r="I1007" s="79" t="str">
        <f>IFERROR(_xlfn.XLOOKUP(Table6[[#This Row],[Affected Feeder ]],'Basic Data'!$A:$A,'Basic Data'!$C:$C),"")</f>
        <v>MSEDCL</v>
      </c>
      <c r="J1007" s="295">
        <f>IFERROR(_xlfn.XLOOKUP(Table6[[#This Row],[Affected Feeder ]],'Basic Data'!$A:$A,'Basic Data'!$E:$E),"")</f>
        <v>2.2727272727272728E-2</v>
      </c>
      <c r="K1007" s="296" t="s">
        <v>171</v>
      </c>
      <c r="L1007" s="297">
        <v>0.50763888888888886</v>
      </c>
      <c r="M1007" s="297">
        <v>0.50763888888888886</v>
      </c>
      <c r="N1007" s="297">
        <v>0.52083333333333337</v>
      </c>
      <c r="O1007" s="298">
        <f>(Table6[[#This Row],[Work Start TimeStamp]]-Table6[[#This Row],[Fault Start TimeStamp]])*24</f>
        <v>0</v>
      </c>
      <c r="P1007" s="298">
        <f>(Table6[[#This Row],[Fault Clearance time]]-Table6[[#This Row],[Fault Start TimeStamp]])*24</f>
        <v>0.31666666666666821</v>
      </c>
      <c r="Q1007" s="298">
        <f>(Table6[[#This Row],[Fault Clearance time]]-Table6[[#This Row],[Fault Start TimeStamp]])*24</f>
        <v>0.31666666666666821</v>
      </c>
      <c r="R1007" s="79" t="s">
        <v>353</v>
      </c>
      <c r="S1007" s="79" t="s">
        <v>339</v>
      </c>
      <c r="T1007" s="298">
        <f>IFERROR(Table6[[#This Row],[Breakdown Time]]*Table6[[#This Row],[Plant Equivalent Weightage]],"")</f>
        <v>7.196969696969732E-3</v>
      </c>
      <c r="U1007" s="79" t="s">
        <v>421</v>
      </c>
      <c r="W1007" s="79">
        <v>504</v>
      </c>
    </row>
    <row r="1008" spans="1:23">
      <c r="A1008" s="79">
        <f t="shared" si="15"/>
        <v>1007</v>
      </c>
      <c r="B1008" s="79">
        <f>YEAR(Table6[[#This Row],[Date]])+IF(MONTH(Table6[[#This Row],[Date]])&gt;=4,1,0)</f>
        <v>2026</v>
      </c>
      <c r="C1008" s="79">
        <f>YEAR(Table6[[#This Row],[Date]])</f>
        <v>2025</v>
      </c>
      <c r="D1008" s="79" t="s">
        <v>344</v>
      </c>
      <c r="E1008" s="284">
        <f>Table6[[#This Row],[Date]]-DAY(Table6[[#This Row],[Date]])+1</f>
        <v>45809</v>
      </c>
      <c r="F1008" s="285">
        <v>45831</v>
      </c>
      <c r="G1008" s="79" t="s">
        <v>118</v>
      </c>
      <c r="H1008" s="79" t="str">
        <f>IFERROR(_xlfn.XLOOKUP(Table6[[#This Row],[Affected Feeder ]],'Basic Data'!$A:$A,'Basic Data'!$B:$B),"")</f>
        <v>PWEPL</v>
      </c>
      <c r="I1008" s="79" t="str">
        <f>IFERROR(_xlfn.XLOOKUP(Table6[[#This Row],[Affected Feeder ]],'Basic Data'!$A:$A,'Basic Data'!$C:$C),"")</f>
        <v>MSEDCL</v>
      </c>
      <c r="J1008" s="295">
        <f>IFERROR(_xlfn.XLOOKUP(Table6[[#This Row],[Affected Feeder ]],'Basic Data'!$A:$A,'Basic Data'!$E:$E),"")</f>
        <v>2.2727272727272728E-2</v>
      </c>
      <c r="K1008" s="296" t="s">
        <v>909</v>
      </c>
      <c r="L1008" s="297">
        <v>0.47916666666666669</v>
      </c>
      <c r="M1008" s="297">
        <v>0.47916666666666669</v>
      </c>
      <c r="N1008" s="297">
        <v>0.50763888888888886</v>
      </c>
      <c r="O1008" s="298">
        <f>(Table6[[#This Row],[Work Start TimeStamp]]-Table6[[#This Row],[Fault Start TimeStamp]])*24</f>
        <v>0</v>
      </c>
      <c r="P1008" s="298">
        <f>(Table6[[#This Row],[Fault Clearance time]]-Table6[[#This Row],[Fault Start TimeStamp]])*24</f>
        <v>0.68333333333333224</v>
      </c>
      <c r="Q1008" s="298">
        <f>(Table6[[#This Row],[Fault Clearance time]]-Table6[[#This Row],[Fault Start TimeStamp]])*24</f>
        <v>0.68333333333333224</v>
      </c>
      <c r="R1008" s="79" t="s">
        <v>353</v>
      </c>
      <c r="S1008" s="79" t="s">
        <v>339</v>
      </c>
      <c r="T1008" s="298">
        <f>IFERROR(Table6[[#This Row],[Breakdown Time]]*Table6[[#This Row],[Plant Equivalent Weightage]],"")</f>
        <v>1.5530303030303005E-2</v>
      </c>
      <c r="U1008" s="79" t="s">
        <v>421</v>
      </c>
      <c r="W1008" s="79">
        <v>1301</v>
      </c>
    </row>
    <row r="1009" spans="1:23">
      <c r="A1009" s="79">
        <f t="shared" si="15"/>
        <v>1008</v>
      </c>
      <c r="B1009" s="79">
        <f>YEAR(Table6[[#This Row],[Date]])+IF(MONTH(Table6[[#This Row],[Date]])&gt;=4,1,0)</f>
        <v>2026</v>
      </c>
      <c r="C1009" s="79">
        <f>YEAR(Table6[[#This Row],[Date]])</f>
        <v>2025</v>
      </c>
      <c r="D1009" s="79" t="s">
        <v>344</v>
      </c>
      <c r="E1009" s="284">
        <f>Table6[[#This Row],[Date]]-DAY(Table6[[#This Row],[Date]])+1</f>
        <v>45809</v>
      </c>
      <c r="F1009" s="285">
        <v>45831</v>
      </c>
      <c r="G1009" s="79" t="s">
        <v>118</v>
      </c>
      <c r="H1009" s="79" t="str">
        <f>IFERROR(_xlfn.XLOOKUP(Table6[[#This Row],[Affected Feeder ]],'Basic Data'!$A:$A,'Basic Data'!$B:$B),"")</f>
        <v>PWEPL</v>
      </c>
      <c r="I1009" s="79" t="str">
        <f>IFERROR(_xlfn.XLOOKUP(Table6[[#This Row],[Affected Feeder ]],'Basic Data'!$A:$A,'Basic Data'!$C:$C),"")</f>
        <v>MSEDCL</v>
      </c>
      <c r="J1009" s="295">
        <f>IFERROR(_xlfn.XLOOKUP(Table6[[#This Row],[Affected Feeder ]],'Basic Data'!$A:$A,'Basic Data'!$E:$E),"")</f>
        <v>2.2727272727272728E-2</v>
      </c>
      <c r="K1009" s="296" t="s">
        <v>171</v>
      </c>
      <c r="L1009" s="297">
        <v>0.50763888888888886</v>
      </c>
      <c r="M1009" s="297">
        <v>0.50763888888888886</v>
      </c>
      <c r="N1009" s="297">
        <v>0.51527777777777783</v>
      </c>
      <c r="O1009" s="298">
        <f>(Table6[[#This Row],[Work Start TimeStamp]]-Table6[[#This Row],[Fault Start TimeStamp]])*24</f>
        <v>0</v>
      </c>
      <c r="P1009" s="298">
        <f>(Table6[[#This Row],[Fault Clearance time]]-Table6[[#This Row],[Fault Start TimeStamp]])*24</f>
        <v>0.18333333333333535</v>
      </c>
      <c r="Q1009" s="298">
        <f>(Table6[[#This Row],[Fault Clearance time]]-Table6[[#This Row],[Fault Start TimeStamp]])*24</f>
        <v>0.18333333333333535</v>
      </c>
      <c r="R1009" s="79" t="s">
        <v>353</v>
      </c>
      <c r="S1009" s="79" t="s">
        <v>339</v>
      </c>
      <c r="T1009" s="298">
        <f>IFERROR(Table6[[#This Row],[Breakdown Time]]*Table6[[#This Row],[Plant Equivalent Weightage]],"")</f>
        <v>4.1666666666667126E-3</v>
      </c>
      <c r="U1009" s="79" t="s">
        <v>421</v>
      </c>
      <c r="W1009" s="79">
        <v>292</v>
      </c>
    </row>
    <row r="1010" spans="1:23">
      <c r="A1010" s="79">
        <f t="shared" si="15"/>
        <v>1009</v>
      </c>
      <c r="B1010" s="79">
        <f>YEAR(Table6[[#This Row],[Date]])+IF(MONTH(Table6[[#This Row],[Date]])&gt;=4,1,0)</f>
        <v>2026</v>
      </c>
      <c r="C1010" s="79">
        <f>YEAR(Table6[[#This Row],[Date]])</f>
        <v>2025</v>
      </c>
      <c r="D1010" s="79" t="s">
        <v>344</v>
      </c>
      <c r="E1010" s="284">
        <f>Table6[[#This Row],[Date]]-DAY(Table6[[#This Row],[Date]])+1</f>
        <v>45809</v>
      </c>
      <c r="F1010" s="285">
        <v>45831</v>
      </c>
      <c r="G1010" s="79" t="s">
        <v>109</v>
      </c>
      <c r="H1010" s="79" t="str">
        <f>IFERROR(_xlfn.XLOOKUP(Table6[[#This Row],[Affected Feeder ]],'Basic Data'!$A:$A,'Basic Data'!$B:$B),"")</f>
        <v>PWEPL</v>
      </c>
      <c r="I1010" s="79" t="str">
        <f>IFERROR(_xlfn.XLOOKUP(Table6[[#This Row],[Affected Feeder ]],'Basic Data'!$A:$A,'Basic Data'!$C:$C),"")</f>
        <v>MSEDCL</v>
      </c>
      <c r="J1010" s="295">
        <f>IFERROR(_xlfn.XLOOKUP(Table6[[#This Row],[Affected Feeder ]],'Basic Data'!$A:$A,'Basic Data'!$E:$E),"")</f>
        <v>2.2727272727272728E-2</v>
      </c>
      <c r="K1010" s="296" t="s">
        <v>796</v>
      </c>
      <c r="L1010" s="297">
        <v>0.3611111111111111</v>
      </c>
      <c r="M1010" s="297">
        <v>0.3611111111111111</v>
      </c>
      <c r="N1010" s="297">
        <v>0.41666666666666669</v>
      </c>
      <c r="O1010" s="298">
        <f>(Table6[[#This Row],[Work Start TimeStamp]]-Table6[[#This Row],[Fault Start TimeStamp]])*24</f>
        <v>0</v>
      </c>
      <c r="P1010" s="298">
        <f>(Table6[[#This Row],[Fault Clearance time]]-Table6[[#This Row],[Fault Start TimeStamp]])*24</f>
        <v>1.3333333333333339</v>
      </c>
      <c r="Q1010" s="298">
        <f>(Table6[[#This Row],[Fault Clearance time]]-Table6[[#This Row],[Fault Start TimeStamp]])*24</f>
        <v>1.3333333333333339</v>
      </c>
      <c r="R1010" s="79" t="s">
        <v>424</v>
      </c>
      <c r="S1010" s="79" t="s">
        <v>339</v>
      </c>
      <c r="T1010" s="298">
        <f>IFERROR(Table6[[#This Row],[Breakdown Time]]*Table6[[#This Row],[Plant Equivalent Weightage]],"")</f>
        <v>3.0303030303030318E-2</v>
      </c>
      <c r="U1010" s="79" t="s">
        <v>421</v>
      </c>
      <c r="W1010" s="79">
        <v>2211</v>
      </c>
    </row>
    <row r="1011" spans="1:23">
      <c r="A1011" s="79">
        <f t="shared" si="15"/>
        <v>1010</v>
      </c>
      <c r="B1011" s="79">
        <f>YEAR(Table6[[#This Row],[Date]])+IF(MONTH(Table6[[#This Row],[Date]])&gt;=4,1,0)</f>
        <v>2026</v>
      </c>
      <c r="C1011" s="79">
        <f>YEAR(Table6[[#This Row],[Date]])</f>
        <v>2025</v>
      </c>
      <c r="D1011" s="79" t="s">
        <v>344</v>
      </c>
      <c r="E1011" s="284">
        <f>Table6[[#This Row],[Date]]-DAY(Table6[[#This Row],[Date]])+1</f>
        <v>45809</v>
      </c>
      <c r="F1011" s="285">
        <v>45831</v>
      </c>
      <c r="G1011" s="79" t="s">
        <v>109</v>
      </c>
      <c r="H1011" s="79" t="str">
        <f>IFERROR(_xlfn.XLOOKUP(Table6[[#This Row],[Affected Feeder ]],'Basic Data'!$A:$A,'Basic Data'!$B:$B),"")</f>
        <v>PWEPL</v>
      </c>
      <c r="I1011" s="79" t="str">
        <f>IFERROR(_xlfn.XLOOKUP(Table6[[#This Row],[Affected Feeder ]],'Basic Data'!$A:$A,'Basic Data'!$C:$C),"")</f>
        <v>MSEDCL</v>
      </c>
      <c r="J1011" s="295">
        <f>IFERROR(_xlfn.XLOOKUP(Table6[[#This Row],[Affected Feeder ]],'Basic Data'!$A:$A,'Basic Data'!$E:$E),"")</f>
        <v>2.2727272727272728E-2</v>
      </c>
      <c r="K1011" s="296" t="s">
        <v>171</v>
      </c>
      <c r="L1011" s="297">
        <v>0.41666666666666669</v>
      </c>
      <c r="M1011" s="297">
        <v>0.41666666666666669</v>
      </c>
      <c r="N1011" s="297">
        <v>0.42638888888888887</v>
      </c>
      <c r="O1011" s="298">
        <f>(Table6[[#This Row],[Work Start TimeStamp]]-Table6[[#This Row],[Fault Start TimeStamp]])*24</f>
        <v>0</v>
      </c>
      <c r="P1011" s="298">
        <f>(Table6[[#This Row],[Fault Clearance time]]-Table6[[#This Row],[Fault Start TimeStamp]])*24</f>
        <v>0.2333333333333325</v>
      </c>
      <c r="Q1011" s="298">
        <f>(Table6[[#This Row],[Fault Clearance time]]-Table6[[#This Row],[Fault Start TimeStamp]])*24</f>
        <v>0.2333333333333325</v>
      </c>
      <c r="R1011" s="79" t="s">
        <v>353</v>
      </c>
      <c r="S1011" s="79" t="s">
        <v>339</v>
      </c>
      <c r="T1011" s="298">
        <f>IFERROR(Table6[[#This Row],[Breakdown Time]]*Table6[[#This Row],[Plant Equivalent Weightage]],"")</f>
        <v>5.3030303030302843E-3</v>
      </c>
      <c r="U1011" s="79" t="s">
        <v>421</v>
      </c>
      <c r="W1011" s="79">
        <v>468</v>
      </c>
    </row>
    <row r="1012" spans="1:23">
      <c r="A1012" s="79">
        <f t="shared" si="15"/>
        <v>1011</v>
      </c>
      <c r="B1012" s="79">
        <f>YEAR(Table6[[#This Row],[Date]])+IF(MONTH(Table6[[#This Row],[Date]])&gt;=4,1,0)</f>
        <v>2026</v>
      </c>
      <c r="C1012" s="79">
        <f>YEAR(Table6[[#This Row],[Date]])</f>
        <v>2025</v>
      </c>
      <c r="D1012" s="79" t="s">
        <v>344</v>
      </c>
      <c r="E1012" s="284">
        <f>Table6[[#This Row],[Date]]-DAY(Table6[[#This Row],[Date]])+1</f>
        <v>45809</v>
      </c>
      <c r="F1012" s="285">
        <v>45832</v>
      </c>
      <c r="G1012" s="79" t="s">
        <v>406</v>
      </c>
      <c r="H1012" s="79" t="str">
        <f>IFERROR(_xlfn.XLOOKUP(Table6[[#This Row],[Affected Feeder ]],'Basic Data'!$A:$A,'Basic Data'!$B:$B),"")</f>
        <v>PWEPL</v>
      </c>
      <c r="I1012" s="79" t="str">
        <f>IFERROR(_xlfn.XLOOKUP(Table6[[#This Row],[Affected Feeder ]],'Basic Data'!$A:$A,'Basic Data'!$C:$C),"")</f>
        <v>MSEDCL</v>
      </c>
      <c r="J1012" s="295">
        <f>IFERROR(_xlfn.XLOOKUP(Table6[[#This Row],[Affected Feeder ]],'Basic Data'!$A:$A,'Basic Data'!$E:$E),"")</f>
        <v>0.29545454545454541</v>
      </c>
      <c r="K1012" s="296" t="s">
        <v>447</v>
      </c>
      <c r="L1012" s="297">
        <v>0.41666666666666669</v>
      </c>
      <c r="M1012" s="297">
        <v>0.41666666666666669</v>
      </c>
      <c r="N1012" s="297">
        <v>0.44236111111111115</v>
      </c>
      <c r="O1012" s="298">
        <f>(Table6[[#This Row],[Work Start TimeStamp]]-Table6[[#This Row],[Fault Start TimeStamp]])*24</f>
        <v>0</v>
      </c>
      <c r="P1012" s="298">
        <f>(Table6[[#This Row],[Fault Clearance time]]-Table6[[#This Row],[Fault Start TimeStamp]])*24</f>
        <v>0.61666666666666714</v>
      </c>
      <c r="Q1012" s="298">
        <f>(Table6[[#This Row],[Fault Clearance time]]-Table6[[#This Row],[Fault Start TimeStamp]])*24</f>
        <v>0.61666666666666714</v>
      </c>
      <c r="R1012" s="79" t="s">
        <v>420</v>
      </c>
      <c r="S1012" s="79" t="s">
        <v>339</v>
      </c>
      <c r="T1012" s="298">
        <f>IFERROR(Table6[[#This Row],[Breakdown Time]]*Table6[[#This Row],[Plant Equivalent Weightage]],"")</f>
        <v>0.1821969696969698</v>
      </c>
      <c r="U1012" s="79" t="s">
        <v>421</v>
      </c>
      <c r="W1012" s="79">
        <v>14822</v>
      </c>
    </row>
    <row r="1013" spans="1:23">
      <c r="A1013" s="79">
        <f t="shared" si="15"/>
        <v>1012</v>
      </c>
      <c r="B1013" s="79">
        <f>YEAR(Table6[[#This Row],[Date]])+IF(MONTH(Table6[[#This Row],[Date]])&gt;=4,1,0)</f>
        <v>2026</v>
      </c>
      <c r="C1013" s="79">
        <f>YEAR(Table6[[#This Row],[Date]])</f>
        <v>2025</v>
      </c>
      <c r="D1013" s="79" t="s">
        <v>344</v>
      </c>
      <c r="E1013" s="284">
        <f>Table6[[#This Row],[Date]]-DAY(Table6[[#This Row],[Date]])+1</f>
        <v>45809</v>
      </c>
      <c r="F1013" s="285">
        <v>45832</v>
      </c>
      <c r="G1013" s="79" t="s">
        <v>76</v>
      </c>
      <c r="H1013" s="79" t="str">
        <f>IFERROR(_xlfn.XLOOKUP(Table6[[#This Row],[Affected Feeder ]],'Basic Data'!$A:$A,'Basic Data'!$B:$B),"")</f>
        <v>PWEPL</v>
      </c>
      <c r="I1013" s="79" t="str">
        <f>IFERROR(_xlfn.XLOOKUP(Table6[[#This Row],[Affected Feeder ]],'Basic Data'!$A:$A,'Basic Data'!$C:$C),"")</f>
        <v>MSEDCL</v>
      </c>
      <c r="J1013" s="295">
        <f>IFERROR(_xlfn.XLOOKUP(Table6[[#This Row],[Affected Feeder ]],'Basic Data'!$A:$A,'Basic Data'!$E:$E),"")</f>
        <v>2.2727272727272728E-2</v>
      </c>
      <c r="K1013" s="296" t="s">
        <v>171</v>
      </c>
      <c r="L1013" s="297">
        <v>0.44236111111111115</v>
      </c>
      <c r="M1013" s="297">
        <v>0.44236111111111115</v>
      </c>
      <c r="N1013" s="297">
        <v>0.45555555555555555</v>
      </c>
      <c r="O1013" s="298">
        <f>(Table6[[#This Row],[Work Start TimeStamp]]-Table6[[#This Row],[Fault Start TimeStamp]])*24</f>
        <v>0</v>
      </c>
      <c r="P1013" s="298">
        <f>(Table6[[#This Row],[Fault Clearance time]]-Table6[[#This Row],[Fault Start TimeStamp]])*24</f>
        <v>0.31666666666666554</v>
      </c>
      <c r="Q1013" s="298">
        <f>(Table6[[#This Row],[Fault Clearance time]]-Table6[[#This Row],[Fault Start TimeStamp]])*24</f>
        <v>0.31666666666666554</v>
      </c>
      <c r="R1013" s="79" t="s">
        <v>353</v>
      </c>
      <c r="S1013" s="79" t="s">
        <v>339</v>
      </c>
      <c r="T1013" s="298">
        <f>IFERROR(Table6[[#This Row],[Breakdown Time]]*Table6[[#This Row],[Plant Equivalent Weightage]],"")</f>
        <v>7.1969696969696713E-3</v>
      </c>
      <c r="U1013" s="79" t="s">
        <v>421</v>
      </c>
      <c r="W1013" s="79">
        <v>585</v>
      </c>
    </row>
    <row r="1014" spans="1:23">
      <c r="A1014" s="79">
        <f t="shared" si="15"/>
        <v>1013</v>
      </c>
      <c r="B1014" s="79">
        <f>YEAR(Table6[[#This Row],[Date]])+IF(MONTH(Table6[[#This Row],[Date]])&gt;=4,1,0)</f>
        <v>2026</v>
      </c>
      <c r="C1014" s="79">
        <f>YEAR(Table6[[#This Row],[Date]])</f>
        <v>2025</v>
      </c>
      <c r="D1014" s="79" t="s">
        <v>344</v>
      </c>
      <c r="E1014" s="284">
        <f>Table6[[#This Row],[Date]]-DAY(Table6[[#This Row],[Date]])+1</f>
        <v>45809</v>
      </c>
      <c r="F1014" s="285">
        <v>45832</v>
      </c>
      <c r="G1014" s="79" t="s">
        <v>77</v>
      </c>
      <c r="H1014" s="79" t="str">
        <f>IFERROR(_xlfn.XLOOKUP(Table6[[#This Row],[Affected Feeder ]],'Basic Data'!$A:$A,'Basic Data'!$B:$B),"")</f>
        <v>PWEPL</v>
      </c>
      <c r="I1014" s="79" t="str">
        <f>IFERROR(_xlfn.XLOOKUP(Table6[[#This Row],[Affected Feeder ]],'Basic Data'!$A:$A,'Basic Data'!$C:$C),"")</f>
        <v>MSEDCL</v>
      </c>
      <c r="J1014" s="295">
        <f>IFERROR(_xlfn.XLOOKUP(Table6[[#This Row],[Affected Feeder ]],'Basic Data'!$A:$A,'Basic Data'!$E:$E),"")</f>
        <v>2.2727272727272728E-2</v>
      </c>
      <c r="K1014" s="296" t="s">
        <v>171</v>
      </c>
      <c r="L1014" s="297">
        <v>0.44236111111111115</v>
      </c>
      <c r="M1014" s="297">
        <v>0.44236111111111115</v>
      </c>
      <c r="N1014" s="297">
        <v>0.45</v>
      </c>
      <c r="O1014" s="298">
        <f>(Table6[[#This Row],[Work Start TimeStamp]]-Table6[[#This Row],[Fault Start TimeStamp]])*24</f>
        <v>0</v>
      </c>
      <c r="P1014" s="298">
        <f>(Table6[[#This Row],[Fault Clearance time]]-Table6[[#This Row],[Fault Start TimeStamp]])*24</f>
        <v>0.18333333333333268</v>
      </c>
      <c r="Q1014" s="298">
        <f>(Table6[[#This Row],[Fault Clearance time]]-Table6[[#This Row],[Fault Start TimeStamp]])*24</f>
        <v>0.18333333333333268</v>
      </c>
      <c r="R1014" s="79" t="s">
        <v>353</v>
      </c>
      <c r="S1014" s="79" t="s">
        <v>339</v>
      </c>
      <c r="T1014" s="298">
        <f>IFERROR(Table6[[#This Row],[Breakdown Time]]*Table6[[#This Row],[Plant Equivalent Weightage]],"")</f>
        <v>4.1666666666666519E-3</v>
      </c>
      <c r="U1014" s="79" t="s">
        <v>421</v>
      </c>
      <c r="W1014" s="79">
        <v>338</v>
      </c>
    </row>
    <row r="1015" spans="1:23">
      <c r="A1015" s="79">
        <f t="shared" si="15"/>
        <v>1014</v>
      </c>
      <c r="B1015" s="79">
        <f>YEAR(Table6[[#This Row],[Date]])+IF(MONTH(Table6[[#This Row],[Date]])&gt;=4,1,0)</f>
        <v>2026</v>
      </c>
      <c r="C1015" s="79">
        <f>YEAR(Table6[[#This Row],[Date]])</f>
        <v>2025</v>
      </c>
      <c r="D1015" s="79" t="s">
        <v>344</v>
      </c>
      <c r="E1015" s="284">
        <f>Table6[[#This Row],[Date]]-DAY(Table6[[#This Row],[Date]])+1</f>
        <v>45809</v>
      </c>
      <c r="F1015" s="285">
        <v>45832</v>
      </c>
      <c r="G1015" s="79" t="s">
        <v>78</v>
      </c>
      <c r="H1015" s="79" t="str">
        <f>IFERROR(_xlfn.XLOOKUP(Table6[[#This Row],[Affected Feeder ]],'Basic Data'!$A:$A,'Basic Data'!$B:$B),"")</f>
        <v>PWEPL</v>
      </c>
      <c r="I1015" s="79" t="str">
        <f>IFERROR(_xlfn.XLOOKUP(Table6[[#This Row],[Affected Feeder ]],'Basic Data'!$A:$A,'Basic Data'!$C:$C),"")</f>
        <v>MSEDCL</v>
      </c>
      <c r="J1015" s="295">
        <f>IFERROR(_xlfn.XLOOKUP(Table6[[#This Row],[Affected Feeder ]],'Basic Data'!$A:$A,'Basic Data'!$E:$E),"")</f>
        <v>2.2727272727272728E-2</v>
      </c>
      <c r="K1015" s="296" t="s">
        <v>171</v>
      </c>
      <c r="L1015" s="297">
        <v>0.44236111111111115</v>
      </c>
      <c r="M1015" s="297">
        <v>0.44236111111111115</v>
      </c>
      <c r="N1015" s="297">
        <v>0.45624999999999999</v>
      </c>
      <c r="O1015" s="298">
        <f>(Table6[[#This Row],[Work Start TimeStamp]]-Table6[[#This Row],[Fault Start TimeStamp]])*24</f>
        <v>0</v>
      </c>
      <c r="P1015" s="298">
        <f>(Table6[[#This Row],[Fault Clearance time]]-Table6[[#This Row],[Fault Start TimeStamp]])*24</f>
        <v>0.33333333333333215</v>
      </c>
      <c r="Q1015" s="298">
        <f>(Table6[[#This Row],[Fault Clearance time]]-Table6[[#This Row],[Fault Start TimeStamp]])*24</f>
        <v>0.33333333333333215</v>
      </c>
      <c r="R1015" s="79" t="s">
        <v>353</v>
      </c>
      <c r="S1015" s="79" t="s">
        <v>339</v>
      </c>
      <c r="T1015" s="298">
        <f>IFERROR(Table6[[#This Row],[Breakdown Time]]*Table6[[#This Row],[Plant Equivalent Weightage]],"")</f>
        <v>7.5757575757575491E-3</v>
      </c>
      <c r="U1015" s="79" t="s">
        <v>421</v>
      </c>
      <c r="W1015" s="79">
        <v>616</v>
      </c>
    </row>
    <row r="1016" spans="1:23">
      <c r="A1016" s="79">
        <f t="shared" si="15"/>
        <v>1015</v>
      </c>
      <c r="B1016" s="79">
        <f>YEAR(Table6[[#This Row],[Date]])+IF(MONTH(Table6[[#This Row],[Date]])&gt;=4,1,0)</f>
        <v>2026</v>
      </c>
      <c r="C1016" s="79">
        <f>YEAR(Table6[[#This Row],[Date]])</f>
        <v>2025</v>
      </c>
      <c r="D1016" s="79" t="s">
        <v>344</v>
      </c>
      <c r="E1016" s="284">
        <f>Table6[[#This Row],[Date]]-DAY(Table6[[#This Row],[Date]])+1</f>
        <v>45809</v>
      </c>
      <c r="F1016" s="285">
        <v>45832</v>
      </c>
      <c r="G1016" s="79" t="s">
        <v>93</v>
      </c>
      <c r="H1016" s="79" t="str">
        <f>IFERROR(_xlfn.XLOOKUP(Table6[[#This Row],[Affected Feeder ]],'Basic Data'!$A:$A,'Basic Data'!$B:$B),"")</f>
        <v>PWEPL</v>
      </c>
      <c r="I1016" s="79" t="str">
        <f>IFERROR(_xlfn.XLOOKUP(Table6[[#This Row],[Affected Feeder ]],'Basic Data'!$A:$A,'Basic Data'!$C:$C),"")</f>
        <v>MSEDCL</v>
      </c>
      <c r="J1016" s="295">
        <f>IFERROR(_xlfn.XLOOKUP(Table6[[#This Row],[Affected Feeder ]],'Basic Data'!$A:$A,'Basic Data'!$E:$E),"")</f>
        <v>2.2727272727272728E-2</v>
      </c>
      <c r="K1016" s="296" t="s">
        <v>171</v>
      </c>
      <c r="L1016" s="297">
        <v>0.44236111111111115</v>
      </c>
      <c r="M1016" s="297">
        <v>0.44236111111111115</v>
      </c>
      <c r="N1016" s="297">
        <v>0.45</v>
      </c>
      <c r="O1016" s="298">
        <f>(Table6[[#This Row],[Work Start TimeStamp]]-Table6[[#This Row],[Fault Start TimeStamp]])*24</f>
        <v>0</v>
      </c>
      <c r="P1016" s="298">
        <f>(Table6[[#This Row],[Fault Clearance time]]-Table6[[#This Row],[Fault Start TimeStamp]])*24</f>
        <v>0.18333333333333268</v>
      </c>
      <c r="Q1016" s="298">
        <f>(Table6[[#This Row],[Fault Clearance time]]-Table6[[#This Row],[Fault Start TimeStamp]])*24</f>
        <v>0.18333333333333268</v>
      </c>
      <c r="R1016" s="79" t="s">
        <v>353</v>
      </c>
      <c r="S1016" s="79" t="s">
        <v>339</v>
      </c>
      <c r="T1016" s="298">
        <f>IFERROR(Table6[[#This Row],[Breakdown Time]]*Table6[[#This Row],[Plant Equivalent Weightage]],"")</f>
        <v>4.1666666666666519E-3</v>
      </c>
      <c r="U1016" s="79" t="s">
        <v>421</v>
      </c>
      <c r="W1016" s="79">
        <v>338</v>
      </c>
    </row>
    <row r="1017" spans="1:23">
      <c r="A1017" s="79">
        <f t="shared" si="15"/>
        <v>1016</v>
      </c>
      <c r="B1017" s="79">
        <f>YEAR(Table6[[#This Row],[Date]])+IF(MONTH(Table6[[#This Row],[Date]])&gt;=4,1,0)</f>
        <v>2026</v>
      </c>
      <c r="C1017" s="79">
        <f>YEAR(Table6[[#This Row],[Date]])</f>
        <v>2025</v>
      </c>
      <c r="D1017" s="79" t="s">
        <v>344</v>
      </c>
      <c r="E1017" s="284">
        <f>Table6[[#This Row],[Date]]-DAY(Table6[[#This Row],[Date]])+1</f>
        <v>45809</v>
      </c>
      <c r="F1017" s="285">
        <v>45832</v>
      </c>
      <c r="G1017" s="79" t="s">
        <v>102</v>
      </c>
      <c r="H1017" s="79" t="str">
        <f>IFERROR(_xlfn.XLOOKUP(Table6[[#This Row],[Affected Feeder ]],'Basic Data'!$A:$A,'Basic Data'!$B:$B),"")</f>
        <v>PWEPL</v>
      </c>
      <c r="I1017" s="79" t="str">
        <f>IFERROR(_xlfn.XLOOKUP(Table6[[#This Row],[Affected Feeder ]],'Basic Data'!$A:$A,'Basic Data'!$C:$C),"")</f>
        <v>MSEDCL</v>
      </c>
      <c r="J1017" s="295">
        <f>IFERROR(_xlfn.XLOOKUP(Table6[[#This Row],[Affected Feeder ]],'Basic Data'!$A:$A,'Basic Data'!$E:$E),"")</f>
        <v>2.2727272727272728E-2</v>
      </c>
      <c r="K1017" s="296" t="s">
        <v>171</v>
      </c>
      <c r="L1017" s="297">
        <v>0.44236111111111115</v>
      </c>
      <c r="M1017" s="297">
        <v>0.44236111111111115</v>
      </c>
      <c r="N1017" s="297">
        <v>0.45555555555555555</v>
      </c>
      <c r="O1017" s="298">
        <f>(Table6[[#This Row],[Work Start TimeStamp]]-Table6[[#This Row],[Fault Start TimeStamp]])*24</f>
        <v>0</v>
      </c>
      <c r="P1017" s="298">
        <f>(Table6[[#This Row],[Fault Clearance time]]-Table6[[#This Row],[Fault Start TimeStamp]])*24</f>
        <v>0.31666666666666554</v>
      </c>
      <c r="Q1017" s="298">
        <f>(Table6[[#This Row],[Fault Clearance time]]-Table6[[#This Row],[Fault Start TimeStamp]])*24</f>
        <v>0.31666666666666554</v>
      </c>
      <c r="R1017" s="79" t="s">
        <v>353</v>
      </c>
      <c r="S1017" s="79" t="s">
        <v>339</v>
      </c>
      <c r="T1017" s="298">
        <f>IFERROR(Table6[[#This Row],[Breakdown Time]]*Table6[[#This Row],[Plant Equivalent Weightage]],"")</f>
        <v>7.1969696969696713E-3</v>
      </c>
      <c r="U1017" s="79" t="s">
        <v>421</v>
      </c>
      <c r="W1017" s="79">
        <v>585</v>
      </c>
    </row>
    <row r="1018" spans="1:23">
      <c r="A1018" s="79">
        <f t="shared" si="15"/>
        <v>1017</v>
      </c>
      <c r="B1018" s="79">
        <f>YEAR(Table6[[#This Row],[Date]])+IF(MONTH(Table6[[#This Row],[Date]])&gt;=4,1,0)</f>
        <v>2026</v>
      </c>
      <c r="C1018" s="79">
        <f>YEAR(Table6[[#This Row],[Date]])</f>
        <v>2025</v>
      </c>
      <c r="D1018" s="79" t="s">
        <v>344</v>
      </c>
      <c r="E1018" s="284">
        <f>Table6[[#This Row],[Date]]-DAY(Table6[[#This Row],[Date]])+1</f>
        <v>45809</v>
      </c>
      <c r="F1018" s="285">
        <v>45832</v>
      </c>
      <c r="G1018" s="79" t="s">
        <v>119</v>
      </c>
      <c r="H1018" s="79" t="str">
        <f>IFERROR(_xlfn.XLOOKUP(Table6[[#This Row],[Affected Feeder ]],'Basic Data'!$A:$A,'Basic Data'!$B:$B),"")</f>
        <v>PWEPL</v>
      </c>
      <c r="I1018" s="79" t="str">
        <f>IFERROR(_xlfn.XLOOKUP(Table6[[#This Row],[Affected Feeder ]],'Basic Data'!$A:$A,'Basic Data'!$C:$C),"")</f>
        <v>MSEDCL</v>
      </c>
      <c r="J1018" s="295">
        <f>IFERROR(_xlfn.XLOOKUP(Table6[[#This Row],[Affected Feeder ]],'Basic Data'!$A:$A,'Basic Data'!$E:$E),"")</f>
        <v>2.2727272727272728E-2</v>
      </c>
      <c r="K1018" s="296" t="s">
        <v>171</v>
      </c>
      <c r="L1018" s="297">
        <v>0.44236111111111115</v>
      </c>
      <c r="M1018" s="297">
        <v>0.44236111111111115</v>
      </c>
      <c r="N1018" s="297">
        <v>0.45347222222222222</v>
      </c>
      <c r="O1018" s="298">
        <f>(Table6[[#This Row],[Work Start TimeStamp]]-Table6[[#This Row],[Fault Start TimeStamp]])*24</f>
        <v>0</v>
      </c>
      <c r="P1018" s="298">
        <f>(Table6[[#This Row],[Fault Clearance time]]-Table6[[#This Row],[Fault Start TimeStamp]])*24</f>
        <v>0.26666666666666572</v>
      </c>
      <c r="Q1018" s="298">
        <f>(Table6[[#This Row],[Fault Clearance time]]-Table6[[#This Row],[Fault Start TimeStamp]])*24</f>
        <v>0.26666666666666572</v>
      </c>
      <c r="R1018" s="79" t="s">
        <v>353</v>
      </c>
      <c r="S1018" s="79" t="s">
        <v>339</v>
      </c>
      <c r="T1018" s="298">
        <f>IFERROR(Table6[[#This Row],[Breakdown Time]]*Table6[[#This Row],[Plant Equivalent Weightage]],"")</f>
        <v>6.0606060606060389E-3</v>
      </c>
      <c r="U1018" s="79" t="s">
        <v>421</v>
      </c>
      <c r="W1018" s="79">
        <v>493</v>
      </c>
    </row>
    <row r="1019" spans="1:23">
      <c r="A1019" s="79">
        <f t="shared" si="15"/>
        <v>1018</v>
      </c>
      <c r="B1019" s="79">
        <f>YEAR(Table6[[#This Row],[Date]])+IF(MONTH(Table6[[#This Row],[Date]])&gt;=4,1,0)</f>
        <v>2026</v>
      </c>
      <c r="C1019" s="79">
        <f>YEAR(Table6[[#This Row],[Date]])</f>
        <v>2025</v>
      </c>
      <c r="D1019" s="79" t="s">
        <v>344</v>
      </c>
      <c r="E1019" s="284">
        <f>Table6[[#This Row],[Date]]-DAY(Table6[[#This Row],[Date]])+1</f>
        <v>45809</v>
      </c>
      <c r="F1019" s="285">
        <v>45832</v>
      </c>
      <c r="G1019" s="79" t="s">
        <v>103</v>
      </c>
      <c r="H1019" s="79" t="str">
        <f>IFERROR(_xlfn.XLOOKUP(Table6[[#This Row],[Affected Feeder ]],'Basic Data'!$A:$A,'Basic Data'!$B:$B),"")</f>
        <v>PWEPL</v>
      </c>
      <c r="I1019" s="79" t="str">
        <f>IFERROR(_xlfn.XLOOKUP(Table6[[#This Row],[Affected Feeder ]],'Basic Data'!$A:$A,'Basic Data'!$C:$C),"")</f>
        <v>MSEDCL</v>
      </c>
      <c r="J1019" s="295">
        <f>IFERROR(_xlfn.XLOOKUP(Table6[[#This Row],[Affected Feeder ]],'Basic Data'!$A:$A,'Basic Data'!$E:$E),"")</f>
        <v>2.2727272727272728E-2</v>
      </c>
      <c r="K1019" s="296" t="s">
        <v>171</v>
      </c>
      <c r="L1019" s="297">
        <v>0.44236111111111115</v>
      </c>
      <c r="M1019" s="297">
        <v>0.44236111111111115</v>
      </c>
      <c r="N1019" s="297">
        <v>0.45624999999999999</v>
      </c>
      <c r="O1019" s="298">
        <f>(Table6[[#This Row],[Work Start TimeStamp]]-Table6[[#This Row],[Fault Start TimeStamp]])*24</f>
        <v>0</v>
      </c>
      <c r="P1019" s="298">
        <f>(Table6[[#This Row],[Fault Clearance time]]-Table6[[#This Row],[Fault Start TimeStamp]])*24</f>
        <v>0.33333333333333215</v>
      </c>
      <c r="Q1019" s="298">
        <f>(Table6[[#This Row],[Fault Clearance time]]-Table6[[#This Row],[Fault Start TimeStamp]])*24</f>
        <v>0.33333333333333215</v>
      </c>
      <c r="R1019" s="79" t="s">
        <v>353</v>
      </c>
      <c r="S1019" s="79" t="s">
        <v>339</v>
      </c>
      <c r="T1019" s="298">
        <f>IFERROR(Table6[[#This Row],[Breakdown Time]]*Table6[[#This Row],[Plant Equivalent Weightage]],"")</f>
        <v>7.5757575757575491E-3</v>
      </c>
      <c r="U1019" s="79" t="s">
        <v>421</v>
      </c>
      <c r="W1019" s="79">
        <v>616</v>
      </c>
    </row>
    <row r="1020" spans="1:23">
      <c r="A1020" s="79">
        <f t="shared" si="15"/>
        <v>1019</v>
      </c>
      <c r="B1020" s="79">
        <f>YEAR(Table6[[#This Row],[Date]])+IF(MONTH(Table6[[#This Row],[Date]])&gt;=4,1,0)</f>
        <v>2026</v>
      </c>
      <c r="C1020" s="79">
        <f>YEAR(Table6[[#This Row],[Date]])</f>
        <v>2025</v>
      </c>
      <c r="D1020" s="79" t="s">
        <v>344</v>
      </c>
      <c r="E1020" s="284">
        <f>Table6[[#This Row],[Date]]-DAY(Table6[[#This Row],[Date]])+1</f>
        <v>45809</v>
      </c>
      <c r="F1020" s="285">
        <v>45832</v>
      </c>
      <c r="G1020" s="79" t="s">
        <v>105</v>
      </c>
      <c r="H1020" s="79" t="str">
        <f>IFERROR(_xlfn.XLOOKUP(Table6[[#This Row],[Affected Feeder ]],'Basic Data'!$A:$A,'Basic Data'!$B:$B),"")</f>
        <v>PWEPL</v>
      </c>
      <c r="I1020" s="79" t="str">
        <f>IFERROR(_xlfn.XLOOKUP(Table6[[#This Row],[Affected Feeder ]],'Basic Data'!$A:$A,'Basic Data'!$C:$C),"")</f>
        <v>MSEDCL</v>
      </c>
      <c r="J1020" s="295">
        <f>IFERROR(_xlfn.XLOOKUP(Table6[[#This Row],[Affected Feeder ]],'Basic Data'!$A:$A,'Basic Data'!$E:$E),"")</f>
        <v>2.2727272727272728E-2</v>
      </c>
      <c r="K1020" s="296" t="s">
        <v>171</v>
      </c>
      <c r="L1020" s="297">
        <v>0.44236111111111115</v>
      </c>
      <c r="M1020" s="297">
        <v>0.44236111111111115</v>
      </c>
      <c r="N1020" s="297">
        <v>0.45624999999999999</v>
      </c>
      <c r="O1020" s="298">
        <f>(Table6[[#This Row],[Work Start TimeStamp]]-Table6[[#This Row],[Fault Start TimeStamp]])*24</f>
        <v>0</v>
      </c>
      <c r="P1020" s="298">
        <f>(Table6[[#This Row],[Fault Clearance time]]-Table6[[#This Row],[Fault Start TimeStamp]])*24</f>
        <v>0.33333333333333215</v>
      </c>
      <c r="Q1020" s="298">
        <f>(Table6[[#This Row],[Fault Clearance time]]-Table6[[#This Row],[Fault Start TimeStamp]])*24</f>
        <v>0.33333333333333215</v>
      </c>
      <c r="R1020" s="79" t="s">
        <v>353</v>
      </c>
      <c r="S1020" s="79" t="s">
        <v>339</v>
      </c>
      <c r="T1020" s="298">
        <f>IFERROR(Table6[[#This Row],[Breakdown Time]]*Table6[[#This Row],[Plant Equivalent Weightage]],"")</f>
        <v>7.5757575757575491E-3</v>
      </c>
      <c r="U1020" s="79" t="s">
        <v>421</v>
      </c>
      <c r="W1020" s="79">
        <v>616</v>
      </c>
    </row>
    <row r="1021" spans="1:23">
      <c r="A1021" s="79">
        <f t="shared" si="15"/>
        <v>1020</v>
      </c>
      <c r="B1021" s="79">
        <f>YEAR(Table6[[#This Row],[Date]])+IF(MONTH(Table6[[#This Row],[Date]])&gt;=4,1,0)</f>
        <v>2026</v>
      </c>
      <c r="C1021" s="79">
        <f>YEAR(Table6[[#This Row],[Date]])</f>
        <v>2025</v>
      </c>
      <c r="D1021" s="79" t="s">
        <v>344</v>
      </c>
      <c r="E1021" s="284">
        <f>Table6[[#This Row],[Date]]-DAY(Table6[[#This Row],[Date]])+1</f>
        <v>45809</v>
      </c>
      <c r="F1021" s="285">
        <v>45832</v>
      </c>
      <c r="G1021" s="79" t="s">
        <v>115</v>
      </c>
      <c r="H1021" s="79" t="str">
        <f>IFERROR(_xlfn.XLOOKUP(Table6[[#This Row],[Affected Feeder ]],'Basic Data'!$A:$A,'Basic Data'!$B:$B),"")</f>
        <v>PWEPL</v>
      </c>
      <c r="I1021" s="79" t="str">
        <f>IFERROR(_xlfn.XLOOKUP(Table6[[#This Row],[Affected Feeder ]],'Basic Data'!$A:$A,'Basic Data'!$C:$C),"")</f>
        <v>MSEDCL</v>
      </c>
      <c r="J1021" s="295">
        <f>IFERROR(_xlfn.XLOOKUP(Table6[[#This Row],[Affected Feeder ]],'Basic Data'!$A:$A,'Basic Data'!$E:$E),"")</f>
        <v>2.2727272727272728E-2</v>
      </c>
      <c r="K1021" s="296" t="s">
        <v>171</v>
      </c>
      <c r="L1021" s="297">
        <v>0.44236111111111115</v>
      </c>
      <c r="M1021" s="297">
        <v>0.44236111111111115</v>
      </c>
      <c r="N1021" s="297">
        <v>0.45624999999999999</v>
      </c>
      <c r="O1021" s="298">
        <f>(Table6[[#This Row],[Work Start TimeStamp]]-Table6[[#This Row],[Fault Start TimeStamp]])*24</f>
        <v>0</v>
      </c>
      <c r="P1021" s="298">
        <f>(Table6[[#This Row],[Fault Clearance time]]-Table6[[#This Row],[Fault Start TimeStamp]])*24</f>
        <v>0.33333333333333215</v>
      </c>
      <c r="Q1021" s="298">
        <f>(Table6[[#This Row],[Fault Clearance time]]-Table6[[#This Row],[Fault Start TimeStamp]])*24</f>
        <v>0.33333333333333215</v>
      </c>
      <c r="R1021" s="79" t="s">
        <v>353</v>
      </c>
      <c r="S1021" s="79" t="s">
        <v>339</v>
      </c>
      <c r="T1021" s="298">
        <f>IFERROR(Table6[[#This Row],[Breakdown Time]]*Table6[[#This Row],[Plant Equivalent Weightage]],"")</f>
        <v>7.5757575757575491E-3</v>
      </c>
      <c r="U1021" s="79" t="s">
        <v>421</v>
      </c>
      <c r="W1021" s="79">
        <v>616</v>
      </c>
    </row>
    <row r="1022" spans="1:23">
      <c r="A1022" s="79">
        <f t="shared" si="15"/>
        <v>1021</v>
      </c>
      <c r="B1022" s="79">
        <f>YEAR(Table6[[#This Row],[Date]])+IF(MONTH(Table6[[#This Row],[Date]])&gt;=4,1,0)</f>
        <v>2026</v>
      </c>
      <c r="C1022" s="79">
        <f>YEAR(Table6[[#This Row],[Date]])</f>
        <v>2025</v>
      </c>
      <c r="D1022" s="79" t="s">
        <v>344</v>
      </c>
      <c r="E1022" s="284">
        <f>Table6[[#This Row],[Date]]-DAY(Table6[[#This Row],[Date]])+1</f>
        <v>45809</v>
      </c>
      <c r="F1022" s="285">
        <v>45832</v>
      </c>
      <c r="G1022" s="79" t="s">
        <v>116</v>
      </c>
      <c r="H1022" s="79" t="str">
        <f>IFERROR(_xlfn.XLOOKUP(Table6[[#This Row],[Affected Feeder ]],'Basic Data'!$A:$A,'Basic Data'!$B:$B),"")</f>
        <v>PWEPL</v>
      </c>
      <c r="I1022" s="79" t="str">
        <f>IFERROR(_xlfn.XLOOKUP(Table6[[#This Row],[Affected Feeder ]],'Basic Data'!$A:$A,'Basic Data'!$C:$C),"")</f>
        <v>MSEDCL</v>
      </c>
      <c r="J1022" s="295">
        <f>IFERROR(_xlfn.XLOOKUP(Table6[[#This Row],[Affected Feeder ]],'Basic Data'!$A:$A,'Basic Data'!$E:$E),"")</f>
        <v>2.2727272727272728E-2</v>
      </c>
      <c r="K1022" s="296" t="s">
        <v>171</v>
      </c>
      <c r="L1022" s="297">
        <v>0.44236111111111115</v>
      </c>
      <c r="M1022" s="297">
        <v>0.44236111111111115</v>
      </c>
      <c r="N1022" s="297">
        <v>0.45624999999999999</v>
      </c>
      <c r="O1022" s="298">
        <f>(Table6[[#This Row],[Work Start TimeStamp]]-Table6[[#This Row],[Fault Start TimeStamp]])*24</f>
        <v>0</v>
      </c>
      <c r="P1022" s="298">
        <f>(Table6[[#This Row],[Fault Clearance time]]-Table6[[#This Row],[Fault Start TimeStamp]])*24</f>
        <v>0.33333333333333215</v>
      </c>
      <c r="Q1022" s="298">
        <f>(Table6[[#This Row],[Fault Clearance time]]-Table6[[#This Row],[Fault Start TimeStamp]])*24</f>
        <v>0.33333333333333215</v>
      </c>
      <c r="R1022" s="79" t="s">
        <v>353</v>
      </c>
      <c r="S1022" s="79" t="s">
        <v>339</v>
      </c>
      <c r="T1022" s="298">
        <f>IFERROR(Table6[[#This Row],[Breakdown Time]]*Table6[[#This Row],[Plant Equivalent Weightage]],"")</f>
        <v>7.5757575757575491E-3</v>
      </c>
      <c r="U1022" s="79" t="s">
        <v>421</v>
      </c>
      <c r="W1022" s="79">
        <v>616</v>
      </c>
    </row>
    <row r="1023" spans="1:23">
      <c r="A1023" s="79">
        <f t="shared" si="15"/>
        <v>1022</v>
      </c>
      <c r="B1023" s="79">
        <f>YEAR(Table6[[#This Row],[Date]])+IF(MONTH(Table6[[#This Row],[Date]])&gt;=4,1,0)</f>
        <v>2026</v>
      </c>
      <c r="C1023" s="79">
        <f>YEAR(Table6[[#This Row],[Date]])</f>
        <v>2025</v>
      </c>
      <c r="D1023" s="79" t="s">
        <v>344</v>
      </c>
      <c r="E1023" s="284">
        <f>Table6[[#This Row],[Date]]-DAY(Table6[[#This Row],[Date]])+1</f>
        <v>45809</v>
      </c>
      <c r="F1023" s="285">
        <v>45832</v>
      </c>
      <c r="G1023" s="79" t="s">
        <v>117</v>
      </c>
      <c r="H1023" s="79" t="str">
        <f>IFERROR(_xlfn.XLOOKUP(Table6[[#This Row],[Affected Feeder ]],'Basic Data'!$A:$A,'Basic Data'!$B:$B),"")</f>
        <v>PWEPL</v>
      </c>
      <c r="I1023" s="79" t="str">
        <f>IFERROR(_xlfn.XLOOKUP(Table6[[#This Row],[Affected Feeder ]],'Basic Data'!$A:$A,'Basic Data'!$C:$C),"")</f>
        <v>MSEDCL</v>
      </c>
      <c r="J1023" s="295">
        <f>IFERROR(_xlfn.XLOOKUP(Table6[[#This Row],[Affected Feeder ]],'Basic Data'!$A:$A,'Basic Data'!$E:$E),"")</f>
        <v>2.2727272727272728E-2</v>
      </c>
      <c r="K1023" s="296" t="s">
        <v>171</v>
      </c>
      <c r="L1023" s="297">
        <v>0.44236111111111115</v>
      </c>
      <c r="M1023" s="297">
        <v>0.44236111111111115</v>
      </c>
      <c r="N1023" s="297">
        <v>0.45624999999999999</v>
      </c>
      <c r="O1023" s="298">
        <f>(Table6[[#This Row],[Work Start TimeStamp]]-Table6[[#This Row],[Fault Start TimeStamp]])*24</f>
        <v>0</v>
      </c>
      <c r="P1023" s="298">
        <f>(Table6[[#This Row],[Fault Clearance time]]-Table6[[#This Row],[Fault Start TimeStamp]])*24</f>
        <v>0.33333333333333215</v>
      </c>
      <c r="Q1023" s="298">
        <f>(Table6[[#This Row],[Fault Clearance time]]-Table6[[#This Row],[Fault Start TimeStamp]])*24</f>
        <v>0.33333333333333215</v>
      </c>
      <c r="R1023" s="79" t="s">
        <v>353</v>
      </c>
      <c r="S1023" s="79" t="s">
        <v>339</v>
      </c>
      <c r="T1023" s="298">
        <f>IFERROR(Table6[[#This Row],[Breakdown Time]]*Table6[[#This Row],[Plant Equivalent Weightage]],"")</f>
        <v>7.5757575757575491E-3</v>
      </c>
      <c r="U1023" s="79" t="s">
        <v>421</v>
      </c>
      <c r="W1023" s="79">
        <v>616</v>
      </c>
    </row>
    <row r="1024" spans="1:23">
      <c r="A1024" s="79">
        <f t="shared" si="15"/>
        <v>1023</v>
      </c>
      <c r="B1024" s="79">
        <f>YEAR(Table6[[#This Row],[Date]])+IF(MONTH(Table6[[#This Row],[Date]])&gt;=4,1,0)</f>
        <v>2026</v>
      </c>
      <c r="C1024" s="79">
        <f>YEAR(Table6[[#This Row],[Date]])</f>
        <v>2025</v>
      </c>
      <c r="D1024" s="79" t="s">
        <v>344</v>
      </c>
      <c r="E1024" s="284">
        <f>Table6[[#This Row],[Date]]-DAY(Table6[[#This Row],[Date]])+1</f>
        <v>45809</v>
      </c>
      <c r="F1024" s="285">
        <v>45832</v>
      </c>
      <c r="G1024" s="79" t="s">
        <v>118</v>
      </c>
      <c r="H1024" s="79" t="str">
        <f>IFERROR(_xlfn.XLOOKUP(Table6[[#This Row],[Affected Feeder ]],'Basic Data'!$A:$A,'Basic Data'!$B:$B),"")</f>
        <v>PWEPL</v>
      </c>
      <c r="I1024" s="79" t="str">
        <f>IFERROR(_xlfn.XLOOKUP(Table6[[#This Row],[Affected Feeder ]],'Basic Data'!$A:$A,'Basic Data'!$C:$C),"")</f>
        <v>MSEDCL</v>
      </c>
      <c r="J1024" s="295">
        <f>IFERROR(_xlfn.XLOOKUP(Table6[[#This Row],[Affected Feeder ]],'Basic Data'!$A:$A,'Basic Data'!$E:$E),"")</f>
        <v>2.2727272727272728E-2</v>
      </c>
      <c r="K1024" s="296" t="s">
        <v>171</v>
      </c>
      <c r="L1024" s="297">
        <v>0.44236111111111115</v>
      </c>
      <c r="M1024" s="297">
        <v>0.44236111111111115</v>
      </c>
      <c r="N1024" s="297">
        <v>0.45624999999999999</v>
      </c>
      <c r="O1024" s="298">
        <f>(Table6[[#This Row],[Work Start TimeStamp]]-Table6[[#This Row],[Fault Start TimeStamp]])*24</f>
        <v>0</v>
      </c>
      <c r="P1024" s="298">
        <f>(Table6[[#This Row],[Fault Clearance time]]-Table6[[#This Row],[Fault Start TimeStamp]])*24</f>
        <v>0.33333333333333215</v>
      </c>
      <c r="Q1024" s="298">
        <f>(Table6[[#This Row],[Fault Clearance time]]-Table6[[#This Row],[Fault Start TimeStamp]])*24</f>
        <v>0.33333333333333215</v>
      </c>
      <c r="R1024" s="79" t="s">
        <v>353</v>
      </c>
      <c r="S1024" s="79" t="s">
        <v>339</v>
      </c>
      <c r="T1024" s="298">
        <f>IFERROR(Table6[[#This Row],[Breakdown Time]]*Table6[[#This Row],[Plant Equivalent Weightage]],"")</f>
        <v>7.5757575757575491E-3</v>
      </c>
      <c r="U1024" s="79" t="s">
        <v>421</v>
      </c>
      <c r="W1024" s="79">
        <v>616</v>
      </c>
    </row>
    <row r="1025" spans="1:23">
      <c r="A1025" s="79">
        <f t="shared" si="15"/>
        <v>1024</v>
      </c>
      <c r="B1025" s="79">
        <f>YEAR(Table6[[#This Row],[Date]])+IF(MONTH(Table6[[#This Row],[Date]])&gt;=4,1,0)</f>
        <v>2026</v>
      </c>
      <c r="C1025" s="79">
        <f>YEAR(Table6[[#This Row],[Date]])</f>
        <v>2025</v>
      </c>
      <c r="D1025" s="79" t="s">
        <v>344</v>
      </c>
      <c r="E1025" s="284">
        <f>Table6[[#This Row],[Date]]-DAY(Table6[[#This Row],[Date]])+1</f>
        <v>45809</v>
      </c>
      <c r="F1025" s="285">
        <v>45832</v>
      </c>
      <c r="G1025" s="79" t="s">
        <v>82</v>
      </c>
      <c r="H1025" s="79" t="str">
        <f>IFERROR(_xlfn.XLOOKUP(Table6[[#This Row],[Affected Feeder ]],'Basic Data'!$A:$A,'Basic Data'!$B:$B),"")</f>
        <v>PWEPL</v>
      </c>
      <c r="I1025" s="79" t="str">
        <f>IFERROR(_xlfn.XLOOKUP(Table6[[#This Row],[Affected Feeder ]],'Basic Data'!$A:$A,'Basic Data'!$C:$C),"")</f>
        <v>MSEDCL</v>
      </c>
      <c r="J1025" s="295">
        <f>IFERROR(_xlfn.XLOOKUP(Table6[[#This Row],[Affected Feeder ]],'Basic Data'!$A:$A,'Basic Data'!$E:$E),"")</f>
        <v>2.2727272727272728E-2</v>
      </c>
      <c r="K1025" s="296" t="s">
        <v>934</v>
      </c>
      <c r="L1025" s="297">
        <v>0.44236111111111115</v>
      </c>
      <c r="M1025" s="297">
        <v>0.44236111111111115</v>
      </c>
      <c r="N1025" s="297">
        <v>0.46319444444444446</v>
      </c>
      <c r="O1025" s="298">
        <f>(Table6[[#This Row],[Work Start TimeStamp]]-Table6[[#This Row],[Fault Start TimeStamp]])*24</f>
        <v>0</v>
      </c>
      <c r="P1025" s="298">
        <f>(Table6[[#This Row],[Fault Clearance time]]-Table6[[#This Row],[Fault Start TimeStamp]])*24</f>
        <v>0.49999999999999956</v>
      </c>
      <c r="Q1025" s="298">
        <f>(Table6[[#This Row],[Fault Clearance time]]-Table6[[#This Row],[Fault Start TimeStamp]])*24</f>
        <v>0.49999999999999956</v>
      </c>
      <c r="R1025" s="79" t="s">
        <v>935</v>
      </c>
      <c r="S1025" s="79" t="s">
        <v>339</v>
      </c>
      <c r="T1025" s="298">
        <f>IFERROR(Table6[[#This Row],[Breakdown Time]]*Table6[[#This Row],[Plant Equivalent Weightage]],"")</f>
        <v>1.1363636363636354E-2</v>
      </c>
      <c r="U1025" s="79" t="s">
        <v>421</v>
      </c>
      <c r="W1025" s="79">
        <v>215</v>
      </c>
    </row>
    <row r="1026" spans="1:23">
      <c r="A1026" s="79">
        <f t="shared" si="15"/>
        <v>1025</v>
      </c>
      <c r="B1026" s="79">
        <f>YEAR(Table6[[#This Row],[Date]])+IF(MONTH(Table6[[#This Row],[Date]])&gt;=4,1,0)</f>
        <v>2026</v>
      </c>
      <c r="C1026" s="79">
        <f>YEAR(Table6[[#This Row],[Date]])</f>
        <v>2025</v>
      </c>
      <c r="D1026" s="79" t="s">
        <v>344</v>
      </c>
      <c r="E1026" s="284">
        <f>Table6[[#This Row],[Date]]-DAY(Table6[[#This Row],[Date]])+1</f>
        <v>45809</v>
      </c>
      <c r="F1026" s="285">
        <v>45832</v>
      </c>
      <c r="G1026" s="79" t="s">
        <v>82</v>
      </c>
      <c r="H1026" s="79" t="str">
        <f>IFERROR(_xlfn.XLOOKUP(Table6[[#This Row],[Affected Feeder ]],'Basic Data'!$A:$A,'Basic Data'!$B:$B),"")</f>
        <v>PWEPL</v>
      </c>
      <c r="I1026" s="79" t="str">
        <f>IFERROR(_xlfn.XLOOKUP(Table6[[#This Row],[Affected Feeder ]],'Basic Data'!$A:$A,'Basic Data'!$C:$C),"")</f>
        <v>MSEDCL</v>
      </c>
      <c r="J1026" s="295">
        <f>IFERROR(_xlfn.XLOOKUP(Table6[[#This Row],[Affected Feeder ]],'Basic Data'!$A:$A,'Basic Data'!$E:$E),"")</f>
        <v>2.2727272727272728E-2</v>
      </c>
      <c r="K1026" s="296" t="s">
        <v>171</v>
      </c>
      <c r="L1026" s="297">
        <v>0.46319444444444446</v>
      </c>
      <c r="M1026" s="297">
        <v>0.46319444444444446</v>
      </c>
      <c r="N1026" s="297">
        <v>0.47569444444444442</v>
      </c>
      <c r="O1026" s="298">
        <f>(Table6[[#This Row],[Work Start TimeStamp]]-Table6[[#This Row],[Fault Start TimeStamp]])*24</f>
        <v>0</v>
      </c>
      <c r="P1026" s="298">
        <f>(Table6[[#This Row],[Fault Clearance time]]-Table6[[#This Row],[Fault Start TimeStamp]])*24</f>
        <v>0.29999999999999893</v>
      </c>
      <c r="Q1026" s="298">
        <f>(Table6[[#This Row],[Fault Clearance time]]-Table6[[#This Row],[Fault Start TimeStamp]])*24</f>
        <v>0.29999999999999893</v>
      </c>
      <c r="R1026" s="79" t="s">
        <v>353</v>
      </c>
      <c r="S1026" s="79" t="s">
        <v>339</v>
      </c>
      <c r="T1026" s="298">
        <f>IFERROR(Table6[[#This Row],[Breakdown Time]]*Table6[[#This Row],[Plant Equivalent Weightage]],"")</f>
        <v>6.8181818181817944E-3</v>
      </c>
      <c r="U1026" s="79" t="s">
        <v>421</v>
      </c>
      <c r="W1026" s="79">
        <v>321</v>
      </c>
    </row>
    <row r="1027" spans="1:23">
      <c r="A1027" s="79">
        <f t="shared" si="15"/>
        <v>1026</v>
      </c>
      <c r="B1027" s="79">
        <f>YEAR(Table6[[#This Row],[Date]])+IF(MONTH(Table6[[#This Row],[Date]])&gt;=4,1,0)</f>
        <v>2026</v>
      </c>
      <c r="C1027" s="79">
        <f>YEAR(Table6[[#This Row],[Date]])</f>
        <v>2025</v>
      </c>
      <c r="D1027" s="79" t="s">
        <v>344</v>
      </c>
      <c r="E1027" s="284">
        <f>Table6[[#This Row],[Date]]-DAY(Table6[[#This Row],[Date]])+1</f>
        <v>45809</v>
      </c>
      <c r="F1027" s="285">
        <v>45832</v>
      </c>
      <c r="G1027" s="79" t="s">
        <v>118</v>
      </c>
      <c r="H1027" s="79" t="str">
        <f>IFERROR(_xlfn.XLOOKUP(Table6[[#This Row],[Affected Feeder ]],'Basic Data'!$A:$A,'Basic Data'!$B:$B),"")</f>
        <v>PWEPL</v>
      </c>
      <c r="I1027" s="79" t="str">
        <f>IFERROR(_xlfn.XLOOKUP(Table6[[#This Row],[Affected Feeder ]],'Basic Data'!$A:$A,'Basic Data'!$C:$C),"")</f>
        <v>MSEDCL</v>
      </c>
      <c r="J1027" s="295">
        <f>IFERROR(_xlfn.XLOOKUP(Table6[[#This Row],[Affected Feeder ]],'Basic Data'!$A:$A,'Basic Data'!$E:$E),"")</f>
        <v>2.2727272727272728E-2</v>
      </c>
      <c r="K1027" s="296" t="s">
        <v>796</v>
      </c>
      <c r="L1027" s="297">
        <v>0.45624999999999999</v>
      </c>
      <c r="M1027" s="297">
        <v>0.45624999999999999</v>
      </c>
      <c r="N1027" s="297">
        <v>0.47152777777777777</v>
      </c>
      <c r="O1027" s="298">
        <f>(Table6[[#This Row],[Work Start TimeStamp]]-Table6[[#This Row],[Fault Start TimeStamp]])*24</f>
        <v>0</v>
      </c>
      <c r="P1027" s="298">
        <f>(Table6[[#This Row],[Fault Clearance time]]-Table6[[#This Row],[Fault Start TimeStamp]])*24</f>
        <v>0.3666666666666667</v>
      </c>
      <c r="Q1027" s="298">
        <f>(Table6[[#This Row],[Fault Clearance time]]-Table6[[#This Row],[Fault Start TimeStamp]])*24</f>
        <v>0.3666666666666667</v>
      </c>
      <c r="R1027" s="79" t="s">
        <v>424</v>
      </c>
      <c r="S1027" s="79" t="s">
        <v>339</v>
      </c>
      <c r="T1027" s="298">
        <f>IFERROR(Table6[[#This Row],[Breakdown Time]]*Table6[[#This Row],[Plant Equivalent Weightage]],"")</f>
        <v>8.333333333333335E-3</v>
      </c>
      <c r="U1027" s="79" t="s">
        <v>421</v>
      </c>
      <c r="W1027" s="79">
        <v>333</v>
      </c>
    </row>
    <row r="1028" spans="1:23">
      <c r="A1028" s="79">
        <f t="shared" ref="A1028:A1091" si="16">A1027+1</f>
        <v>1027</v>
      </c>
      <c r="B1028" s="79">
        <f>YEAR(Table6[[#This Row],[Date]])+IF(MONTH(Table6[[#This Row],[Date]])&gt;=4,1,0)</f>
        <v>2026</v>
      </c>
      <c r="C1028" s="79">
        <f>YEAR(Table6[[#This Row],[Date]])</f>
        <v>2025</v>
      </c>
      <c r="D1028" s="79" t="s">
        <v>344</v>
      </c>
      <c r="E1028" s="284">
        <f>Table6[[#This Row],[Date]]-DAY(Table6[[#This Row],[Date]])+1</f>
        <v>45809</v>
      </c>
      <c r="F1028" s="285">
        <v>45832</v>
      </c>
      <c r="G1028" s="79" t="s">
        <v>118</v>
      </c>
      <c r="H1028" s="79" t="str">
        <f>IFERROR(_xlfn.XLOOKUP(Table6[[#This Row],[Affected Feeder ]],'Basic Data'!$A:$A,'Basic Data'!$B:$B),"")</f>
        <v>PWEPL</v>
      </c>
      <c r="I1028" s="79" t="str">
        <f>IFERROR(_xlfn.XLOOKUP(Table6[[#This Row],[Affected Feeder ]],'Basic Data'!$A:$A,'Basic Data'!$C:$C),"")</f>
        <v>MSEDCL</v>
      </c>
      <c r="J1028" s="295">
        <f>IFERROR(_xlfn.XLOOKUP(Table6[[#This Row],[Affected Feeder ]],'Basic Data'!$A:$A,'Basic Data'!$E:$E),"")</f>
        <v>2.2727272727272728E-2</v>
      </c>
      <c r="K1028" s="296" t="s">
        <v>171</v>
      </c>
      <c r="L1028" s="297">
        <v>0.47152777777777777</v>
      </c>
      <c r="M1028" s="297">
        <v>0.47152777777777777</v>
      </c>
      <c r="N1028" s="297">
        <v>0.4777777777777778</v>
      </c>
      <c r="O1028" s="298">
        <f>(Table6[[#This Row],[Work Start TimeStamp]]-Table6[[#This Row],[Fault Start TimeStamp]])*24</f>
        <v>0</v>
      </c>
      <c r="P1028" s="298">
        <f>(Table6[[#This Row],[Fault Clearance time]]-Table6[[#This Row],[Fault Start TimeStamp]])*24</f>
        <v>0.1500000000000008</v>
      </c>
      <c r="Q1028" s="298">
        <f>(Table6[[#This Row],[Fault Clearance time]]-Table6[[#This Row],[Fault Start TimeStamp]])*24</f>
        <v>0.1500000000000008</v>
      </c>
      <c r="R1028" s="79" t="s">
        <v>353</v>
      </c>
      <c r="S1028" s="79" t="s">
        <v>339</v>
      </c>
      <c r="T1028" s="298">
        <f>IFERROR(Table6[[#This Row],[Breakdown Time]]*Table6[[#This Row],[Plant Equivalent Weightage]],"")</f>
        <v>3.4090909090909271E-3</v>
      </c>
      <c r="U1028" s="79" t="s">
        <v>421</v>
      </c>
      <c r="W1028" s="79">
        <v>230</v>
      </c>
    </row>
    <row r="1029" spans="1:23">
      <c r="A1029" s="79">
        <f t="shared" si="16"/>
        <v>1028</v>
      </c>
      <c r="B1029" s="79">
        <f>YEAR(Table6[[#This Row],[Date]])+IF(MONTH(Table6[[#This Row],[Date]])&gt;=4,1,0)</f>
        <v>2026</v>
      </c>
      <c r="C1029" s="79">
        <f>YEAR(Table6[[#This Row],[Date]])</f>
        <v>2025</v>
      </c>
      <c r="D1029" s="79" t="s">
        <v>344</v>
      </c>
      <c r="E1029" s="284">
        <f>Table6[[#This Row],[Date]]-DAY(Table6[[#This Row],[Date]])+1</f>
        <v>45809</v>
      </c>
      <c r="F1029" s="285">
        <v>45834</v>
      </c>
      <c r="G1029" s="79" t="s">
        <v>406</v>
      </c>
      <c r="H1029" s="79" t="str">
        <f>IFERROR(_xlfn.XLOOKUP(Table6[[#This Row],[Affected Feeder ]],'Basic Data'!$A:$A,'Basic Data'!$B:$B),"")</f>
        <v>PWEPL</v>
      </c>
      <c r="I1029" s="79" t="str">
        <f>IFERROR(_xlfn.XLOOKUP(Table6[[#This Row],[Affected Feeder ]],'Basic Data'!$A:$A,'Basic Data'!$C:$C),"")</f>
        <v>MSEDCL</v>
      </c>
      <c r="J1029" s="295">
        <f>IFERROR(_xlfn.XLOOKUP(Table6[[#This Row],[Affected Feeder ]],'Basic Data'!$A:$A,'Basic Data'!$E:$E),"")</f>
        <v>0.29545454545454541</v>
      </c>
      <c r="K1029" s="296" t="s">
        <v>447</v>
      </c>
      <c r="L1029" s="297">
        <v>0.49652777777777779</v>
      </c>
      <c r="M1029" s="297">
        <v>0.49652777777777779</v>
      </c>
      <c r="N1029" s="297">
        <v>0.50277777777777777</v>
      </c>
      <c r="O1029" s="298">
        <f>(Table6[[#This Row],[Work Start TimeStamp]]-Table6[[#This Row],[Fault Start TimeStamp]])*24</f>
        <v>0</v>
      </c>
      <c r="P1029" s="298">
        <f>(Table6[[#This Row],[Fault Clearance time]]-Table6[[#This Row],[Fault Start TimeStamp]])*24</f>
        <v>0.14999999999999947</v>
      </c>
      <c r="Q1029" s="298">
        <f>(Table6[[#This Row],[Fault Clearance time]]-Table6[[#This Row],[Fault Start TimeStamp]])*24</f>
        <v>0.14999999999999947</v>
      </c>
      <c r="R1029" s="79" t="s">
        <v>420</v>
      </c>
      <c r="S1029" s="79" t="s">
        <v>339</v>
      </c>
      <c r="T1029" s="298">
        <f>IFERROR(Table6[[#This Row],[Breakdown Time]]*Table6[[#This Row],[Plant Equivalent Weightage]],"")</f>
        <v>4.4318181818181653E-2</v>
      </c>
      <c r="U1029" s="79" t="s">
        <v>421</v>
      </c>
      <c r="W1029" s="79">
        <v>3923</v>
      </c>
    </row>
    <row r="1030" spans="1:23">
      <c r="A1030" s="79">
        <f t="shared" si="16"/>
        <v>1029</v>
      </c>
      <c r="B1030" s="79">
        <f>YEAR(Table6[[#This Row],[Date]])+IF(MONTH(Table6[[#This Row],[Date]])&gt;=4,1,0)</f>
        <v>2026</v>
      </c>
      <c r="C1030" s="79">
        <f>YEAR(Table6[[#This Row],[Date]])</f>
        <v>2025</v>
      </c>
      <c r="D1030" s="79" t="s">
        <v>344</v>
      </c>
      <c r="E1030" s="284">
        <f>Table6[[#This Row],[Date]]-DAY(Table6[[#This Row],[Date]])+1</f>
        <v>45809</v>
      </c>
      <c r="F1030" s="285">
        <v>45834</v>
      </c>
      <c r="G1030" s="79" t="s">
        <v>76</v>
      </c>
      <c r="H1030" s="79" t="str">
        <f>IFERROR(_xlfn.XLOOKUP(Table6[[#This Row],[Affected Feeder ]],'Basic Data'!$A:$A,'Basic Data'!$B:$B),"")</f>
        <v>PWEPL</v>
      </c>
      <c r="I1030" s="79" t="str">
        <f>IFERROR(_xlfn.XLOOKUP(Table6[[#This Row],[Affected Feeder ]],'Basic Data'!$A:$A,'Basic Data'!$C:$C),"")</f>
        <v>MSEDCL</v>
      </c>
      <c r="J1030" s="295">
        <f>IFERROR(_xlfn.XLOOKUP(Table6[[#This Row],[Affected Feeder ]],'Basic Data'!$A:$A,'Basic Data'!$E:$E),"")</f>
        <v>2.2727272727272728E-2</v>
      </c>
      <c r="K1030" s="296" t="s">
        <v>171</v>
      </c>
      <c r="L1030" s="297">
        <v>0.50277777777777777</v>
      </c>
      <c r="M1030" s="297">
        <v>0.50277777777777777</v>
      </c>
      <c r="N1030" s="297">
        <v>0.50555555555555554</v>
      </c>
      <c r="O1030" s="298">
        <f>(Table6[[#This Row],[Work Start TimeStamp]]-Table6[[#This Row],[Fault Start TimeStamp]])*24</f>
        <v>0</v>
      </c>
      <c r="P1030" s="298">
        <f>(Table6[[#This Row],[Fault Clearance time]]-Table6[[#This Row],[Fault Start TimeStamp]])*24</f>
        <v>6.666666666666643E-2</v>
      </c>
      <c r="Q1030" s="298">
        <f>(Table6[[#This Row],[Fault Clearance time]]-Table6[[#This Row],[Fault Start TimeStamp]])*24</f>
        <v>6.666666666666643E-2</v>
      </c>
      <c r="R1030" s="79" t="s">
        <v>353</v>
      </c>
      <c r="S1030" s="79" t="s">
        <v>339</v>
      </c>
      <c r="T1030" s="298">
        <f>IFERROR(Table6[[#This Row],[Breakdown Time]]*Table6[[#This Row],[Plant Equivalent Weightage]],"")</f>
        <v>1.5151515151515097E-3</v>
      </c>
      <c r="U1030" s="79" t="s">
        <v>421</v>
      </c>
      <c r="W1030" s="79">
        <v>134</v>
      </c>
    </row>
    <row r="1031" spans="1:23">
      <c r="A1031" s="79">
        <f t="shared" si="16"/>
        <v>1030</v>
      </c>
      <c r="B1031" s="79">
        <f>YEAR(Table6[[#This Row],[Date]])+IF(MONTH(Table6[[#This Row],[Date]])&gt;=4,1,0)</f>
        <v>2026</v>
      </c>
      <c r="C1031" s="79">
        <f>YEAR(Table6[[#This Row],[Date]])</f>
        <v>2025</v>
      </c>
      <c r="D1031" s="79" t="s">
        <v>344</v>
      </c>
      <c r="E1031" s="284">
        <f>Table6[[#This Row],[Date]]-DAY(Table6[[#This Row],[Date]])+1</f>
        <v>45809</v>
      </c>
      <c r="F1031" s="285">
        <v>45834</v>
      </c>
      <c r="G1031" s="79" t="s">
        <v>77</v>
      </c>
      <c r="H1031" s="79" t="str">
        <f>IFERROR(_xlfn.XLOOKUP(Table6[[#This Row],[Affected Feeder ]],'Basic Data'!$A:$A,'Basic Data'!$B:$B),"")</f>
        <v>PWEPL</v>
      </c>
      <c r="I1031" s="79" t="str">
        <f>IFERROR(_xlfn.XLOOKUP(Table6[[#This Row],[Affected Feeder ]],'Basic Data'!$A:$A,'Basic Data'!$C:$C),"")</f>
        <v>MSEDCL</v>
      </c>
      <c r="J1031" s="295">
        <f>IFERROR(_xlfn.XLOOKUP(Table6[[#This Row],[Affected Feeder ]],'Basic Data'!$A:$A,'Basic Data'!$E:$E),"")</f>
        <v>2.2727272727272728E-2</v>
      </c>
      <c r="K1031" s="296" t="s">
        <v>171</v>
      </c>
      <c r="L1031" s="297">
        <v>0.50277777777777777</v>
      </c>
      <c r="M1031" s="297">
        <v>0.50277777777777777</v>
      </c>
      <c r="N1031" s="297">
        <v>0.51180555555555551</v>
      </c>
      <c r="O1031" s="298">
        <f>(Table6[[#This Row],[Work Start TimeStamp]]-Table6[[#This Row],[Fault Start TimeStamp]])*24</f>
        <v>0</v>
      </c>
      <c r="P1031" s="298">
        <f>(Table6[[#This Row],[Fault Clearance time]]-Table6[[#This Row],[Fault Start TimeStamp]])*24</f>
        <v>0.2166666666666659</v>
      </c>
      <c r="Q1031" s="298">
        <f>(Table6[[#This Row],[Fault Clearance time]]-Table6[[#This Row],[Fault Start TimeStamp]])*24</f>
        <v>0.2166666666666659</v>
      </c>
      <c r="R1031" s="79" t="s">
        <v>353</v>
      </c>
      <c r="S1031" s="79" t="s">
        <v>339</v>
      </c>
      <c r="T1031" s="298">
        <f>IFERROR(Table6[[#This Row],[Breakdown Time]]*Table6[[#This Row],[Plant Equivalent Weightage]],"")</f>
        <v>4.9242424242424065E-3</v>
      </c>
      <c r="U1031" s="79" t="s">
        <v>421</v>
      </c>
      <c r="W1031" s="79">
        <v>435</v>
      </c>
    </row>
    <row r="1032" spans="1:23">
      <c r="A1032" s="79">
        <f t="shared" si="16"/>
        <v>1031</v>
      </c>
      <c r="B1032" s="79">
        <f>YEAR(Table6[[#This Row],[Date]])+IF(MONTH(Table6[[#This Row],[Date]])&gt;=4,1,0)</f>
        <v>2026</v>
      </c>
      <c r="C1032" s="79">
        <f>YEAR(Table6[[#This Row],[Date]])</f>
        <v>2025</v>
      </c>
      <c r="D1032" s="79" t="s">
        <v>344</v>
      </c>
      <c r="E1032" s="284">
        <f>Table6[[#This Row],[Date]]-DAY(Table6[[#This Row],[Date]])+1</f>
        <v>45809</v>
      </c>
      <c r="F1032" s="285">
        <v>45834</v>
      </c>
      <c r="G1032" s="79" t="s">
        <v>78</v>
      </c>
      <c r="H1032" s="79" t="str">
        <f>IFERROR(_xlfn.XLOOKUP(Table6[[#This Row],[Affected Feeder ]],'Basic Data'!$A:$A,'Basic Data'!$B:$B),"")</f>
        <v>PWEPL</v>
      </c>
      <c r="I1032" s="79" t="str">
        <f>IFERROR(_xlfn.XLOOKUP(Table6[[#This Row],[Affected Feeder ]],'Basic Data'!$A:$A,'Basic Data'!$C:$C),"")</f>
        <v>MSEDCL</v>
      </c>
      <c r="J1032" s="295">
        <f>IFERROR(_xlfn.XLOOKUP(Table6[[#This Row],[Affected Feeder ]],'Basic Data'!$A:$A,'Basic Data'!$E:$E),"")</f>
        <v>2.2727272727272728E-2</v>
      </c>
      <c r="K1032" s="296" t="s">
        <v>171</v>
      </c>
      <c r="L1032" s="297">
        <v>0.50277777777777777</v>
      </c>
      <c r="M1032" s="297">
        <v>0.50277777777777777</v>
      </c>
      <c r="N1032" s="297">
        <v>0.51458333333333328</v>
      </c>
      <c r="O1032" s="298">
        <f>(Table6[[#This Row],[Work Start TimeStamp]]-Table6[[#This Row],[Fault Start TimeStamp]])*24</f>
        <v>0</v>
      </c>
      <c r="P1032" s="298">
        <f>(Table6[[#This Row],[Fault Clearance time]]-Table6[[#This Row],[Fault Start TimeStamp]])*24</f>
        <v>0.28333333333333233</v>
      </c>
      <c r="Q1032" s="298">
        <f>(Table6[[#This Row],[Fault Clearance time]]-Table6[[#This Row],[Fault Start TimeStamp]])*24</f>
        <v>0.28333333333333233</v>
      </c>
      <c r="R1032" s="79" t="s">
        <v>353</v>
      </c>
      <c r="S1032" s="79" t="s">
        <v>339</v>
      </c>
      <c r="T1032" s="298">
        <f>IFERROR(Table6[[#This Row],[Breakdown Time]]*Table6[[#This Row],[Plant Equivalent Weightage]],"")</f>
        <v>6.4393939393939167E-3</v>
      </c>
      <c r="U1032" s="79" t="s">
        <v>421</v>
      </c>
      <c r="W1032" s="79">
        <v>570</v>
      </c>
    </row>
    <row r="1033" spans="1:23">
      <c r="A1033" s="79">
        <f t="shared" si="16"/>
        <v>1032</v>
      </c>
      <c r="B1033" s="79">
        <f>YEAR(Table6[[#This Row],[Date]])+IF(MONTH(Table6[[#This Row],[Date]])&gt;=4,1,0)</f>
        <v>2026</v>
      </c>
      <c r="C1033" s="79">
        <f>YEAR(Table6[[#This Row],[Date]])</f>
        <v>2025</v>
      </c>
      <c r="D1033" s="79" t="s">
        <v>344</v>
      </c>
      <c r="E1033" s="284">
        <f>Table6[[#This Row],[Date]]-DAY(Table6[[#This Row],[Date]])+1</f>
        <v>45809</v>
      </c>
      <c r="F1033" s="285">
        <v>45834</v>
      </c>
      <c r="G1033" s="79" t="s">
        <v>82</v>
      </c>
      <c r="H1033" s="79" t="str">
        <f>IFERROR(_xlfn.XLOOKUP(Table6[[#This Row],[Affected Feeder ]],'Basic Data'!$A:$A,'Basic Data'!$B:$B),"")</f>
        <v>PWEPL</v>
      </c>
      <c r="I1033" s="79" t="str">
        <f>IFERROR(_xlfn.XLOOKUP(Table6[[#This Row],[Affected Feeder ]],'Basic Data'!$A:$A,'Basic Data'!$C:$C),"")</f>
        <v>MSEDCL</v>
      </c>
      <c r="J1033" s="295">
        <f>IFERROR(_xlfn.XLOOKUP(Table6[[#This Row],[Affected Feeder ]],'Basic Data'!$A:$A,'Basic Data'!$E:$E),"")</f>
        <v>2.2727272727272728E-2</v>
      </c>
      <c r="K1033" s="296" t="s">
        <v>171</v>
      </c>
      <c r="L1033" s="297">
        <v>0.50277777777777777</v>
      </c>
      <c r="M1033" s="297">
        <v>0.50277777777777777</v>
      </c>
      <c r="N1033" s="297">
        <v>0.51458333333333328</v>
      </c>
      <c r="O1033" s="298">
        <f>(Table6[[#This Row],[Work Start TimeStamp]]-Table6[[#This Row],[Fault Start TimeStamp]])*24</f>
        <v>0</v>
      </c>
      <c r="P1033" s="298">
        <f>(Table6[[#This Row],[Fault Clearance time]]-Table6[[#This Row],[Fault Start TimeStamp]])*24</f>
        <v>0.28333333333333233</v>
      </c>
      <c r="Q1033" s="298">
        <f>(Table6[[#This Row],[Fault Clearance time]]-Table6[[#This Row],[Fault Start TimeStamp]])*24</f>
        <v>0.28333333333333233</v>
      </c>
      <c r="R1033" s="79" t="s">
        <v>353</v>
      </c>
      <c r="S1033" s="79" t="s">
        <v>339</v>
      </c>
      <c r="T1033" s="298">
        <f>IFERROR(Table6[[#This Row],[Breakdown Time]]*Table6[[#This Row],[Plant Equivalent Weightage]],"")</f>
        <v>6.4393939393939167E-3</v>
      </c>
      <c r="U1033" s="79" t="s">
        <v>421</v>
      </c>
      <c r="W1033" s="79">
        <v>570</v>
      </c>
    </row>
    <row r="1034" spans="1:23">
      <c r="A1034" s="79">
        <f t="shared" si="16"/>
        <v>1033</v>
      </c>
      <c r="B1034" s="79">
        <f>YEAR(Table6[[#This Row],[Date]])+IF(MONTH(Table6[[#This Row],[Date]])&gt;=4,1,0)</f>
        <v>2026</v>
      </c>
      <c r="C1034" s="79">
        <f>YEAR(Table6[[#This Row],[Date]])</f>
        <v>2025</v>
      </c>
      <c r="D1034" s="79" t="s">
        <v>344</v>
      </c>
      <c r="E1034" s="284">
        <f>Table6[[#This Row],[Date]]-DAY(Table6[[#This Row],[Date]])+1</f>
        <v>45809</v>
      </c>
      <c r="F1034" s="285">
        <v>45834</v>
      </c>
      <c r="G1034" s="79" t="s">
        <v>93</v>
      </c>
      <c r="H1034" s="79" t="str">
        <f>IFERROR(_xlfn.XLOOKUP(Table6[[#This Row],[Affected Feeder ]],'Basic Data'!$A:$A,'Basic Data'!$B:$B),"")</f>
        <v>PWEPL</v>
      </c>
      <c r="I1034" s="79" t="str">
        <f>IFERROR(_xlfn.XLOOKUP(Table6[[#This Row],[Affected Feeder ]],'Basic Data'!$A:$A,'Basic Data'!$C:$C),"")</f>
        <v>MSEDCL</v>
      </c>
      <c r="J1034" s="295">
        <f>IFERROR(_xlfn.XLOOKUP(Table6[[#This Row],[Affected Feeder ]],'Basic Data'!$A:$A,'Basic Data'!$E:$E),"")</f>
        <v>2.2727272727272728E-2</v>
      </c>
      <c r="K1034" s="296" t="s">
        <v>171</v>
      </c>
      <c r="L1034" s="297">
        <v>0.50277777777777777</v>
      </c>
      <c r="M1034" s="297">
        <v>0.50277777777777777</v>
      </c>
      <c r="N1034" s="297">
        <v>0.51180555555555551</v>
      </c>
      <c r="O1034" s="298">
        <f>(Table6[[#This Row],[Work Start TimeStamp]]-Table6[[#This Row],[Fault Start TimeStamp]])*24</f>
        <v>0</v>
      </c>
      <c r="P1034" s="298">
        <f>(Table6[[#This Row],[Fault Clearance time]]-Table6[[#This Row],[Fault Start TimeStamp]])*24</f>
        <v>0.2166666666666659</v>
      </c>
      <c r="Q1034" s="298">
        <f>(Table6[[#This Row],[Fault Clearance time]]-Table6[[#This Row],[Fault Start TimeStamp]])*24</f>
        <v>0.2166666666666659</v>
      </c>
      <c r="R1034" s="79" t="s">
        <v>353</v>
      </c>
      <c r="S1034" s="79" t="s">
        <v>339</v>
      </c>
      <c r="T1034" s="298">
        <f>IFERROR(Table6[[#This Row],[Breakdown Time]]*Table6[[#This Row],[Plant Equivalent Weightage]],"")</f>
        <v>4.9242424242424065E-3</v>
      </c>
      <c r="U1034" s="79" t="s">
        <v>421</v>
      </c>
      <c r="W1034" s="79">
        <v>435</v>
      </c>
    </row>
    <row r="1035" spans="1:23">
      <c r="A1035" s="79">
        <f t="shared" si="16"/>
        <v>1034</v>
      </c>
      <c r="B1035" s="79">
        <f>YEAR(Table6[[#This Row],[Date]])+IF(MONTH(Table6[[#This Row],[Date]])&gt;=4,1,0)</f>
        <v>2026</v>
      </c>
      <c r="C1035" s="79">
        <f>YEAR(Table6[[#This Row],[Date]])</f>
        <v>2025</v>
      </c>
      <c r="D1035" s="79" t="s">
        <v>344</v>
      </c>
      <c r="E1035" s="284">
        <f>Table6[[#This Row],[Date]]-DAY(Table6[[#This Row],[Date]])+1</f>
        <v>45809</v>
      </c>
      <c r="F1035" s="285">
        <v>45834</v>
      </c>
      <c r="G1035" s="79" t="s">
        <v>102</v>
      </c>
      <c r="H1035" s="79" t="str">
        <f>IFERROR(_xlfn.XLOOKUP(Table6[[#This Row],[Affected Feeder ]],'Basic Data'!$A:$A,'Basic Data'!$B:$B),"")</f>
        <v>PWEPL</v>
      </c>
      <c r="I1035" s="79" t="str">
        <f>IFERROR(_xlfn.XLOOKUP(Table6[[#This Row],[Affected Feeder ]],'Basic Data'!$A:$A,'Basic Data'!$C:$C),"")</f>
        <v>MSEDCL</v>
      </c>
      <c r="J1035" s="295">
        <f>IFERROR(_xlfn.XLOOKUP(Table6[[#This Row],[Affected Feeder ]],'Basic Data'!$A:$A,'Basic Data'!$E:$E),"")</f>
        <v>2.2727272727272728E-2</v>
      </c>
      <c r="K1035" s="296" t="s">
        <v>171</v>
      </c>
      <c r="L1035" s="297">
        <v>0.50277777777777777</v>
      </c>
      <c r="M1035" s="297">
        <v>0.50277777777777777</v>
      </c>
      <c r="N1035" s="297">
        <v>0.51527777777777772</v>
      </c>
      <c r="O1035" s="298">
        <f>(Table6[[#This Row],[Work Start TimeStamp]]-Table6[[#This Row],[Fault Start TimeStamp]])*24</f>
        <v>0</v>
      </c>
      <c r="P1035" s="298">
        <f>(Table6[[#This Row],[Fault Clearance time]]-Table6[[#This Row],[Fault Start TimeStamp]])*24</f>
        <v>0.29999999999999893</v>
      </c>
      <c r="Q1035" s="298">
        <f>(Table6[[#This Row],[Fault Clearance time]]-Table6[[#This Row],[Fault Start TimeStamp]])*24</f>
        <v>0.29999999999999893</v>
      </c>
      <c r="R1035" s="79" t="s">
        <v>353</v>
      </c>
      <c r="S1035" s="79" t="s">
        <v>339</v>
      </c>
      <c r="T1035" s="298">
        <f>IFERROR(Table6[[#This Row],[Breakdown Time]]*Table6[[#This Row],[Plant Equivalent Weightage]],"")</f>
        <v>6.8181818181817944E-3</v>
      </c>
      <c r="U1035" s="79" t="s">
        <v>421</v>
      </c>
      <c r="W1035" s="79">
        <v>603</v>
      </c>
    </row>
    <row r="1036" spans="1:23">
      <c r="A1036" s="79">
        <f t="shared" si="16"/>
        <v>1035</v>
      </c>
      <c r="B1036" s="79">
        <f>YEAR(Table6[[#This Row],[Date]])+IF(MONTH(Table6[[#This Row],[Date]])&gt;=4,1,0)</f>
        <v>2026</v>
      </c>
      <c r="C1036" s="79">
        <f>YEAR(Table6[[#This Row],[Date]])</f>
        <v>2025</v>
      </c>
      <c r="D1036" s="79" t="s">
        <v>344</v>
      </c>
      <c r="E1036" s="284">
        <f>Table6[[#This Row],[Date]]-DAY(Table6[[#This Row],[Date]])+1</f>
        <v>45809</v>
      </c>
      <c r="F1036" s="285">
        <v>45834</v>
      </c>
      <c r="G1036" s="79" t="s">
        <v>119</v>
      </c>
      <c r="H1036" s="79" t="str">
        <f>IFERROR(_xlfn.XLOOKUP(Table6[[#This Row],[Affected Feeder ]],'Basic Data'!$A:$A,'Basic Data'!$B:$B),"")</f>
        <v>PWEPL</v>
      </c>
      <c r="I1036" s="79" t="str">
        <f>IFERROR(_xlfn.XLOOKUP(Table6[[#This Row],[Affected Feeder ]],'Basic Data'!$A:$A,'Basic Data'!$C:$C),"")</f>
        <v>MSEDCL</v>
      </c>
      <c r="J1036" s="295">
        <f>IFERROR(_xlfn.XLOOKUP(Table6[[#This Row],[Affected Feeder ]],'Basic Data'!$A:$A,'Basic Data'!$E:$E),"")</f>
        <v>2.2727272727272728E-2</v>
      </c>
      <c r="K1036" s="296" t="s">
        <v>171</v>
      </c>
      <c r="L1036" s="297">
        <v>0.50277777777777777</v>
      </c>
      <c r="M1036" s="297">
        <v>0.50277777777777777</v>
      </c>
      <c r="N1036" s="297">
        <v>0.5131944444444444</v>
      </c>
      <c r="O1036" s="298">
        <f>(Table6[[#This Row],[Work Start TimeStamp]]-Table6[[#This Row],[Fault Start TimeStamp]])*24</f>
        <v>0</v>
      </c>
      <c r="P1036" s="298">
        <f>(Table6[[#This Row],[Fault Clearance time]]-Table6[[#This Row],[Fault Start TimeStamp]])*24</f>
        <v>0.24999999999999911</v>
      </c>
      <c r="Q1036" s="298">
        <f>(Table6[[#This Row],[Fault Clearance time]]-Table6[[#This Row],[Fault Start TimeStamp]])*24</f>
        <v>0.24999999999999911</v>
      </c>
      <c r="R1036" s="79" t="s">
        <v>353</v>
      </c>
      <c r="S1036" s="79" t="s">
        <v>339</v>
      </c>
      <c r="T1036" s="298">
        <f>IFERROR(Table6[[#This Row],[Breakdown Time]]*Table6[[#This Row],[Plant Equivalent Weightage]],"")</f>
        <v>5.681818181818162E-3</v>
      </c>
      <c r="U1036" s="79" t="s">
        <v>421</v>
      </c>
      <c r="W1036" s="79">
        <v>503</v>
      </c>
    </row>
    <row r="1037" spans="1:23">
      <c r="A1037" s="79">
        <f t="shared" si="16"/>
        <v>1036</v>
      </c>
      <c r="B1037" s="79">
        <f>YEAR(Table6[[#This Row],[Date]])+IF(MONTH(Table6[[#This Row],[Date]])&gt;=4,1,0)</f>
        <v>2026</v>
      </c>
      <c r="C1037" s="79">
        <f>YEAR(Table6[[#This Row],[Date]])</f>
        <v>2025</v>
      </c>
      <c r="D1037" s="79" t="s">
        <v>344</v>
      </c>
      <c r="E1037" s="284">
        <f>Table6[[#This Row],[Date]]-DAY(Table6[[#This Row],[Date]])+1</f>
        <v>45809</v>
      </c>
      <c r="F1037" s="285">
        <v>45834</v>
      </c>
      <c r="G1037" s="79" t="s">
        <v>103</v>
      </c>
      <c r="H1037" s="79" t="str">
        <f>IFERROR(_xlfn.XLOOKUP(Table6[[#This Row],[Affected Feeder ]],'Basic Data'!$A:$A,'Basic Data'!$B:$B),"")</f>
        <v>PWEPL</v>
      </c>
      <c r="I1037" s="79" t="str">
        <f>IFERROR(_xlfn.XLOOKUP(Table6[[#This Row],[Affected Feeder ]],'Basic Data'!$A:$A,'Basic Data'!$C:$C),"")</f>
        <v>MSEDCL</v>
      </c>
      <c r="J1037" s="295">
        <f>IFERROR(_xlfn.XLOOKUP(Table6[[#This Row],[Affected Feeder ]],'Basic Data'!$A:$A,'Basic Data'!$E:$E),"")</f>
        <v>2.2727272727272728E-2</v>
      </c>
      <c r="K1037" s="296" t="s">
        <v>171</v>
      </c>
      <c r="L1037" s="297">
        <v>0.50277777777777777</v>
      </c>
      <c r="M1037" s="297">
        <v>0.50277777777777777</v>
      </c>
      <c r="N1037" s="297">
        <v>0.51388888888888884</v>
      </c>
      <c r="O1037" s="298">
        <f>(Table6[[#This Row],[Work Start TimeStamp]]-Table6[[#This Row],[Fault Start TimeStamp]])*24</f>
        <v>0</v>
      </c>
      <c r="P1037" s="298">
        <f>(Table6[[#This Row],[Fault Clearance time]]-Table6[[#This Row],[Fault Start TimeStamp]])*24</f>
        <v>0.26666666666666572</v>
      </c>
      <c r="Q1037" s="298">
        <f>(Table6[[#This Row],[Fault Clearance time]]-Table6[[#This Row],[Fault Start TimeStamp]])*24</f>
        <v>0.26666666666666572</v>
      </c>
      <c r="R1037" s="79" t="s">
        <v>353</v>
      </c>
      <c r="S1037" s="79" t="s">
        <v>339</v>
      </c>
      <c r="T1037" s="298">
        <f>IFERROR(Table6[[#This Row],[Breakdown Time]]*Table6[[#This Row],[Plant Equivalent Weightage]],"")</f>
        <v>6.0606060606060389E-3</v>
      </c>
      <c r="U1037" s="79" t="s">
        <v>421</v>
      </c>
      <c r="W1037" s="79">
        <v>536</v>
      </c>
    </row>
    <row r="1038" spans="1:23">
      <c r="A1038" s="79">
        <f t="shared" si="16"/>
        <v>1037</v>
      </c>
      <c r="B1038" s="79">
        <f>YEAR(Table6[[#This Row],[Date]])+IF(MONTH(Table6[[#This Row],[Date]])&gt;=4,1,0)</f>
        <v>2026</v>
      </c>
      <c r="C1038" s="79">
        <f>YEAR(Table6[[#This Row],[Date]])</f>
        <v>2025</v>
      </c>
      <c r="D1038" s="79" t="s">
        <v>344</v>
      </c>
      <c r="E1038" s="284">
        <f>Table6[[#This Row],[Date]]-DAY(Table6[[#This Row],[Date]])+1</f>
        <v>45809</v>
      </c>
      <c r="F1038" s="285">
        <v>45834</v>
      </c>
      <c r="G1038" s="79" t="s">
        <v>105</v>
      </c>
      <c r="H1038" s="79" t="str">
        <f>IFERROR(_xlfn.XLOOKUP(Table6[[#This Row],[Affected Feeder ]],'Basic Data'!$A:$A,'Basic Data'!$B:$B),"")</f>
        <v>PWEPL</v>
      </c>
      <c r="I1038" s="79" t="str">
        <f>IFERROR(_xlfn.XLOOKUP(Table6[[#This Row],[Affected Feeder ]],'Basic Data'!$A:$A,'Basic Data'!$C:$C),"")</f>
        <v>MSEDCL</v>
      </c>
      <c r="J1038" s="295">
        <f>IFERROR(_xlfn.XLOOKUP(Table6[[#This Row],[Affected Feeder ]],'Basic Data'!$A:$A,'Basic Data'!$E:$E),"")</f>
        <v>2.2727272727272728E-2</v>
      </c>
      <c r="K1038" s="296" t="s">
        <v>171</v>
      </c>
      <c r="L1038" s="297">
        <v>0.50277777777777777</v>
      </c>
      <c r="M1038" s="297">
        <v>0.50277777777777777</v>
      </c>
      <c r="N1038" s="297">
        <v>0.51666666666666672</v>
      </c>
      <c r="O1038" s="298">
        <f>(Table6[[#This Row],[Work Start TimeStamp]]-Table6[[#This Row],[Fault Start TimeStamp]])*24</f>
        <v>0</v>
      </c>
      <c r="P1038" s="298">
        <f>(Table6[[#This Row],[Fault Clearance time]]-Table6[[#This Row],[Fault Start TimeStamp]])*24</f>
        <v>0.33333333333333481</v>
      </c>
      <c r="Q1038" s="298">
        <f>(Table6[[#This Row],[Fault Clearance time]]-Table6[[#This Row],[Fault Start TimeStamp]])*24</f>
        <v>0.33333333333333481</v>
      </c>
      <c r="R1038" s="79" t="s">
        <v>353</v>
      </c>
      <c r="S1038" s="79" t="s">
        <v>339</v>
      </c>
      <c r="T1038" s="298">
        <f>IFERROR(Table6[[#This Row],[Breakdown Time]]*Table6[[#This Row],[Plant Equivalent Weightage]],"")</f>
        <v>7.5757575757576098E-3</v>
      </c>
      <c r="U1038" s="79" t="s">
        <v>421</v>
      </c>
      <c r="W1038" s="79">
        <v>670</v>
      </c>
    </row>
    <row r="1039" spans="1:23">
      <c r="A1039" s="79">
        <f t="shared" si="16"/>
        <v>1038</v>
      </c>
      <c r="B1039" s="79">
        <f>YEAR(Table6[[#This Row],[Date]])+IF(MONTH(Table6[[#This Row],[Date]])&gt;=4,1,0)</f>
        <v>2026</v>
      </c>
      <c r="C1039" s="79">
        <f>YEAR(Table6[[#This Row],[Date]])</f>
        <v>2025</v>
      </c>
      <c r="D1039" s="79" t="s">
        <v>344</v>
      </c>
      <c r="E1039" s="284">
        <f>Table6[[#This Row],[Date]]-DAY(Table6[[#This Row],[Date]])+1</f>
        <v>45809</v>
      </c>
      <c r="F1039" s="285">
        <v>45834</v>
      </c>
      <c r="G1039" s="79" t="s">
        <v>115</v>
      </c>
      <c r="H1039" s="79" t="str">
        <f>IFERROR(_xlfn.XLOOKUP(Table6[[#This Row],[Affected Feeder ]],'Basic Data'!$A:$A,'Basic Data'!$B:$B),"")</f>
        <v>PWEPL</v>
      </c>
      <c r="I1039" s="79" t="str">
        <f>IFERROR(_xlfn.XLOOKUP(Table6[[#This Row],[Affected Feeder ]],'Basic Data'!$A:$A,'Basic Data'!$C:$C),"")</f>
        <v>MSEDCL</v>
      </c>
      <c r="J1039" s="295">
        <f>IFERROR(_xlfn.XLOOKUP(Table6[[#This Row],[Affected Feeder ]],'Basic Data'!$A:$A,'Basic Data'!$E:$E),"")</f>
        <v>2.2727272727272728E-2</v>
      </c>
      <c r="K1039" s="296" t="s">
        <v>171</v>
      </c>
      <c r="L1039" s="297">
        <v>0.50277777777777777</v>
      </c>
      <c r="M1039" s="297">
        <v>0.50277777777777777</v>
      </c>
      <c r="N1039" s="297">
        <v>0.51527777777777772</v>
      </c>
      <c r="O1039" s="298">
        <f>(Table6[[#This Row],[Work Start TimeStamp]]-Table6[[#This Row],[Fault Start TimeStamp]])*24</f>
        <v>0</v>
      </c>
      <c r="P1039" s="298">
        <f>(Table6[[#This Row],[Fault Clearance time]]-Table6[[#This Row],[Fault Start TimeStamp]])*24</f>
        <v>0.29999999999999893</v>
      </c>
      <c r="Q1039" s="298">
        <f>(Table6[[#This Row],[Fault Clearance time]]-Table6[[#This Row],[Fault Start TimeStamp]])*24</f>
        <v>0.29999999999999893</v>
      </c>
      <c r="R1039" s="79" t="s">
        <v>353</v>
      </c>
      <c r="S1039" s="79" t="s">
        <v>339</v>
      </c>
      <c r="T1039" s="298">
        <f>IFERROR(Table6[[#This Row],[Breakdown Time]]*Table6[[#This Row],[Plant Equivalent Weightage]],"")</f>
        <v>6.8181818181817944E-3</v>
      </c>
      <c r="U1039" s="79" t="s">
        <v>421</v>
      </c>
      <c r="W1039" s="79">
        <v>603</v>
      </c>
    </row>
    <row r="1040" spans="1:23">
      <c r="A1040" s="79">
        <f t="shared" si="16"/>
        <v>1039</v>
      </c>
      <c r="B1040" s="79">
        <f>YEAR(Table6[[#This Row],[Date]])+IF(MONTH(Table6[[#This Row],[Date]])&gt;=4,1,0)</f>
        <v>2026</v>
      </c>
      <c r="C1040" s="79">
        <f>YEAR(Table6[[#This Row],[Date]])</f>
        <v>2025</v>
      </c>
      <c r="D1040" s="79" t="s">
        <v>344</v>
      </c>
      <c r="E1040" s="284">
        <f>Table6[[#This Row],[Date]]-DAY(Table6[[#This Row],[Date]])+1</f>
        <v>45809</v>
      </c>
      <c r="F1040" s="285">
        <v>45834</v>
      </c>
      <c r="G1040" s="79" t="s">
        <v>116</v>
      </c>
      <c r="H1040" s="79" t="str">
        <f>IFERROR(_xlfn.XLOOKUP(Table6[[#This Row],[Affected Feeder ]],'Basic Data'!$A:$A,'Basic Data'!$B:$B),"")</f>
        <v>PWEPL</v>
      </c>
      <c r="I1040" s="79" t="str">
        <f>IFERROR(_xlfn.XLOOKUP(Table6[[#This Row],[Affected Feeder ]],'Basic Data'!$A:$A,'Basic Data'!$C:$C),"")</f>
        <v>MSEDCL</v>
      </c>
      <c r="J1040" s="295">
        <f>IFERROR(_xlfn.XLOOKUP(Table6[[#This Row],[Affected Feeder ]],'Basic Data'!$A:$A,'Basic Data'!$E:$E),"")</f>
        <v>2.2727272727272728E-2</v>
      </c>
      <c r="K1040" s="296" t="s">
        <v>171</v>
      </c>
      <c r="L1040" s="297">
        <v>0.50277777777777777</v>
      </c>
      <c r="M1040" s="297">
        <v>0.50277777777777777</v>
      </c>
      <c r="N1040" s="297">
        <v>0.51527777777777772</v>
      </c>
      <c r="O1040" s="298">
        <f>(Table6[[#This Row],[Work Start TimeStamp]]-Table6[[#This Row],[Fault Start TimeStamp]])*24</f>
        <v>0</v>
      </c>
      <c r="P1040" s="298">
        <f>(Table6[[#This Row],[Fault Clearance time]]-Table6[[#This Row],[Fault Start TimeStamp]])*24</f>
        <v>0.29999999999999893</v>
      </c>
      <c r="Q1040" s="298">
        <f>(Table6[[#This Row],[Fault Clearance time]]-Table6[[#This Row],[Fault Start TimeStamp]])*24</f>
        <v>0.29999999999999893</v>
      </c>
      <c r="R1040" s="79" t="s">
        <v>353</v>
      </c>
      <c r="S1040" s="79" t="s">
        <v>339</v>
      </c>
      <c r="T1040" s="298">
        <f>IFERROR(Table6[[#This Row],[Breakdown Time]]*Table6[[#This Row],[Plant Equivalent Weightage]],"")</f>
        <v>6.8181818181817944E-3</v>
      </c>
      <c r="U1040" s="79" t="s">
        <v>421</v>
      </c>
      <c r="W1040" s="79">
        <v>570</v>
      </c>
    </row>
    <row r="1041" spans="1:23">
      <c r="A1041" s="79">
        <f t="shared" si="16"/>
        <v>1040</v>
      </c>
      <c r="B1041" s="79">
        <f>YEAR(Table6[[#This Row],[Date]])+IF(MONTH(Table6[[#This Row],[Date]])&gt;=4,1,0)</f>
        <v>2026</v>
      </c>
      <c r="C1041" s="79">
        <f>YEAR(Table6[[#This Row],[Date]])</f>
        <v>2025</v>
      </c>
      <c r="D1041" s="79" t="s">
        <v>344</v>
      </c>
      <c r="E1041" s="284">
        <f>Table6[[#This Row],[Date]]-DAY(Table6[[#This Row],[Date]])+1</f>
        <v>45809</v>
      </c>
      <c r="F1041" s="285">
        <v>45834</v>
      </c>
      <c r="G1041" s="79" t="s">
        <v>117</v>
      </c>
      <c r="H1041" s="79" t="str">
        <f>IFERROR(_xlfn.XLOOKUP(Table6[[#This Row],[Affected Feeder ]],'Basic Data'!$A:$A,'Basic Data'!$B:$B),"")</f>
        <v>PWEPL</v>
      </c>
      <c r="I1041" s="79" t="str">
        <f>IFERROR(_xlfn.XLOOKUP(Table6[[#This Row],[Affected Feeder ]],'Basic Data'!$A:$A,'Basic Data'!$C:$C),"")</f>
        <v>MSEDCL</v>
      </c>
      <c r="J1041" s="295">
        <f>IFERROR(_xlfn.XLOOKUP(Table6[[#This Row],[Affected Feeder ]],'Basic Data'!$A:$A,'Basic Data'!$E:$E),"")</f>
        <v>2.2727272727272728E-2</v>
      </c>
      <c r="K1041" s="296" t="s">
        <v>171</v>
      </c>
      <c r="L1041" s="297">
        <v>0.50277777777777777</v>
      </c>
      <c r="M1041" s="297">
        <v>0.50277777777777777</v>
      </c>
      <c r="N1041" s="297">
        <v>0.51458333333333328</v>
      </c>
      <c r="O1041" s="298">
        <f>(Table6[[#This Row],[Work Start TimeStamp]]-Table6[[#This Row],[Fault Start TimeStamp]])*24</f>
        <v>0</v>
      </c>
      <c r="P1041" s="298">
        <f>(Table6[[#This Row],[Fault Clearance time]]-Table6[[#This Row],[Fault Start TimeStamp]])*24</f>
        <v>0.28333333333333233</v>
      </c>
      <c r="Q1041" s="298">
        <f>(Table6[[#This Row],[Fault Clearance time]]-Table6[[#This Row],[Fault Start TimeStamp]])*24</f>
        <v>0.28333333333333233</v>
      </c>
      <c r="R1041" s="79" t="s">
        <v>353</v>
      </c>
      <c r="S1041" s="79" t="s">
        <v>339</v>
      </c>
      <c r="T1041" s="298">
        <f>IFERROR(Table6[[#This Row],[Breakdown Time]]*Table6[[#This Row],[Plant Equivalent Weightage]],"")</f>
        <v>6.4393939393939167E-3</v>
      </c>
      <c r="U1041" s="79" t="s">
        <v>421</v>
      </c>
      <c r="W1041" s="79">
        <v>603</v>
      </c>
    </row>
    <row r="1042" spans="1:23">
      <c r="A1042" s="79">
        <f t="shared" si="16"/>
        <v>1041</v>
      </c>
      <c r="B1042" s="79">
        <f>YEAR(Table6[[#This Row],[Date]])+IF(MONTH(Table6[[#This Row],[Date]])&gt;=4,1,0)</f>
        <v>2026</v>
      </c>
      <c r="C1042" s="79">
        <f>YEAR(Table6[[#This Row],[Date]])</f>
        <v>2025</v>
      </c>
      <c r="D1042" s="79" t="s">
        <v>344</v>
      </c>
      <c r="E1042" s="284">
        <f>Table6[[#This Row],[Date]]-DAY(Table6[[#This Row],[Date]])+1</f>
        <v>45809</v>
      </c>
      <c r="F1042" s="285">
        <v>45834</v>
      </c>
      <c r="G1042" s="79" t="s">
        <v>118</v>
      </c>
      <c r="H1042" s="79" t="str">
        <f>IFERROR(_xlfn.XLOOKUP(Table6[[#This Row],[Affected Feeder ]],'Basic Data'!$A:$A,'Basic Data'!$B:$B),"")</f>
        <v>PWEPL</v>
      </c>
      <c r="I1042" s="79" t="str">
        <f>IFERROR(_xlfn.XLOOKUP(Table6[[#This Row],[Affected Feeder ]],'Basic Data'!$A:$A,'Basic Data'!$C:$C),"")</f>
        <v>MSEDCL</v>
      </c>
      <c r="J1042" s="295">
        <f>IFERROR(_xlfn.XLOOKUP(Table6[[#This Row],[Affected Feeder ]],'Basic Data'!$A:$A,'Basic Data'!$E:$E),"")</f>
        <v>2.2727272727272728E-2</v>
      </c>
      <c r="K1042" s="296" t="s">
        <v>171</v>
      </c>
      <c r="L1042" s="297">
        <v>0.50277777777777777</v>
      </c>
      <c r="M1042" s="297">
        <v>0.50277777777777777</v>
      </c>
      <c r="N1042" s="297">
        <v>0.51527777777777772</v>
      </c>
      <c r="O1042" s="298">
        <f>(Table6[[#This Row],[Work Start TimeStamp]]-Table6[[#This Row],[Fault Start TimeStamp]])*24</f>
        <v>0</v>
      </c>
      <c r="P1042" s="298">
        <f>(Table6[[#This Row],[Fault Clearance time]]-Table6[[#This Row],[Fault Start TimeStamp]])*24</f>
        <v>0.29999999999999893</v>
      </c>
      <c r="Q1042" s="298">
        <f>(Table6[[#This Row],[Fault Clearance time]]-Table6[[#This Row],[Fault Start TimeStamp]])*24</f>
        <v>0.29999999999999893</v>
      </c>
      <c r="R1042" s="79" t="s">
        <v>353</v>
      </c>
      <c r="S1042" s="79" t="s">
        <v>339</v>
      </c>
      <c r="T1042" s="298">
        <f>IFERROR(Table6[[#This Row],[Breakdown Time]]*Table6[[#This Row],[Plant Equivalent Weightage]],"")</f>
        <v>6.8181818181817944E-3</v>
      </c>
      <c r="U1042" s="79" t="s">
        <v>421</v>
      </c>
      <c r="W1042" s="79">
        <v>737</v>
      </c>
    </row>
    <row r="1043" spans="1:23">
      <c r="A1043" s="79">
        <f t="shared" si="16"/>
        <v>1042</v>
      </c>
      <c r="B1043" s="79">
        <f>YEAR(Table6[[#This Row],[Date]])+IF(MONTH(Table6[[#This Row],[Date]])&gt;=4,1,0)</f>
        <v>2026</v>
      </c>
      <c r="C1043" s="79">
        <f>YEAR(Table6[[#This Row],[Date]])</f>
        <v>2025</v>
      </c>
      <c r="D1043" s="79" t="s">
        <v>344</v>
      </c>
      <c r="E1043" s="284">
        <f>Table6[[#This Row],[Date]]-DAY(Table6[[#This Row],[Date]])+1</f>
        <v>45809</v>
      </c>
      <c r="F1043" s="285">
        <v>45837</v>
      </c>
      <c r="G1043" s="79" t="s">
        <v>89</v>
      </c>
      <c r="H1043" s="79" t="str">
        <f>IFERROR(_xlfn.XLOOKUP(Table6[[#This Row],[Affected Feeder ]],'Basic Data'!$A:$A,'Basic Data'!$B:$B),"")</f>
        <v>PWEPL</v>
      </c>
      <c r="I1043" s="79" t="str">
        <f>IFERROR(_xlfn.XLOOKUP(Table6[[#This Row],[Affected Feeder ]],'Basic Data'!$A:$A,'Basic Data'!$C:$C),"")</f>
        <v>MSEDCL</v>
      </c>
      <c r="J1043" s="295">
        <f>IFERROR(_xlfn.XLOOKUP(Table6[[#This Row],[Affected Feeder ]],'Basic Data'!$A:$A,'Basic Data'!$E:$E),"")</f>
        <v>2.2727272727272728E-2</v>
      </c>
      <c r="K1043" s="296" t="s">
        <v>796</v>
      </c>
      <c r="L1043" s="297">
        <v>1.3888888888888888E-2</v>
      </c>
      <c r="M1043" s="297">
        <v>1.3888888888888888E-2</v>
      </c>
      <c r="N1043" s="297">
        <v>3.888888888888889E-2</v>
      </c>
      <c r="O1043" s="298">
        <f>(Table6[[#This Row],[Work Start TimeStamp]]-Table6[[#This Row],[Fault Start TimeStamp]])*24</f>
        <v>0</v>
      </c>
      <c r="P1043" s="298">
        <f>(Table6[[#This Row],[Fault Clearance time]]-Table6[[#This Row],[Fault Start TimeStamp]])*24</f>
        <v>0.60000000000000009</v>
      </c>
      <c r="Q1043" s="298">
        <f>(Table6[[#This Row],[Fault Clearance time]]-Table6[[#This Row],[Fault Start TimeStamp]])*24</f>
        <v>0.60000000000000009</v>
      </c>
      <c r="R1043" s="79" t="s">
        <v>424</v>
      </c>
      <c r="S1043" s="79" t="s">
        <v>339</v>
      </c>
      <c r="T1043" s="298">
        <f>IFERROR(Table6[[#This Row],[Breakdown Time]]*Table6[[#This Row],[Plant Equivalent Weightage]],"")</f>
        <v>1.3636363636363639E-2</v>
      </c>
      <c r="U1043" s="79" t="s">
        <v>421</v>
      </c>
      <c r="W1043" s="79">
        <v>1147</v>
      </c>
    </row>
    <row r="1044" spans="1:23">
      <c r="A1044" s="79">
        <f t="shared" si="16"/>
        <v>1043</v>
      </c>
      <c r="B1044" s="79">
        <f>YEAR(Table6[[#This Row],[Date]])+IF(MONTH(Table6[[#This Row],[Date]])&gt;=4,1,0)</f>
        <v>2026</v>
      </c>
      <c r="C1044" s="79">
        <f>YEAR(Table6[[#This Row],[Date]])</f>
        <v>2025</v>
      </c>
      <c r="D1044" s="79" t="s">
        <v>344</v>
      </c>
      <c r="E1044" s="284">
        <f>Table6[[#This Row],[Date]]-DAY(Table6[[#This Row],[Date]])+1</f>
        <v>45809</v>
      </c>
      <c r="F1044" s="285">
        <v>45837</v>
      </c>
      <c r="G1044" s="79" t="s">
        <v>89</v>
      </c>
      <c r="H1044" s="79" t="str">
        <f>IFERROR(_xlfn.XLOOKUP(Table6[[#This Row],[Affected Feeder ]],'Basic Data'!$A:$A,'Basic Data'!$B:$B),"")</f>
        <v>PWEPL</v>
      </c>
      <c r="I1044" s="79" t="str">
        <f>IFERROR(_xlfn.XLOOKUP(Table6[[#This Row],[Affected Feeder ]],'Basic Data'!$A:$A,'Basic Data'!$C:$C),"")</f>
        <v>MSEDCL</v>
      </c>
      <c r="J1044" s="295">
        <f>IFERROR(_xlfn.XLOOKUP(Table6[[#This Row],[Affected Feeder ]],'Basic Data'!$A:$A,'Basic Data'!$E:$E),"")</f>
        <v>2.2727272727272728E-2</v>
      </c>
      <c r="K1044" s="296" t="s">
        <v>171</v>
      </c>
      <c r="L1044" s="297">
        <v>3.888888888888889E-2</v>
      </c>
      <c r="M1044" s="297">
        <v>3.888888888888889E-2</v>
      </c>
      <c r="N1044" s="297">
        <v>4.5833333333333337E-2</v>
      </c>
      <c r="O1044" s="298">
        <f>(Table6[[#This Row],[Work Start TimeStamp]]-Table6[[#This Row],[Fault Start TimeStamp]])*24</f>
        <v>0</v>
      </c>
      <c r="P1044" s="298">
        <f>(Table6[[#This Row],[Fault Clearance time]]-Table6[[#This Row],[Fault Start TimeStamp]])*24</f>
        <v>0.16666666666666674</v>
      </c>
      <c r="Q1044" s="298">
        <f>(Table6[[#This Row],[Fault Clearance time]]-Table6[[#This Row],[Fault Start TimeStamp]])*24</f>
        <v>0.16666666666666674</v>
      </c>
      <c r="R1044" s="79" t="s">
        <v>353</v>
      </c>
      <c r="S1044" s="79" t="s">
        <v>339</v>
      </c>
      <c r="T1044" s="298">
        <f>IFERROR(Table6[[#This Row],[Breakdown Time]]*Table6[[#This Row],[Plant Equivalent Weightage]],"")</f>
        <v>3.7878787878787897E-3</v>
      </c>
      <c r="U1044" s="79" t="s">
        <v>421</v>
      </c>
      <c r="W1044" s="79">
        <v>318</v>
      </c>
    </row>
    <row r="1045" spans="1:23">
      <c r="A1045" s="79">
        <f t="shared" si="16"/>
        <v>1044</v>
      </c>
      <c r="B1045" s="79">
        <f>YEAR(Table6[[#This Row],[Date]])+IF(MONTH(Table6[[#This Row],[Date]])&gt;=4,1,0)</f>
        <v>2026</v>
      </c>
      <c r="C1045" s="79">
        <f>YEAR(Table6[[#This Row],[Date]])</f>
        <v>2025</v>
      </c>
      <c r="D1045" s="79" t="s">
        <v>344</v>
      </c>
      <c r="E1045" s="284">
        <f>Table6[[#This Row],[Date]]-DAY(Table6[[#This Row],[Date]])+1</f>
        <v>45809</v>
      </c>
      <c r="F1045" s="285">
        <v>45837</v>
      </c>
      <c r="G1045" s="79" t="s">
        <v>87</v>
      </c>
      <c r="H1045" s="79" t="str">
        <f>IFERROR(_xlfn.XLOOKUP(Table6[[#This Row],[Affected Feeder ]],'Basic Data'!$A:$A,'Basic Data'!$B:$B),"")</f>
        <v>PWEPL</v>
      </c>
      <c r="I1045" s="79" t="str">
        <f>IFERROR(_xlfn.XLOOKUP(Table6[[#This Row],[Affected Feeder ]],'Basic Data'!$A:$A,'Basic Data'!$C:$C),"")</f>
        <v>MSEDCL</v>
      </c>
      <c r="J1045" s="295">
        <f>IFERROR(_xlfn.XLOOKUP(Table6[[#This Row],[Affected Feeder ]],'Basic Data'!$A:$A,'Basic Data'!$E:$E),"")</f>
        <v>2.2727272727272728E-2</v>
      </c>
      <c r="K1045" s="296" t="s">
        <v>796</v>
      </c>
      <c r="L1045" s="297">
        <v>0.22569444444444445</v>
      </c>
      <c r="M1045" s="297">
        <v>0.22569444444444445</v>
      </c>
      <c r="N1045" s="297">
        <v>0.24652777777777779</v>
      </c>
      <c r="O1045" s="298">
        <f>(Table6[[#This Row],[Work Start TimeStamp]]-Table6[[#This Row],[Fault Start TimeStamp]])*24</f>
        <v>0</v>
      </c>
      <c r="P1045" s="298">
        <f>(Table6[[#This Row],[Fault Clearance time]]-Table6[[#This Row],[Fault Start TimeStamp]])*24</f>
        <v>0.50000000000000022</v>
      </c>
      <c r="Q1045" s="298">
        <f>(Table6[[#This Row],[Fault Clearance time]]-Table6[[#This Row],[Fault Start TimeStamp]])*24</f>
        <v>0.50000000000000022</v>
      </c>
      <c r="R1045" s="79" t="s">
        <v>424</v>
      </c>
      <c r="S1045" s="79" t="s">
        <v>339</v>
      </c>
      <c r="T1045" s="298">
        <f>IFERROR(Table6[[#This Row],[Breakdown Time]]*Table6[[#This Row],[Plant Equivalent Weightage]],"")</f>
        <v>1.1363636363636369E-2</v>
      </c>
      <c r="U1045" s="79" t="s">
        <v>421</v>
      </c>
      <c r="W1045" s="79">
        <v>981</v>
      </c>
    </row>
    <row r="1046" spans="1:23">
      <c r="A1046" s="79">
        <f t="shared" si="16"/>
        <v>1045</v>
      </c>
      <c r="B1046" s="79">
        <f>YEAR(Table6[[#This Row],[Date]])+IF(MONTH(Table6[[#This Row],[Date]])&gt;=4,1,0)</f>
        <v>2026</v>
      </c>
      <c r="C1046" s="79">
        <f>YEAR(Table6[[#This Row],[Date]])</f>
        <v>2025</v>
      </c>
      <c r="D1046" s="79" t="s">
        <v>344</v>
      </c>
      <c r="E1046" s="284">
        <f>Table6[[#This Row],[Date]]-DAY(Table6[[#This Row],[Date]])+1</f>
        <v>45809</v>
      </c>
      <c r="F1046" s="285">
        <v>45837</v>
      </c>
      <c r="G1046" s="79" t="s">
        <v>87</v>
      </c>
      <c r="H1046" s="79" t="str">
        <f>IFERROR(_xlfn.XLOOKUP(Table6[[#This Row],[Affected Feeder ]],'Basic Data'!$A:$A,'Basic Data'!$B:$B),"")</f>
        <v>PWEPL</v>
      </c>
      <c r="I1046" s="79" t="str">
        <f>IFERROR(_xlfn.XLOOKUP(Table6[[#This Row],[Affected Feeder ]],'Basic Data'!$A:$A,'Basic Data'!$C:$C),"")</f>
        <v>MSEDCL</v>
      </c>
      <c r="J1046" s="295">
        <f>IFERROR(_xlfn.XLOOKUP(Table6[[#This Row],[Affected Feeder ]],'Basic Data'!$A:$A,'Basic Data'!$E:$E),"")</f>
        <v>2.2727272727272728E-2</v>
      </c>
      <c r="K1046" s="296" t="s">
        <v>171</v>
      </c>
      <c r="L1046" s="297">
        <v>0.24652777777777779</v>
      </c>
      <c r="M1046" s="297">
        <v>0.24652777777777779</v>
      </c>
      <c r="N1046" s="297">
        <v>0.24930555555555556</v>
      </c>
      <c r="O1046" s="298">
        <f>(Table6[[#This Row],[Work Start TimeStamp]]-Table6[[#This Row],[Fault Start TimeStamp]])*24</f>
        <v>0</v>
      </c>
      <c r="P1046" s="298">
        <f>(Table6[[#This Row],[Fault Clearance time]]-Table6[[#This Row],[Fault Start TimeStamp]])*24</f>
        <v>6.666666666666643E-2</v>
      </c>
      <c r="Q1046" s="298">
        <f>(Table6[[#This Row],[Fault Clearance time]]-Table6[[#This Row],[Fault Start TimeStamp]])*24</f>
        <v>6.666666666666643E-2</v>
      </c>
      <c r="R1046" s="79" t="s">
        <v>353</v>
      </c>
      <c r="S1046" s="79" t="s">
        <v>339</v>
      </c>
      <c r="T1046" s="298">
        <f>IFERROR(Table6[[#This Row],[Breakdown Time]]*Table6[[#This Row],[Plant Equivalent Weightage]],"")</f>
        <v>1.5151515151515097E-3</v>
      </c>
      <c r="U1046" s="79" t="s">
        <v>421</v>
      </c>
      <c r="W1046" s="79">
        <v>130</v>
      </c>
    </row>
    <row r="1047" spans="1:23">
      <c r="A1047" s="79">
        <f t="shared" si="16"/>
        <v>1046</v>
      </c>
      <c r="B1047" s="79">
        <f>YEAR(Table6[[#This Row],[Date]])+IF(MONTH(Table6[[#This Row],[Date]])&gt;=4,1,0)</f>
        <v>2026</v>
      </c>
      <c r="C1047" s="79">
        <f>YEAR(Table6[[#This Row],[Date]])</f>
        <v>2025</v>
      </c>
      <c r="D1047" s="79" t="s">
        <v>344</v>
      </c>
      <c r="E1047" s="284">
        <f>Table6[[#This Row],[Date]]-DAY(Table6[[#This Row],[Date]])+1</f>
        <v>45809</v>
      </c>
      <c r="F1047" s="285">
        <v>45837</v>
      </c>
      <c r="G1047" s="79" t="s">
        <v>111</v>
      </c>
      <c r="H1047" s="79" t="str">
        <f>IFERROR(_xlfn.XLOOKUP(Table6[[#This Row],[Affected Feeder ]],'Basic Data'!$A:$A,'Basic Data'!$B:$B),"")</f>
        <v>PWEPL</v>
      </c>
      <c r="I1047" s="79" t="str">
        <f>IFERROR(_xlfn.XLOOKUP(Table6[[#This Row],[Affected Feeder ]],'Basic Data'!$A:$A,'Basic Data'!$C:$C),"")</f>
        <v>MSEDCL</v>
      </c>
      <c r="J1047" s="295">
        <f>IFERROR(_xlfn.XLOOKUP(Table6[[#This Row],[Affected Feeder ]],'Basic Data'!$A:$A,'Basic Data'!$E:$E),"")</f>
        <v>2.2727272727272728E-2</v>
      </c>
      <c r="K1047" s="296" t="s">
        <v>796</v>
      </c>
      <c r="L1047" s="297">
        <v>0.22569444444444445</v>
      </c>
      <c r="M1047" s="297">
        <v>0.22569444444444445</v>
      </c>
      <c r="N1047" s="297">
        <v>0.28750000000000003</v>
      </c>
      <c r="O1047" s="298">
        <f>(Table6[[#This Row],[Work Start TimeStamp]]-Table6[[#This Row],[Fault Start TimeStamp]])*24</f>
        <v>0</v>
      </c>
      <c r="P1047" s="298">
        <f>(Table6[[#This Row],[Fault Clearance time]]-Table6[[#This Row],[Fault Start TimeStamp]])*24</f>
        <v>1.4833333333333341</v>
      </c>
      <c r="Q1047" s="298">
        <f>(Table6[[#This Row],[Fault Clearance time]]-Table6[[#This Row],[Fault Start TimeStamp]])*24</f>
        <v>1.4833333333333341</v>
      </c>
      <c r="R1047" s="79" t="s">
        <v>424</v>
      </c>
      <c r="S1047" s="79" t="s">
        <v>339</v>
      </c>
      <c r="T1047" s="298">
        <f>IFERROR(Table6[[#This Row],[Breakdown Time]]*Table6[[#This Row],[Plant Equivalent Weightage]],"")</f>
        <v>3.3712121212121228E-2</v>
      </c>
      <c r="U1047" s="79" t="s">
        <v>421</v>
      </c>
      <c r="W1047" s="79">
        <v>2000</v>
      </c>
    </row>
    <row r="1048" spans="1:23">
      <c r="A1048" s="79">
        <f t="shared" si="16"/>
        <v>1047</v>
      </c>
      <c r="B1048" s="79">
        <f>YEAR(Table6[[#This Row],[Date]])+IF(MONTH(Table6[[#This Row],[Date]])&gt;=4,1,0)</f>
        <v>2026</v>
      </c>
      <c r="C1048" s="79">
        <f>YEAR(Table6[[#This Row],[Date]])</f>
        <v>2025</v>
      </c>
      <c r="D1048" s="79" t="s">
        <v>344</v>
      </c>
      <c r="E1048" s="284">
        <f>Table6[[#This Row],[Date]]-DAY(Table6[[#This Row],[Date]])+1</f>
        <v>45809</v>
      </c>
      <c r="F1048" s="285">
        <v>45837</v>
      </c>
      <c r="G1048" s="79" t="s">
        <v>111</v>
      </c>
      <c r="H1048" s="79" t="str">
        <f>IFERROR(_xlfn.XLOOKUP(Table6[[#This Row],[Affected Feeder ]],'Basic Data'!$A:$A,'Basic Data'!$B:$B),"")</f>
        <v>PWEPL</v>
      </c>
      <c r="I1048" s="79" t="str">
        <f>IFERROR(_xlfn.XLOOKUP(Table6[[#This Row],[Affected Feeder ]],'Basic Data'!$A:$A,'Basic Data'!$C:$C),"")</f>
        <v>MSEDCL</v>
      </c>
      <c r="J1048" s="295">
        <f>IFERROR(_xlfn.XLOOKUP(Table6[[#This Row],[Affected Feeder ]],'Basic Data'!$A:$A,'Basic Data'!$E:$E),"")</f>
        <v>2.2727272727272728E-2</v>
      </c>
      <c r="K1048" s="296" t="s">
        <v>171</v>
      </c>
      <c r="L1048" s="297">
        <v>0.28750000000000003</v>
      </c>
      <c r="M1048" s="297">
        <v>0.28750000000000003</v>
      </c>
      <c r="N1048" s="297">
        <v>0.2902777777777778</v>
      </c>
      <c r="O1048" s="298">
        <f>(Table6[[#This Row],[Work Start TimeStamp]]-Table6[[#This Row],[Fault Start TimeStamp]])*24</f>
        <v>0</v>
      </c>
      <c r="P1048" s="298">
        <f>(Table6[[#This Row],[Fault Clearance time]]-Table6[[#This Row],[Fault Start TimeStamp]])*24</f>
        <v>6.666666666666643E-2</v>
      </c>
      <c r="Q1048" s="298">
        <f>(Table6[[#This Row],[Fault Clearance time]]-Table6[[#This Row],[Fault Start TimeStamp]])*24</f>
        <v>6.666666666666643E-2</v>
      </c>
      <c r="R1048" s="79" t="s">
        <v>353</v>
      </c>
      <c r="S1048" s="79" t="s">
        <v>339</v>
      </c>
      <c r="T1048" s="298">
        <f>IFERROR(Table6[[#This Row],[Breakdown Time]]*Table6[[#This Row],[Plant Equivalent Weightage]],"")</f>
        <v>1.5151515151515097E-3</v>
      </c>
      <c r="U1048" s="79" t="s">
        <v>421</v>
      </c>
      <c r="W1048" s="79">
        <v>89</v>
      </c>
    </row>
    <row r="1049" spans="1:23">
      <c r="A1049" s="79">
        <f t="shared" si="16"/>
        <v>1048</v>
      </c>
      <c r="B1049" s="79">
        <f>YEAR(Table6[[#This Row],[Date]])+IF(MONTH(Table6[[#This Row],[Date]])&gt;=4,1,0)</f>
        <v>2026</v>
      </c>
      <c r="C1049" s="79">
        <f>YEAR(Table6[[#This Row],[Date]])</f>
        <v>2025</v>
      </c>
      <c r="D1049" s="79" t="s">
        <v>344</v>
      </c>
      <c r="E1049" s="284">
        <f>Table6[[#This Row],[Date]]-DAY(Table6[[#This Row],[Date]])+1</f>
        <v>45809</v>
      </c>
      <c r="F1049" s="285">
        <v>45837</v>
      </c>
      <c r="G1049" s="79" t="s">
        <v>80</v>
      </c>
      <c r="H1049" s="79" t="str">
        <f>IFERROR(_xlfn.XLOOKUP(Table6[[#This Row],[Affected Feeder ]],'Basic Data'!$A:$A,'Basic Data'!$B:$B),"")</f>
        <v>PWEPL</v>
      </c>
      <c r="I1049" s="79" t="str">
        <f>IFERROR(_xlfn.XLOOKUP(Table6[[#This Row],[Affected Feeder ]],'Basic Data'!$A:$A,'Basic Data'!$C:$C),"")</f>
        <v>MSEDCL</v>
      </c>
      <c r="J1049" s="295">
        <f>IFERROR(_xlfn.XLOOKUP(Table6[[#This Row],[Affected Feeder ]],'Basic Data'!$A:$A,'Basic Data'!$E:$E),"")</f>
        <v>2.2727272727272728E-2</v>
      </c>
      <c r="K1049" s="296" t="s">
        <v>796</v>
      </c>
      <c r="L1049" s="297">
        <v>0.53611111111111109</v>
      </c>
      <c r="M1049" s="297">
        <v>0.53611111111111109</v>
      </c>
      <c r="N1049" s="297">
        <v>0.57986111111111105</v>
      </c>
      <c r="O1049" s="298">
        <f>(Table6[[#This Row],[Work Start TimeStamp]]-Table6[[#This Row],[Fault Start TimeStamp]])*24</f>
        <v>0</v>
      </c>
      <c r="P1049" s="298">
        <f>(Table6[[#This Row],[Fault Clearance time]]-Table6[[#This Row],[Fault Start TimeStamp]])*24</f>
        <v>1.0499999999999989</v>
      </c>
      <c r="Q1049" s="298">
        <f>(Table6[[#This Row],[Fault Clearance time]]-Table6[[#This Row],[Fault Start TimeStamp]])*24</f>
        <v>1.0499999999999989</v>
      </c>
      <c r="R1049" s="79" t="s">
        <v>424</v>
      </c>
      <c r="S1049" s="79" t="s">
        <v>339</v>
      </c>
      <c r="T1049" s="298">
        <f>IFERROR(Table6[[#This Row],[Breakdown Time]]*Table6[[#This Row],[Plant Equivalent Weightage]],"")</f>
        <v>2.386363636363634E-2</v>
      </c>
      <c r="U1049" s="79" t="s">
        <v>421</v>
      </c>
      <c r="W1049" s="79">
        <v>1552</v>
      </c>
    </row>
    <row r="1050" spans="1:23">
      <c r="A1050" s="79">
        <f t="shared" si="16"/>
        <v>1049</v>
      </c>
      <c r="B1050" s="79">
        <f>YEAR(Table6[[#This Row],[Date]])+IF(MONTH(Table6[[#This Row],[Date]])&gt;=4,1,0)</f>
        <v>2026</v>
      </c>
      <c r="C1050" s="79">
        <f>YEAR(Table6[[#This Row],[Date]])</f>
        <v>2025</v>
      </c>
      <c r="D1050" s="79" t="s">
        <v>344</v>
      </c>
      <c r="E1050" s="284">
        <f>Table6[[#This Row],[Date]]-DAY(Table6[[#This Row],[Date]])+1</f>
        <v>45809</v>
      </c>
      <c r="F1050" s="285">
        <v>45837</v>
      </c>
      <c r="G1050" s="79" t="s">
        <v>80</v>
      </c>
      <c r="H1050" s="79" t="str">
        <f>IFERROR(_xlfn.XLOOKUP(Table6[[#This Row],[Affected Feeder ]],'Basic Data'!$A:$A,'Basic Data'!$B:$B),"")</f>
        <v>PWEPL</v>
      </c>
      <c r="I1050" s="79" t="str">
        <f>IFERROR(_xlfn.XLOOKUP(Table6[[#This Row],[Affected Feeder ]],'Basic Data'!$A:$A,'Basic Data'!$C:$C),"")</f>
        <v>MSEDCL</v>
      </c>
      <c r="J1050" s="295">
        <f>IFERROR(_xlfn.XLOOKUP(Table6[[#This Row],[Affected Feeder ]],'Basic Data'!$A:$A,'Basic Data'!$E:$E),"")</f>
        <v>2.2727272727272728E-2</v>
      </c>
      <c r="K1050" s="296" t="s">
        <v>171</v>
      </c>
      <c r="L1050" s="297">
        <v>0.57986111111111105</v>
      </c>
      <c r="M1050" s="297">
        <v>0.57986111111111105</v>
      </c>
      <c r="N1050" s="297">
        <v>0.58472222222222225</v>
      </c>
      <c r="O1050" s="298">
        <f>(Table6[[#This Row],[Work Start TimeStamp]]-Table6[[#This Row],[Fault Start TimeStamp]])*24</f>
        <v>0</v>
      </c>
      <c r="P1050" s="298">
        <f>(Table6[[#This Row],[Fault Clearance time]]-Table6[[#This Row],[Fault Start TimeStamp]])*24</f>
        <v>0.11666666666666892</v>
      </c>
      <c r="Q1050" s="298">
        <f>(Table6[[#This Row],[Fault Clearance time]]-Table6[[#This Row],[Fault Start TimeStamp]])*24</f>
        <v>0.11666666666666892</v>
      </c>
      <c r="R1050" s="79" t="s">
        <v>353</v>
      </c>
      <c r="S1050" s="79" t="s">
        <v>339</v>
      </c>
      <c r="T1050" s="298">
        <f>IFERROR(Table6[[#This Row],[Breakdown Time]]*Table6[[#This Row],[Plant Equivalent Weightage]],"")</f>
        <v>2.6515151515152028E-3</v>
      </c>
      <c r="U1050" s="79" t="s">
        <v>421</v>
      </c>
      <c r="W1050" s="79">
        <v>172</v>
      </c>
    </row>
    <row r="1051" spans="1:23">
      <c r="A1051" s="79">
        <f t="shared" si="16"/>
        <v>1050</v>
      </c>
      <c r="B1051" s="79">
        <f>YEAR(Table6[[#This Row],[Date]])+IF(MONTH(Table6[[#This Row],[Date]])&gt;=4,1,0)</f>
        <v>2026</v>
      </c>
      <c r="C1051" s="79">
        <f>YEAR(Table6[[#This Row],[Date]])</f>
        <v>2025</v>
      </c>
      <c r="D1051" s="79" t="s">
        <v>344</v>
      </c>
      <c r="E1051" s="284">
        <f>Table6[[#This Row],[Date]]-DAY(Table6[[#This Row],[Date]])+1</f>
        <v>45809</v>
      </c>
      <c r="F1051" s="285">
        <v>45837</v>
      </c>
      <c r="G1051" s="79" t="s">
        <v>80</v>
      </c>
      <c r="H1051" s="79" t="str">
        <f>IFERROR(_xlfn.XLOOKUP(Table6[[#This Row],[Affected Feeder ]],'Basic Data'!$A:$A,'Basic Data'!$B:$B),"")</f>
        <v>PWEPL</v>
      </c>
      <c r="I1051" s="79" t="str">
        <f>IFERROR(_xlfn.XLOOKUP(Table6[[#This Row],[Affected Feeder ]],'Basic Data'!$A:$A,'Basic Data'!$C:$C),"")</f>
        <v>MSEDCL</v>
      </c>
      <c r="J1051" s="295">
        <f>IFERROR(_xlfn.XLOOKUP(Table6[[#This Row],[Affected Feeder ]],'Basic Data'!$A:$A,'Basic Data'!$E:$E),"")</f>
        <v>2.2727272727272728E-2</v>
      </c>
      <c r="K1051" s="296" t="s">
        <v>796</v>
      </c>
      <c r="L1051" s="297">
        <v>0.99583333333333324</v>
      </c>
      <c r="M1051" s="297">
        <v>0.99583333333333324</v>
      </c>
      <c r="N1051" s="297">
        <v>0.99930555555555556</v>
      </c>
      <c r="O1051" s="298">
        <f>(Table6[[#This Row],[Work Start TimeStamp]]-Table6[[#This Row],[Fault Start TimeStamp]])*24</f>
        <v>0</v>
      </c>
      <c r="P1051" s="298">
        <f>(Table6[[#This Row],[Fault Clearance time]]-Table6[[#This Row],[Fault Start TimeStamp]])*24</f>
        <v>8.3333333333335702E-2</v>
      </c>
      <c r="Q1051" s="298">
        <f>(Table6[[#This Row],[Fault Clearance time]]-Table6[[#This Row],[Fault Start TimeStamp]])*24</f>
        <v>8.3333333333335702E-2</v>
      </c>
      <c r="R1051" s="79" t="s">
        <v>961</v>
      </c>
      <c r="S1051" s="79" t="s">
        <v>960</v>
      </c>
      <c r="T1051" s="298">
        <f>IFERROR(Table6[[#This Row],[Breakdown Time]]*Table6[[#This Row],[Plant Equivalent Weightage]],"")</f>
        <v>1.8939393939394478E-3</v>
      </c>
      <c r="U1051" s="79" t="s">
        <v>421</v>
      </c>
      <c r="W1051" s="79">
        <v>260</v>
      </c>
    </row>
    <row r="1052" spans="1:23">
      <c r="A1052" s="79">
        <f t="shared" si="16"/>
        <v>1051</v>
      </c>
      <c r="B1052" s="79">
        <f>YEAR(Table6[[#This Row],[Date]])+IF(MONTH(Table6[[#This Row],[Date]])&gt;=4,1,0)</f>
        <v>2026</v>
      </c>
      <c r="C1052" s="79">
        <f>YEAR(Table6[[#This Row],[Date]])</f>
        <v>2025</v>
      </c>
      <c r="D1052" s="79" t="s">
        <v>344</v>
      </c>
      <c r="E1052" s="284">
        <f>Table6[[#This Row],[Date]]-DAY(Table6[[#This Row],[Date]])+1</f>
        <v>45809</v>
      </c>
      <c r="F1052" s="285">
        <v>45838</v>
      </c>
      <c r="G1052" s="79" t="s">
        <v>80</v>
      </c>
      <c r="H1052" s="79" t="str">
        <f>IFERROR(_xlfn.XLOOKUP(Table6[[#This Row],[Affected Feeder ]],'Basic Data'!$A:$A,'Basic Data'!$B:$B),"")</f>
        <v>PWEPL</v>
      </c>
      <c r="I1052" s="79" t="str">
        <f>IFERROR(_xlfn.XLOOKUP(Table6[[#This Row],[Affected Feeder ]],'Basic Data'!$A:$A,'Basic Data'!$C:$C),"")</f>
        <v>MSEDCL</v>
      </c>
      <c r="J1052" s="295">
        <f>IFERROR(_xlfn.XLOOKUP(Table6[[#This Row],[Affected Feeder ]],'Basic Data'!$A:$A,'Basic Data'!$E:$E),"")</f>
        <v>2.2727272727272728E-2</v>
      </c>
      <c r="K1052" s="296" t="s">
        <v>796</v>
      </c>
      <c r="L1052" s="297">
        <v>0</v>
      </c>
      <c r="M1052" s="297">
        <v>0</v>
      </c>
      <c r="N1052" s="297">
        <v>5.2083333333333336E-2</v>
      </c>
      <c r="O1052" s="298">
        <f>(Table6[[#This Row],[Work Start TimeStamp]]-Table6[[#This Row],[Fault Start TimeStamp]])*24</f>
        <v>0</v>
      </c>
      <c r="P1052" s="298">
        <f>(Table6[[#This Row],[Fault Clearance time]]-Table6[[#This Row],[Fault Start TimeStamp]])*24</f>
        <v>1.25</v>
      </c>
      <c r="Q1052" s="298">
        <f>(Table6[[#This Row],[Fault Clearance time]]-Table6[[#This Row],[Fault Start TimeStamp]])*24</f>
        <v>1.25</v>
      </c>
      <c r="R1052" s="79" t="s">
        <v>424</v>
      </c>
      <c r="S1052" s="79" t="s">
        <v>339</v>
      </c>
      <c r="T1052" s="298">
        <f>IFERROR(Table6[[#This Row],[Breakdown Time]]*Table6[[#This Row],[Plant Equivalent Weightage]],"")</f>
        <v>2.8409090909090912E-2</v>
      </c>
      <c r="U1052" s="79" t="s">
        <v>421</v>
      </c>
      <c r="W1052" s="79">
        <v>1768</v>
      </c>
    </row>
    <row r="1053" spans="1:23">
      <c r="A1053" s="79">
        <f t="shared" si="16"/>
        <v>1052</v>
      </c>
      <c r="B1053" s="79">
        <f>YEAR(Table6[[#This Row],[Date]])+IF(MONTH(Table6[[#This Row],[Date]])&gt;=4,1,0)</f>
        <v>2026</v>
      </c>
      <c r="C1053" s="79">
        <f>YEAR(Table6[[#This Row],[Date]])</f>
        <v>2025</v>
      </c>
      <c r="D1053" s="79" t="s">
        <v>344</v>
      </c>
      <c r="E1053" s="284">
        <f>Table6[[#This Row],[Date]]-DAY(Table6[[#This Row],[Date]])+1</f>
        <v>45809</v>
      </c>
      <c r="F1053" s="285">
        <v>45838</v>
      </c>
      <c r="G1053" s="79" t="s">
        <v>80</v>
      </c>
      <c r="H1053" s="79" t="str">
        <f>IFERROR(_xlfn.XLOOKUP(Table6[[#This Row],[Affected Feeder ]],'Basic Data'!$A:$A,'Basic Data'!$B:$B),"")</f>
        <v>PWEPL</v>
      </c>
      <c r="I1053" s="79" t="str">
        <f>IFERROR(_xlfn.XLOOKUP(Table6[[#This Row],[Affected Feeder ]],'Basic Data'!$A:$A,'Basic Data'!$C:$C),"")</f>
        <v>MSEDCL</v>
      </c>
      <c r="J1053" s="295">
        <f>IFERROR(_xlfn.XLOOKUP(Table6[[#This Row],[Affected Feeder ]],'Basic Data'!$A:$A,'Basic Data'!$E:$E),"")</f>
        <v>2.2727272727272728E-2</v>
      </c>
      <c r="K1053" s="296" t="s">
        <v>171</v>
      </c>
      <c r="L1053" s="297">
        <v>5.2083333333333336E-2</v>
      </c>
      <c r="M1053" s="297">
        <v>5.2083333333333336E-2</v>
      </c>
      <c r="N1053" s="297">
        <v>5.347222222222222E-2</v>
      </c>
      <c r="O1053" s="298">
        <f>(Table6[[#This Row],[Work Start TimeStamp]]-Table6[[#This Row],[Fault Start TimeStamp]])*24</f>
        <v>0</v>
      </c>
      <c r="P1053" s="298">
        <f>(Table6[[#This Row],[Fault Clearance time]]-Table6[[#This Row],[Fault Start TimeStamp]])*24</f>
        <v>3.3333333333333215E-2</v>
      </c>
      <c r="Q1053" s="298">
        <f>(Table6[[#This Row],[Fault Clearance time]]-Table6[[#This Row],[Fault Start TimeStamp]])*24</f>
        <v>3.3333333333333215E-2</v>
      </c>
      <c r="R1053" s="79" t="s">
        <v>353</v>
      </c>
      <c r="S1053" s="79" t="s">
        <v>339</v>
      </c>
      <c r="T1053" s="298">
        <f>IFERROR(Table6[[#This Row],[Breakdown Time]]*Table6[[#This Row],[Plant Equivalent Weightage]],"")</f>
        <v>7.5757575757575486E-4</v>
      </c>
      <c r="U1053" s="79" t="s">
        <v>421</v>
      </c>
      <c r="W1053" s="79">
        <v>54</v>
      </c>
    </row>
    <row r="1054" spans="1:23">
      <c r="A1054" s="79">
        <f t="shared" si="16"/>
        <v>1053</v>
      </c>
      <c r="B1054" s="79">
        <f>YEAR(Table6[[#This Row],[Date]])+IF(MONTH(Table6[[#This Row],[Date]])&gt;=4,1,0)</f>
        <v>2026</v>
      </c>
      <c r="C1054" s="79">
        <f>YEAR(Table6[[#This Row],[Date]])</f>
        <v>2025</v>
      </c>
      <c r="D1054" s="79" t="s">
        <v>344</v>
      </c>
      <c r="E1054" s="284">
        <f>Table6[[#This Row],[Date]]-DAY(Table6[[#This Row],[Date]])+1</f>
        <v>45809</v>
      </c>
      <c r="F1054" s="285">
        <v>45838</v>
      </c>
      <c r="G1054" s="79" t="s">
        <v>80</v>
      </c>
      <c r="H1054" s="79" t="str">
        <f>IFERROR(_xlfn.XLOOKUP(Table6[[#This Row],[Affected Feeder ]],'Basic Data'!$A:$A,'Basic Data'!$B:$B),"")</f>
        <v>PWEPL</v>
      </c>
      <c r="I1054" s="79" t="str">
        <f>IFERROR(_xlfn.XLOOKUP(Table6[[#This Row],[Affected Feeder ]],'Basic Data'!$A:$A,'Basic Data'!$C:$C),"")</f>
        <v>MSEDCL</v>
      </c>
      <c r="J1054" s="295">
        <f>IFERROR(_xlfn.XLOOKUP(Table6[[#This Row],[Affected Feeder ]],'Basic Data'!$A:$A,'Basic Data'!$E:$E),"")</f>
        <v>2.2727272727272728E-2</v>
      </c>
      <c r="K1054" s="296" t="s">
        <v>796</v>
      </c>
      <c r="L1054" s="297">
        <v>0.90138888888888891</v>
      </c>
      <c r="M1054" s="297">
        <v>0.90138888888888891</v>
      </c>
      <c r="N1054" s="297">
        <v>0.93888888888888899</v>
      </c>
      <c r="O1054" s="298">
        <f>(Table6[[#This Row],[Work Start TimeStamp]]-Table6[[#This Row],[Fault Start TimeStamp]])*24</f>
        <v>0</v>
      </c>
      <c r="P1054" s="298">
        <f>(Table6[[#This Row],[Fault Clearance time]]-Table6[[#This Row],[Fault Start TimeStamp]])*24</f>
        <v>0.90000000000000213</v>
      </c>
      <c r="Q1054" s="298">
        <f>(Table6[[#This Row],[Fault Clearance time]]-Table6[[#This Row],[Fault Start TimeStamp]])*24</f>
        <v>0.90000000000000213</v>
      </c>
      <c r="R1054" s="79" t="s">
        <v>424</v>
      </c>
      <c r="S1054" s="79" t="s">
        <v>339</v>
      </c>
      <c r="T1054" s="298">
        <f>IFERROR(Table6[[#This Row],[Breakdown Time]]*Table6[[#This Row],[Plant Equivalent Weightage]],"")</f>
        <v>2.0454545454545503E-2</v>
      </c>
      <c r="U1054" s="79" t="s">
        <v>421</v>
      </c>
      <c r="W1054" s="79">
        <v>1634</v>
      </c>
    </row>
    <row r="1055" spans="1:23">
      <c r="A1055" s="79">
        <f t="shared" si="16"/>
        <v>1054</v>
      </c>
      <c r="B1055" s="79">
        <f>YEAR(Table6[[#This Row],[Date]])+IF(MONTH(Table6[[#This Row],[Date]])&gt;=4,1,0)</f>
        <v>2026</v>
      </c>
      <c r="C1055" s="79">
        <f>YEAR(Table6[[#This Row],[Date]])</f>
        <v>2025</v>
      </c>
      <c r="D1055" s="79" t="s">
        <v>344</v>
      </c>
      <c r="E1055" s="284">
        <f>Table6[[#This Row],[Date]]-DAY(Table6[[#This Row],[Date]])+1</f>
        <v>45809</v>
      </c>
      <c r="F1055" s="285">
        <v>45838</v>
      </c>
      <c r="G1055" s="79" t="s">
        <v>80</v>
      </c>
      <c r="H1055" s="79" t="str">
        <f>IFERROR(_xlfn.XLOOKUP(Table6[[#This Row],[Affected Feeder ]],'Basic Data'!$A:$A,'Basic Data'!$B:$B),"")</f>
        <v>PWEPL</v>
      </c>
      <c r="I1055" s="79" t="str">
        <f>IFERROR(_xlfn.XLOOKUP(Table6[[#This Row],[Affected Feeder ]],'Basic Data'!$A:$A,'Basic Data'!$C:$C),"")</f>
        <v>MSEDCL</v>
      </c>
      <c r="J1055" s="295">
        <f>IFERROR(_xlfn.XLOOKUP(Table6[[#This Row],[Affected Feeder ]],'Basic Data'!$A:$A,'Basic Data'!$E:$E),"")</f>
        <v>2.2727272727272728E-2</v>
      </c>
      <c r="K1055" s="296" t="s">
        <v>171</v>
      </c>
      <c r="L1055" s="297">
        <v>0.93888888888888899</v>
      </c>
      <c r="M1055" s="297">
        <v>0.93888888888888899</v>
      </c>
      <c r="N1055" s="297">
        <v>0.9458333333333333</v>
      </c>
      <c r="O1055" s="298">
        <f>(Table6[[#This Row],[Work Start TimeStamp]]-Table6[[#This Row],[Fault Start TimeStamp]])*24</f>
        <v>0</v>
      </c>
      <c r="P1055" s="298">
        <f>(Table6[[#This Row],[Fault Clearance time]]-Table6[[#This Row],[Fault Start TimeStamp]])*24</f>
        <v>0.16666666666666341</v>
      </c>
      <c r="Q1055" s="298">
        <f>(Table6[[#This Row],[Fault Clearance time]]-Table6[[#This Row],[Fault Start TimeStamp]])*24</f>
        <v>0.16666666666666341</v>
      </c>
      <c r="R1055" s="79" t="s">
        <v>353</v>
      </c>
      <c r="S1055" s="79" t="s">
        <v>339</v>
      </c>
      <c r="T1055" s="298">
        <f>IFERROR(Table6[[#This Row],[Breakdown Time]]*Table6[[#This Row],[Plant Equivalent Weightage]],"")</f>
        <v>3.7878787878787138E-3</v>
      </c>
      <c r="U1055" s="79" t="s">
        <v>421</v>
      </c>
      <c r="W1055" s="79">
        <v>302</v>
      </c>
    </row>
    <row r="1056" spans="1:23">
      <c r="A1056" s="79">
        <f t="shared" si="16"/>
        <v>1055</v>
      </c>
      <c r="B1056" s="79">
        <f>YEAR(Table6[[#This Row],[Date]])+IF(MONTH(Table6[[#This Row],[Date]])&gt;=4,1,0)</f>
        <v>2026</v>
      </c>
      <c r="C1056" s="79">
        <f>YEAR(Table6[[#This Row],[Date]])</f>
        <v>2025</v>
      </c>
      <c r="D1056" s="79" t="s">
        <v>344</v>
      </c>
      <c r="E1056" s="284">
        <f>Table6[[#This Row],[Date]]-DAY(Table6[[#This Row],[Date]])+1</f>
        <v>45839</v>
      </c>
      <c r="F1056" s="285">
        <v>45839</v>
      </c>
      <c r="G1056" s="79" t="s">
        <v>80</v>
      </c>
      <c r="H1056" s="79" t="str">
        <f>IFERROR(_xlfn.XLOOKUP(Table6[[#This Row],[Affected Feeder ]],'Basic Data'!$A:$A,'Basic Data'!$B:$B),"")</f>
        <v>PWEPL</v>
      </c>
      <c r="I1056" s="79" t="str">
        <f>IFERROR(_xlfn.XLOOKUP(Table6[[#This Row],[Affected Feeder ]],'Basic Data'!$A:$A,'Basic Data'!$C:$C),"")</f>
        <v>MSEDCL</v>
      </c>
      <c r="J1056" s="295">
        <f>IFERROR(_xlfn.XLOOKUP(Table6[[#This Row],[Affected Feeder ]],'Basic Data'!$A:$A,'Basic Data'!$E:$E),"")</f>
        <v>2.2727272727272728E-2</v>
      </c>
      <c r="K1056" s="296" t="s">
        <v>796</v>
      </c>
      <c r="L1056" s="297">
        <v>0.13402777777777777</v>
      </c>
      <c r="M1056" s="297">
        <v>0.13402777777777777</v>
      </c>
      <c r="N1056" s="297">
        <v>0.21111111111111111</v>
      </c>
      <c r="O1056" s="298">
        <f>(Table6[[#This Row],[Work Start TimeStamp]]-Table6[[#This Row],[Fault Start TimeStamp]])*24</f>
        <v>0</v>
      </c>
      <c r="P1056" s="298">
        <f>(Table6[[#This Row],[Fault Clearance time]]-Table6[[#This Row],[Fault Start TimeStamp]])*24</f>
        <v>1.85</v>
      </c>
      <c r="Q1056" s="298">
        <f>(Table6[[#This Row],[Fault Clearance time]]-Table6[[#This Row],[Fault Start TimeStamp]])*24</f>
        <v>1.85</v>
      </c>
      <c r="R1056" s="79" t="s">
        <v>424</v>
      </c>
      <c r="S1056" s="79" t="s">
        <v>339</v>
      </c>
      <c r="T1056" s="298">
        <f>IFERROR(Table6[[#This Row],[Breakdown Time]]*Table6[[#This Row],[Plant Equivalent Weightage]],"")</f>
        <v>4.2045454545454546E-2</v>
      </c>
      <c r="U1056" s="79" t="s">
        <v>421</v>
      </c>
      <c r="W1056" s="79">
        <v>2627</v>
      </c>
    </row>
    <row r="1057" spans="1:23">
      <c r="A1057" s="79">
        <f t="shared" si="16"/>
        <v>1056</v>
      </c>
      <c r="B1057" s="79">
        <f>YEAR(Table6[[#This Row],[Date]])+IF(MONTH(Table6[[#This Row],[Date]])&gt;=4,1,0)</f>
        <v>2026</v>
      </c>
      <c r="C1057" s="79">
        <f>YEAR(Table6[[#This Row],[Date]])</f>
        <v>2025</v>
      </c>
      <c r="D1057" s="79" t="s">
        <v>344</v>
      </c>
      <c r="E1057" s="284">
        <f>Table6[[#This Row],[Date]]-DAY(Table6[[#This Row],[Date]])+1</f>
        <v>45839</v>
      </c>
      <c r="F1057" s="285">
        <v>45839</v>
      </c>
      <c r="G1057" s="79" t="s">
        <v>80</v>
      </c>
      <c r="H1057" s="79" t="str">
        <f>IFERROR(_xlfn.XLOOKUP(Table6[[#This Row],[Affected Feeder ]],'Basic Data'!$A:$A,'Basic Data'!$B:$B),"")</f>
        <v>PWEPL</v>
      </c>
      <c r="I1057" s="79" t="str">
        <f>IFERROR(_xlfn.XLOOKUP(Table6[[#This Row],[Affected Feeder ]],'Basic Data'!$A:$A,'Basic Data'!$C:$C),"")</f>
        <v>MSEDCL</v>
      </c>
      <c r="J1057" s="295">
        <f>IFERROR(_xlfn.XLOOKUP(Table6[[#This Row],[Affected Feeder ]],'Basic Data'!$A:$A,'Basic Data'!$E:$E),"")</f>
        <v>2.2727272727272728E-2</v>
      </c>
      <c r="K1057" s="296" t="s">
        <v>171</v>
      </c>
      <c r="L1057" s="297">
        <v>0.21111111111111111</v>
      </c>
      <c r="M1057" s="297">
        <v>0.21111111111111111</v>
      </c>
      <c r="N1057" s="297">
        <v>0.21249999999999999</v>
      </c>
      <c r="O1057" s="298">
        <f>(Table6[[#This Row],[Work Start TimeStamp]]-Table6[[#This Row],[Fault Start TimeStamp]])*24</f>
        <v>0</v>
      </c>
      <c r="P1057" s="298">
        <f>(Table6[[#This Row],[Fault Clearance time]]-Table6[[#This Row],[Fault Start TimeStamp]])*24</f>
        <v>3.3333333333333215E-2</v>
      </c>
      <c r="Q1057" s="298">
        <f>(Table6[[#This Row],[Fault Clearance time]]-Table6[[#This Row],[Fault Start TimeStamp]])*24</f>
        <v>3.3333333333333215E-2</v>
      </c>
      <c r="R1057" s="79" t="s">
        <v>353</v>
      </c>
      <c r="S1057" s="79" t="s">
        <v>339</v>
      </c>
      <c r="T1057" s="298">
        <f>IFERROR(Table6[[#This Row],[Breakdown Time]]*Table6[[#This Row],[Plant Equivalent Weightage]],"")</f>
        <v>7.5757575757575486E-4</v>
      </c>
      <c r="U1057" s="79" t="s">
        <v>421</v>
      </c>
      <c r="W1057" s="79">
        <v>47</v>
      </c>
    </row>
    <row r="1058" spans="1:23">
      <c r="A1058" s="79">
        <f t="shared" si="16"/>
        <v>1057</v>
      </c>
      <c r="B1058" s="79">
        <f>YEAR(Table6[[#This Row],[Date]])+IF(MONTH(Table6[[#This Row],[Date]])&gt;=4,1,0)</f>
        <v>2026</v>
      </c>
      <c r="C1058" s="79">
        <f>YEAR(Table6[[#This Row],[Date]])</f>
        <v>2025</v>
      </c>
      <c r="D1058" s="79" t="s">
        <v>344</v>
      </c>
      <c r="E1058" s="284">
        <f>Table6[[#This Row],[Date]]-DAY(Table6[[#This Row],[Date]])+1</f>
        <v>45839</v>
      </c>
      <c r="F1058" s="285">
        <v>45839</v>
      </c>
      <c r="G1058" s="79" t="s">
        <v>80</v>
      </c>
      <c r="H1058" s="79" t="str">
        <f>IFERROR(_xlfn.XLOOKUP(Table6[[#This Row],[Affected Feeder ]],'Basic Data'!$A:$A,'Basic Data'!$B:$B),"")</f>
        <v>PWEPL</v>
      </c>
      <c r="I1058" s="79" t="str">
        <f>IFERROR(_xlfn.XLOOKUP(Table6[[#This Row],[Affected Feeder ]],'Basic Data'!$A:$A,'Basic Data'!$C:$C),"")</f>
        <v>MSEDCL</v>
      </c>
      <c r="J1058" s="295">
        <f>IFERROR(_xlfn.XLOOKUP(Table6[[#This Row],[Affected Feeder ]],'Basic Data'!$A:$A,'Basic Data'!$E:$E),"")</f>
        <v>2.2727272727272728E-2</v>
      </c>
      <c r="K1058" s="296" t="s">
        <v>796</v>
      </c>
      <c r="L1058" s="297">
        <v>0.29097222222222224</v>
      </c>
      <c r="M1058" s="297">
        <v>0.29097222222222224</v>
      </c>
      <c r="N1058" s="297">
        <v>0.3833333333333333</v>
      </c>
      <c r="O1058" s="298">
        <f>(Table6[[#This Row],[Work Start TimeStamp]]-Table6[[#This Row],[Fault Start TimeStamp]])*24</f>
        <v>0</v>
      </c>
      <c r="P1058" s="298">
        <f>(Table6[[#This Row],[Fault Clearance time]]-Table6[[#This Row],[Fault Start TimeStamp]])*24</f>
        <v>2.2166666666666655</v>
      </c>
      <c r="Q1058" s="298">
        <f>(Table6[[#This Row],[Fault Clearance time]]-Table6[[#This Row],[Fault Start TimeStamp]])*24</f>
        <v>2.2166666666666655</v>
      </c>
      <c r="R1058" s="79" t="s">
        <v>424</v>
      </c>
      <c r="S1058" s="79" t="s">
        <v>339</v>
      </c>
      <c r="T1058" s="298">
        <f>IFERROR(Table6[[#This Row],[Breakdown Time]]*Table6[[#This Row],[Plant Equivalent Weightage]],"")</f>
        <v>5.0378787878787849E-2</v>
      </c>
      <c r="U1058" s="79" t="s">
        <v>421</v>
      </c>
      <c r="W1058" s="79">
        <v>3420</v>
      </c>
    </row>
    <row r="1059" spans="1:23">
      <c r="A1059" s="79">
        <f t="shared" si="16"/>
        <v>1058</v>
      </c>
      <c r="B1059" s="79">
        <f>YEAR(Table6[[#This Row],[Date]])+IF(MONTH(Table6[[#This Row],[Date]])&gt;=4,1,0)</f>
        <v>2026</v>
      </c>
      <c r="C1059" s="79">
        <f>YEAR(Table6[[#This Row],[Date]])</f>
        <v>2025</v>
      </c>
      <c r="D1059" s="79" t="s">
        <v>344</v>
      </c>
      <c r="E1059" s="284">
        <f>Table6[[#This Row],[Date]]-DAY(Table6[[#This Row],[Date]])+1</f>
        <v>45839</v>
      </c>
      <c r="F1059" s="285">
        <v>45839</v>
      </c>
      <c r="G1059" s="79" t="s">
        <v>80</v>
      </c>
      <c r="H1059" s="79" t="str">
        <f>IFERROR(_xlfn.XLOOKUP(Table6[[#This Row],[Affected Feeder ]],'Basic Data'!$A:$A,'Basic Data'!$B:$B),"")</f>
        <v>PWEPL</v>
      </c>
      <c r="I1059" s="79" t="str">
        <f>IFERROR(_xlfn.XLOOKUP(Table6[[#This Row],[Affected Feeder ]],'Basic Data'!$A:$A,'Basic Data'!$C:$C),"")</f>
        <v>MSEDCL</v>
      </c>
      <c r="J1059" s="295">
        <f>IFERROR(_xlfn.XLOOKUP(Table6[[#This Row],[Affected Feeder ]],'Basic Data'!$A:$A,'Basic Data'!$E:$E),"")</f>
        <v>2.2727272727272728E-2</v>
      </c>
      <c r="K1059" s="296" t="s">
        <v>171</v>
      </c>
      <c r="L1059" s="297">
        <v>0.3833333333333333</v>
      </c>
      <c r="M1059" s="297">
        <v>0.3833333333333333</v>
      </c>
      <c r="N1059" s="297">
        <v>0.38541666666666669</v>
      </c>
      <c r="O1059" s="298">
        <f>(Table6[[#This Row],[Work Start TimeStamp]]-Table6[[#This Row],[Fault Start TimeStamp]])*24</f>
        <v>0</v>
      </c>
      <c r="P1059" s="298">
        <f>(Table6[[#This Row],[Fault Clearance time]]-Table6[[#This Row],[Fault Start TimeStamp]])*24</f>
        <v>5.0000000000001155E-2</v>
      </c>
      <c r="Q1059" s="298">
        <f>(Table6[[#This Row],[Fault Clearance time]]-Table6[[#This Row],[Fault Start TimeStamp]])*24</f>
        <v>5.0000000000001155E-2</v>
      </c>
      <c r="R1059" s="79" t="s">
        <v>353</v>
      </c>
      <c r="S1059" s="79" t="s">
        <v>339</v>
      </c>
      <c r="T1059" s="298">
        <f>IFERROR(Table6[[#This Row],[Breakdown Time]]*Table6[[#This Row],[Plant Equivalent Weightage]],"")</f>
        <v>1.1363636363636625E-3</v>
      </c>
      <c r="U1059" s="79" t="s">
        <v>421</v>
      </c>
      <c r="W1059" s="79">
        <v>77</v>
      </c>
    </row>
    <row r="1060" spans="1:23">
      <c r="A1060" s="79">
        <f t="shared" si="16"/>
        <v>1059</v>
      </c>
      <c r="B1060" s="79">
        <f>YEAR(Table6[[#This Row],[Date]])+IF(MONTH(Table6[[#This Row],[Date]])&gt;=4,1,0)</f>
        <v>2026</v>
      </c>
      <c r="C1060" s="79">
        <f>YEAR(Table6[[#This Row],[Date]])</f>
        <v>2025</v>
      </c>
      <c r="D1060" s="79" t="s">
        <v>344</v>
      </c>
      <c r="E1060" s="284">
        <f>Table6[[#This Row],[Date]]-DAY(Table6[[#This Row],[Date]])+1</f>
        <v>45839</v>
      </c>
      <c r="F1060" s="285">
        <v>45840</v>
      </c>
      <c r="G1060" s="79" t="s">
        <v>404</v>
      </c>
      <c r="H1060" s="79" t="str">
        <f>IFERROR(_xlfn.XLOOKUP(Table6[[#This Row],[Affected Feeder ]],'Basic Data'!$A:$A,'Basic Data'!$B:$B),"")</f>
        <v>PWEPL</v>
      </c>
      <c r="I1060" s="79" t="str">
        <f>IFERROR(_xlfn.XLOOKUP(Table6[[#This Row],[Affected Feeder ]],'Basic Data'!$A:$A,'Basic Data'!$C:$C),"")</f>
        <v>MSEDCL</v>
      </c>
      <c r="J1060" s="295">
        <f>IFERROR(_xlfn.XLOOKUP(Table6[[#This Row],[Affected Feeder ]],'Basic Data'!$A:$A,'Basic Data'!$E:$E),"")</f>
        <v>0.27272727272727276</v>
      </c>
      <c r="K1060" s="296" t="s">
        <v>419</v>
      </c>
      <c r="L1060" s="297">
        <v>0.60902777777777783</v>
      </c>
      <c r="M1060" s="297">
        <v>0.60902777777777783</v>
      </c>
      <c r="N1060" s="297">
        <v>0.63750000000000007</v>
      </c>
      <c r="O1060" s="298">
        <f>(Table6[[#This Row],[Work Start TimeStamp]]-Table6[[#This Row],[Fault Start TimeStamp]])*24</f>
        <v>0</v>
      </c>
      <c r="P1060" s="298">
        <f>(Table6[[#This Row],[Fault Clearance time]]-Table6[[#This Row],[Fault Start TimeStamp]])*24</f>
        <v>0.68333333333333357</v>
      </c>
      <c r="Q1060" s="298">
        <f>(Table6[[#This Row],[Fault Clearance time]]-Table6[[#This Row],[Fault Start TimeStamp]])*24</f>
        <v>0.68333333333333357</v>
      </c>
      <c r="R1060" s="79" t="s">
        <v>420</v>
      </c>
      <c r="S1060" s="79" t="s">
        <v>339</v>
      </c>
      <c r="T1060" s="298">
        <f>IFERROR(Table6[[#This Row],[Breakdown Time]]*Table6[[#This Row],[Plant Equivalent Weightage]],"")</f>
        <v>0.18636363636363645</v>
      </c>
      <c r="U1060" s="79" t="s">
        <v>421</v>
      </c>
      <c r="W1060" s="79">
        <v>8993</v>
      </c>
    </row>
    <row r="1061" spans="1:23">
      <c r="A1061" s="79">
        <f t="shared" si="16"/>
        <v>1060</v>
      </c>
      <c r="B1061" s="79">
        <f>YEAR(Table6[[#This Row],[Date]])+IF(MONTH(Table6[[#This Row],[Date]])&gt;=4,1,0)</f>
        <v>2026</v>
      </c>
      <c r="C1061" s="79">
        <f>YEAR(Table6[[#This Row],[Date]])</f>
        <v>2025</v>
      </c>
      <c r="D1061" s="79" t="s">
        <v>344</v>
      </c>
      <c r="E1061" s="284">
        <f>Table6[[#This Row],[Date]]-DAY(Table6[[#This Row],[Date]])+1</f>
        <v>45839</v>
      </c>
      <c r="F1061" s="285">
        <v>45840</v>
      </c>
      <c r="G1061" s="79" t="s">
        <v>89</v>
      </c>
      <c r="H1061" s="79" t="str">
        <f>IFERROR(_xlfn.XLOOKUP(Table6[[#This Row],[Affected Feeder ]],'Basic Data'!$A:$A,'Basic Data'!$B:$B),"")</f>
        <v>PWEPL</v>
      </c>
      <c r="I1061" s="79" t="str">
        <f>IFERROR(_xlfn.XLOOKUP(Table6[[#This Row],[Affected Feeder ]],'Basic Data'!$A:$A,'Basic Data'!$C:$C),"")</f>
        <v>MSEDCL</v>
      </c>
      <c r="J1061" s="295">
        <f>IFERROR(_xlfn.XLOOKUP(Table6[[#This Row],[Affected Feeder ]],'Basic Data'!$A:$A,'Basic Data'!$E:$E),"")</f>
        <v>2.2727272727272728E-2</v>
      </c>
      <c r="K1061" s="296" t="s">
        <v>171</v>
      </c>
      <c r="L1061" s="297">
        <v>0.63750000000000007</v>
      </c>
      <c r="M1061" s="297">
        <v>0.63750000000000007</v>
      </c>
      <c r="N1061" s="297">
        <v>0.64722222222222225</v>
      </c>
      <c r="O1061" s="298">
        <f>(Table6[[#This Row],[Work Start TimeStamp]]-Table6[[#This Row],[Fault Start TimeStamp]])*24</f>
        <v>0</v>
      </c>
      <c r="P1061" s="298">
        <f>(Table6[[#This Row],[Fault Clearance time]]-Table6[[#This Row],[Fault Start TimeStamp]])*24</f>
        <v>0.2333333333333325</v>
      </c>
      <c r="Q1061" s="298">
        <f>(Table6[[#This Row],[Fault Clearance time]]-Table6[[#This Row],[Fault Start TimeStamp]])*24</f>
        <v>0.2333333333333325</v>
      </c>
      <c r="R1061" s="79" t="s">
        <v>353</v>
      </c>
      <c r="S1061" s="79" t="s">
        <v>339</v>
      </c>
      <c r="T1061" s="298">
        <f>IFERROR(Table6[[#This Row],[Breakdown Time]]*Table6[[#This Row],[Plant Equivalent Weightage]],"")</f>
        <v>5.3030303030302843E-3</v>
      </c>
      <c r="U1061" s="79" t="s">
        <v>421</v>
      </c>
      <c r="W1061" s="79">
        <v>255</v>
      </c>
    </row>
    <row r="1062" spans="1:23">
      <c r="A1062" s="79">
        <f t="shared" si="16"/>
        <v>1061</v>
      </c>
      <c r="B1062" s="79">
        <f>YEAR(Table6[[#This Row],[Date]])+IF(MONTH(Table6[[#This Row],[Date]])&gt;=4,1,0)</f>
        <v>2026</v>
      </c>
      <c r="C1062" s="79">
        <f>YEAR(Table6[[#This Row],[Date]])</f>
        <v>2025</v>
      </c>
      <c r="D1062" s="79" t="s">
        <v>344</v>
      </c>
      <c r="E1062" s="284">
        <f>Table6[[#This Row],[Date]]-DAY(Table6[[#This Row],[Date]])+1</f>
        <v>45839</v>
      </c>
      <c r="F1062" s="285">
        <v>45840</v>
      </c>
      <c r="G1062" s="79" t="s">
        <v>90</v>
      </c>
      <c r="H1062" s="79" t="str">
        <f>IFERROR(_xlfn.XLOOKUP(Table6[[#This Row],[Affected Feeder ]],'Basic Data'!$A:$A,'Basic Data'!$B:$B),"")</f>
        <v>PWEPL</v>
      </c>
      <c r="I1062" s="79" t="str">
        <f>IFERROR(_xlfn.XLOOKUP(Table6[[#This Row],[Affected Feeder ]],'Basic Data'!$A:$A,'Basic Data'!$C:$C),"")</f>
        <v>MSEDCL</v>
      </c>
      <c r="J1062" s="295">
        <f>IFERROR(_xlfn.XLOOKUP(Table6[[#This Row],[Affected Feeder ]],'Basic Data'!$A:$A,'Basic Data'!$E:$E),"")</f>
        <v>2.2727272727272728E-2</v>
      </c>
      <c r="K1062" s="296" t="s">
        <v>422</v>
      </c>
      <c r="L1062" s="297">
        <v>0.63750000000000007</v>
      </c>
      <c r="M1062" s="297">
        <v>0.63750000000000007</v>
      </c>
      <c r="N1062" s="297">
        <v>0.67708333333333337</v>
      </c>
      <c r="O1062" s="298">
        <f>(Table6[[#This Row],[Work Start TimeStamp]]-Table6[[#This Row],[Fault Start TimeStamp]])*24</f>
        <v>0</v>
      </c>
      <c r="P1062" s="298">
        <f>(Table6[[#This Row],[Fault Clearance time]]-Table6[[#This Row],[Fault Start TimeStamp]])*24</f>
        <v>0.94999999999999929</v>
      </c>
      <c r="Q1062" s="298">
        <f>(Table6[[#This Row],[Fault Clearance time]]-Table6[[#This Row],[Fault Start TimeStamp]])*24</f>
        <v>0.94999999999999929</v>
      </c>
      <c r="R1062" s="79" t="s">
        <v>424</v>
      </c>
      <c r="S1062" s="79" t="s">
        <v>339</v>
      </c>
      <c r="T1062" s="298">
        <f>IFERROR(Table6[[#This Row],[Breakdown Time]]*Table6[[#This Row],[Plant Equivalent Weightage]],"")</f>
        <v>2.1590909090909074E-2</v>
      </c>
      <c r="U1062" s="79" t="s">
        <v>421</v>
      </c>
      <c r="W1062" s="79">
        <v>9824</v>
      </c>
    </row>
    <row r="1063" spans="1:23">
      <c r="A1063" s="79">
        <f t="shared" si="16"/>
        <v>1062</v>
      </c>
      <c r="B1063" s="79">
        <f>YEAR(Table6[[#This Row],[Date]])+IF(MONTH(Table6[[#This Row],[Date]])&gt;=4,1,0)</f>
        <v>2026</v>
      </c>
      <c r="C1063" s="79">
        <f>YEAR(Table6[[#This Row],[Date]])</f>
        <v>2025</v>
      </c>
      <c r="D1063" s="79" t="s">
        <v>344</v>
      </c>
      <c r="E1063" s="284">
        <f>Table6[[#This Row],[Date]]-DAY(Table6[[#This Row],[Date]])+1</f>
        <v>45839</v>
      </c>
      <c r="F1063" s="285">
        <v>45840</v>
      </c>
      <c r="G1063" s="79" t="s">
        <v>90</v>
      </c>
      <c r="H1063" s="79" t="str">
        <f>IFERROR(_xlfn.XLOOKUP(Table6[[#This Row],[Affected Feeder ]],'Basic Data'!$A:$A,'Basic Data'!$B:$B),"")</f>
        <v>PWEPL</v>
      </c>
      <c r="I1063" s="79" t="str">
        <f>IFERROR(_xlfn.XLOOKUP(Table6[[#This Row],[Affected Feeder ]],'Basic Data'!$A:$A,'Basic Data'!$C:$C),"")</f>
        <v>MSEDCL</v>
      </c>
      <c r="J1063" s="295">
        <f>IFERROR(_xlfn.XLOOKUP(Table6[[#This Row],[Affected Feeder ]],'Basic Data'!$A:$A,'Basic Data'!$E:$E),"")</f>
        <v>2.2727272727272728E-2</v>
      </c>
      <c r="K1063" s="296" t="s">
        <v>171</v>
      </c>
      <c r="L1063" s="297">
        <v>0.67708333333333337</v>
      </c>
      <c r="M1063" s="297">
        <v>0.67708333333333337</v>
      </c>
      <c r="N1063" s="297">
        <v>0.68402777777777779</v>
      </c>
      <c r="O1063" s="298">
        <f>(Table6[[#This Row],[Work Start TimeStamp]]-Table6[[#This Row],[Fault Start TimeStamp]])*24</f>
        <v>0</v>
      </c>
      <c r="P1063" s="298">
        <f>(Table6[[#This Row],[Fault Clearance time]]-Table6[[#This Row],[Fault Start TimeStamp]])*24</f>
        <v>0.16666666666666607</v>
      </c>
      <c r="Q1063" s="298">
        <f>(Table6[[#This Row],[Fault Clearance time]]-Table6[[#This Row],[Fault Start TimeStamp]])*24</f>
        <v>0.16666666666666607</v>
      </c>
      <c r="R1063" s="79" t="s">
        <v>353</v>
      </c>
      <c r="S1063" s="79" t="s">
        <v>339</v>
      </c>
      <c r="T1063" s="298">
        <f>IFERROR(Table6[[#This Row],[Breakdown Time]]*Table6[[#This Row],[Plant Equivalent Weightage]],"")</f>
        <v>3.7878787878787745E-3</v>
      </c>
      <c r="U1063" s="79" t="s">
        <v>421</v>
      </c>
      <c r="W1063" s="79">
        <v>310</v>
      </c>
    </row>
    <row r="1064" spans="1:23">
      <c r="A1064" s="79">
        <f t="shared" si="16"/>
        <v>1063</v>
      </c>
      <c r="B1064" s="79">
        <f>YEAR(Table6[[#This Row],[Date]])+IF(MONTH(Table6[[#This Row],[Date]])&gt;=4,1,0)</f>
        <v>2026</v>
      </c>
      <c r="C1064" s="79">
        <f>YEAR(Table6[[#This Row],[Date]])</f>
        <v>2025</v>
      </c>
      <c r="D1064" s="79" t="s">
        <v>344</v>
      </c>
      <c r="E1064" s="284">
        <f>Table6[[#This Row],[Date]]-DAY(Table6[[#This Row],[Date]])+1</f>
        <v>45839</v>
      </c>
      <c r="F1064" s="285">
        <v>45840</v>
      </c>
      <c r="G1064" s="79" t="s">
        <v>91</v>
      </c>
      <c r="H1064" s="79" t="str">
        <f>IFERROR(_xlfn.XLOOKUP(Table6[[#This Row],[Affected Feeder ]],'Basic Data'!$A:$A,'Basic Data'!$B:$B),"")</f>
        <v>PWEPL</v>
      </c>
      <c r="I1064" s="79" t="str">
        <f>IFERROR(_xlfn.XLOOKUP(Table6[[#This Row],[Affected Feeder ]],'Basic Data'!$A:$A,'Basic Data'!$C:$C),"")</f>
        <v>MSEDCL</v>
      </c>
      <c r="J1064" s="295">
        <f>IFERROR(_xlfn.XLOOKUP(Table6[[#This Row],[Affected Feeder ]],'Basic Data'!$A:$A,'Basic Data'!$E:$E),"")</f>
        <v>2.2727272727272728E-2</v>
      </c>
      <c r="K1064" s="296" t="s">
        <v>171</v>
      </c>
      <c r="L1064" s="297">
        <v>0.63750000000000007</v>
      </c>
      <c r="M1064" s="297">
        <v>0.63750000000000007</v>
      </c>
      <c r="N1064" s="297">
        <v>0.64930555555555558</v>
      </c>
      <c r="O1064" s="298">
        <f>(Table6[[#This Row],[Work Start TimeStamp]]-Table6[[#This Row],[Fault Start TimeStamp]])*24</f>
        <v>0</v>
      </c>
      <c r="P1064" s="298">
        <f>(Table6[[#This Row],[Fault Clearance time]]-Table6[[#This Row],[Fault Start TimeStamp]])*24</f>
        <v>0.28333333333333233</v>
      </c>
      <c r="Q1064" s="298">
        <f>(Table6[[#This Row],[Fault Clearance time]]-Table6[[#This Row],[Fault Start TimeStamp]])*24</f>
        <v>0.28333333333333233</v>
      </c>
      <c r="R1064" s="79" t="s">
        <v>353</v>
      </c>
      <c r="S1064" s="79" t="s">
        <v>339</v>
      </c>
      <c r="T1064" s="298">
        <f>IFERROR(Table6[[#This Row],[Breakdown Time]]*Table6[[#This Row],[Plant Equivalent Weightage]],"")</f>
        <v>6.4393939393939167E-3</v>
      </c>
      <c r="U1064" s="79" t="s">
        <v>421</v>
      </c>
      <c r="W1064" s="79">
        <v>310</v>
      </c>
    </row>
    <row r="1065" spans="1:23">
      <c r="A1065" s="79">
        <f t="shared" si="16"/>
        <v>1064</v>
      </c>
      <c r="B1065" s="79">
        <f>YEAR(Table6[[#This Row],[Date]])+IF(MONTH(Table6[[#This Row],[Date]])&gt;=4,1,0)</f>
        <v>2026</v>
      </c>
      <c r="C1065" s="79">
        <f>YEAR(Table6[[#This Row],[Date]])</f>
        <v>2025</v>
      </c>
      <c r="D1065" s="79" t="s">
        <v>344</v>
      </c>
      <c r="E1065" s="284">
        <f>Table6[[#This Row],[Date]]-DAY(Table6[[#This Row],[Date]])+1</f>
        <v>45839</v>
      </c>
      <c r="F1065" s="285">
        <v>45840</v>
      </c>
      <c r="G1065" s="79" t="s">
        <v>92</v>
      </c>
      <c r="H1065" s="79" t="str">
        <f>IFERROR(_xlfn.XLOOKUP(Table6[[#This Row],[Affected Feeder ]],'Basic Data'!$A:$A,'Basic Data'!$B:$B),"")</f>
        <v>PWEPL</v>
      </c>
      <c r="I1065" s="79" t="str">
        <f>IFERROR(_xlfn.XLOOKUP(Table6[[#This Row],[Affected Feeder ]],'Basic Data'!$A:$A,'Basic Data'!$C:$C),"")</f>
        <v>MSEDCL</v>
      </c>
      <c r="J1065" s="295">
        <f>IFERROR(_xlfn.XLOOKUP(Table6[[#This Row],[Affected Feeder ]],'Basic Data'!$A:$A,'Basic Data'!$E:$E),"")</f>
        <v>2.2727272727272728E-2</v>
      </c>
      <c r="K1065" s="296" t="s">
        <v>171</v>
      </c>
      <c r="L1065" s="297">
        <v>0.63750000000000007</v>
      </c>
      <c r="M1065" s="297">
        <v>0.63750000000000007</v>
      </c>
      <c r="N1065" s="297">
        <v>0.65138888888888891</v>
      </c>
      <c r="O1065" s="298">
        <f>(Table6[[#This Row],[Work Start TimeStamp]]-Table6[[#This Row],[Fault Start TimeStamp]])*24</f>
        <v>0</v>
      </c>
      <c r="P1065" s="298">
        <f>(Table6[[#This Row],[Fault Clearance time]]-Table6[[#This Row],[Fault Start TimeStamp]])*24</f>
        <v>0.33333333333333215</v>
      </c>
      <c r="Q1065" s="298">
        <f>(Table6[[#This Row],[Fault Clearance time]]-Table6[[#This Row],[Fault Start TimeStamp]])*24</f>
        <v>0.33333333333333215</v>
      </c>
      <c r="R1065" s="79" t="s">
        <v>353</v>
      </c>
      <c r="S1065" s="79" t="s">
        <v>339</v>
      </c>
      <c r="T1065" s="298">
        <f>IFERROR(Table6[[#This Row],[Breakdown Time]]*Table6[[#This Row],[Plant Equivalent Weightage]],"")</f>
        <v>7.5757575757575491E-3</v>
      </c>
      <c r="U1065" s="79" t="s">
        <v>421</v>
      </c>
      <c r="W1065" s="79">
        <v>409</v>
      </c>
    </row>
    <row r="1066" spans="1:23">
      <c r="A1066" s="79">
        <f t="shared" si="16"/>
        <v>1065</v>
      </c>
      <c r="B1066" s="79">
        <f>YEAR(Table6[[#This Row],[Date]])+IF(MONTH(Table6[[#This Row],[Date]])&gt;=4,1,0)</f>
        <v>2026</v>
      </c>
      <c r="C1066" s="79">
        <f>YEAR(Table6[[#This Row],[Date]])</f>
        <v>2025</v>
      </c>
      <c r="D1066" s="79" t="s">
        <v>344</v>
      </c>
      <c r="E1066" s="284">
        <f>Table6[[#This Row],[Date]]-DAY(Table6[[#This Row],[Date]])+1</f>
        <v>45839</v>
      </c>
      <c r="F1066" s="285">
        <v>45840</v>
      </c>
      <c r="G1066" s="79" t="s">
        <v>94</v>
      </c>
      <c r="H1066" s="79" t="str">
        <f>IFERROR(_xlfn.XLOOKUP(Table6[[#This Row],[Affected Feeder ]],'Basic Data'!$A:$A,'Basic Data'!$B:$B),"")</f>
        <v>PWEPL</v>
      </c>
      <c r="I1066" s="79" t="str">
        <f>IFERROR(_xlfn.XLOOKUP(Table6[[#This Row],[Affected Feeder ]],'Basic Data'!$A:$A,'Basic Data'!$C:$C),"")</f>
        <v>MSEDCL</v>
      </c>
      <c r="J1066" s="295">
        <f>IFERROR(_xlfn.XLOOKUP(Table6[[#This Row],[Affected Feeder ]],'Basic Data'!$A:$A,'Basic Data'!$E:$E),"")</f>
        <v>2.2727272727272728E-2</v>
      </c>
      <c r="K1066" s="296" t="s">
        <v>171</v>
      </c>
      <c r="L1066" s="297">
        <v>0.63750000000000007</v>
      </c>
      <c r="M1066" s="297">
        <v>0.63750000000000007</v>
      </c>
      <c r="N1066" s="297">
        <v>0.65138888888888891</v>
      </c>
      <c r="O1066" s="298">
        <f>(Table6[[#This Row],[Work Start TimeStamp]]-Table6[[#This Row],[Fault Start TimeStamp]])*24</f>
        <v>0</v>
      </c>
      <c r="P1066" s="298">
        <f>(Table6[[#This Row],[Fault Clearance time]]-Table6[[#This Row],[Fault Start TimeStamp]])*24</f>
        <v>0.33333333333333215</v>
      </c>
      <c r="Q1066" s="298">
        <f>(Table6[[#This Row],[Fault Clearance time]]-Table6[[#This Row],[Fault Start TimeStamp]])*24</f>
        <v>0.33333333333333215</v>
      </c>
      <c r="R1066" s="79" t="s">
        <v>353</v>
      </c>
      <c r="S1066" s="79" t="s">
        <v>339</v>
      </c>
      <c r="T1066" s="298">
        <f>IFERROR(Table6[[#This Row],[Breakdown Time]]*Table6[[#This Row],[Plant Equivalent Weightage]],"")</f>
        <v>7.5757575757575491E-3</v>
      </c>
      <c r="U1066" s="79" t="s">
        <v>421</v>
      </c>
      <c r="W1066" s="79">
        <v>409</v>
      </c>
    </row>
    <row r="1067" spans="1:23">
      <c r="A1067" s="79">
        <f t="shared" si="16"/>
        <v>1066</v>
      </c>
      <c r="B1067" s="79">
        <f>YEAR(Table6[[#This Row],[Date]])+IF(MONTH(Table6[[#This Row],[Date]])&gt;=4,1,0)</f>
        <v>2026</v>
      </c>
      <c r="C1067" s="79">
        <f>YEAR(Table6[[#This Row],[Date]])</f>
        <v>2025</v>
      </c>
      <c r="D1067" s="79" t="s">
        <v>344</v>
      </c>
      <c r="E1067" s="284">
        <f>Table6[[#This Row],[Date]]-DAY(Table6[[#This Row],[Date]])+1</f>
        <v>45839</v>
      </c>
      <c r="F1067" s="285">
        <v>45840</v>
      </c>
      <c r="G1067" s="79" t="s">
        <v>95</v>
      </c>
      <c r="H1067" s="79" t="str">
        <f>IFERROR(_xlfn.XLOOKUP(Table6[[#This Row],[Affected Feeder ]],'Basic Data'!$A:$A,'Basic Data'!$B:$B),"")</f>
        <v>PWEPL</v>
      </c>
      <c r="I1067" s="79" t="str">
        <f>IFERROR(_xlfn.XLOOKUP(Table6[[#This Row],[Affected Feeder ]],'Basic Data'!$A:$A,'Basic Data'!$C:$C),"")</f>
        <v>MSEDCL</v>
      </c>
      <c r="J1067" s="295">
        <f>IFERROR(_xlfn.XLOOKUP(Table6[[#This Row],[Affected Feeder ]],'Basic Data'!$A:$A,'Basic Data'!$E:$E),"")</f>
        <v>2.2727272727272728E-2</v>
      </c>
      <c r="K1067" s="296" t="s">
        <v>171</v>
      </c>
      <c r="L1067" s="297">
        <v>0.63750000000000007</v>
      </c>
      <c r="M1067" s="297">
        <v>0.63750000000000007</v>
      </c>
      <c r="N1067" s="297">
        <v>0.65138888888888891</v>
      </c>
      <c r="O1067" s="298">
        <f>(Table6[[#This Row],[Work Start TimeStamp]]-Table6[[#This Row],[Fault Start TimeStamp]])*24</f>
        <v>0</v>
      </c>
      <c r="P1067" s="298">
        <f>(Table6[[#This Row],[Fault Clearance time]]-Table6[[#This Row],[Fault Start TimeStamp]])*24</f>
        <v>0.33333333333333215</v>
      </c>
      <c r="Q1067" s="298">
        <f>(Table6[[#This Row],[Fault Clearance time]]-Table6[[#This Row],[Fault Start TimeStamp]])*24</f>
        <v>0.33333333333333215</v>
      </c>
      <c r="R1067" s="79" t="s">
        <v>353</v>
      </c>
      <c r="S1067" s="79" t="s">
        <v>339</v>
      </c>
      <c r="T1067" s="298">
        <f>IFERROR(Table6[[#This Row],[Breakdown Time]]*Table6[[#This Row],[Plant Equivalent Weightage]],"")</f>
        <v>7.5757575757575491E-3</v>
      </c>
      <c r="U1067" s="79" t="s">
        <v>421</v>
      </c>
      <c r="W1067" s="79">
        <v>409</v>
      </c>
    </row>
    <row r="1068" spans="1:23">
      <c r="A1068" s="79">
        <f t="shared" si="16"/>
        <v>1067</v>
      </c>
      <c r="B1068" s="79">
        <f>YEAR(Table6[[#This Row],[Date]])+IF(MONTH(Table6[[#This Row],[Date]])&gt;=4,1,0)</f>
        <v>2026</v>
      </c>
      <c r="C1068" s="79">
        <f>YEAR(Table6[[#This Row],[Date]])</f>
        <v>2025</v>
      </c>
      <c r="D1068" s="79" t="s">
        <v>344</v>
      </c>
      <c r="E1068" s="284">
        <f>Table6[[#This Row],[Date]]-DAY(Table6[[#This Row],[Date]])+1</f>
        <v>45839</v>
      </c>
      <c r="F1068" s="285">
        <v>45840</v>
      </c>
      <c r="G1068" s="79" t="s">
        <v>106</v>
      </c>
      <c r="H1068" s="79" t="str">
        <f>IFERROR(_xlfn.XLOOKUP(Table6[[#This Row],[Affected Feeder ]],'Basic Data'!$A:$A,'Basic Data'!$B:$B),"")</f>
        <v>PWEPL</v>
      </c>
      <c r="I1068" s="79" t="str">
        <f>IFERROR(_xlfn.XLOOKUP(Table6[[#This Row],[Affected Feeder ]],'Basic Data'!$A:$A,'Basic Data'!$C:$C),"")</f>
        <v>MSEDCL</v>
      </c>
      <c r="J1068" s="295">
        <f>IFERROR(_xlfn.XLOOKUP(Table6[[#This Row],[Affected Feeder ]],'Basic Data'!$A:$A,'Basic Data'!$E:$E),"")</f>
        <v>2.2727272727272728E-2</v>
      </c>
      <c r="K1068" s="296" t="s">
        <v>171</v>
      </c>
      <c r="L1068" s="297">
        <v>0.63750000000000007</v>
      </c>
      <c r="M1068" s="297">
        <v>0.63750000000000007</v>
      </c>
      <c r="N1068" s="297">
        <v>0.65138888888888891</v>
      </c>
      <c r="O1068" s="298">
        <f>(Table6[[#This Row],[Work Start TimeStamp]]-Table6[[#This Row],[Fault Start TimeStamp]])*24</f>
        <v>0</v>
      </c>
      <c r="P1068" s="298">
        <f>(Table6[[#This Row],[Fault Clearance time]]-Table6[[#This Row],[Fault Start TimeStamp]])*24</f>
        <v>0.33333333333333215</v>
      </c>
      <c r="Q1068" s="298">
        <f>(Table6[[#This Row],[Fault Clearance time]]-Table6[[#This Row],[Fault Start TimeStamp]])*24</f>
        <v>0.33333333333333215</v>
      </c>
      <c r="R1068" s="79" t="s">
        <v>353</v>
      </c>
      <c r="S1068" s="79" t="s">
        <v>339</v>
      </c>
      <c r="T1068" s="298">
        <f>IFERROR(Table6[[#This Row],[Breakdown Time]]*Table6[[#This Row],[Plant Equivalent Weightage]],"")</f>
        <v>7.5757575757575491E-3</v>
      </c>
      <c r="U1068" s="79" t="s">
        <v>421</v>
      </c>
      <c r="W1068" s="79">
        <v>409</v>
      </c>
    </row>
    <row r="1069" spans="1:23">
      <c r="A1069" s="79">
        <f t="shared" si="16"/>
        <v>1068</v>
      </c>
      <c r="B1069" s="79">
        <f>YEAR(Table6[[#This Row],[Date]])+IF(MONTH(Table6[[#This Row],[Date]])&gt;=4,1,0)</f>
        <v>2026</v>
      </c>
      <c r="C1069" s="79">
        <f>YEAR(Table6[[#This Row],[Date]])</f>
        <v>2025</v>
      </c>
      <c r="D1069" s="79" t="s">
        <v>344</v>
      </c>
      <c r="E1069" s="284">
        <f>Table6[[#This Row],[Date]]-DAY(Table6[[#This Row],[Date]])+1</f>
        <v>45839</v>
      </c>
      <c r="F1069" s="285">
        <v>45840</v>
      </c>
      <c r="G1069" s="79" t="s">
        <v>79</v>
      </c>
      <c r="H1069" s="79" t="str">
        <f>IFERROR(_xlfn.XLOOKUP(Table6[[#This Row],[Affected Feeder ]],'Basic Data'!$A:$A,'Basic Data'!$B:$B),"")</f>
        <v>PWEPL</v>
      </c>
      <c r="I1069" s="79" t="str">
        <f>IFERROR(_xlfn.XLOOKUP(Table6[[#This Row],[Affected Feeder ]],'Basic Data'!$A:$A,'Basic Data'!$C:$C),"")</f>
        <v>MSEDCL</v>
      </c>
      <c r="J1069" s="295">
        <f>IFERROR(_xlfn.XLOOKUP(Table6[[#This Row],[Affected Feeder ]],'Basic Data'!$A:$A,'Basic Data'!$E:$E),"")</f>
        <v>2.2727272727272728E-2</v>
      </c>
      <c r="K1069" s="296" t="s">
        <v>966</v>
      </c>
      <c r="L1069" s="297">
        <v>0.63750000000000007</v>
      </c>
      <c r="M1069" s="297">
        <v>0.63750000000000007</v>
      </c>
      <c r="N1069" s="297">
        <v>0.66805555555555562</v>
      </c>
      <c r="O1069" s="298">
        <f>(Table6[[#This Row],[Work Start TimeStamp]]-Table6[[#This Row],[Fault Start TimeStamp]])*24</f>
        <v>0</v>
      </c>
      <c r="P1069" s="298">
        <f>(Table6[[#This Row],[Fault Clearance time]]-Table6[[#This Row],[Fault Start TimeStamp]])*24</f>
        <v>0.73333333333333339</v>
      </c>
      <c r="Q1069" s="298">
        <f>(Table6[[#This Row],[Fault Clearance time]]-Table6[[#This Row],[Fault Start TimeStamp]])*24</f>
        <v>0.73333333333333339</v>
      </c>
      <c r="R1069" s="79" t="s">
        <v>828</v>
      </c>
      <c r="S1069" s="79" t="s">
        <v>339</v>
      </c>
      <c r="T1069" s="298">
        <f>IFERROR(Table6[[#This Row],[Breakdown Time]]*Table6[[#This Row],[Plant Equivalent Weightage]],"")</f>
        <v>1.666666666666667E-2</v>
      </c>
      <c r="U1069" s="79" t="s">
        <v>421</v>
      </c>
      <c r="W1069" s="79">
        <v>1057</v>
      </c>
    </row>
    <row r="1070" spans="1:23">
      <c r="A1070" s="79">
        <f t="shared" si="16"/>
        <v>1069</v>
      </c>
      <c r="B1070" s="79">
        <f>YEAR(Table6[[#This Row],[Date]])+IF(MONTH(Table6[[#This Row],[Date]])&gt;=4,1,0)</f>
        <v>2026</v>
      </c>
      <c r="C1070" s="79">
        <f>YEAR(Table6[[#This Row],[Date]])</f>
        <v>2025</v>
      </c>
      <c r="D1070" s="79" t="s">
        <v>344</v>
      </c>
      <c r="E1070" s="284">
        <f>Table6[[#This Row],[Date]]-DAY(Table6[[#This Row],[Date]])+1</f>
        <v>45839</v>
      </c>
      <c r="F1070" s="285">
        <v>45840</v>
      </c>
      <c r="G1070" s="79" t="s">
        <v>79</v>
      </c>
      <c r="H1070" s="79" t="str">
        <f>IFERROR(_xlfn.XLOOKUP(Table6[[#This Row],[Affected Feeder ]],'Basic Data'!$A:$A,'Basic Data'!$B:$B),"")</f>
        <v>PWEPL</v>
      </c>
      <c r="I1070" s="79" t="str">
        <f>IFERROR(_xlfn.XLOOKUP(Table6[[#This Row],[Affected Feeder ]],'Basic Data'!$A:$A,'Basic Data'!$C:$C),"")</f>
        <v>MSEDCL</v>
      </c>
      <c r="J1070" s="295">
        <f>IFERROR(_xlfn.XLOOKUP(Table6[[#This Row],[Affected Feeder ]],'Basic Data'!$A:$A,'Basic Data'!$E:$E),"")</f>
        <v>2.2727272727272728E-2</v>
      </c>
      <c r="K1070" s="296" t="s">
        <v>171</v>
      </c>
      <c r="L1070" s="297">
        <v>0.66805555555555562</v>
      </c>
      <c r="M1070" s="297">
        <v>0.66805555555555562</v>
      </c>
      <c r="N1070" s="297">
        <v>0.68125000000000002</v>
      </c>
      <c r="O1070" s="298">
        <f>(Table6[[#This Row],[Work Start TimeStamp]]-Table6[[#This Row],[Fault Start TimeStamp]])*24</f>
        <v>0</v>
      </c>
      <c r="P1070" s="298">
        <f>(Table6[[#This Row],[Fault Clearance time]]-Table6[[#This Row],[Fault Start TimeStamp]])*24</f>
        <v>0.31666666666666554</v>
      </c>
      <c r="Q1070" s="298">
        <f>(Table6[[#This Row],[Fault Clearance time]]-Table6[[#This Row],[Fault Start TimeStamp]])*24</f>
        <v>0.31666666666666554</v>
      </c>
      <c r="R1070" s="79" t="s">
        <v>353</v>
      </c>
      <c r="S1070" s="79" t="s">
        <v>339</v>
      </c>
      <c r="T1070" s="298">
        <f>IFERROR(Table6[[#This Row],[Breakdown Time]]*Table6[[#This Row],[Plant Equivalent Weightage]],"")</f>
        <v>7.1969696969696713E-3</v>
      </c>
      <c r="U1070" s="79" t="s">
        <v>421</v>
      </c>
      <c r="W1070" s="79">
        <v>310</v>
      </c>
    </row>
    <row r="1071" spans="1:23">
      <c r="A1071" s="79">
        <f t="shared" si="16"/>
        <v>1070</v>
      </c>
      <c r="B1071" s="79">
        <f>YEAR(Table6[[#This Row],[Date]])+IF(MONTH(Table6[[#This Row],[Date]])&gt;=4,1,0)</f>
        <v>2026</v>
      </c>
      <c r="C1071" s="79">
        <f>YEAR(Table6[[#This Row],[Date]])</f>
        <v>2025</v>
      </c>
      <c r="D1071" s="79" t="s">
        <v>344</v>
      </c>
      <c r="E1071" s="284">
        <f>Table6[[#This Row],[Date]]-DAY(Table6[[#This Row],[Date]])+1</f>
        <v>45839</v>
      </c>
      <c r="F1071" s="285">
        <v>45840</v>
      </c>
      <c r="G1071" s="79" t="s">
        <v>96</v>
      </c>
      <c r="H1071" s="79" t="str">
        <f>IFERROR(_xlfn.XLOOKUP(Table6[[#This Row],[Affected Feeder ]],'Basic Data'!$A:$A,'Basic Data'!$B:$B),"")</f>
        <v>PWEPL</v>
      </c>
      <c r="I1071" s="79" t="str">
        <f>IFERROR(_xlfn.XLOOKUP(Table6[[#This Row],[Affected Feeder ]],'Basic Data'!$A:$A,'Basic Data'!$C:$C),"")</f>
        <v>MSEDCL</v>
      </c>
      <c r="J1071" s="295">
        <f>IFERROR(_xlfn.XLOOKUP(Table6[[#This Row],[Affected Feeder ]],'Basic Data'!$A:$A,'Basic Data'!$E:$E),"")</f>
        <v>2.2727272727272728E-2</v>
      </c>
      <c r="K1071" s="296" t="s">
        <v>966</v>
      </c>
      <c r="L1071" s="297">
        <v>0.63750000000000007</v>
      </c>
      <c r="M1071" s="297">
        <v>0.63750000000000007</v>
      </c>
      <c r="N1071" s="297">
        <v>0.66805555555555562</v>
      </c>
      <c r="O1071" s="298">
        <f>(Table6[[#This Row],[Work Start TimeStamp]]-Table6[[#This Row],[Fault Start TimeStamp]])*24</f>
        <v>0</v>
      </c>
      <c r="P1071" s="298">
        <f>(Table6[[#This Row],[Fault Clearance time]]-Table6[[#This Row],[Fault Start TimeStamp]])*24</f>
        <v>0.73333333333333339</v>
      </c>
      <c r="Q1071" s="298">
        <f>(Table6[[#This Row],[Fault Clearance time]]-Table6[[#This Row],[Fault Start TimeStamp]])*24</f>
        <v>0.73333333333333339</v>
      </c>
      <c r="R1071" s="79" t="s">
        <v>828</v>
      </c>
      <c r="S1071" s="79" t="s">
        <v>339</v>
      </c>
      <c r="T1071" s="298">
        <f>IFERROR(Table6[[#This Row],[Breakdown Time]]*Table6[[#This Row],[Plant Equivalent Weightage]],"")</f>
        <v>1.666666666666667E-2</v>
      </c>
      <c r="U1071" s="79" t="s">
        <v>421</v>
      </c>
      <c r="W1071" s="79">
        <v>1057</v>
      </c>
    </row>
    <row r="1072" spans="1:23">
      <c r="A1072" s="79">
        <f t="shared" si="16"/>
        <v>1071</v>
      </c>
      <c r="B1072" s="79">
        <f>YEAR(Table6[[#This Row],[Date]])+IF(MONTH(Table6[[#This Row],[Date]])&gt;=4,1,0)</f>
        <v>2026</v>
      </c>
      <c r="C1072" s="79">
        <f>YEAR(Table6[[#This Row],[Date]])</f>
        <v>2025</v>
      </c>
      <c r="D1072" s="79" t="s">
        <v>344</v>
      </c>
      <c r="E1072" s="284">
        <f>Table6[[#This Row],[Date]]-DAY(Table6[[#This Row],[Date]])+1</f>
        <v>45839</v>
      </c>
      <c r="F1072" s="285">
        <v>45840</v>
      </c>
      <c r="G1072" s="79" t="s">
        <v>96</v>
      </c>
      <c r="H1072" s="79" t="str">
        <f>IFERROR(_xlfn.XLOOKUP(Table6[[#This Row],[Affected Feeder ]],'Basic Data'!$A:$A,'Basic Data'!$B:$B),"")</f>
        <v>PWEPL</v>
      </c>
      <c r="I1072" s="79" t="str">
        <f>IFERROR(_xlfn.XLOOKUP(Table6[[#This Row],[Affected Feeder ]],'Basic Data'!$A:$A,'Basic Data'!$C:$C),"")</f>
        <v>MSEDCL</v>
      </c>
      <c r="J1072" s="295">
        <f>IFERROR(_xlfn.XLOOKUP(Table6[[#This Row],[Affected Feeder ]],'Basic Data'!$A:$A,'Basic Data'!$E:$E),"")</f>
        <v>2.2727272727272728E-2</v>
      </c>
      <c r="K1072" s="296" t="s">
        <v>171</v>
      </c>
      <c r="L1072" s="297">
        <v>0.66805555555555562</v>
      </c>
      <c r="M1072" s="297">
        <v>0.66805555555555562</v>
      </c>
      <c r="N1072" s="297">
        <v>0.68194444444444446</v>
      </c>
      <c r="O1072" s="298">
        <f>(Table6[[#This Row],[Work Start TimeStamp]]-Table6[[#This Row],[Fault Start TimeStamp]])*24</f>
        <v>0</v>
      </c>
      <c r="P1072" s="298">
        <f>(Table6[[#This Row],[Fault Clearance time]]-Table6[[#This Row],[Fault Start TimeStamp]])*24</f>
        <v>0.33333333333333215</v>
      </c>
      <c r="Q1072" s="298">
        <f>(Table6[[#This Row],[Fault Clearance time]]-Table6[[#This Row],[Fault Start TimeStamp]])*24</f>
        <v>0.33333333333333215</v>
      </c>
      <c r="R1072" s="79" t="s">
        <v>353</v>
      </c>
      <c r="S1072" s="79" t="s">
        <v>339</v>
      </c>
      <c r="T1072" s="298">
        <f>IFERROR(Table6[[#This Row],[Breakdown Time]]*Table6[[#This Row],[Plant Equivalent Weightage]],"")</f>
        <v>7.5757575757575491E-3</v>
      </c>
      <c r="U1072" s="79" t="s">
        <v>421</v>
      </c>
      <c r="W1072" s="79">
        <v>310</v>
      </c>
    </row>
    <row r="1073" spans="1:23">
      <c r="A1073" s="79">
        <f t="shared" si="16"/>
        <v>1072</v>
      </c>
      <c r="B1073" s="79">
        <f>YEAR(Table6[[#This Row],[Date]])+IF(MONTH(Table6[[#This Row],[Date]])&gt;=4,1,0)</f>
        <v>2026</v>
      </c>
      <c r="C1073" s="79">
        <f>YEAR(Table6[[#This Row],[Date]])</f>
        <v>2025</v>
      </c>
      <c r="D1073" s="79" t="s">
        <v>344</v>
      </c>
      <c r="E1073" s="284">
        <f>Table6[[#This Row],[Date]]-DAY(Table6[[#This Row],[Date]])+1</f>
        <v>45839</v>
      </c>
      <c r="F1073" s="285">
        <v>45840</v>
      </c>
      <c r="G1073" s="79" t="s">
        <v>97</v>
      </c>
      <c r="H1073" s="79" t="str">
        <f>IFERROR(_xlfn.XLOOKUP(Table6[[#This Row],[Affected Feeder ]],'Basic Data'!$A:$A,'Basic Data'!$B:$B),"")</f>
        <v>PWEPL</v>
      </c>
      <c r="I1073" s="79" t="str">
        <f>IFERROR(_xlfn.XLOOKUP(Table6[[#This Row],[Affected Feeder ]],'Basic Data'!$A:$A,'Basic Data'!$C:$C),"")</f>
        <v>MSEDCL</v>
      </c>
      <c r="J1073" s="295">
        <f>IFERROR(_xlfn.XLOOKUP(Table6[[#This Row],[Affected Feeder ]],'Basic Data'!$A:$A,'Basic Data'!$E:$E),"")</f>
        <v>2.2727272727272728E-2</v>
      </c>
      <c r="K1073" s="296" t="s">
        <v>966</v>
      </c>
      <c r="L1073" s="297">
        <v>0.63750000000000007</v>
      </c>
      <c r="M1073" s="297">
        <v>0.63750000000000007</v>
      </c>
      <c r="N1073" s="297">
        <v>0.66805555555555562</v>
      </c>
      <c r="O1073" s="298">
        <f>(Table6[[#This Row],[Work Start TimeStamp]]-Table6[[#This Row],[Fault Start TimeStamp]])*24</f>
        <v>0</v>
      </c>
      <c r="P1073" s="298">
        <f>(Table6[[#This Row],[Fault Clearance time]]-Table6[[#This Row],[Fault Start TimeStamp]])*24</f>
        <v>0.73333333333333339</v>
      </c>
      <c r="Q1073" s="298">
        <f>(Table6[[#This Row],[Fault Clearance time]]-Table6[[#This Row],[Fault Start TimeStamp]])*24</f>
        <v>0.73333333333333339</v>
      </c>
      <c r="R1073" s="79" t="s">
        <v>828</v>
      </c>
      <c r="S1073" s="79" t="s">
        <v>339</v>
      </c>
      <c r="T1073" s="298">
        <f>IFERROR(Table6[[#This Row],[Breakdown Time]]*Table6[[#This Row],[Plant Equivalent Weightage]],"")</f>
        <v>1.666666666666667E-2</v>
      </c>
      <c r="U1073" s="79" t="s">
        <v>421</v>
      </c>
      <c r="W1073" s="79">
        <v>1057</v>
      </c>
    </row>
    <row r="1074" spans="1:23">
      <c r="A1074" s="79">
        <f t="shared" si="16"/>
        <v>1073</v>
      </c>
      <c r="B1074" s="79">
        <f>YEAR(Table6[[#This Row],[Date]])+IF(MONTH(Table6[[#This Row],[Date]])&gt;=4,1,0)</f>
        <v>2026</v>
      </c>
      <c r="C1074" s="79">
        <f>YEAR(Table6[[#This Row],[Date]])</f>
        <v>2025</v>
      </c>
      <c r="D1074" s="79" t="s">
        <v>344</v>
      </c>
      <c r="E1074" s="284">
        <f>Table6[[#This Row],[Date]]-DAY(Table6[[#This Row],[Date]])+1</f>
        <v>45839</v>
      </c>
      <c r="F1074" s="285">
        <v>45840</v>
      </c>
      <c r="G1074" s="79" t="s">
        <v>97</v>
      </c>
      <c r="H1074" s="79" t="str">
        <f>IFERROR(_xlfn.XLOOKUP(Table6[[#This Row],[Affected Feeder ]],'Basic Data'!$A:$A,'Basic Data'!$B:$B),"")</f>
        <v>PWEPL</v>
      </c>
      <c r="I1074" s="79" t="str">
        <f>IFERROR(_xlfn.XLOOKUP(Table6[[#This Row],[Affected Feeder ]],'Basic Data'!$A:$A,'Basic Data'!$C:$C),"")</f>
        <v>MSEDCL</v>
      </c>
      <c r="J1074" s="295">
        <f>IFERROR(_xlfn.XLOOKUP(Table6[[#This Row],[Affected Feeder ]],'Basic Data'!$A:$A,'Basic Data'!$E:$E),"")</f>
        <v>2.2727272727272728E-2</v>
      </c>
      <c r="K1074" s="296" t="s">
        <v>171</v>
      </c>
      <c r="L1074" s="297">
        <v>0.66805555555555562</v>
      </c>
      <c r="M1074" s="297">
        <v>0.66805555555555562</v>
      </c>
      <c r="N1074" s="297">
        <v>0.68194444444444446</v>
      </c>
      <c r="O1074" s="298">
        <f>(Table6[[#This Row],[Work Start TimeStamp]]-Table6[[#This Row],[Fault Start TimeStamp]])*24</f>
        <v>0</v>
      </c>
      <c r="P1074" s="298">
        <f>(Table6[[#This Row],[Fault Clearance time]]-Table6[[#This Row],[Fault Start TimeStamp]])*24</f>
        <v>0.33333333333333215</v>
      </c>
      <c r="Q1074" s="298">
        <f>(Table6[[#This Row],[Fault Clearance time]]-Table6[[#This Row],[Fault Start TimeStamp]])*24</f>
        <v>0.33333333333333215</v>
      </c>
      <c r="R1074" s="79" t="s">
        <v>353</v>
      </c>
      <c r="S1074" s="79" t="s">
        <v>339</v>
      </c>
      <c r="T1074" s="298">
        <f>IFERROR(Table6[[#This Row],[Breakdown Time]]*Table6[[#This Row],[Plant Equivalent Weightage]],"")</f>
        <v>7.5757575757575491E-3</v>
      </c>
      <c r="U1074" s="79" t="s">
        <v>421</v>
      </c>
      <c r="W1074" s="79">
        <v>310</v>
      </c>
    </row>
    <row r="1075" spans="1:23">
      <c r="A1075" s="79">
        <f t="shared" si="16"/>
        <v>1074</v>
      </c>
      <c r="B1075" s="79">
        <f>YEAR(Table6[[#This Row],[Date]])+IF(MONTH(Table6[[#This Row],[Date]])&gt;=4,1,0)</f>
        <v>2026</v>
      </c>
      <c r="C1075" s="79">
        <f>YEAR(Table6[[#This Row],[Date]])</f>
        <v>2025</v>
      </c>
      <c r="D1075" s="79" t="s">
        <v>344</v>
      </c>
      <c r="E1075" s="284">
        <f>Table6[[#This Row],[Date]]-DAY(Table6[[#This Row],[Date]])+1</f>
        <v>45839</v>
      </c>
      <c r="F1075" s="285">
        <v>45840</v>
      </c>
      <c r="G1075" s="79" t="s">
        <v>104</v>
      </c>
      <c r="H1075" s="79" t="str">
        <f>IFERROR(_xlfn.XLOOKUP(Table6[[#This Row],[Affected Feeder ]],'Basic Data'!$A:$A,'Basic Data'!$B:$B),"")</f>
        <v>PWEPL</v>
      </c>
      <c r="I1075" s="79" t="str">
        <f>IFERROR(_xlfn.XLOOKUP(Table6[[#This Row],[Affected Feeder ]],'Basic Data'!$A:$A,'Basic Data'!$C:$C),"")</f>
        <v>MSEDCL</v>
      </c>
      <c r="J1075" s="295">
        <f>IFERROR(_xlfn.XLOOKUP(Table6[[#This Row],[Affected Feeder ]],'Basic Data'!$A:$A,'Basic Data'!$E:$E),"")</f>
        <v>2.2727272727272728E-2</v>
      </c>
      <c r="K1075" s="296" t="s">
        <v>966</v>
      </c>
      <c r="L1075" s="297">
        <v>0.63750000000000007</v>
      </c>
      <c r="M1075" s="297">
        <v>0.63750000000000007</v>
      </c>
      <c r="N1075" s="297">
        <v>0.66805555555555562</v>
      </c>
      <c r="O1075" s="298">
        <f>(Table6[[#This Row],[Work Start TimeStamp]]-Table6[[#This Row],[Fault Start TimeStamp]])*24</f>
        <v>0</v>
      </c>
      <c r="P1075" s="298">
        <f>(Table6[[#This Row],[Fault Clearance time]]-Table6[[#This Row],[Fault Start TimeStamp]])*24</f>
        <v>0.73333333333333339</v>
      </c>
      <c r="Q1075" s="298">
        <f>(Table6[[#This Row],[Fault Clearance time]]-Table6[[#This Row],[Fault Start TimeStamp]])*24</f>
        <v>0.73333333333333339</v>
      </c>
      <c r="R1075" s="79" t="s">
        <v>828</v>
      </c>
      <c r="S1075" s="79" t="s">
        <v>339</v>
      </c>
      <c r="T1075" s="298">
        <f>IFERROR(Table6[[#This Row],[Breakdown Time]]*Table6[[#This Row],[Plant Equivalent Weightage]],"")</f>
        <v>1.666666666666667E-2</v>
      </c>
      <c r="U1075" s="79" t="s">
        <v>421</v>
      </c>
      <c r="W1075" s="79">
        <v>1057</v>
      </c>
    </row>
    <row r="1076" spans="1:23">
      <c r="A1076" s="79">
        <f t="shared" si="16"/>
        <v>1075</v>
      </c>
      <c r="B1076" s="79">
        <f>YEAR(Table6[[#This Row],[Date]])+IF(MONTH(Table6[[#This Row],[Date]])&gt;=4,1,0)</f>
        <v>2026</v>
      </c>
      <c r="C1076" s="79">
        <f>YEAR(Table6[[#This Row],[Date]])</f>
        <v>2025</v>
      </c>
      <c r="D1076" s="79" t="s">
        <v>344</v>
      </c>
      <c r="E1076" s="284">
        <f>Table6[[#This Row],[Date]]-DAY(Table6[[#This Row],[Date]])+1</f>
        <v>45839</v>
      </c>
      <c r="F1076" s="285">
        <v>45840</v>
      </c>
      <c r="G1076" s="79" t="s">
        <v>104</v>
      </c>
      <c r="H1076" s="79" t="str">
        <f>IFERROR(_xlfn.XLOOKUP(Table6[[#This Row],[Affected Feeder ]],'Basic Data'!$A:$A,'Basic Data'!$B:$B),"")</f>
        <v>PWEPL</v>
      </c>
      <c r="I1076" s="79" t="str">
        <f>IFERROR(_xlfn.XLOOKUP(Table6[[#This Row],[Affected Feeder ]],'Basic Data'!$A:$A,'Basic Data'!$C:$C),"")</f>
        <v>MSEDCL</v>
      </c>
      <c r="J1076" s="295">
        <f>IFERROR(_xlfn.XLOOKUP(Table6[[#This Row],[Affected Feeder ]],'Basic Data'!$A:$A,'Basic Data'!$E:$E),"")</f>
        <v>2.2727272727272728E-2</v>
      </c>
      <c r="K1076" s="296" t="s">
        <v>171</v>
      </c>
      <c r="L1076" s="297">
        <v>0.66805555555555562</v>
      </c>
      <c r="M1076" s="297">
        <v>0.66805555555555562</v>
      </c>
      <c r="N1076" s="297">
        <v>0.68194444444444446</v>
      </c>
      <c r="O1076" s="298">
        <f>(Table6[[#This Row],[Work Start TimeStamp]]-Table6[[#This Row],[Fault Start TimeStamp]])*24</f>
        <v>0</v>
      </c>
      <c r="P1076" s="298">
        <f>(Table6[[#This Row],[Fault Clearance time]]-Table6[[#This Row],[Fault Start TimeStamp]])*24</f>
        <v>0.33333333333333215</v>
      </c>
      <c r="Q1076" s="298">
        <f>(Table6[[#This Row],[Fault Clearance time]]-Table6[[#This Row],[Fault Start TimeStamp]])*24</f>
        <v>0.33333333333333215</v>
      </c>
      <c r="R1076" s="79" t="s">
        <v>353</v>
      </c>
      <c r="S1076" s="79" t="s">
        <v>339</v>
      </c>
      <c r="T1076" s="298">
        <f>IFERROR(Table6[[#This Row],[Breakdown Time]]*Table6[[#This Row],[Plant Equivalent Weightage]],"")</f>
        <v>7.5757575757575491E-3</v>
      </c>
      <c r="U1076" s="79" t="s">
        <v>421</v>
      </c>
      <c r="W1076" s="79">
        <v>310</v>
      </c>
    </row>
    <row r="1077" spans="1:23">
      <c r="A1077" s="79">
        <f t="shared" si="16"/>
        <v>1076</v>
      </c>
      <c r="B1077" s="79">
        <f>YEAR(Table6[[#This Row],[Date]])+IF(MONTH(Table6[[#This Row],[Date]])&gt;=4,1,0)</f>
        <v>2026</v>
      </c>
      <c r="C1077" s="79">
        <f>YEAR(Table6[[#This Row],[Date]])</f>
        <v>2025</v>
      </c>
      <c r="D1077" s="79" t="s">
        <v>344</v>
      </c>
      <c r="E1077" s="284">
        <f>Table6[[#This Row],[Date]]-DAY(Table6[[#This Row],[Date]])+1</f>
        <v>45839</v>
      </c>
      <c r="F1077" s="285">
        <v>45840</v>
      </c>
      <c r="G1077" s="79" t="s">
        <v>110</v>
      </c>
      <c r="H1077" s="79" t="str">
        <f>IFERROR(_xlfn.XLOOKUP(Table6[[#This Row],[Affected Feeder ]],'Basic Data'!$A:$A,'Basic Data'!$B:$B),"")</f>
        <v>PWEPL</v>
      </c>
      <c r="I1077" s="79" t="str">
        <f>IFERROR(_xlfn.XLOOKUP(Table6[[#This Row],[Affected Feeder ]],'Basic Data'!$A:$A,'Basic Data'!$C:$C),"")</f>
        <v>MSEDCL</v>
      </c>
      <c r="J1077" s="295">
        <f>IFERROR(_xlfn.XLOOKUP(Table6[[#This Row],[Affected Feeder ]],'Basic Data'!$A:$A,'Basic Data'!$E:$E),"")</f>
        <v>2.2727272727272728E-2</v>
      </c>
      <c r="K1077" s="296" t="s">
        <v>966</v>
      </c>
      <c r="L1077" s="297">
        <v>0.63750000000000007</v>
      </c>
      <c r="M1077" s="297">
        <v>0.63750000000000007</v>
      </c>
      <c r="N1077" s="297">
        <v>0.66805555555555562</v>
      </c>
      <c r="O1077" s="298">
        <f>(Table6[[#This Row],[Work Start TimeStamp]]-Table6[[#This Row],[Fault Start TimeStamp]])*24</f>
        <v>0</v>
      </c>
      <c r="P1077" s="298">
        <f>(Table6[[#This Row],[Fault Clearance time]]-Table6[[#This Row],[Fault Start TimeStamp]])*24</f>
        <v>0.73333333333333339</v>
      </c>
      <c r="Q1077" s="298">
        <f>(Table6[[#This Row],[Fault Clearance time]]-Table6[[#This Row],[Fault Start TimeStamp]])*24</f>
        <v>0.73333333333333339</v>
      </c>
      <c r="R1077" s="79" t="s">
        <v>828</v>
      </c>
      <c r="S1077" s="79" t="s">
        <v>339</v>
      </c>
      <c r="T1077" s="298">
        <f>IFERROR(Table6[[#This Row],[Breakdown Time]]*Table6[[#This Row],[Plant Equivalent Weightage]],"")</f>
        <v>1.666666666666667E-2</v>
      </c>
      <c r="U1077" s="79" t="s">
        <v>421</v>
      </c>
      <c r="W1077" s="79">
        <v>1057</v>
      </c>
    </row>
    <row r="1078" spans="1:23">
      <c r="A1078" s="79">
        <f t="shared" si="16"/>
        <v>1077</v>
      </c>
      <c r="B1078" s="79">
        <f>YEAR(Table6[[#This Row],[Date]])+IF(MONTH(Table6[[#This Row],[Date]])&gt;=4,1,0)</f>
        <v>2026</v>
      </c>
      <c r="C1078" s="79">
        <f>YEAR(Table6[[#This Row],[Date]])</f>
        <v>2025</v>
      </c>
      <c r="D1078" s="79" t="s">
        <v>344</v>
      </c>
      <c r="E1078" s="284">
        <f>Table6[[#This Row],[Date]]-DAY(Table6[[#This Row],[Date]])+1</f>
        <v>45839</v>
      </c>
      <c r="F1078" s="285">
        <v>45840</v>
      </c>
      <c r="G1078" s="79" t="s">
        <v>110</v>
      </c>
      <c r="H1078" s="79" t="str">
        <f>IFERROR(_xlfn.XLOOKUP(Table6[[#This Row],[Affected Feeder ]],'Basic Data'!$A:$A,'Basic Data'!$B:$B),"")</f>
        <v>PWEPL</v>
      </c>
      <c r="I1078" s="79" t="str">
        <f>IFERROR(_xlfn.XLOOKUP(Table6[[#This Row],[Affected Feeder ]],'Basic Data'!$A:$A,'Basic Data'!$C:$C),"")</f>
        <v>MSEDCL</v>
      </c>
      <c r="J1078" s="295">
        <f>IFERROR(_xlfn.XLOOKUP(Table6[[#This Row],[Affected Feeder ]],'Basic Data'!$A:$A,'Basic Data'!$E:$E),"")</f>
        <v>2.2727272727272728E-2</v>
      </c>
      <c r="K1078" s="296" t="s">
        <v>171</v>
      </c>
      <c r="L1078" s="297">
        <v>0.66805555555555562</v>
      </c>
      <c r="M1078" s="297">
        <v>0.66805555555555562</v>
      </c>
      <c r="N1078" s="297">
        <v>0.68194444444444446</v>
      </c>
      <c r="O1078" s="298">
        <f>(Table6[[#This Row],[Work Start TimeStamp]]-Table6[[#This Row],[Fault Start TimeStamp]])*24</f>
        <v>0</v>
      </c>
      <c r="P1078" s="298">
        <f>(Table6[[#This Row],[Fault Clearance time]]-Table6[[#This Row],[Fault Start TimeStamp]])*24</f>
        <v>0.33333333333333215</v>
      </c>
      <c r="Q1078" s="298">
        <f>(Table6[[#This Row],[Fault Clearance time]]-Table6[[#This Row],[Fault Start TimeStamp]])*24</f>
        <v>0.33333333333333215</v>
      </c>
      <c r="R1078" s="79" t="s">
        <v>353</v>
      </c>
      <c r="S1078" s="79" t="s">
        <v>339</v>
      </c>
      <c r="T1078" s="298">
        <f>IFERROR(Table6[[#This Row],[Breakdown Time]]*Table6[[#This Row],[Plant Equivalent Weightage]],"")</f>
        <v>7.5757575757575491E-3</v>
      </c>
      <c r="U1078" s="79" t="s">
        <v>421</v>
      </c>
      <c r="W1078" s="79">
        <v>310</v>
      </c>
    </row>
    <row r="1079" spans="1:23">
      <c r="A1079" s="79">
        <f t="shared" si="16"/>
        <v>1078</v>
      </c>
      <c r="B1079" s="79">
        <f>YEAR(Table6[[#This Row],[Date]])+IF(MONTH(Table6[[#This Row],[Date]])&gt;=4,1,0)</f>
        <v>2026</v>
      </c>
      <c r="C1079" s="79">
        <f>YEAR(Table6[[#This Row],[Date]])</f>
        <v>2025</v>
      </c>
      <c r="D1079" s="79" t="s">
        <v>344</v>
      </c>
      <c r="E1079" s="284">
        <f>Table6[[#This Row],[Date]]-DAY(Table6[[#This Row],[Date]])+1</f>
        <v>45839</v>
      </c>
      <c r="F1079" s="285">
        <v>45841</v>
      </c>
      <c r="G1079" s="79" t="s">
        <v>109</v>
      </c>
      <c r="H1079" s="79" t="str">
        <f>IFERROR(_xlfn.XLOOKUP(Table6[[#This Row],[Affected Feeder ]],'Basic Data'!$A:$A,'Basic Data'!$B:$B),"")</f>
        <v>PWEPL</v>
      </c>
      <c r="I1079" s="79" t="str">
        <f>IFERROR(_xlfn.XLOOKUP(Table6[[#This Row],[Affected Feeder ]],'Basic Data'!$A:$A,'Basic Data'!$C:$C),"")</f>
        <v>MSEDCL</v>
      </c>
      <c r="J1079" s="295">
        <f>IFERROR(_xlfn.XLOOKUP(Table6[[#This Row],[Affected Feeder ]],'Basic Data'!$A:$A,'Basic Data'!$E:$E),"")</f>
        <v>2.2727272727272728E-2</v>
      </c>
      <c r="K1079" s="296" t="s">
        <v>796</v>
      </c>
      <c r="L1079" s="297">
        <v>0.40763888888888888</v>
      </c>
      <c r="M1079" s="297">
        <v>0.40763888888888888</v>
      </c>
      <c r="N1079" s="297">
        <v>0.4381944444444445</v>
      </c>
      <c r="O1079" s="298">
        <f>(Table6[[#This Row],[Work Start TimeStamp]]-Table6[[#This Row],[Fault Start TimeStamp]])*24</f>
        <v>0</v>
      </c>
      <c r="P1079" s="298">
        <f>(Table6[[#This Row],[Fault Clearance time]]-Table6[[#This Row],[Fault Start TimeStamp]])*24</f>
        <v>0.73333333333333472</v>
      </c>
      <c r="Q1079" s="298">
        <f>(Table6[[#This Row],[Fault Clearance time]]-Table6[[#This Row],[Fault Start TimeStamp]])*24</f>
        <v>0.73333333333333472</v>
      </c>
      <c r="R1079" s="79" t="s">
        <v>424</v>
      </c>
      <c r="S1079" s="79" t="s">
        <v>339</v>
      </c>
      <c r="T1079" s="298">
        <f>IFERROR(Table6[[#This Row],[Breakdown Time]]*Table6[[#This Row],[Plant Equivalent Weightage]],"")</f>
        <v>1.6666666666666698E-2</v>
      </c>
      <c r="U1079" s="79" t="s">
        <v>421</v>
      </c>
      <c r="W1079" s="79">
        <v>1375</v>
      </c>
    </row>
    <row r="1080" spans="1:23">
      <c r="A1080" s="79">
        <f t="shared" si="16"/>
        <v>1079</v>
      </c>
      <c r="B1080" s="79">
        <f>YEAR(Table6[[#This Row],[Date]])+IF(MONTH(Table6[[#This Row],[Date]])&gt;=4,1,0)</f>
        <v>2026</v>
      </c>
      <c r="C1080" s="79">
        <f>YEAR(Table6[[#This Row],[Date]])</f>
        <v>2025</v>
      </c>
      <c r="D1080" s="79" t="s">
        <v>344</v>
      </c>
      <c r="E1080" s="284">
        <f>Table6[[#This Row],[Date]]-DAY(Table6[[#This Row],[Date]])+1</f>
        <v>45839</v>
      </c>
      <c r="F1080" s="285">
        <v>45841</v>
      </c>
      <c r="G1080" s="79" t="s">
        <v>109</v>
      </c>
      <c r="H1080" s="79" t="str">
        <f>IFERROR(_xlfn.XLOOKUP(Table6[[#This Row],[Affected Feeder ]],'Basic Data'!$A:$A,'Basic Data'!$B:$B),"")</f>
        <v>PWEPL</v>
      </c>
      <c r="I1080" s="79" t="str">
        <f>IFERROR(_xlfn.XLOOKUP(Table6[[#This Row],[Affected Feeder ]],'Basic Data'!$A:$A,'Basic Data'!$C:$C),"")</f>
        <v>MSEDCL</v>
      </c>
      <c r="J1080" s="295">
        <f>IFERROR(_xlfn.XLOOKUP(Table6[[#This Row],[Affected Feeder ]],'Basic Data'!$A:$A,'Basic Data'!$E:$E),"")</f>
        <v>2.2727272727272728E-2</v>
      </c>
      <c r="K1080" s="296" t="s">
        <v>171</v>
      </c>
      <c r="L1080" s="297">
        <v>0.4381944444444445</v>
      </c>
      <c r="M1080" s="297">
        <v>0.4381944444444445</v>
      </c>
      <c r="N1080" s="297">
        <v>0.45208333333333334</v>
      </c>
      <c r="O1080" s="298">
        <f>(Table6[[#This Row],[Work Start TimeStamp]]-Table6[[#This Row],[Fault Start TimeStamp]])*24</f>
        <v>0</v>
      </c>
      <c r="P1080" s="298">
        <f>(Table6[[#This Row],[Fault Clearance time]]-Table6[[#This Row],[Fault Start TimeStamp]])*24</f>
        <v>0.33333333333333215</v>
      </c>
      <c r="Q1080" s="298">
        <f>(Table6[[#This Row],[Fault Clearance time]]-Table6[[#This Row],[Fault Start TimeStamp]])*24</f>
        <v>0.33333333333333215</v>
      </c>
      <c r="R1080" s="79" t="s">
        <v>353</v>
      </c>
      <c r="S1080" s="79" t="s">
        <v>339</v>
      </c>
      <c r="T1080" s="298">
        <f>IFERROR(Table6[[#This Row],[Breakdown Time]]*Table6[[#This Row],[Plant Equivalent Weightage]],"")</f>
        <v>7.5757575757575491E-3</v>
      </c>
      <c r="U1080" s="79" t="s">
        <v>421</v>
      </c>
      <c r="W1080" s="79">
        <v>625</v>
      </c>
    </row>
    <row r="1081" spans="1:23">
      <c r="A1081" s="79">
        <f t="shared" si="16"/>
        <v>1080</v>
      </c>
      <c r="B1081" s="79">
        <f>YEAR(Table6[[#This Row],[Date]])+IF(MONTH(Table6[[#This Row],[Date]])&gt;=4,1,0)</f>
        <v>2026</v>
      </c>
      <c r="C1081" s="79">
        <f>YEAR(Table6[[#This Row],[Date]])</f>
        <v>2025</v>
      </c>
      <c r="D1081" s="79" t="s">
        <v>344</v>
      </c>
      <c r="E1081" s="284">
        <f>Table6[[#This Row],[Date]]-DAY(Table6[[#This Row],[Date]])+1</f>
        <v>45839</v>
      </c>
      <c r="F1081" s="285">
        <v>45841</v>
      </c>
      <c r="G1081" s="79" t="s">
        <v>90</v>
      </c>
      <c r="H1081" s="79" t="str">
        <f>IFERROR(_xlfn.XLOOKUP(Table6[[#This Row],[Affected Feeder ]],'Basic Data'!$A:$A,'Basic Data'!$B:$B),"")</f>
        <v>PWEPL</v>
      </c>
      <c r="I1081" s="79" t="str">
        <f>IFERROR(_xlfn.XLOOKUP(Table6[[#This Row],[Affected Feeder ]],'Basic Data'!$A:$A,'Basic Data'!$C:$C),"")</f>
        <v>MSEDCL</v>
      </c>
      <c r="J1081" s="295">
        <f>IFERROR(_xlfn.XLOOKUP(Table6[[#This Row],[Affected Feeder ]],'Basic Data'!$A:$A,'Basic Data'!$E:$E),"")</f>
        <v>2.2727272727272728E-2</v>
      </c>
      <c r="K1081" s="296" t="s">
        <v>796</v>
      </c>
      <c r="L1081" s="297">
        <v>0.50347222222222221</v>
      </c>
      <c r="M1081" s="297">
        <v>0.50347222222222221</v>
      </c>
      <c r="N1081" s="297">
        <v>0.51736111111111105</v>
      </c>
      <c r="O1081" s="298">
        <f>(Table6[[#This Row],[Work Start TimeStamp]]-Table6[[#This Row],[Fault Start TimeStamp]])*24</f>
        <v>0</v>
      </c>
      <c r="P1081" s="298">
        <f>(Table6[[#This Row],[Fault Clearance time]]-Table6[[#This Row],[Fault Start TimeStamp]])*24</f>
        <v>0.33333333333333215</v>
      </c>
      <c r="Q1081" s="298">
        <f>(Table6[[#This Row],[Fault Clearance time]]-Table6[[#This Row],[Fault Start TimeStamp]])*24</f>
        <v>0.33333333333333215</v>
      </c>
      <c r="R1081" s="79" t="s">
        <v>424</v>
      </c>
      <c r="S1081" s="79" t="s">
        <v>339</v>
      </c>
      <c r="T1081" s="298">
        <f>IFERROR(Table6[[#This Row],[Breakdown Time]]*Table6[[#This Row],[Plant Equivalent Weightage]],"")</f>
        <v>7.5757575757575491E-3</v>
      </c>
      <c r="U1081" s="79" t="s">
        <v>421</v>
      </c>
      <c r="W1081" s="79">
        <v>620</v>
      </c>
    </row>
    <row r="1082" spans="1:23">
      <c r="A1082" s="79">
        <f t="shared" si="16"/>
        <v>1081</v>
      </c>
      <c r="B1082" s="79">
        <f>YEAR(Table6[[#This Row],[Date]])+IF(MONTH(Table6[[#This Row],[Date]])&gt;=4,1,0)</f>
        <v>2026</v>
      </c>
      <c r="C1082" s="79">
        <f>YEAR(Table6[[#This Row],[Date]])</f>
        <v>2025</v>
      </c>
      <c r="D1082" s="79" t="s">
        <v>344</v>
      </c>
      <c r="E1082" s="284">
        <f>Table6[[#This Row],[Date]]-DAY(Table6[[#This Row],[Date]])+1</f>
        <v>45839</v>
      </c>
      <c r="F1082" s="285">
        <v>45841</v>
      </c>
      <c r="G1082" s="79" t="s">
        <v>90</v>
      </c>
      <c r="H1082" s="79" t="str">
        <f>IFERROR(_xlfn.XLOOKUP(Table6[[#This Row],[Affected Feeder ]],'Basic Data'!$A:$A,'Basic Data'!$B:$B),"")</f>
        <v>PWEPL</v>
      </c>
      <c r="I1082" s="79" t="str">
        <f>IFERROR(_xlfn.XLOOKUP(Table6[[#This Row],[Affected Feeder ]],'Basic Data'!$A:$A,'Basic Data'!$C:$C),"")</f>
        <v>MSEDCL</v>
      </c>
      <c r="J1082" s="295">
        <f>IFERROR(_xlfn.XLOOKUP(Table6[[#This Row],[Affected Feeder ]],'Basic Data'!$A:$A,'Basic Data'!$E:$E),"")</f>
        <v>2.2727272727272728E-2</v>
      </c>
      <c r="K1082" s="296" t="s">
        <v>171</v>
      </c>
      <c r="L1082" s="297">
        <v>0.51736111111111105</v>
      </c>
      <c r="M1082" s="297">
        <v>0.51736111111111105</v>
      </c>
      <c r="N1082" s="297">
        <v>0.52152777777777781</v>
      </c>
      <c r="O1082" s="298">
        <f>(Table6[[#This Row],[Work Start TimeStamp]]-Table6[[#This Row],[Fault Start TimeStamp]])*24</f>
        <v>0</v>
      </c>
      <c r="P1082" s="298">
        <f>(Table6[[#This Row],[Fault Clearance time]]-Table6[[#This Row],[Fault Start TimeStamp]])*24</f>
        <v>0.10000000000000231</v>
      </c>
      <c r="Q1082" s="298">
        <f>(Table6[[#This Row],[Fault Clearance time]]-Table6[[#This Row],[Fault Start TimeStamp]])*24</f>
        <v>0.10000000000000231</v>
      </c>
      <c r="R1082" s="79" t="s">
        <v>353</v>
      </c>
      <c r="S1082" s="79" t="s">
        <v>339</v>
      </c>
      <c r="T1082" s="298">
        <f>IFERROR(Table6[[#This Row],[Breakdown Time]]*Table6[[#This Row],[Plant Equivalent Weightage]],"")</f>
        <v>2.2727272727273251E-3</v>
      </c>
      <c r="U1082" s="79" t="s">
        <v>421</v>
      </c>
      <c r="W1082" s="79">
        <v>186</v>
      </c>
    </row>
    <row r="1083" spans="1:23">
      <c r="A1083" s="79">
        <f t="shared" si="16"/>
        <v>1082</v>
      </c>
      <c r="B1083" s="79">
        <f>YEAR(Table6[[#This Row],[Date]])+IF(MONTH(Table6[[#This Row],[Date]])&gt;=4,1,0)</f>
        <v>2026</v>
      </c>
      <c r="C1083" s="79">
        <f>YEAR(Table6[[#This Row],[Date]])</f>
        <v>2025</v>
      </c>
      <c r="D1083" s="79" t="s">
        <v>344</v>
      </c>
      <c r="E1083" s="284">
        <f>Table6[[#This Row],[Date]]-DAY(Table6[[#This Row],[Date]])+1</f>
        <v>45839</v>
      </c>
      <c r="F1083" s="285">
        <v>45845</v>
      </c>
      <c r="G1083" s="79" t="s">
        <v>79</v>
      </c>
      <c r="H1083" s="79" t="str">
        <f>IFERROR(_xlfn.XLOOKUP(Table6[[#This Row],[Affected Feeder ]],'Basic Data'!$A:$A,'Basic Data'!$B:$B),"")</f>
        <v>PWEPL</v>
      </c>
      <c r="I1083" s="79" t="str">
        <f>IFERROR(_xlfn.XLOOKUP(Table6[[#This Row],[Affected Feeder ]],'Basic Data'!$A:$A,'Basic Data'!$C:$C),"")</f>
        <v>MSEDCL</v>
      </c>
      <c r="J1083" s="295">
        <f>IFERROR(_xlfn.XLOOKUP(Table6[[#This Row],[Affected Feeder ]],'Basic Data'!$A:$A,'Basic Data'!$E:$E),"")</f>
        <v>2.2727272727272728E-2</v>
      </c>
      <c r="K1083" s="296" t="s">
        <v>796</v>
      </c>
      <c r="L1083" s="297">
        <v>0.96944444444444444</v>
      </c>
      <c r="M1083" s="297">
        <v>0.96944444444444444</v>
      </c>
      <c r="N1083" s="297">
        <v>0.99930555555555556</v>
      </c>
      <c r="O1083" s="298">
        <f>(Table6[[#This Row],[Work Start TimeStamp]]-Table6[[#This Row],[Fault Start TimeStamp]])*24</f>
        <v>0</v>
      </c>
      <c r="P1083" s="298">
        <f>(Table6[[#This Row],[Fault Clearance time]]-Table6[[#This Row],[Fault Start TimeStamp]])*24</f>
        <v>0.71666666666666679</v>
      </c>
      <c r="Q1083" s="298">
        <f>(Table6[[#This Row],[Fault Clearance time]]-Table6[[#This Row],[Fault Start TimeStamp]])*24</f>
        <v>0.71666666666666679</v>
      </c>
      <c r="R1083" s="79" t="s">
        <v>956</v>
      </c>
      <c r="S1083" s="79" t="s">
        <v>339</v>
      </c>
      <c r="T1083" s="298">
        <f>IFERROR(Table6[[#This Row],[Breakdown Time]]*Table6[[#This Row],[Plant Equivalent Weightage]],"")</f>
        <v>1.6287878787878792E-2</v>
      </c>
      <c r="U1083" s="79" t="s">
        <v>421</v>
      </c>
      <c r="W1083" s="79">
        <v>1265</v>
      </c>
    </row>
    <row r="1084" spans="1:23">
      <c r="A1084" s="79">
        <f t="shared" si="16"/>
        <v>1083</v>
      </c>
      <c r="B1084" s="79">
        <f>YEAR(Table6[[#This Row],[Date]])+IF(MONTH(Table6[[#This Row],[Date]])&gt;=4,1,0)</f>
        <v>2026</v>
      </c>
      <c r="C1084" s="79">
        <f>YEAR(Table6[[#This Row],[Date]])</f>
        <v>2025</v>
      </c>
      <c r="D1084" s="79" t="s">
        <v>344</v>
      </c>
      <c r="E1084" s="284">
        <f>Table6[[#This Row],[Date]]-DAY(Table6[[#This Row],[Date]])+1</f>
        <v>45839</v>
      </c>
      <c r="F1084" s="285">
        <v>45845</v>
      </c>
      <c r="G1084" s="79" t="s">
        <v>110</v>
      </c>
      <c r="H1084" s="79" t="str">
        <f>IFERROR(_xlfn.XLOOKUP(Table6[[#This Row],[Affected Feeder ]],'Basic Data'!$A:$A,'Basic Data'!$B:$B),"")</f>
        <v>PWEPL</v>
      </c>
      <c r="I1084" s="79" t="str">
        <f>IFERROR(_xlfn.XLOOKUP(Table6[[#This Row],[Affected Feeder ]],'Basic Data'!$A:$A,'Basic Data'!$C:$C),"")</f>
        <v>MSEDCL</v>
      </c>
      <c r="J1084" s="295">
        <f>IFERROR(_xlfn.XLOOKUP(Table6[[#This Row],[Affected Feeder ]],'Basic Data'!$A:$A,'Basic Data'!$E:$E),"")</f>
        <v>2.2727272727272728E-2</v>
      </c>
      <c r="K1084" s="296" t="s">
        <v>796</v>
      </c>
      <c r="L1084" s="297">
        <v>0.93472222222222223</v>
      </c>
      <c r="M1084" s="297">
        <v>0.93472222222222223</v>
      </c>
      <c r="N1084" s="297">
        <v>0.97361111111111109</v>
      </c>
      <c r="O1084" s="298">
        <f>(Table6[[#This Row],[Work Start TimeStamp]]-Table6[[#This Row],[Fault Start TimeStamp]])*24</f>
        <v>0</v>
      </c>
      <c r="P1084" s="298">
        <f>(Table6[[#This Row],[Fault Clearance time]]-Table6[[#This Row],[Fault Start TimeStamp]])*24</f>
        <v>0.93333333333333268</v>
      </c>
      <c r="Q1084" s="298">
        <f>(Table6[[#This Row],[Fault Clearance time]]-Table6[[#This Row],[Fault Start TimeStamp]])*24</f>
        <v>0.93333333333333268</v>
      </c>
      <c r="R1084" s="79" t="s">
        <v>424</v>
      </c>
      <c r="S1084" s="79" t="s">
        <v>339</v>
      </c>
      <c r="T1084" s="298">
        <f>IFERROR(Table6[[#This Row],[Breakdown Time]]*Table6[[#This Row],[Plant Equivalent Weightage]],"")</f>
        <v>2.12121212121212E-2</v>
      </c>
      <c r="U1084" s="79" t="s">
        <v>421</v>
      </c>
      <c r="W1084" s="79">
        <v>1254</v>
      </c>
    </row>
    <row r="1085" spans="1:23">
      <c r="A1085" s="79">
        <f t="shared" si="16"/>
        <v>1084</v>
      </c>
      <c r="B1085" s="79">
        <f>YEAR(Table6[[#This Row],[Date]])+IF(MONTH(Table6[[#This Row],[Date]])&gt;=4,1,0)</f>
        <v>2026</v>
      </c>
      <c r="C1085" s="79">
        <f>YEAR(Table6[[#This Row],[Date]])</f>
        <v>2025</v>
      </c>
      <c r="D1085" s="79" t="s">
        <v>344</v>
      </c>
      <c r="E1085" s="284">
        <f>Table6[[#This Row],[Date]]-DAY(Table6[[#This Row],[Date]])+1</f>
        <v>45839</v>
      </c>
      <c r="F1085" s="285">
        <v>45845</v>
      </c>
      <c r="G1085" s="79" t="s">
        <v>110</v>
      </c>
      <c r="H1085" s="79" t="str">
        <f>IFERROR(_xlfn.XLOOKUP(Table6[[#This Row],[Affected Feeder ]],'Basic Data'!$A:$A,'Basic Data'!$B:$B),"")</f>
        <v>PWEPL</v>
      </c>
      <c r="I1085" s="79" t="str">
        <f>IFERROR(_xlfn.XLOOKUP(Table6[[#This Row],[Affected Feeder ]],'Basic Data'!$A:$A,'Basic Data'!$C:$C),"")</f>
        <v>MSEDCL</v>
      </c>
      <c r="J1085" s="295">
        <f>IFERROR(_xlfn.XLOOKUP(Table6[[#This Row],[Affected Feeder ]],'Basic Data'!$A:$A,'Basic Data'!$E:$E),"")</f>
        <v>2.2727272727272728E-2</v>
      </c>
      <c r="K1085" s="296" t="s">
        <v>171</v>
      </c>
      <c r="L1085" s="297">
        <v>0.97361111111111109</v>
      </c>
      <c r="M1085" s="297">
        <v>0.97361111111111109</v>
      </c>
      <c r="N1085" s="297">
        <v>0.98749999999999993</v>
      </c>
      <c r="O1085" s="298">
        <f>(Table6[[#This Row],[Work Start TimeStamp]]-Table6[[#This Row],[Fault Start TimeStamp]])*24</f>
        <v>0</v>
      </c>
      <c r="P1085" s="298">
        <f>(Table6[[#This Row],[Fault Clearance time]]-Table6[[#This Row],[Fault Start TimeStamp]])*24</f>
        <v>0.33333333333333215</v>
      </c>
      <c r="Q1085" s="298">
        <f>(Table6[[#This Row],[Fault Clearance time]]-Table6[[#This Row],[Fault Start TimeStamp]])*24</f>
        <v>0.33333333333333215</v>
      </c>
      <c r="R1085" s="79" t="s">
        <v>353</v>
      </c>
      <c r="S1085" s="79" t="s">
        <v>339</v>
      </c>
      <c r="T1085" s="298">
        <f>IFERROR(Table6[[#This Row],[Breakdown Time]]*Table6[[#This Row],[Plant Equivalent Weightage]],"")</f>
        <v>7.5757575757575491E-3</v>
      </c>
      <c r="U1085" s="79" t="s">
        <v>421</v>
      </c>
      <c r="W1085" s="79">
        <v>696</v>
      </c>
    </row>
    <row r="1086" spans="1:23">
      <c r="A1086" s="79">
        <f t="shared" si="16"/>
        <v>1085</v>
      </c>
      <c r="B1086" s="79">
        <f>YEAR(Table6[[#This Row],[Date]])+IF(MONTH(Table6[[#This Row],[Date]])&gt;=4,1,0)</f>
        <v>2026</v>
      </c>
      <c r="C1086" s="79">
        <f>YEAR(Table6[[#This Row],[Date]])</f>
        <v>2025</v>
      </c>
      <c r="D1086" s="79" t="s">
        <v>344</v>
      </c>
      <c r="E1086" s="284">
        <f>Table6[[#This Row],[Date]]-DAY(Table6[[#This Row],[Date]])+1</f>
        <v>45839</v>
      </c>
      <c r="F1086" s="285">
        <v>45845</v>
      </c>
      <c r="G1086" s="79" t="s">
        <v>109</v>
      </c>
      <c r="H1086" s="79" t="str">
        <f>IFERROR(_xlfn.XLOOKUP(Table6[[#This Row],[Affected Feeder ]],'Basic Data'!$A:$A,'Basic Data'!$B:$B),"")</f>
        <v>PWEPL</v>
      </c>
      <c r="I1086" s="79" t="str">
        <f>IFERROR(_xlfn.XLOOKUP(Table6[[#This Row],[Affected Feeder ]],'Basic Data'!$A:$A,'Basic Data'!$C:$C),"")</f>
        <v>MSEDCL</v>
      </c>
      <c r="J1086" s="295">
        <f>IFERROR(_xlfn.XLOOKUP(Table6[[#This Row],[Affected Feeder ]],'Basic Data'!$A:$A,'Basic Data'!$E:$E),"")</f>
        <v>2.2727272727272728E-2</v>
      </c>
      <c r="K1086" s="296" t="s">
        <v>796</v>
      </c>
      <c r="L1086" s="297">
        <v>0.96944444444444444</v>
      </c>
      <c r="M1086" s="297">
        <v>0.96944444444444444</v>
      </c>
      <c r="N1086" s="297">
        <v>0.99930555555555556</v>
      </c>
      <c r="O1086" s="298">
        <f>(Table6[[#This Row],[Work Start TimeStamp]]-Table6[[#This Row],[Fault Start TimeStamp]])*24</f>
        <v>0</v>
      </c>
      <c r="P1086" s="298">
        <f>(Table6[[#This Row],[Fault Clearance time]]-Table6[[#This Row],[Fault Start TimeStamp]])*24</f>
        <v>0.71666666666666679</v>
      </c>
      <c r="Q1086" s="298">
        <f>(Table6[[#This Row],[Fault Clearance time]]-Table6[[#This Row],[Fault Start TimeStamp]])*24</f>
        <v>0.71666666666666679</v>
      </c>
      <c r="R1086" s="79" t="s">
        <v>956</v>
      </c>
      <c r="S1086" s="79" t="s">
        <v>339</v>
      </c>
      <c r="T1086" s="298">
        <f>IFERROR(Table6[[#This Row],[Breakdown Time]]*Table6[[#This Row],[Plant Equivalent Weightage]],"")</f>
        <v>1.6287878787878792E-2</v>
      </c>
      <c r="U1086" s="79" t="s">
        <v>421</v>
      </c>
      <c r="W1086" s="79">
        <v>921</v>
      </c>
    </row>
    <row r="1087" spans="1:23">
      <c r="A1087" s="79">
        <f t="shared" si="16"/>
        <v>1086</v>
      </c>
      <c r="B1087" s="79">
        <f>YEAR(Table6[[#This Row],[Date]])+IF(MONTH(Table6[[#This Row],[Date]])&gt;=4,1,0)</f>
        <v>2026</v>
      </c>
      <c r="C1087" s="79">
        <f>YEAR(Table6[[#This Row],[Date]])</f>
        <v>2025</v>
      </c>
      <c r="D1087" s="79" t="s">
        <v>344</v>
      </c>
      <c r="E1087" s="284">
        <f>Table6[[#This Row],[Date]]-DAY(Table6[[#This Row],[Date]])+1</f>
        <v>45839</v>
      </c>
      <c r="F1087" s="285">
        <v>45845</v>
      </c>
      <c r="G1087" s="79" t="s">
        <v>118</v>
      </c>
      <c r="H1087" s="79" t="str">
        <f>IFERROR(_xlfn.XLOOKUP(Table6[[#This Row],[Affected Feeder ]],'Basic Data'!$A:$A,'Basic Data'!$B:$B),"")</f>
        <v>PWEPL</v>
      </c>
      <c r="I1087" s="79" t="str">
        <f>IFERROR(_xlfn.XLOOKUP(Table6[[#This Row],[Affected Feeder ]],'Basic Data'!$A:$A,'Basic Data'!$C:$C),"")</f>
        <v>MSEDCL</v>
      </c>
      <c r="J1087" s="295">
        <f>IFERROR(_xlfn.XLOOKUP(Table6[[#This Row],[Affected Feeder ]],'Basic Data'!$A:$A,'Basic Data'!$E:$E),"")</f>
        <v>2.2727272727272728E-2</v>
      </c>
      <c r="K1087" s="296" t="s">
        <v>796</v>
      </c>
      <c r="L1087" s="297">
        <v>0.95486111111111116</v>
      </c>
      <c r="M1087" s="297">
        <v>0.95486111111111116</v>
      </c>
      <c r="N1087" s="297">
        <v>0.99930555555555556</v>
      </c>
      <c r="O1087" s="298">
        <f>(Table6[[#This Row],[Work Start TimeStamp]]-Table6[[#This Row],[Fault Start TimeStamp]])*24</f>
        <v>0</v>
      </c>
      <c r="P1087" s="298">
        <f>(Table6[[#This Row],[Fault Clearance time]]-Table6[[#This Row],[Fault Start TimeStamp]])*24</f>
        <v>1.0666666666666655</v>
      </c>
      <c r="Q1087" s="298">
        <f>(Table6[[#This Row],[Fault Clearance time]]-Table6[[#This Row],[Fault Start TimeStamp]])*24</f>
        <v>1.0666666666666655</v>
      </c>
      <c r="R1087" s="79" t="s">
        <v>956</v>
      </c>
      <c r="S1087" s="79" t="s">
        <v>339</v>
      </c>
      <c r="T1087" s="298">
        <f>IFERROR(Table6[[#This Row],[Breakdown Time]]*Table6[[#This Row],[Plant Equivalent Weightage]],"")</f>
        <v>2.4242424242424218E-2</v>
      </c>
      <c r="U1087" s="79" t="s">
        <v>421</v>
      </c>
      <c r="W1087" s="79">
        <v>2084</v>
      </c>
    </row>
    <row r="1088" spans="1:23">
      <c r="A1088" s="79">
        <f t="shared" si="16"/>
        <v>1087</v>
      </c>
      <c r="B1088" s="79">
        <f>YEAR(Table6[[#This Row],[Date]])+IF(MONTH(Table6[[#This Row],[Date]])&gt;=4,1,0)</f>
        <v>2026</v>
      </c>
      <c r="C1088" s="79">
        <f>YEAR(Table6[[#This Row],[Date]])</f>
        <v>2025</v>
      </c>
      <c r="D1088" s="79" t="s">
        <v>344</v>
      </c>
      <c r="E1088" s="284">
        <f>Table6[[#This Row],[Date]]-DAY(Table6[[#This Row],[Date]])+1</f>
        <v>45839</v>
      </c>
      <c r="F1088" s="285">
        <v>45846</v>
      </c>
      <c r="G1088" s="79" t="s">
        <v>79</v>
      </c>
      <c r="H1088" s="79" t="str">
        <f>IFERROR(_xlfn.XLOOKUP(Table6[[#This Row],[Affected Feeder ]],'Basic Data'!$A:$A,'Basic Data'!$B:$B),"")</f>
        <v>PWEPL</v>
      </c>
      <c r="I1088" s="79" t="str">
        <f>IFERROR(_xlfn.XLOOKUP(Table6[[#This Row],[Affected Feeder ]],'Basic Data'!$A:$A,'Basic Data'!$C:$C),"")</f>
        <v>MSEDCL</v>
      </c>
      <c r="J1088" s="295">
        <f>IFERROR(_xlfn.XLOOKUP(Table6[[#This Row],[Affected Feeder ]],'Basic Data'!$A:$A,'Basic Data'!$E:$E),"")</f>
        <v>2.2727272727272728E-2</v>
      </c>
      <c r="K1088" s="296" t="s">
        <v>796</v>
      </c>
      <c r="L1088" s="297">
        <v>0</v>
      </c>
      <c r="M1088" s="297">
        <v>0</v>
      </c>
      <c r="N1088" s="297">
        <v>6.9444444444444441E-3</v>
      </c>
      <c r="O1088" s="298">
        <f>(Table6[[#This Row],[Work Start TimeStamp]]-Table6[[#This Row],[Fault Start TimeStamp]])*24</f>
        <v>0</v>
      </c>
      <c r="P1088" s="298">
        <f>(Table6[[#This Row],[Fault Clearance time]]-Table6[[#This Row],[Fault Start TimeStamp]])*24</f>
        <v>0.16666666666666666</v>
      </c>
      <c r="Q1088" s="298">
        <f>(Table6[[#This Row],[Fault Clearance time]]-Table6[[#This Row],[Fault Start TimeStamp]])*24</f>
        <v>0.16666666666666666</v>
      </c>
      <c r="R1088" s="79" t="s">
        <v>424</v>
      </c>
      <c r="S1088" s="79" t="s">
        <v>339</v>
      </c>
      <c r="T1088" s="298">
        <f>IFERROR(Table6[[#This Row],[Breakdown Time]]*Table6[[#This Row],[Plant Equivalent Weightage]],"")</f>
        <v>3.787878787878788E-3</v>
      </c>
      <c r="U1088" s="79" t="s">
        <v>421</v>
      </c>
      <c r="W1088" s="79">
        <v>11</v>
      </c>
    </row>
    <row r="1089" spans="1:23">
      <c r="A1089" s="79">
        <f t="shared" si="16"/>
        <v>1088</v>
      </c>
      <c r="B1089" s="79">
        <f>YEAR(Table6[[#This Row],[Date]])+IF(MONTH(Table6[[#This Row],[Date]])&gt;=4,1,0)</f>
        <v>2026</v>
      </c>
      <c r="C1089" s="79">
        <f>YEAR(Table6[[#This Row],[Date]])</f>
        <v>2025</v>
      </c>
      <c r="D1089" s="79" t="s">
        <v>344</v>
      </c>
      <c r="E1089" s="284">
        <f>Table6[[#This Row],[Date]]-DAY(Table6[[#This Row],[Date]])+1</f>
        <v>45839</v>
      </c>
      <c r="F1089" s="285">
        <v>45846</v>
      </c>
      <c r="G1089" s="79" t="s">
        <v>79</v>
      </c>
      <c r="H1089" s="79" t="str">
        <f>IFERROR(_xlfn.XLOOKUP(Table6[[#This Row],[Affected Feeder ]],'Basic Data'!$A:$A,'Basic Data'!$B:$B),"")</f>
        <v>PWEPL</v>
      </c>
      <c r="I1089" s="79" t="str">
        <f>IFERROR(_xlfn.XLOOKUP(Table6[[#This Row],[Affected Feeder ]],'Basic Data'!$A:$A,'Basic Data'!$C:$C),"")</f>
        <v>MSEDCL</v>
      </c>
      <c r="J1089" s="295">
        <f>IFERROR(_xlfn.XLOOKUP(Table6[[#This Row],[Affected Feeder ]],'Basic Data'!$A:$A,'Basic Data'!$E:$E),"")</f>
        <v>2.2727272727272728E-2</v>
      </c>
      <c r="K1089" s="296" t="s">
        <v>171</v>
      </c>
      <c r="L1089" s="297">
        <v>6.9444444444444441E-3</v>
      </c>
      <c r="M1089" s="297">
        <v>6.9444444444444441E-3</v>
      </c>
      <c r="N1089" s="297">
        <v>1.0416666666666666E-2</v>
      </c>
      <c r="O1089" s="298">
        <f>(Table6[[#This Row],[Work Start TimeStamp]]-Table6[[#This Row],[Fault Start TimeStamp]])*24</f>
        <v>0</v>
      </c>
      <c r="P1089" s="298">
        <f>(Table6[[#This Row],[Fault Clearance time]]-Table6[[#This Row],[Fault Start TimeStamp]])*24</f>
        <v>8.3333333333333329E-2</v>
      </c>
      <c r="Q1089" s="298">
        <f>(Table6[[#This Row],[Fault Clearance time]]-Table6[[#This Row],[Fault Start TimeStamp]])*24</f>
        <v>8.3333333333333329E-2</v>
      </c>
      <c r="R1089" s="79" t="s">
        <v>353</v>
      </c>
      <c r="S1089" s="79" t="s">
        <v>339</v>
      </c>
      <c r="T1089" s="298">
        <f>IFERROR(Table6[[#This Row],[Breakdown Time]]*Table6[[#This Row],[Plant Equivalent Weightage]],"")</f>
        <v>1.893939393939394E-3</v>
      </c>
      <c r="U1089" s="79" t="s">
        <v>421</v>
      </c>
      <c r="W1089" s="79">
        <v>11</v>
      </c>
    </row>
    <row r="1090" spans="1:23">
      <c r="A1090" s="79">
        <f t="shared" si="16"/>
        <v>1089</v>
      </c>
      <c r="B1090" s="79">
        <f>YEAR(Table6[[#This Row],[Date]])+IF(MONTH(Table6[[#This Row],[Date]])&gt;=4,1,0)</f>
        <v>2026</v>
      </c>
      <c r="C1090" s="79">
        <f>YEAR(Table6[[#This Row],[Date]])</f>
        <v>2025</v>
      </c>
      <c r="D1090" s="79" t="s">
        <v>344</v>
      </c>
      <c r="E1090" s="284">
        <f>Table6[[#This Row],[Date]]-DAY(Table6[[#This Row],[Date]])+1</f>
        <v>45839</v>
      </c>
      <c r="F1090" s="285">
        <v>45846</v>
      </c>
      <c r="G1090" s="79" t="s">
        <v>118</v>
      </c>
      <c r="H1090" s="79" t="str">
        <f>IFERROR(_xlfn.XLOOKUP(Table6[[#This Row],[Affected Feeder ]],'Basic Data'!$A:$A,'Basic Data'!$B:$B),"")</f>
        <v>PWEPL</v>
      </c>
      <c r="I1090" s="79" t="str">
        <f>IFERROR(_xlfn.XLOOKUP(Table6[[#This Row],[Affected Feeder ]],'Basic Data'!$A:$A,'Basic Data'!$C:$C),"")</f>
        <v>MSEDCL</v>
      </c>
      <c r="J1090" s="295">
        <f>IFERROR(_xlfn.XLOOKUP(Table6[[#This Row],[Affected Feeder ]],'Basic Data'!$A:$A,'Basic Data'!$E:$E),"")</f>
        <v>2.2727272727272728E-2</v>
      </c>
      <c r="K1090" s="296" t="s">
        <v>796</v>
      </c>
      <c r="L1090" s="297">
        <v>0</v>
      </c>
      <c r="M1090" s="297">
        <v>0</v>
      </c>
      <c r="N1090" s="297">
        <v>4.1666666666666664E-2</v>
      </c>
      <c r="O1090" s="298">
        <f>(Table6[[#This Row],[Work Start TimeStamp]]-Table6[[#This Row],[Fault Start TimeStamp]])*24</f>
        <v>0</v>
      </c>
      <c r="P1090" s="298">
        <f>(Table6[[#This Row],[Fault Clearance time]]-Table6[[#This Row],[Fault Start TimeStamp]])*24</f>
        <v>1</v>
      </c>
      <c r="Q1090" s="298">
        <f>(Table6[[#This Row],[Fault Clearance time]]-Table6[[#This Row],[Fault Start TimeStamp]])*24</f>
        <v>1</v>
      </c>
      <c r="R1090" s="79" t="s">
        <v>424</v>
      </c>
      <c r="S1090" s="79" t="s">
        <v>339</v>
      </c>
      <c r="T1090" s="298">
        <f>IFERROR(Table6[[#This Row],[Breakdown Time]]*Table6[[#This Row],[Plant Equivalent Weightage]],"")</f>
        <v>2.2727272727272728E-2</v>
      </c>
      <c r="U1090" s="79" t="s">
        <v>421</v>
      </c>
      <c r="W1090" s="79">
        <v>1648</v>
      </c>
    </row>
    <row r="1091" spans="1:23">
      <c r="A1091" s="79">
        <f t="shared" si="16"/>
        <v>1090</v>
      </c>
      <c r="B1091" s="79">
        <f>YEAR(Table6[[#This Row],[Date]])+IF(MONTH(Table6[[#This Row],[Date]])&gt;=4,1,0)</f>
        <v>2026</v>
      </c>
      <c r="C1091" s="79">
        <f>YEAR(Table6[[#This Row],[Date]])</f>
        <v>2025</v>
      </c>
      <c r="D1091" s="79" t="s">
        <v>344</v>
      </c>
      <c r="E1091" s="284">
        <f>Table6[[#This Row],[Date]]-DAY(Table6[[#This Row],[Date]])+1</f>
        <v>45839</v>
      </c>
      <c r="F1091" s="285">
        <v>45846</v>
      </c>
      <c r="G1091" s="79" t="s">
        <v>118</v>
      </c>
      <c r="H1091" s="79" t="str">
        <f>IFERROR(_xlfn.XLOOKUP(Table6[[#This Row],[Affected Feeder ]],'Basic Data'!$A:$A,'Basic Data'!$B:$B),"")</f>
        <v>PWEPL</v>
      </c>
      <c r="I1091" s="79" t="str">
        <f>IFERROR(_xlfn.XLOOKUP(Table6[[#This Row],[Affected Feeder ]],'Basic Data'!$A:$A,'Basic Data'!$C:$C),"")</f>
        <v>MSEDCL</v>
      </c>
      <c r="J1091" s="295">
        <f>IFERROR(_xlfn.XLOOKUP(Table6[[#This Row],[Affected Feeder ]],'Basic Data'!$A:$A,'Basic Data'!$E:$E),"")</f>
        <v>2.2727272727272728E-2</v>
      </c>
      <c r="K1091" s="296" t="s">
        <v>171</v>
      </c>
      <c r="L1091" s="297">
        <v>4.1666666666666664E-2</v>
      </c>
      <c r="M1091" s="297">
        <v>4.1666666666666664E-2</v>
      </c>
      <c r="N1091" s="297">
        <v>4.9999999999999996E-2</v>
      </c>
      <c r="O1091" s="298">
        <f>(Table6[[#This Row],[Work Start TimeStamp]]-Table6[[#This Row],[Fault Start TimeStamp]])*24</f>
        <v>0</v>
      </c>
      <c r="P1091" s="298">
        <f>(Table6[[#This Row],[Fault Clearance time]]-Table6[[#This Row],[Fault Start TimeStamp]])*24</f>
        <v>0.19999999999999996</v>
      </c>
      <c r="Q1091" s="298">
        <f>(Table6[[#This Row],[Fault Clearance time]]-Table6[[#This Row],[Fault Start TimeStamp]])*24</f>
        <v>0.19999999999999996</v>
      </c>
      <c r="R1091" s="79" t="s">
        <v>353</v>
      </c>
      <c r="S1091" s="79" t="s">
        <v>339</v>
      </c>
      <c r="T1091" s="298">
        <f>IFERROR(Table6[[#This Row],[Breakdown Time]]*Table6[[#This Row],[Plant Equivalent Weightage]],"")</f>
        <v>4.5454545454545444E-3</v>
      </c>
      <c r="U1091" s="79" t="s">
        <v>421</v>
      </c>
      <c r="W1091" s="79">
        <v>412</v>
      </c>
    </row>
    <row r="1092" spans="1:23">
      <c r="A1092" s="79">
        <f t="shared" ref="A1092:A1093" si="17">A1091+1</f>
        <v>1091</v>
      </c>
      <c r="B1092" s="79">
        <f>YEAR(Table6[[#This Row],[Date]])+IF(MONTH(Table6[[#This Row],[Date]])&gt;=4,1,0)</f>
        <v>2026</v>
      </c>
      <c r="C1092" s="79">
        <f>YEAR(Table6[[#This Row],[Date]])</f>
        <v>2025</v>
      </c>
      <c r="D1092" s="79" t="s">
        <v>344</v>
      </c>
      <c r="E1092" s="284">
        <f>Table6[[#This Row],[Date]]-DAY(Table6[[#This Row],[Date]])+1</f>
        <v>45839</v>
      </c>
      <c r="F1092" s="285">
        <v>45846</v>
      </c>
      <c r="G1092" s="79" t="s">
        <v>109</v>
      </c>
      <c r="H1092" s="79" t="str">
        <f>IFERROR(_xlfn.XLOOKUP(Table6[[#This Row],[Affected Feeder ]],'Basic Data'!$A:$A,'Basic Data'!$B:$B),"")</f>
        <v>PWEPL</v>
      </c>
      <c r="I1092" s="79" t="str">
        <f>IFERROR(_xlfn.XLOOKUP(Table6[[#This Row],[Affected Feeder ]],'Basic Data'!$A:$A,'Basic Data'!$C:$C),"")</f>
        <v>MSEDCL</v>
      </c>
      <c r="J1092" s="295">
        <f>IFERROR(_xlfn.XLOOKUP(Table6[[#This Row],[Affected Feeder ]],'Basic Data'!$A:$A,'Basic Data'!$E:$E),"")</f>
        <v>2.2727272727272728E-2</v>
      </c>
      <c r="K1092" s="296" t="s">
        <v>796</v>
      </c>
      <c r="L1092" s="297">
        <v>0</v>
      </c>
      <c r="M1092" s="297">
        <v>0</v>
      </c>
      <c r="N1092" s="297">
        <v>5.4166666666666669E-2</v>
      </c>
      <c r="O1092" s="298">
        <f>(Table6[[#This Row],[Work Start TimeStamp]]-Table6[[#This Row],[Fault Start TimeStamp]])*24</f>
        <v>0</v>
      </c>
      <c r="P1092" s="298">
        <f>(Table6[[#This Row],[Fault Clearance time]]-Table6[[#This Row],[Fault Start TimeStamp]])*24</f>
        <v>1.3</v>
      </c>
      <c r="Q1092" s="298">
        <f>(Table6[[#This Row],[Fault Clearance time]]-Table6[[#This Row],[Fault Start TimeStamp]])*24</f>
        <v>1.3</v>
      </c>
      <c r="R1092" s="79" t="s">
        <v>424</v>
      </c>
      <c r="S1092" s="79" t="s">
        <v>339</v>
      </c>
      <c r="T1092" s="298">
        <f>IFERROR(Table6[[#This Row],[Breakdown Time]]*Table6[[#This Row],[Plant Equivalent Weightage]],"")</f>
        <v>2.9545454545454548E-2</v>
      </c>
      <c r="U1092" s="79" t="s">
        <v>421</v>
      </c>
      <c r="W1092" s="79">
        <v>2045</v>
      </c>
    </row>
    <row r="1093" spans="1:23">
      <c r="A1093" s="79">
        <f t="shared" si="17"/>
        <v>1092</v>
      </c>
      <c r="B1093" s="79">
        <f>YEAR(Table6[[#This Row],[Date]])+IF(MONTH(Table6[[#This Row],[Date]])&gt;=4,1,0)</f>
        <v>2026</v>
      </c>
      <c r="C1093" s="79">
        <f>YEAR(Table6[[#This Row],[Date]])</f>
        <v>2025</v>
      </c>
      <c r="D1093" s="79" t="s">
        <v>344</v>
      </c>
      <c r="E1093" s="284">
        <f>Table6[[#This Row],[Date]]-DAY(Table6[[#This Row],[Date]])+1</f>
        <v>45839</v>
      </c>
      <c r="F1093" s="285">
        <v>45846</v>
      </c>
      <c r="G1093" s="79" t="s">
        <v>109</v>
      </c>
      <c r="H1093" s="79" t="str">
        <f>IFERROR(_xlfn.XLOOKUP(Table6[[#This Row],[Affected Feeder ]],'Basic Data'!$A:$A,'Basic Data'!$B:$B),"")</f>
        <v>PWEPL</v>
      </c>
      <c r="I1093" s="79" t="str">
        <f>IFERROR(_xlfn.XLOOKUP(Table6[[#This Row],[Affected Feeder ]],'Basic Data'!$A:$A,'Basic Data'!$C:$C),"")</f>
        <v>MSEDCL</v>
      </c>
      <c r="J1093" s="295">
        <f>IFERROR(_xlfn.XLOOKUP(Table6[[#This Row],[Affected Feeder ]],'Basic Data'!$A:$A,'Basic Data'!$E:$E),"")</f>
        <v>2.2727272727272728E-2</v>
      </c>
      <c r="K1093" s="296" t="s">
        <v>171</v>
      </c>
      <c r="L1093" s="297">
        <v>5.4166666666666669E-2</v>
      </c>
      <c r="M1093" s="297">
        <v>5.4166666666666669E-2</v>
      </c>
      <c r="N1093" s="297">
        <v>6.5277777777777782E-2</v>
      </c>
      <c r="O1093" s="298">
        <f>(Table6[[#This Row],[Work Start TimeStamp]]-Table6[[#This Row],[Fault Start TimeStamp]])*24</f>
        <v>0</v>
      </c>
      <c r="P1093" s="298">
        <f>(Table6[[#This Row],[Fault Clearance time]]-Table6[[#This Row],[Fault Start TimeStamp]])*24</f>
        <v>0.26666666666666672</v>
      </c>
      <c r="Q1093" s="298">
        <f>(Table6[[#This Row],[Fault Clearance time]]-Table6[[#This Row],[Fault Start TimeStamp]])*24</f>
        <v>0.26666666666666672</v>
      </c>
      <c r="R1093" s="79" t="s">
        <v>353</v>
      </c>
      <c r="S1093" s="79" t="s">
        <v>339</v>
      </c>
      <c r="T1093" s="298">
        <f>IFERROR(Table6[[#This Row],[Breakdown Time]]*Table6[[#This Row],[Plant Equivalent Weightage]],"")</f>
        <v>6.0606060606060623E-3</v>
      </c>
      <c r="U1093" s="79" t="s">
        <v>421</v>
      </c>
      <c r="W1093" s="79">
        <v>527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'Basic Data'!$T$4:$T$7</xm:f>
          </x14:formula1>
          <xm:sqref>U2:V1048576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BB3DC3D7EEBD4E965C95B4B8FA3504" ma:contentTypeVersion="6" ma:contentTypeDescription="Create a new document." ma:contentTypeScope="" ma:versionID="8aa82a68bd214f7d3d0f7f88fc697f2b">
  <xsd:schema xmlns:xsd="http://www.w3.org/2001/XMLSchema" xmlns:xs="http://www.w3.org/2001/XMLSchema" xmlns:p="http://schemas.microsoft.com/office/2006/metadata/properties" xmlns:ns2="fc7a6a76-1c0e-42c8-b8bb-e7dae130d739" xmlns:ns3="d16c97b0-8c68-4a48-9e8f-dd7460dbc509" targetNamespace="http://schemas.microsoft.com/office/2006/metadata/properties" ma:root="true" ma:fieldsID="c7b3109e5368c8001190694a4a849b63" ns2:_="" ns3:_="">
    <xsd:import namespace="fc7a6a76-1c0e-42c8-b8bb-e7dae130d739"/>
    <xsd:import namespace="d16c97b0-8c68-4a48-9e8f-dd7460dbc5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7a6a76-1c0e-42c8-b8bb-e7dae130d7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6c97b0-8c68-4a48-9e8f-dd7460dbc50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2374D7-82EC-4EE9-8ACB-38079BC340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7a6a76-1c0e-42c8-b8bb-e7dae130d739"/>
    <ds:schemaRef ds:uri="d16c97b0-8c68-4a48-9e8f-dd7460dbc5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0AEE22-45FE-4F03-81D3-47782115A905}">
  <ds:schemaRefs>
    <ds:schemaRef ds:uri="d16c97b0-8c68-4a48-9e8f-dd7460dbc509"/>
    <ds:schemaRef ds:uri="http://www.w3.org/XML/1998/namespace"/>
    <ds:schemaRef ds:uri="http://purl.org/dc/dcmitype/"/>
    <ds:schemaRef ds:uri="http://schemas.microsoft.com/office/infopath/2007/PartnerControls"/>
    <ds:schemaRef ds:uri="http://schemas.microsoft.com/office/2006/documentManagement/types"/>
    <ds:schemaRef ds:uri="fc7a6a76-1c0e-42c8-b8bb-e7dae130d739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9605C45-923F-4866-AF31-FBC254D9D7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O2Summary</vt:lpstr>
      <vt:lpstr>AnnualKPI</vt:lpstr>
      <vt:lpstr>MonthlyKPI</vt:lpstr>
      <vt:lpstr>Analytics</vt:lpstr>
      <vt:lpstr>Daily KPI</vt:lpstr>
      <vt:lpstr>Input_Raw</vt:lpstr>
      <vt:lpstr>Sheet1</vt:lpstr>
      <vt:lpstr>WTG_BD</vt:lpstr>
      <vt:lpstr>IGA_BD</vt:lpstr>
      <vt:lpstr>Grid_BD</vt:lpstr>
      <vt:lpstr>PM</vt:lpstr>
      <vt:lpstr>Basic Data</vt:lpstr>
      <vt:lpstr>WTG Reactive Power</vt:lpstr>
      <vt:lpstr>Modelling New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Kalpesh Umaretia</dc:creator>
  <cp:keywords/>
  <dc:description/>
  <cp:lastModifiedBy>Mauli Mane</cp:lastModifiedBy>
  <cp:revision/>
  <dcterms:created xsi:type="dcterms:W3CDTF">2015-06-05T18:17:20Z</dcterms:created>
  <dcterms:modified xsi:type="dcterms:W3CDTF">2025-07-09T19:47:01Z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0x01010052BB3DC3D7EEBD4E965C95B4B8FA3504</vt:lpwstr>
  </property>
  <property fmtid="{D5CDD505-2E9C-101B-9397-08002B2CF9AE}" pid="3" name="MediaServiceImageTags">
    <vt:lpwstr/>
  </property>
</Properties>
</file>