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BADA48DD-D47D-4C87-8AAA-E415FC0AE02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5" i="15" l="1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A113" i="15" l="1"/>
  <c r="C113" i="15"/>
  <c r="A113" i="14"/>
  <c r="W112" i="14"/>
  <c r="W113" i="14"/>
  <c r="AI114" i="1"/>
  <c r="AJ114" i="1"/>
  <c r="AK114" i="1"/>
  <c r="AM114" i="1"/>
  <c r="AE44" i="3"/>
  <c r="A44" i="3"/>
  <c r="B44" i="3"/>
  <c r="C44" i="3"/>
  <c r="F44" i="3"/>
  <c r="G44" i="3" s="1"/>
  <c r="I44" i="3"/>
  <c r="J44" i="3"/>
  <c r="M44" i="3"/>
  <c r="N44" i="3"/>
  <c r="W44" i="3"/>
  <c r="X44" i="3"/>
  <c r="Y44" i="3"/>
  <c r="Z44" i="3"/>
  <c r="AC44" i="3" s="1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AL114" i="1" l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4" i="15" l="1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L114" i="7" l="1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C116" i="15" l="1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C117" i="15" l="1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C118" i="15" l="1"/>
  <c r="F118" i="15"/>
  <c r="G118" i="15" s="1"/>
  <c r="H119" i="15"/>
  <c r="AA104" i="7"/>
  <c r="AE106" i="7"/>
  <c r="Z105" i="7"/>
  <c r="Y104" i="7"/>
  <c r="AK106" i="7"/>
  <c r="Q105" i="7"/>
  <c r="AF104" i="7"/>
  <c r="AG106" i="7"/>
  <c r="AF106" i="7"/>
  <c r="X106" i="7"/>
  <c r="AE105" i="7"/>
  <c r="W105" i="7"/>
  <c r="AD104" i="7"/>
  <c r="V104" i="7"/>
  <c r="AA102" i="6"/>
  <c r="Y104" i="6"/>
  <c r="AB103" i="6"/>
  <c r="Z108" i="6"/>
  <c r="Z106" i="7" s="1"/>
  <c r="Z105" i="6"/>
  <c r="Y103" i="7" s="1"/>
  <c r="Z100" i="6"/>
  <c r="AD98" i="7" s="1"/>
  <c r="L102" i="7"/>
  <c r="AI102" i="7"/>
  <c r="Z104" i="6"/>
  <c r="Z102" i="7" s="1"/>
  <c r="AL102" i="1"/>
  <c r="Y100" i="6"/>
  <c r="O98" i="7" s="1"/>
  <c r="K102" i="7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O102" i="7"/>
  <c r="AA108" i="6"/>
  <c r="AB107" i="6"/>
  <c r="AB39" i="11"/>
  <c r="AC99" i="7"/>
  <c r="AA101" i="6"/>
  <c r="AI100" i="7"/>
  <c r="AH102" i="7"/>
  <c r="R102" i="7"/>
  <c r="N102" i="7"/>
  <c r="J102" i="7"/>
  <c r="AF99" i="7"/>
  <c r="J98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E103" i="7"/>
  <c r="AG102" i="7"/>
  <c r="M102" i="7"/>
  <c r="W99" i="7"/>
  <c r="AC98" i="7"/>
  <c r="Z107" i="6"/>
  <c r="AM105" i="7" s="1"/>
  <c r="AB105" i="6"/>
  <c r="Z103" i="6"/>
  <c r="AM101" i="7" s="1"/>
  <c r="AB101" i="6"/>
  <c r="AJ102" i="7"/>
  <c r="T102" i="7"/>
  <c r="P102" i="7"/>
  <c r="Z99" i="7"/>
  <c r="H101" i="15"/>
  <c r="AB38" i="11"/>
  <c r="AB37" i="11"/>
  <c r="H120" i="15" l="1"/>
  <c r="C119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C120" i="15" l="1"/>
  <c r="F120" i="15"/>
  <c r="G120" i="15" s="1"/>
  <c r="H121" i="15"/>
  <c r="F102" i="15"/>
  <c r="G102" i="15" s="1"/>
  <c r="H103" i="15"/>
  <c r="C102" i="15"/>
  <c r="C121" i="15" l="1"/>
  <c r="F121" i="15"/>
  <c r="G121" i="15" s="1"/>
  <c r="H122" i="15"/>
  <c r="F103" i="15"/>
  <c r="G103" i="15" s="1"/>
  <c r="C103" i="15"/>
  <c r="H104" i="15"/>
  <c r="C122" i="15" l="1"/>
  <c r="F122" i="15"/>
  <c r="G122" i="15" s="1"/>
  <c r="H123" i="15"/>
  <c r="F104" i="15"/>
  <c r="G104" i="15" s="1"/>
  <c r="H105" i="15"/>
  <c r="C104" i="15"/>
  <c r="C123" i="15" l="1"/>
  <c r="F123" i="15"/>
  <c r="G123" i="15" s="1"/>
  <c r="F105" i="15"/>
  <c r="G105" i="15" s="1"/>
  <c r="H106" i="15"/>
  <c r="C105" i="15"/>
  <c r="F106" i="15" l="1"/>
  <c r="G106" i="15" s="1"/>
  <c r="C106" i="15"/>
  <c r="W98" i="14" l="1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AI117" i="1"/>
  <c r="AL117" i="1"/>
  <c r="AM117" i="1"/>
  <c r="H118" i="1"/>
  <c r="AI118" i="1"/>
  <c r="AL118" i="1"/>
  <c r="AM118" i="1"/>
  <c r="H119" i="1"/>
  <c r="AI119" i="1"/>
  <c r="AL119" i="1"/>
  <c r="AM119" i="1"/>
  <c r="H120" i="1"/>
  <c r="AI120" i="1"/>
  <c r="AL120" i="1"/>
  <c r="AM120" i="1"/>
  <c r="H121" i="1"/>
  <c r="AI121" i="1"/>
  <c r="AL121" i="1"/>
  <c r="AM121" i="1"/>
  <c r="H122" i="1"/>
  <c r="AI122" i="1"/>
  <c r="AL122" i="1"/>
  <c r="AM122" i="1"/>
  <c r="H123" i="1"/>
  <c r="AI123" i="1"/>
  <c r="AL123" i="1"/>
  <c r="AM123" i="1"/>
  <c r="H124" i="1"/>
  <c r="AI124" i="1"/>
  <c r="AL124" i="1"/>
  <c r="AM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L94" i="1" l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16" i="14"/>
  <c r="W117" i="14"/>
  <c r="W118" i="14"/>
  <c r="W119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AL82" i="1" l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P96" i="7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E90" i="7"/>
  <c r="AA90" i="7"/>
  <c r="AM86" i="7"/>
  <c r="AE86" i="7"/>
  <c r="Y85" i="7"/>
  <c r="M85" i="7"/>
  <c r="Z98" i="6"/>
  <c r="AB96" i="6"/>
  <c r="Z94" i="6"/>
  <c r="AB92" i="6"/>
  <c r="Z90" i="6"/>
  <c r="X88" i="7" s="1"/>
  <c r="AB88" i="6"/>
  <c r="AD90" i="7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AE89" i="7" l="1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81" i="7"/>
  <c r="AB30" i="11"/>
  <c r="C81" i="7"/>
  <c r="G81" i="7"/>
  <c r="A81" i="7"/>
  <c r="H82" i="7"/>
  <c r="F80" i="7"/>
  <c r="Y81" i="6"/>
  <c r="M79" i="7" s="1"/>
  <c r="Z81" i="6"/>
  <c r="X79" i="7" s="1"/>
  <c r="K78" i="7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Z75" i="7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L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AA75" i="7" l="1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B35" i="16" l="1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AL69" i="1" l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AL68" i="1" l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AL64" i="1" l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AE40" i="3" l="1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G87" i="7" l="1"/>
  <c r="C87" i="7"/>
  <c r="A88" i="7"/>
  <c r="F88" i="7"/>
  <c r="H89" i="7"/>
  <c r="W57" i="14"/>
  <c r="C88" i="7" l="1"/>
  <c r="G88" i="7"/>
  <c r="F89" i="7"/>
  <c r="H90" i="7"/>
  <c r="A89" i="7"/>
  <c r="AI58" i="1"/>
  <c r="AJ58" i="1"/>
  <c r="AK58" i="1"/>
  <c r="AM58" i="1"/>
  <c r="AI57" i="1"/>
  <c r="AJ57" i="1"/>
  <c r="AK57" i="1"/>
  <c r="AM57" i="1"/>
  <c r="AL57" i="1" l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AB15" i="11" l="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G91" i="7" l="1"/>
  <c r="C91" i="7"/>
  <c r="A92" i="7"/>
  <c r="F92" i="7"/>
  <c r="H93" i="7"/>
  <c r="AB14" i="11"/>
  <c r="C92" i="7" l="1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AL51" i="1" l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Y58" i="6" l="1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S51" i="7"/>
  <c r="W51" i="7"/>
  <c r="AB53" i="6"/>
  <c r="AK51" i="7"/>
  <c r="AB51" i="7"/>
  <c r="AF51" i="7"/>
  <c r="Y51" i="7"/>
  <c r="AM51" i="7"/>
  <c r="AG48" i="7"/>
  <c r="Y48" i="7"/>
  <c r="AK48" i="7"/>
  <c r="U51" i="7"/>
  <c r="M51" i="7"/>
  <c r="U47" i="7"/>
  <c r="AG47" i="7"/>
  <c r="P55" i="7"/>
  <c r="AI51" i="7"/>
  <c r="P51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V51" i="7"/>
  <c r="Z51" i="7"/>
  <c r="AD51" i="7"/>
  <c r="AL51" i="7"/>
  <c r="AA51" i="6"/>
  <c r="Y51" i="6"/>
  <c r="AB51" i="6"/>
  <c r="Z47" i="7"/>
  <c r="AD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A48" i="7"/>
  <c r="AE48" i="7"/>
  <c r="AB48" i="7"/>
  <c r="AF48" i="7"/>
  <c r="AA50" i="6"/>
  <c r="AB50" i="6"/>
  <c r="J51" i="7"/>
  <c r="N51" i="7"/>
  <c r="R51" i="7"/>
  <c r="AH51" i="7"/>
  <c r="Q51" i="7"/>
  <c r="Q47" i="7"/>
  <c r="T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AF56" i="7" l="1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C96" i="7" l="1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AL46" i="1" l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AD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AD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H115" i="7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A115" i="7" l="1"/>
  <c r="F115" i="7"/>
  <c r="G114" i="7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G115" i="7" l="1"/>
  <c r="C115" i="7"/>
  <c r="C26" i="13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3" i="11"/>
  <c r="AB43" i="11" s="1"/>
  <c r="P44" i="11"/>
  <c r="AB44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44" i="11"/>
  <c r="J138" i="11"/>
  <c r="I642" i="11"/>
  <c r="J457" i="11"/>
  <c r="I644" i="11"/>
  <c r="J554" i="11"/>
  <c r="I611" i="11"/>
  <c r="J656" i="11"/>
  <c r="I584" i="11"/>
  <c r="I489" i="11"/>
  <c r="J76" i="11"/>
  <c r="I44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44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D24" i="13" s="1"/>
  <c r="E22" i="17" s="1"/>
  <c r="K114" i="19"/>
  <c r="D114" i="19"/>
  <c r="AD114" i="19" s="1"/>
  <c r="X114" i="19"/>
  <c r="L114" i="19"/>
  <c r="E114" i="19"/>
  <c r="AB114" i="19"/>
  <c r="Y114" i="19"/>
  <c r="G114" i="19"/>
  <c r="W113" i="19"/>
  <c r="U113" i="19"/>
  <c r="D12" i="13" l="1"/>
  <c r="O114" i="19"/>
  <c r="D21" i="13" s="1"/>
  <c r="E21" i="17" s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F116" i="6" l="1"/>
  <c r="G116" i="6" s="1"/>
  <c r="C11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<sst xmlns="http://schemas.openxmlformats.org/spreadsheetml/2006/main" count="3658" uniqueCount="1114">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</sst>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16" totalsRowShown="0" headerRowDxfId="423" dataDxfId="422" headerRowCellStyle="Normal 26">
  <autoFilter ref="A3:AB11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15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44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6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F13" sqref="F13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32" t="s">
        <v>0</v>
      </c>
      <c r="B1" s="233"/>
      <c r="C1" s="233"/>
      <c r="D1" s="233"/>
      <c r="E1" s="233"/>
      <c r="F1" s="234"/>
    </row>
    <row r="2" spans="1:6" x14ac:dyDescent="0.25">
      <c r="A2" s="93" t="s">
        <v>1</v>
      </c>
      <c r="B2" s="235">
        <v>45839</v>
      </c>
      <c r="C2" s="235"/>
      <c r="D2" s="235"/>
      <c r="E2" s="235"/>
      <c r="F2" s="236"/>
    </row>
    <row r="3" spans="1:6" x14ac:dyDescent="0.25">
      <c r="A3" s="93" t="s">
        <v>2</v>
      </c>
      <c r="B3" s="237">
        <v>45857</v>
      </c>
      <c r="C3" s="237"/>
      <c r="D3" s="237"/>
      <c r="E3" s="237"/>
      <c r="F3" s="238"/>
    </row>
    <row r="4" spans="1:6" x14ac:dyDescent="0.25">
      <c r="A4" s="93" t="s">
        <v>3</v>
      </c>
      <c r="B4" s="239" t="s">
        <v>4</v>
      </c>
      <c r="C4" s="239"/>
      <c r="D4" s="239"/>
      <c r="E4" s="239"/>
      <c r="F4" s="240"/>
    </row>
    <row r="5" spans="1:6" x14ac:dyDescent="0.25">
      <c r="A5" s="93" t="s">
        <v>5</v>
      </c>
      <c r="B5" s="241">
        <v>45748</v>
      </c>
      <c r="C5" s="241"/>
      <c r="D5" s="241"/>
      <c r="E5" s="241"/>
      <c r="F5" s="242"/>
    </row>
    <row r="6" spans="1:6" ht="15.75" thickBot="1" x14ac:dyDescent="0.3">
      <c r="A6" s="94" t="s">
        <v>6</v>
      </c>
      <c r="B6" s="230">
        <v>46112</v>
      </c>
      <c r="C6" s="230"/>
      <c r="D6" s="230"/>
      <c r="E6" s="230"/>
      <c r="F6" s="231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43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23.000000000000732</v>
      </c>
      <c r="E9" s="153">
        <f>-(C9-D9)/C9</f>
        <v>0.13328315907819313</v>
      </c>
      <c r="F9" s="171"/>
    </row>
    <row r="10" spans="1:6" x14ac:dyDescent="0.25">
      <c r="A10" s="244"/>
      <c r="B10" s="90" t="s">
        <v>14</v>
      </c>
      <c r="C10" s="183">
        <f>_xlfn.XLOOKUP($B$2,'Modelling New'!$D:$D,'Modelling New'!U:U)</f>
        <v>385.60530658151447</v>
      </c>
      <c r="D10" s="184">
        <f>'Monthly KPI'!$F$4</f>
        <v>451.9000000000002</v>
      </c>
      <c r="E10" s="154">
        <f t="shared" ref="E10:E11" si="0">-(C10-D10)/C10</f>
        <v>0.17192370614970121</v>
      </c>
      <c r="F10" s="172"/>
    </row>
    <row r="11" spans="1:6" ht="15.75" thickBot="1" x14ac:dyDescent="0.3">
      <c r="A11" s="245"/>
      <c r="B11" s="92" t="s">
        <v>15</v>
      </c>
      <c r="C11" s="183">
        <f>_xlfn.XLOOKUP($B$2,'Modelling New'!$D:$D,'Modelling New'!V:V)</f>
        <v>2914.1321760811738</v>
      </c>
      <c r="D11" s="185">
        <f>'Annual KPI'!$F$4</f>
        <v>2978.4000000000024</v>
      </c>
      <c r="E11" s="155">
        <f t="shared" si="0"/>
        <v>2.2053846577835642E-2</v>
      </c>
      <c r="F11" s="173"/>
    </row>
    <row r="12" spans="1:6" x14ac:dyDescent="0.25">
      <c r="A12" s="243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0.13499173615806906</v>
      </c>
      <c r="E12" s="153">
        <f t="shared" ref="E12:E26" si="1">-(C12-D12)/C12</f>
        <v>0.13328315907819319</v>
      </c>
      <c r="F12" s="174"/>
    </row>
    <row r="13" spans="1:6" x14ac:dyDescent="0.25">
      <c r="A13" s="244"/>
      <c r="B13" s="90" t="s">
        <v>17</v>
      </c>
      <c r="C13" s="188">
        <f>_xlfn.XLOOKUP($B$2,'Modelling New'!$D:$D,'Modelling New'!X:X)</f>
        <v>0.11911562884943129</v>
      </c>
      <c r="D13" s="189">
        <f>'Monthly KPI'!$J$4</f>
        <v>0.13959442922157778</v>
      </c>
      <c r="E13" s="154">
        <f t="shared" si="1"/>
        <v>0.17192370614970112</v>
      </c>
      <c r="F13" s="172"/>
    </row>
    <row r="14" spans="1:6" ht="15.75" thickBot="1" x14ac:dyDescent="0.3">
      <c r="A14" s="245"/>
      <c r="B14" s="92" t="s">
        <v>18</v>
      </c>
      <c r="C14" s="190">
        <f>_xlfn.XLOOKUP($B$2,'Modelling New'!$D:$D,'Modelling New'!Y:Y)</f>
        <v>0.15548765290248101</v>
      </c>
      <c r="D14" s="191">
        <f>'Annual KPI'!$J$4</f>
        <v>0.15891675374434008</v>
      </c>
      <c r="E14" s="155">
        <f t="shared" si="1"/>
        <v>2.2053846577835615E-2</v>
      </c>
      <c r="F14" s="173"/>
    </row>
    <row r="15" spans="1:6" x14ac:dyDescent="0.25">
      <c r="A15" s="243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0.78445560963526817</v>
      </c>
      <c r="E15" s="153">
        <f t="shared" si="1"/>
        <v>7.1055707634627735E-2</v>
      </c>
      <c r="F15" s="175"/>
    </row>
    <row r="16" spans="1:6" x14ac:dyDescent="0.25">
      <c r="A16" s="244"/>
      <c r="B16" s="90" t="s">
        <v>20</v>
      </c>
      <c r="C16" s="188">
        <f>'Monthly KPI'!$G$4</f>
        <v>0.7324134534212966</v>
      </c>
      <c r="D16" s="193">
        <f>'Monthly KPI'!$H$4</f>
        <v>0.76905955932148706</v>
      </c>
      <c r="E16" s="154">
        <f t="shared" si="1"/>
        <v>5.0034725234779379E-2</v>
      </c>
      <c r="F16" s="176"/>
    </row>
    <row r="17" spans="1:6" ht="15.75" thickBot="1" x14ac:dyDescent="0.3">
      <c r="A17" s="245"/>
      <c r="B17" s="92" t="s">
        <v>21</v>
      </c>
      <c r="C17" s="188">
        <f>'Annual KPI'!$G$4</f>
        <v>0.6948447882196318</v>
      </c>
      <c r="D17" s="194">
        <f>'Annual KPI'!$H$4</f>
        <v>0.76192766446626148</v>
      </c>
      <c r="E17" s="155">
        <f t="shared" si="1"/>
        <v>9.654368484005324E-2</v>
      </c>
      <c r="F17" s="177"/>
    </row>
    <row r="18" spans="1:6" x14ac:dyDescent="0.25">
      <c r="A18" s="243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4.13</v>
      </c>
      <c r="E18" s="153">
        <f t="shared" si="1"/>
        <v>5.8099173553718957E-2</v>
      </c>
      <c r="F18" s="178"/>
    </row>
    <row r="19" spans="1:6" x14ac:dyDescent="0.25">
      <c r="A19" s="244"/>
      <c r="B19" s="90" t="s">
        <v>23</v>
      </c>
      <c r="C19" s="197">
        <f>'Monthly KPI'!$C$4</f>
        <v>74.161290322580641</v>
      </c>
      <c r="D19" s="198">
        <f>'Monthly KPI'!$D$4</f>
        <v>82.769999999999982</v>
      </c>
      <c r="E19" s="154">
        <f t="shared" si="1"/>
        <v>0.11608090474119165</v>
      </c>
      <c r="F19" s="176"/>
    </row>
    <row r="20" spans="1:6" ht="15.75" thickBot="1" x14ac:dyDescent="0.3">
      <c r="A20" s="245"/>
      <c r="B20" s="92" t="s">
        <v>24</v>
      </c>
      <c r="C20" s="199">
        <f>'Annual KPI'!$C$4</f>
        <v>590.76129032258052</v>
      </c>
      <c r="D20" s="200">
        <f>'Annual KPI'!$D$4</f>
        <v>550.63000000000034</v>
      </c>
      <c r="E20" s="155">
        <f t="shared" si="1"/>
        <v>-6.793148261401287E-2</v>
      </c>
      <c r="F20" s="179"/>
    </row>
    <row r="21" spans="1:6" x14ac:dyDescent="0.25">
      <c r="A21" s="243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44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0.99989401212217144</v>
      </c>
      <c r="E22" s="154">
        <f>-(C22-D22)/C22</f>
        <v>1.9883733294748459E-2</v>
      </c>
      <c r="F22" s="176"/>
    </row>
    <row r="23" spans="1:6" ht="15.75" thickBot="1" x14ac:dyDescent="0.3">
      <c r="A23" s="245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0.99463442479696207</v>
      </c>
      <c r="E23" s="155">
        <f>-(C23-D23)/C23</f>
        <v>1.4518997140924132E-2</v>
      </c>
      <c r="F23" s="177"/>
    </row>
    <row r="24" spans="1:6" x14ac:dyDescent="0.25">
      <c r="A24" s="243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1</v>
      </c>
      <c r="E24" s="153">
        <f t="shared" si="1"/>
        <v>2.0408163265306142E-2</v>
      </c>
      <c r="F24" s="175"/>
    </row>
    <row r="25" spans="1:6" x14ac:dyDescent="0.25">
      <c r="A25" s="244"/>
      <c r="B25" s="90" t="s">
        <v>29</v>
      </c>
      <c r="C25" s="193">
        <f>_xlfn.XLOOKUP($B$2,'Modelling New'!$D:$D,'Modelling New'!AF:AF)</f>
        <v>0.98</v>
      </c>
      <c r="D25" s="193">
        <f>'Monthly KPI'!$L$4</f>
        <v>0.97628121619134511</v>
      </c>
      <c r="E25" s="154">
        <f t="shared" si="1"/>
        <v>-3.7946773557702741E-3</v>
      </c>
      <c r="F25" s="180"/>
    </row>
    <row r="26" spans="1:6" ht="15.75" thickBot="1" x14ac:dyDescent="0.3">
      <c r="A26" s="245"/>
      <c r="B26" s="92" t="s">
        <v>30</v>
      </c>
      <c r="C26" s="194">
        <f>_xlfn.XLOOKUP($B$2,'Modelling New'!$D:$D,'Modelling New'!AF:AF)</f>
        <v>0.98</v>
      </c>
      <c r="D26" s="194">
        <f>'Annual KPI'!$L$4</f>
        <v>0.98711961121485103</v>
      </c>
      <c r="E26" s="155">
        <f t="shared" si="1"/>
        <v>7.2649094029092363E-3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45857</v>
      </c>
      <c r="D7" s="110">
        <f>'Daily Dashboard'!C9</f>
        <v>20.295016135869183</v>
      </c>
      <c r="E7" s="110">
        <f>'Daily Dashboard'!D9</f>
        <v>23.000000000000732</v>
      </c>
      <c r="F7" s="110">
        <f>D7-E7</f>
        <v>-2.7049838641315489</v>
      </c>
    </row>
    <row r="8" spans="2:6" x14ac:dyDescent="0.25">
      <c r="B8" s="108" t="s">
        <v>37</v>
      </c>
      <c r="C8" s="109">
        <f t="shared" ref="C8:C30" si="0">$C$7</f>
        <v>45857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45857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45857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45857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45857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45857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45857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45857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45857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45857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45857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45857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45857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45857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45857</v>
      </c>
      <c r="D22" s="108">
        <f>'Daily Dashboard'!C24*100</f>
        <v>98</v>
      </c>
      <c r="E22" s="108">
        <f>'Daily Dashboard'!D24*100</f>
        <v>100</v>
      </c>
      <c r="F22" s="108">
        <f>E22-D22</f>
        <v>2</v>
      </c>
      <c r="G22" s="111">
        <f>(F22/100)*$D$7</f>
        <v>0.40590032271738369</v>
      </c>
    </row>
    <row r="23" spans="2:7" x14ac:dyDescent="0.25">
      <c r="B23" s="108" t="s">
        <v>52</v>
      </c>
      <c r="C23" s="109">
        <f t="shared" si="0"/>
        <v>45857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45857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45857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45857</v>
      </c>
      <c r="D26" s="112">
        <f>'Daily Dashboard'!$D$9</f>
        <v>23.000000000000732</v>
      </c>
      <c r="E26" s="112">
        <f>'Daily Dashboard'!$D$9</f>
        <v>23.000000000000732</v>
      </c>
      <c r="F26" s="112">
        <f>'Daily Dashboard'!$D$9</f>
        <v>23.000000000000732</v>
      </c>
    </row>
    <row r="27" spans="2:7" x14ac:dyDescent="0.25">
      <c r="B27" s="108" t="s">
        <v>55</v>
      </c>
      <c r="C27" s="109">
        <f t="shared" si="0"/>
        <v>45857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45857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45857</v>
      </c>
      <c r="D29" s="108">
        <v>0</v>
      </c>
      <c r="E29" s="110">
        <f>-(F7+G30)+(SUM(G21:G23))</f>
        <v>2.3295428383585772</v>
      </c>
      <c r="F29" s="110">
        <f>E29</f>
        <v>2.3295428383585772</v>
      </c>
    </row>
    <row r="30" spans="2:7" x14ac:dyDescent="0.25">
      <c r="B30" s="108" t="s">
        <v>58</v>
      </c>
      <c r="C30" s="109">
        <f t="shared" si="0"/>
        <v>45857</v>
      </c>
      <c r="D30" s="108">
        <f>'Daily Dashboard'!C18</f>
        <v>3.903225806451613</v>
      </c>
      <c r="E30" s="113">
        <f>'Daily Dashboard'!D18</f>
        <v>4.13</v>
      </c>
      <c r="F30" s="108">
        <f>E30-D30</f>
        <v>0.2267741935483869</v>
      </c>
      <c r="G30" s="107">
        <f>(F30/D30)*D7</f>
        <v>1.1791236647533903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45857</v>
      </c>
      <c r="C1" s="28">
        <f>'Daily Dashboard'!B2</f>
        <v>45839</v>
      </c>
      <c r="D1" s="64"/>
      <c r="E1" s="64"/>
      <c r="F1" s="64"/>
    </row>
    <row r="2" spans="1:14" ht="21" x14ac:dyDescent="0.25">
      <c r="A2" s="246" t="s">
        <v>60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110</v>
      </c>
      <c r="C4" s="31">
        <f>_xlfn.XLOOKUP($C$1,'Modelling New'!$D:$D,'Modelling New'!$S:$S)</f>
        <v>590.76129032258052</v>
      </c>
      <c r="D4" s="32">
        <f>SUMIFS('Daily KPI'!$I:$I,'Daily KPI'!$B:$B,'Annual KPI'!$A$4,'Daily KPI'!$A:$A,"&lt;="&amp;'Annual KPI'!$B$1)</f>
        <v>550.63000000000034</v>
      </c>
      <c r="E4" s="31">
        <f>_xlfn.XLOOKUP($C$1,'Modelling New'!$D:$D,'Modelling New'!V:V)</f>
        <v>2914.1321760811738</v>
      </c>
      <c r="F4" s="32">
        <f>SUMIFS('Daily KPI'!$AA:$AA,'Daily KPI'!$B:$B,'Annual KPI'!A4,'Daily KPI'!$A:$A,"&lt;="&amp;'Annual KPI'!$B$1)/1000</f>
        <v>2978.4000000000024</v>
      </c>
      <c r="G4" s="33">
        <f>IFERROR(E4/C4/'Modelling New'!$AO$1,"")</f>
        <v>0.6948447882196318</v>
      </c>
      <c r="H4" s="34">
        <f>IFERROR(F4/D4/'Modelling New'!$AO$1,"")</f>
        <v>0.76192766446626148</v>
      </c>
      <c r="I4" s="33">
        <f>IFERROR(E4/(B4*24*'Modelling New'!$AO$1),"")</f>
        <v>0.15548765290248101</v>
      </c>
      <c r="J4" s="34">
        <f>IFERROR(F4/(B4*24*'Modelling New'!$AO$1),"")</f>
        <v>0.15891675374434008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0.98711961121485103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0.99463442479696207</v>
      </c>
    </row>
    <row r="8" spans="1:14" ht="21" x14ac:dyDescent="0.25">
      <c r="A8" s="246" t="s">
        <v>75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74.161290322580641</v>
      </c>
      <c r="D13" s="25">
        <f>SUMIF('Daily KPI'!$D:$D,A13,'Daily KPI'!$I:$I)</f>
        <v>82.769999999999982</v>
      </c>
      <c r="E13" s="31">
        <f>_xlfn.XLOOKUP($A13,'Modelling New'!$D:$D,'Modelling New'!$U:$U)</f>
        <v>385.60530658151447</v>
      </c>
      <c r="F13" s="25">
        <f>SUMIF('Daily KPI'!$D:$D,$A13,'Daily KPI'!$AA:$AA)/1000</f>
        <v>451.9000000000002</v>
      </c>
      <c r="G13" s="26">
        <f>IFERROR(E13/C13/'Modelling New'!$AO$1,"")</f>
        <v>0.7324134534212966</v>
      </c>
      <c r="H13" s="27">
        <f>IFERROR(F13/D13/'Modelling New'!$AO$1,"")</f>
        <v>0.76905955932148706</v>
      </c>
      <c r="I13" s="26">
        <f>IFERROR(E13/(B13*24*'Modelling New'!$AO$1),"")</f>
        <v>7.3006353165780469E-2</v>
      </c>
      <c r="J13" s="27">
        <f>IFERROR(F13/(B13*24*'Modelling New'!$AO$1),"")</f>
        <v>8.5557875974515418E-2</v>
      </c>
      <c r="K13" s="26">
        <f>_xlfn.XLOOKUP($A13,'Modelling New'!$D:$D,'Modelling New'!AF:AF)</f>
        <v>0.98</v>
      </c>
      <c r="L13" s="27">
        <f>IFERROR(AVERAGEIF('Daily KPI'!$D:$D,A13,'Daily KPI'!R:R),"")</f>
        <v>0.97628121619134511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0.99989401212217144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45857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46" t="s">
        <v>76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19</v>
      </c>
      <c r="C4" s="24">
        <f>_xlfn.XLOOKUP($A$4,'Modelling New'!$D:$D,'Modelling New'!R:R)</f>
        <v>74.161290322580641</v>
      </c>
      <c r="D4" s="78">
        <f>SUMIF('Daily KPI'!$D:$D,'Monthly KPI'!A4,'Daily KPI'!$I:$I)</f>
        <v>82.769999999999982</v>
      </c>
      <c r="E4" s="24">
        <f>_xlfn.XLOOKUP($A$4,'Modelling New'!$D:$D,'Modelling New'!U:U)</f>
        <v>385.60530658151447</v>
      </c>
      <c r="F4" s="78">
        <f>SUMIF('Daily KPI'!$D:$D,'Monthly KPI'!A4,'Daily KPI'!$AA:$AA)/1000</f>
        <v>451.9000000000002</v>
      </c>
      <c r="G4" s="26">
        <f>IFERROR(E4/C4/'Modelling New'!$AO$1,"")</f>
        <v>0.7324134534212966</v>
      </c>
      <c r="H4" s="27">
        <f>IFERROR(F4/D4/'Modelling New'!$AO$1,"")</f>
        <v>0.76905955932148706</v>
      </c>
      <c r="I4" s="26">
        <f>IFERROR(E4/(B4*24*'Modelling New'!$AO$1),"")</f>
        <v>0.11911562884943129</v>
      </c>
      <c r="J4" s="27">
        <f>IFERROR(F4/(B4*24*'Modelling New'!$AO$1),"")</f>
        <v>0.13959442922157778</v>
      </c>
      <c r="K4" s="26">
        <f>_xlfn.XLOOKUP($A$4,'Modelling New'!$D:$D,'Modelling New'!AF:AF)</f>
        <v>0.98</v>
      </c>
      <c r="L4" s="27">
        <f>IFERROR(AVERAGEIF('Daily KPI'!$D:$D,'Monthly KPI'!A4,'Daily KPI'!R:R),"")</f>
        <v>0.97628121619134511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0.99989401212217144</v>
      </c>
    </row>
    <row r="7" spans="1:14" x14ac:dyDescent="0.25">
      <c r="A7" s="39" t="s">
        <v>78</v>
      </c>
      <c r="B7" s="40">
        <f>B8-6</f>
        <v>45851</v>
      </c>
    </row>
    <row r="8" spans="1:14" x14ac:dyDescent="0.25">
      <c r="A8" s="39" t="s">
        <v>79</v>
      </c>
      <c r="B8" s="40">
        <f>B1</f>
        <v>45857</v>
      </c>
    </row>
    <row r="10" spans="1:14" ht="21" x14ac:dyDescent="0.25">
      <c r="A10" s="246" t="s">
        <v>76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33.19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182.10000000000053</v>
      </c>
      <c r="G12" s="26">
        <f>IFERROR(E12/C12/'Modelling New'!$AO$1,"")</f>
        <v>0.7324134534212966</v>
      </c>
      <c r="H12" s="27">
        <f>IFERROR(F12/D12/'Modelling New'!$AO$1,"")</f>
        <v>0.77284656680929043</v>
      </c>
      <c r="I12" s="26">
        <f>IFERROR(E12/(B12*24*'Modelling New'!$AO$1),"")</f>
        <v>0.11911562884943128</v>
      </c>
      <c r="J12" s="27">
        <f>IFERROR(F12/(B12*24*'Modelling New'!$AO$1),"")</f>
        <v>0.15268319971666872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0.99721149050301883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16"/>
  <sheetViews>
    <sheetView topLeftCell="F1" workbookViewId="0">
      <pane xSplit="3" ySplit="3" topLeftCell="O100" activePane="bottomRight" state="frozen"/>
      <selection pane="topRight" activeCell="I1" sqref="I1"/>
      <selection pane="bottomLeft" activeCell="F4" sqref="F4"/>
      <selection pane="bottomRight" activeCell="U114" sqref="U114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1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89" activePane="bottomRight" state="frozen"/>
      <selection pane="topRight" activeCell="AB39" sqref="AB39"/>
      <selection pane="bottomLeft" activeCell="AB39" sqref="AB39"/>
      <selection pane="bottomRight" activeCell="AJ111" sqref="AJ111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0.99798623032125611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0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0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0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 t="str">
        <f>IFERROR(1-SUMIF('Plant BD'!$F:$F,$A115,'Plant BD'!AE:AE)/($AA115+SUMIF('Plant BD'!$F:$F,$A115,'Plant BD'!AE:AE)),"")</f>
        <v/>
      </c>
      <c r="P115" s="122"/>
      <c r="Q115" s="121"/>
      <c r="R115" s="122" t="str">
        <f>IFERROR(1-SUMIF('Grid BD'!$H:$H,$A115,'Grid BD'!$AD:$AD)/($AA115+SUMIF('Grid BD'!$H:$H,$A115,'Plant BD'!$AE:$AE)),"")</f>
        <v/>
      </c>
      <c r="T115" s="121"/>
      <c r="U115" s="120" t="str">
        <f t="shared" si="5"/>
        <v/>
      </c>
      <c r="V115" s="120"/>
      <c r="W115" s="115">
        <f t="shared" si="8"/>
        <v>0</v>
      </c>
      <c r="X115" s="118">
        <f>IFERROR(_xlfn.XLOOKUP($A115,'Raw Data'!$G:$G,'Raw Data'!AI:AI),"")</f>
        <v>0</v>
      </c>
      <c r="Y115" s="118">
        <f>IFERROR(_xlfn.XLOOKUP($A115,'Raw Data'!$G:$G,'Raw Data'!AJ:AJ),"")</f>
        <v>0</v>
      </c>
      <c r="Z115" s="118">
        <f>IFERROR(_xlfn.XLOOKUP($A115,'Raw Data'!$G:$G,'Raw Data'!AK:AK),"")</f>
        <v>0</v>
      </c>
      <c r="AA115" s="118">
        <f>IFERROR(_xlfn.XLOOKUP($A115,'Raw Data'!$G:$G,'Raw Data'!AL:AL),"")</f>
        <v>0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0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0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0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 t="str">
        <f>IFERROR(1-SUMIF('Plant BD'!$F:$F,$A116,'Plant BD'!AE:AE)/($AA116+SUMIF('Plant BD'!$F:$F,$A116,'Plant BD'!AE:AE)),"")</f>
        <v/>
      </c>
      <c r="P116" s="122"/>
      <c r="Q116" s="121"/>
      <c r="R116" s="122" t="str">
        <f>IFERROR(1-SUMIF('Grid BD'!$H:$H,$A116,'Grid BD'!$AD:$AD)/($AA116+SUMIF('Grid BD'!$H:$H,$A116,'Plant BD'!$AE:$AE)),"")</f>
        <v/>
      </c>
      <c r="T116" s="121"/>
      <c r="U116" s="120" t="str">
        <f t="shared" si="5"/>
        <v/>
      </c>
      <c r="V116" s="120"/>
      <c r="W116" s="115">
        <f t="shared" si="8"/>
        <v>0</v>
      </c>
      <c r="X116" s="118">
        <f>IFERROR(_xlfn.XLOOKUP($A116,'Raw Data'!$G:$G,'Raw Data'!AI:AI),"")</f>
        <v>0</v>
      </c>
      <c r="Y116" s="118">
        <f>IFERROR(_xlfn.XLOOKUP($A116,'Raw Data'!$G:$G,'Raw Data'!AJ:AJ),"")</f>
        <v>0</v>
      </c>
      <c r="Z116" s="118">
        <f>IFERROR(_xlfn.XLOOKUP($A116,'Raw Data'!$G:$G,'Raw Data'!AK:AK),"")</f>
        <v>0</v>
      </c>
      <c r="AA116" s="118">
        <f>IFERROR(_xlfn.XLOOKUP($A116,'Raw Data'!$G:$G,'Raw Data'!AL:AL),"")</f>
        <v>0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0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0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0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 t="str">
        <f>IFERROR(1-SUMIF('Plant BD'!$F:$F,$A117,'Plant BD'!AE:AE)/($AA117+SUMIF('Plant BD'!$F:$F,$A117,'Plant BD'!AE:AE)),"")</f>
        <v/>
      </c>
      <c r="P117" s="122"/>
      <c r="Q117" s="121"/>
      <c r="R117" s="122" t="str">
        <f>IFERROR(1-SUMIF('Grid BD'!$H:$H,$A117,'Grid BD'!$AD:$AD)/($AA117+SUMIF('Grid BD'!$H:$H,$A117,'Plant BD'!$AE:$AE)),"")</f>
        <v/>
      </c>
      <c r="T117" s="121"/>
      <c r="U117" s="120" t="str">
        <f t="shared" ref="U117:U180" si="9">IFERROR(AA117/I117/AB117/1000,"")</f>
        <v/>
      </c>
      <c r="V117" s="120"/>
      <c r="W117" s="115">
        <f t="shared" si="8"/>
        <v>0</v>
      </c>
      <c r="X117" s="118">
        <f>IFERROR(_xlfn.XLOOKUP($A117,'Raw Data'!$G:$G,'Raw Data'!AI:AI),"")</f>
        <v>0</v>
      </c>
      <c r="Y117" s="118">
        <f>IFERROR(_xlfn.XLOOKUP($A117,'Raw Data'!$G:$G,'Raw Data'!AJ:AJ),"")</f>
        <v>0</v>
      </c>
      <c r="Z117" s="118">
        <f>IFERROR(_xlfn.XLOOKUP($A117,'Raw Data'!$G:$G,'Raw Data'!AK:AK),"")</f>
        <v>0</v>
      </c>
      <c r="AA117" s="118">
        <f>IFERROR(_xlfn.XLOOKUP($A117,'Raw Data'!$G:$G,'Raw Data'!AL:AL),"")</f>
        <v>0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0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0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0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 t="str">
        <f>IFERROR(1-SUMIF('Plant BD'!$F:$F,$A118,'Plant BD'!AE:AE)/($AA118+SUMIF('Plant BD'!$F:$F,$A118,'Plant BD'!AE:AE)),"")</f>
        <v/>
      </c>
      <c r="P118" s="122"/>
      <c r="Q118" s="121"/>
      <c r="R118" s="122" t="str">
        <f>IFERROR(1-SUMIF('Grid BD'!$H:$H,$A118,'Grid BD'!$AD:$AD)/($AA118+SUMIF('Grid BD'!$H:$H,$A118,'Plant BD'!$AE:$AE)),"")</f>
        <v/>
      </c>
      <c r="T118" s="121"/>
      <c r="U118" s="120" t="str">
        <f t="shared" si="9"/>
        <v/>
      </c>
      <c r="V118" s="120"/>
      <c r="W118" s="115">
        <f t="shared" si="8"/>
        <v>0</v>
      </c>
      <c r="X118" s="118">
        <f>IFERROR(_xlfn.XLOOKUP($A118,'Raw Data'!$G:$G,'Raw Data'!AI:AI),"")</f>
        <v>0</v>
      </c>
      <c r="Y118" s="118">
        <f>IFERROR(_xlfn.XLOOKUP($A118,'Raw Data'!$G:$G,'Raw Data'!AJ:AJ),"")</f>
        <v>0</v>
      </c>
      <c r="Z118" s="118">
        <f>IFERROR(_xlfn.XLOOKUP($A118,'Raw Data'!$G:$G,'Raw Data'!AK:AK),"")</f>
        <v>0</v>
      </c>
      <c r="AA118" s="118">
        <f>IFERROR(_xlfn.XLOOKUP($A118,'Raw Data'!$G:$G,'Raw Data'!AL:AL),"")</f>
        <v>0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0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0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0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 t="str">
        <f>IFERROR(1-SUMIF('Plant BD'!$F:$F,$A119,'Plant BD'!AE:AE)/($AA119+SUMIF('Plant BD'!$F:$F,$A119,'Plant BD'!AE:AE)),"")</f>
        <v/>
      </c>
      <c r="P119" s="122"/>
      <c r="Q119" s="121"/>
      <c r="R119" s="122" t="str">
        <f>IFERROR(1-SUMIF('Grid BD'!$H:$H,$A119,'Grid BD'!$AD:$AD)/($AA119+SUMIF('Grid BD'!$H:$H,$A119,'Plant BD'!$AE:$AE)),"")</f>
        <v/>
      </c>
      <c r="T119" s="121"/>
      <c r="U119" s="120" t="str">
        <f t="shared" si="9"/>
        <v/>
      </c>
      <c r="V119" s="120"/>
      <c r="W119" s="115">
        <f t="shared" si="8"/>
        <v>0</v>
      </c>
      <c r="X119" s="118">
        <f>IFERROR(_xlfn.XLOOKUP($A119,'Raw Data'!$G:$G,'Raw Data'!AI:AI),"")</f>
        <v>0</v>
      </c>
      <c r="Y119" s="118">
        <f>IFERROR(_xlfn.XLOOKUP($A119,'Raw Data'!$G:$G,'Raw Data'!AJ:AJ),"")</f>
        <v>0</v>
      </c>
      <c r="Z119" s="118">
        <f>IFERROR(_xlfn.XLOOKUP($A119,'Raw Data'!$G:$G,'Raw Data'!AK:AK),"")</f>
        <v>0</v>
      </c>
      <c r="AA119" s="118">
        <f>IFERROR(_xlfn.XLOOKUP($A119,'Raw Data'!$G:$G,'Raw Data'!AL:AL),"")</f>
        <v>0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0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0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0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 t="str">
        <f>IFERROR(1-SUMIF('Plant BD'!$F:$F,$A120,'Plant BD'!AE:AE)/($AA120+SUMIF('Plant BD'!$F:$F,$A120,'Plant BD'!AE:AE)),"")</f>
        <v/>
      </c>
      <c r="P120" s="122"/>
      <c r="Q120" s="121"/>
      <c r="R120" s="122" t="str">
        <f>IFERROR(1-SUMIF('Grid BD'!$H:$H,$A120,'Grid BD'!$AD:$AD)/($AA120+SUMIF('Grid BD'!$H:$H,$A120,'Plant BD'!$AE:$AE)),"")</f>
        <v/>
      </c>
      <c r="T120" s="121"/>
      <c r="U120" s="120" t="str">
        <f t="shared" si="9"/>
        <v/>
      </c>
      <c r="V120" s="120"/>
      <c r="W120" s="115">
        <f t="shared" si="8"/>
        <v>0</v>
      </c>
      <c r="X120" s="118">
        <f>IFERROR(_xlfn.XLOOKUP($A120,'Raw Data'!$G:$G,'Raw Data'!AI:AI),"")</f>
        <v>0</v>
      </c>
      <c r="Y120" s="118">
        <f>IFERROR(_xlfn.XLOOKUP($A120,'Raw Data'!$G:$G,'Raw Data'!AJ:AJ),"")</f>
        <v>0</v>
      </c>
      <c r="Z120" s="118">
        <f>IFERROR(_xlfn.XLOOKUP($A120,'Raw Data'!$G:$G,'Raw Data'!AK:AK),"")</f>
        <v>0</v>
      </c>
      <c r="AA120" s="118">
        <f>IFERROR(_xlfn.XLOOKUP($A120,'Raw Data'!$G:$G,'Raw Data'!AL:AL),"")</f>
        <v>0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0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0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0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 t="str">
        <f>IFERROR(1-SUMIF('Plant BD'!$F:$F,$A121,'Plant BD'!AE:AE)/($AA121+SUMIF('Plant BD'!$F:$F,$A121,'Plant BD'!AE:AE)),"")</f>
        <v/>
      </c>
      <c r="P121" s="122"/>
      <c r="Q121" s="121"/>
      <c r="R121" s="122" t="str">
        <f>IFERROR(1-SUMIF('Grid BD'!$H:$H,$A121,'Grid BD'!$AD:$AD)/($AA121+SUMIF('Grid BD'!$H:$H,$A121,'Plant BD'!$AE:$AE)),"")</f>
        <v/>
      </c>
      <c r="T121" s="121"/>
      <c r="U121" s="120" t="str">
        <f t="shared" si="9"/>
        <v/>
      </c>
      <c r="V121" s="120"/>
      <c r="W121" s="115">
        <f t="shared" si="8"/>
        <v>0</v>
      </c>
      <c r="X121" s="118">
        <f>IFERROR(_xlfn.XLOOKUP($A121,'Raw Data'!$G:$G,'Raw Data'!AI:AI),"")</f>
        <v>0</v>
      </c>
      <c r="Y121" s="118">
        <f>IFERROR(_xlfn.XLOOKUP($A121,'Raw Data'!$G:$G,'Raw Data'!AJ:AJ),"")</f>
        <v>0</v>
      </c>
      <c r="Z121" s="118">
        <f>IFERROR(_xlfn.XLOOKUP($A121,'Raw Data'!$G:$G,'Raw Data'!AK:AK),"")</f>
        <v>0</v>
      </c>
      <c r="AA121" s="118">
        <f>IFERROR(_xlfn.XLOOKUP($A121,'Raw Data'!$G:$G,'Raw Data'!AL:AL),"")</f>
        <v>0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0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0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0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 t="str">
        <f>IFERROR(1-SUMIF('Plant BD'!$F:$F,$A122,'Plant BD'!AE:AE)/($AA122+SUMIF('Plant BD'!$F:$F,$A122,'Plant BD'!AE:AE)),"")</f>
        <v/>
      </c>
      <c r="P122" s="122"/>
      <c r="Q122" s="121"/>
      <c r="R122" s="122" t="str">
        <f>IFERROR(1-SUMIF('Grid BD'!$H:$H,$A122,'Grid BD'!$AD:$AD)/($AA122+SUMIF('Grid BD'!$H:$H,$A122,'Plant BD'!$AE:$AE)),"")</f>
        <v/>
      </c>
      <c r="T122" s="121"/>
      <c r="U122" s="120" t="str">
        <f t="shared" si="9"/>
        <v/>
      </c>
      <c r="V122" s="120"/>
      <c r="W122" s="115">
        <f t="shared" si="8"/>
        <v>0</v>
      </c>
      <c r="X122" s="118">
        <f>IFERROR(_xlfn.XLOOKUP($A122,'Raw Data'!$G:$G,'Raw Data'!AI:AI),"")</f>
        <v>0</v>
      </c>
      <c r="Y122" s="118">
        <f>IFERROR(_xlfn.XLOOKUP($A122,'Raw Data'!$G:$G,'Raw Data'!AJ:AJ),"")</f>
        <v>0</v>
      </c>
      <c r="Z122" s="118">
        <f>IFERROR(_xlfn.XLOOKUP($A122,'Raw Data'!$G:$G,'Raw Data'!AK:AK),"")</f>
        <v>0</v>
      </c>
      <c r="AA122" s="118">
        <f>IFERROR(_xlfn.XLOOKUP($A122,'Raw Data'!$G:$G,'Raw Data'!AL:AL),"")</f>
        <v>0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0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0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0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 t="str">
        <f>IFERROR(1-SUMIF('Plant BD'!$F:$F,$A123,'Plant BD'!AE:AE)/($AA123+SUMIF('Plant BD'!$F:$F,$A123,'Plant BD'!AE:AE)),"")</f>
        <v/>
      </c>
      <c r="P123" s="122"/>
      <c r="Q123" s="121"/>
      <c r="R123" s="122" t="str">
        <f>IFERROR(1-SUMIF('Grid BD'!$H:$H,$A123,'Grid BD'!$AD:$AD)/($AA123+SUMIF('Grid BD'!$H:$H,$A123,'Plant BD'!$AE:$AE)),"")</f>
        <v/>
      </c>
      <c r="T123" s="121"/>
      <c r="U123" s="120" t="str">
        <f t="shared" si="9"/>
        <v/>
      </c>
      <c r="V123" s="120"/>
      <c r="W123" s="115">
        <f t="shared" si="8"/>
        <v>0</v>
      </c>
      <c r="X123" s="118">
        <f>IFERROR(_xlfn.XLOOKUP($A123,'Raw Data'!$G:$G,'Raw Data'!AI:AI),"")</f>
        <v>0</v>
      </c>
      <c r="Y123" s="118">
        <f>IFERROR(_xlfn.XLOOKUP($A123,'Raw Data'!$G:$G,'Raw Data'!AJ:AJ),"")</f>
        <v>0</v>
      </c>
      <c r="Z123" s="118">
        <f>IFERROR(_xlfn.XLOOKUP($A123,'Raw Data'!$G:$G,'Raw Data'!AK:AK),"")</f>
        <v>0</v>
      </c>
      <c r="AA123" s="118">
        <f>IFERROR(_xlfn.XLOOKUP($A123,'Raw Data'!$G:$G,'Raw Data'!AL:AL),"")</f>
        <v>0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H103" activePane="bottomRight" state="frozen"/>
      <selection pane="topRight" activeCell="H1" sqref="H1"/>
      <selection pane="bottomLeft" activeCell="A4" sqref="A4"/>
      <selection pane="bottomRight" activeCell="A116" sqref="A116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/>
      <c r="C117" s="81"/>
      <c r="D117" s="81"/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/>
      <c r="J117" s="41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1"/>
      <c r="AA117" s="81"/>
      <c r="AB117" s="81"/>
      <c r="AC117" s="81"/>
      <c r="AD117" s="81"/>
      <c r="AE117" s="81"/>
      <c r="AF117" s="81"/>
      <c r="AG117" s="81"/>
      <c r="AH117" s="81"/>
      <c r="AI117" s="11">
        <f>SUM(Raw_Data[[#This Row],[Inv1]:[Inv3]])</f>
        <v>0</v>
      </c>
      <c r="AJ117" s="11">
        <v>0</v>
      </c>
      <c r="AK117" s="11"/>
      <c r="AL117" s="11">
        <f>Raw_Data[[#This Row],[Export  (kWh)]]-Raw_Data[[#This Row],[Import (kWh)]]</f>
        <v>0</v>
      </c>
      <c r="AM117" s="21">
        <f t="shared" ref="AM116:AM134" si="108">IFERROR((J117-I117)*24,"")</f>
        <v>0</v>
      </c>
    </row>
    <row r="118" spans="1:39" x14ac:dyDescent="0.25">
      <c r="A118" s="164">
        <f>YEAR(Raw_Data[[#This Row],[Date]])+IF(MONTH(Raw_Data[[#This Row],[Date]])&gt;=4,1,0)</f>
        <v>2026</v>
      </c>
      <c r="B118" s="42"/>
      <c r="C118" s="81"/>
      <c r="D118" s="81"/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/>
      <c r="J118" s="41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1"/>
      <c r="AA118" s="81"/>
      <c r="AB118" s="81"/>
      <c r="AC118" s="81"/>
      <c r="AD118" s="81"/>
      <c r="AE118" s="81"/>
      <c r="AF118" s="81"/>
      <c r="AG118" s="81"/>
      <c r="AH118" s="81"/>
      <c r="AI118" s="11">
        <f>SUM(Raw_Data[[#This Row],[Inv1]:[Inv3]])</f>
        <v>0</v>
      </c>
      <c r="AJ118" s="11">
        <v>0</v>
      </c>
      <c r="AK118" s="11"/>
      <c r="AL118" s="11">
        <f>Raw_Data[[#This Row],[Export  (kWh)]]-Raw_Data[[#This Row],[Import (kWh)]]</f>
        <v>0</v>
      </c>
      <c r="AM118" s="21">
        <f t="shared" si="108"/>
        <v>0</v>
      </c>
    </row>
    <row r="119" spans="1:39" x14ac:dyDescent="0.25">
      <c r="A119" s="164">
        <f>YEAR(Raw_Data[[#This Row],[Date]])+IF(MONTH(Raw_Data[[#This Row],[Date]])&gt;=4,1,0)</f>
        <v>2026</v>
      </c>
      <c r="B119" s="42"/>
      <c r="C119" s="81"/>
      <c r="D119" s="81"/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/>
      <c r="J119" s="41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1"/>
      <c r="AA119" s="81"/>
      <c r="AB119" s="81"/>
      <c r="AC119" s="81"/>
      <c r="AD119" s="81"/>
      <c r="AE119" s="81"/>
      <c r="AF119" s="81"/>
      <c r="AG119" s="81"/>
      <c r="AH119" s="81"/>
      <c r="AI119" s="11">
        <f>SUM(Raw_Data[[#This Row],[Inv1]:[Inv3]])</f>
        <v>0</v>
      </c>
      <c r="AJ119" s="11">
        <v>0</v>
      </c>
      <c r="AK119" s="11"/>
      <c r="AL119" s="11">
        <f>Raw_Data[[#This Row],[Export  (kWh)]]-Raw_Data[[#This Row],[Import (kWh)]]</f>
        <v>0</v>
      </c>
      <c r="AM119" s="21">
        <f t="shared" si="108"/>
        <v>0</v>
      </c>
    </row>
    <row r="120" spans="1:39" x14ac:dyDescent="0.25">
      <c r="A120" s="164">
        <f>YEAR(Raw_Data[[#This Row],[Date]])+IF(MONTH(Raw_Data[[#This Row],[Date]])&gt;=4,1,0)</f>
        <v>2026</v>
      </c>
      <c r="B120" s="42"/>
      <c r="C120" s="81"/>
      <c r="D120" s="81"/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/>
      <c r="J120" s="41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1"/>
      <c r="AA120" s="81"/>
      <c r="AB120" s="81"/>
      <c r="AC120" s="81"/>
      <c r="AD120" s="81"/>
      <c r="AE120" s="81"/>
      <c r="AF120" s="81"/>
      <c r="AG120" s="81"/>
      <c r="AH120" s="81"/>
      <c r="AI120" s="11">
        <f>SUM(Raw_Data[[#This Row],[Inv1]:[Inv3]])</f>
        <v>0</v>
      </c>
      <c r="AJ120" s="11">
        <v>0</v>
      </c>
      <c r="AK120" s="11"/>
      <c r="AL120" s="11">
        <f>Raw_Data[[#This Row],[Export  (kWh)]]-Raw_Data[[#This Row],[Import (kWh)]]</f>
        <v>0</v>
      </c>
      <c r="AM120" s="21">
        <f t="shared" si="108"/>
        <v>0</v>
      </c>
    </row>
    <row r="121" spans="1:39" x14ac:dyDescent="0.25">
      <c r="A121" s="164">
        <f>YEAR(Raw_Data[[#This Row],[Date]])+IF(MONTH(Raw_Data[[#This Row],[Date]])&gt;=4,1,0)</f>
        <v>2026</v>
      </c>
      <c r="B121" s="42"/>
      <c r="C121" s="81"/>
      <c r="D121" s="81"/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/>
      <c r="J121" s="41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1"/>
      <c r="AA121" s="81"/>
      <c r="AB121" s="81"/>
      <c r="AC121" s="81"/>
      <c r="AD121" s="81"/>
      <c r="AE121" s="81"/>
      <c r="AF121" s="81"/>
      <c r="AG121" s="81"/>
      <c r="AH121" s="81"/>
      <c r="AI121" s="11">
        <f>SUM(Raw_Data[[#This Row],[Inv1]:[Inv3]])</f>
        <v>0</v>
      </c>
      <c r="AJ121" s="11">
        <v>0</v>
      </c>
      <c r="AK121" s="11"/>
      <c r="AL121" s="11">
        <f>Raw_Data[[#This Row],[Export  (kWh)]]-Raw_Data[[#This Row],[Import (kWh)]]</f>
        <v>0</v>
      </c>
      <c r="AM121" s="21">
        <f t="shared" si="108"/>
        <v>0</v>
      </c>
    </row>
    <row r="122" spans="1:39" x14ac:dyDescent="0.25">
      <c r="A122" s="164">
        <f>YEAR(Raw_Data[[#This Row],[Date]])+IF(MONTH(Raw_Data[[#This Row],[Date]])&gt;=4,1,0)</f>
        <v>2026</v>
      </c>
      <c r="B122" s="42"/>
      <c r="C122" s="81"/>
      <c r="D122" s="81"/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/>
      <c r="J122" s="41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1"/>
      <c r="AA122" s="81"/>
      <c r="AB122" s="81"/>
      <c r="AC122" s="81"/>
      <c r="AD122" s="81"/>
      <c r="AE122" s="81"/>
      <c r="AF122" s="81"/>
      <c r="AG122" s="81"/>
      <c r="AH122" s="81"/>
      <c r="AI122" s="11">
        <f>SUM(Raw_Data[[#This Row],[Inv1]:[Inv3]])</f>
        <v>0</v>
      </c>
      <c r="AJ122" s="11">
        <v>0</v>
      </c>
      <c r="AK122" s="11"/>
      <c r="AL122" s="11">
        <f>Raw_Data[[#This Row],[Export  (kWh)]]-Raw_Data[[#This Row],[Import (kWh)]]</f>
        <v>0</v>
      </c>
      <c r="AM122" s="21">
        <f t="shared" si="108"/>
        <v>0</v>
      </c>
    </row>
    <row r="123" spans="1:39" x14ac:dyDescent="0.25">
      <c r="A123" s="164">
        <f>YEAR(Raw_Data[[#This Row],[Date]])+IF(MONTH(Raw_Data[[#This Row],[Date]])&gt;=4,1,0)</f>
        <v>2026</v>
      </c>
      <c r="B123" s="42"/>
      <c r="C123" s="81"/>
      <c r="D123" s="81"/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/>
      <c r="J123" s="41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1"/>
      <c r="AA123" s="81"/>
      <c r="AB123" s="81"/>
      <c r="AC123" s="81"/>
      <c r="AD123" s="81"/>
      <c r="AE123" s="81"/>
      <c r="AF123" s="81"/>
      <c r="AG123" s="81"/>
      <c r="AH123" s="81"/>
      <c r="AI123" s="11">
        <f>SUM(Raw_Data[[#This Row],[Inv1]:[Inv3]])</f>
        <v>0</v>
      </c>
      <c r="AJ123" s="11">
        <v>0</v>
      </c>
      <c r="AK123" s="11"/>
      <c r="AL123" s="11">
        <f>Raw_Data[[#This Row],[Export  (kWh)]]-Raw_Data[[#This Row],[Import (kWh)]]</f>
        <v>0</v>
      </c>
      <c r="AM123" s="21">
        <f t="shared" si="108"/>
        <v>0</v>
      </c>
    </row>
    <row r="124" spans="1:39" x14ac:dyDescent="0.25">
      <c r="A124" s="164">
        <f>YEAR(Raw_Data[[#This Row],[Date]])+IF(MONTH(Raw_Data[[#This Row],[Date]])&gt;=4,1,0)</f>
        <v>2026</v>
      </c>
      <c r="B124" s="42"/>
      <c r="C124" s="81"/>
      <c r="D124" s="81"/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/>
      <c r="J124" s="4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1"/>
      <c r="AA124" s="81"/>
      <c r="AB124" s="81"/>
      <c r="AC124" s="81"/>
      <c r="AD124" s="81"/>
      <c r="AE124" s="81"/>
      <c r="AF124" s="81"/>
      <c r="AG124" s="81"/>
      <c r="AH124" s="81"/>
      <c r="AI124" s="11">
        <f>SUM(Raw_Data[[#This Row],[Inv1]:[Inv3]])</f>
        <v>0</v>
      </c>
      <c r="AJ124" s="11">
        <v>0</v>
      </c>
      <c r="AK124" s="11"/>
      <c r="AL124" s="11">
        <f>Raw_Data[[#This Row],[Export  (kWh)]]-Raw_Data[[#This Row],[Import (kWh)]]</f>
        <v>0</v>
      </c>
      <c r="AM124" s="21">
        <f t="shared" si="108"/>
        <v>0</v>
      </c>
    </row>
    <row r="125" spans="1:39" x14ac:dyDescent="0.25">
      <c r="A125" s="164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si="108"/>
        <v>0</v>
      </c>
    </row>
    <row r="126" spans="1:39" x14ac:dyDescent="0.25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08"/>
        <v>0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08"/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08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08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08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08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08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09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08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09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08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19</v>
      </c>
      <c r="R89" s="141">
        <f t="shared" si="37"/>
        <v>74.161290322580641</v>
      </c>
      <c r="S89" s="149">
        <f>SUMIF($F$2:F89,F89,$R$2:R89)</f>
        <v>590.76129032258052</v>
      </c>
      <c r="T89" s="140">
        <f t="shared" si="38"/>
        <v>20.295016135869183</v>
      </c>
      <c r="U89" s="141">
        <f t="shared" si="39"/>
        <v>385.60530658151447</v>
      </c>
      <c r="V89" s="149">
        <f>SUMIF($F$2:F89,F89,$U$2:U89)</f>
        <v>2914.1321760811738</v>
      </c>
      <c r="W89" s="142">
        <f t="shared" si="40"/>
        <v>0.11911562884943129</v>
      </c>
      <c r="X89" s="142">
        <f t="shared" si="73"/>
        <v>0.11911562884943129</v>
      </c>
      <c r="Y89" s="142">
        <f t="shared" si="74"/>
        <v>0.15548765290248101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590.76129032258052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2914.1321760811738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0.15548765290248101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590.76129032258052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2914.1321760811738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0.15548765290248101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590.76129032258052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2914.1321760811738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0.15548765290248101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590.76129032258052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2914.1321760811738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0.15548765290248101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590.76129032258052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2914.1321760811738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0.15548765290248101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590.76129032258052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2914.1321760811738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0.15548765290248101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590.76129032258052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2914.1321760811738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0.15548765290248101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590.76129032258052</v>
      </c>
      <c r="T97" s="140">
        <f>M97/G97</f>
        <v>33.827192387794739</v>
      </c>
      <c r="U97" s="141">
        <f>M97/G97*Q97</f>
        <v>0</v>
      </c>
      <c r="V97" s="149">
        <f>SUMIF($F$2:F97,F97,$U$2:U97)</f>
        <v>2914.1321760811738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0.15548765290248101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15"/>
  <sheetViews>
    <sheetView zoomScaleNormal="100" workbookViewId="0">
      <pane xSplit="8" ySplit="1" topLeftCell="AF100" activePane="bottomRight" state="frozen"/>
      <selection pane="topRight" activeCell="I1" sqref="I1"/>
      <selection pane="bottomLeft" activeCell="A2" sqref="A2"/>
      <selection pane="bottomRight" activeCell="AI111" sqref="AI111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15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 t="str">
        <f>IFERROR(Inv_SY!J117/Inv_SY!$Y117-1,"")</f>
        <v/>
      </c>
      <c r="K115" s="220" t="str">
        <f>IFERROR(Inv_SY!K117/Inv_SY!$Y117-1,"")</f>
        <v/>
      </c>
      <c r="L115" s="220" t="str">
        <f>IFERROR(Inv_SY!L117/Inv_SY!$Y117-1,"")</f>
        <v/>
      </c>
      <c r="M115" s="220" t="str">
        <f>IFERROR(Inv_SY!M117/Inv_SY!$Y117-1,"")</f>
        <v/>
      </c>
      <c r="N115" s="220" t="str">
        <f>IFERROR(Inv_SY!N117/Inv_SY!$Y117-1,"")</f>
        <v/>
      </c>
      <c r="O115" s="220" t="str">
        <f>IFERROR(Inv_SY!O117/Inv_SY!$Y117-1,"")</f>
        <v/>
      </c>
      <c r="P115" s="220" t="str">
        <f>IFERROR(Inv_SY!P117/Inv_SY!$Y117-1,"")</f>
        <v/>
      </c>
      <c r="Q115" s="220" t="str">
        <f>IFERROR(Inv_SY!Q117/Inv_SY!$Y117-1,"")</f>
        <v/>
      </c>
      <c r="R115" s="220" t="str">
        <f>IFERROR(Inv_SY!R117/Inv_SY!$Y117-1,"")</f>
        <v/>
      </c>
      <c r="S115" s="220" t="str">
        <f>IFERROR(Inv_SY!S117/Inv_SY!$Y117-1,"")</f>
        <v/>
      </c>
      <c r="T115" s="220" t="str">
        <f>IFERROR(Inv_SY!T117/Inv_SY!$Y117-1,"")</f>
        <v/>
      </c>
      <c r="U115" s="220" t="str">
        <f>IFERROR(Inv_SY!U117/Inv_SY!$Y117-1,"")</f>
        <v/>
      </c>
      <c r="V115" s="220" t="str">
        <f>IFERROR(Inv_SY!J117/Inv_SY!$Z117-1,"")</f>
        <v/>
      </c>
      <c r="W115" s="220" t="str">
        <f>IFERROR(Inv_SY!K117/Inv_SY!$Z117-1,"")</f>
        <v/>
      </c>
      <c r="X115" s="220" t="str">
        <f>IFERROR(Inv_SY!L117/Inv_SY!$Z117-1,"")</f>
        <v/>
      </c>
      <c r="Y115" s="220" t="str">
        <f>IFERROR(Inv_SY!M117/Inv_SY!$Z117-1,"")</f>
        <v/>
      </c>
      <c r="Z115" s="220" t="str">
        <f>IFERROR(Inv_SY!N117/Inv_SY!$Z117-1,"")</f>
        <v/>
      </c>
      <c r="AA115" s="220" t="str">
        <f>IFERROR(Inv_SY!O117/Inv_SY!$Z117-1,"")</f>
        <v/>
      </c>
      <c r="AB115" s="220" t="str">
        <f>IFERROR(Inv_SY!P117/Inv_SY!$Z117-1,"")</f>
        <v/>
      </c>
      <c r="AC115" s="220" t="str">
        <f>IFERROR(Inv_SY!Q117/Inv_SY!$Z117-1,"")</f>
        <v/>
      </c>
      <c r="AD115" s="220" t="str">
        <f>IFERROR(Inv_SY!R117/Inv_SY!$Z117-1,"")</f>
        <v/>
      </c>
      <c r="AE115" s="220" t="str">
        <f>IFERROR(Inv_SY!S117/Inv_SY!$Z117-1,"")</f>
        <v/>
      </c>
      <c r="AF115" s="220" t="str">
        <f>IFERROR(Inv_SY!T117/Inv_SY!$Z117-1,"")</f>
        <v/>
      </c>
      <c r="AG115" s="220" t="str">
        <f>IFERROR(Inv_SY!U117/Inv_SY!$Z117-1,"")</f>
        <v/>
      </c>
      <c r="AH115" s="220" t="str">
        <f>IFERROR(Inv_SY!V117/Inv_SY!$Y117-1,"")</f>
        <v/>
      </c>
      <c r="AI115" s="220" t="str">
        <f>IFERROR(Inv_SY!W117/Inv_SY!$Y117-1,"")</f>
        <v/>
      </c>
      <c r="AJ115" s="220" t="str">
        <f>IFERROR(Inv_SY!X117/Inv_SY!$Y117-1,"")</f>
        <v/>
      </c>
      <c r="AK115" s="220" t="str">
        <f>IFERROR(Inv_SY!V117/Inv_SY!$Z117-1,"")</f>
        <v/>
      </c>
      <c r="AL115" s="220" t="str">
        <f>IFERROR(Inv_SY!W117/Inv_SY!$Z117-1,"")</f>
        <v/>
      </c>
      <c r="AM115" s="220" t="str">
        <f>IFERROR(Inv_SY!X117/Inv_SY!$Z117-1,"")</f>
        <v/>
      </c>
    </row>
  </sheetData>
  <phoneticPr fontId="17" type="noConversion"/>
  <conditionalFormatting sqref="J2:J115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15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15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15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15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1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15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15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15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15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15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15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15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15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15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F42" sqref="AF42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1900</v>
      </c>
      <c r="C43" s="54">
        <f>YEAR(Grid_BD[[#This Row],[Month Year]])</f>
        <v>1900</v>
      </c>
      <c r="D43" s="54"/>
      <c r="E43" s="54"/>
      <c r="F43" s="105">
        <f>Grid_BD[[#This Row],[Date]]-DAY(Grid_BD[[#This Row],[Date]])+1</f>
        <v>1</v>
      </c>
      <c r="G43" s="46">
        <f>DAY(EOMONTH(Grid_BD[[#This Row],[Month Year]],0))</f>
        <v>31</v>
      </c>
      <c r="H43" s="57"/>
      <c r="I43" s="48" t="str">
        <f>IFERROR(VLOOKUP(Grid_BD[[#This Row],[Date]],'Raw Data'!$G$4:$J$1048576,3,0),"")</f>
        <v/>
      </c>
      <c r="J43" s="72" t="str">
        <f>IFERROR(VLOOKUP(Grid_BD[[#This Row],[Date]],'Raw Data'!$G$4:$J$1048576,4,0),"")</f>
        <v/>
      </c>
      <c r="K43" s="47" t="str">
        <f>IFERROR((Grid_BD[[#This Row],[Sunset Time (POA&lt;20 W/m2)]]-Grid_BD[[#This Row],[Sunrise Time (POA&gt;20 W/m2)]])*24," ")</f>
        <v xml:space="preserve"> </v>
      </c>
      <c r="L43" s="54"/>
      <c r="M43" s="46" t="str">
        <f>IFERROR(VLOOKUP(Grid_BD[[#This Row],[Affceted Equipment]],'Basic Data'!$A$2:$B$108,2,0),"")</f>
        <v/>
      </c>
      <c r="N43" s="54"/>
      <c r="O43" s="54"/>
      <c r="P43" s="49" t="str">
        <f>IFERROR(VLOOKUP(Grid_BD[[#This Row],[Affceted Equipment]],'Basic Data'!$A$2:$C$118,3,0),"")</f>
        <v/>
      </c>
      <c r="Q43" s="54"/>
      <c r="R43" s="54"/>
      <c r="S43" s="60"/>
      <c r="T43" s="60"/>
      <c r="U43" s="60"/>
      <c r="V43" s="60"/>
      <c r="W43" s="46"/>
      <c r="X43" s="46"/>
      <c r="Y43" s="59"/>
      <c r="Z43" s="59"/>
      <c r="AA43" s="54"/>
      <c r="AB43" s="86" t="str">
        <f>IFERROR(Grid_BD[[#This Row],[Plant Equivalent Weightage]]*Grid_BD[[#This Row],[Resolution Time]],"")</f>
        <v/>
      </c>
      <c r="AC43" s="47"/>
      <c r="AD43" s="79" t="str">
        <f>IFERROR(_xlfn.XLOOKUP($F43,'Modelling New'!$D:$D,'Modelling New'!$O:$O)*Grid_BD[[#This Row],[Lost POA (kWh/m2)]]*Grid_BD[[#This Row],[DC Capacity Affceted (kW)]],"")</f>
        <v/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1900</v>
      </c>
      <c r="C44" s="54">
        <f>YEAR(Grid_BD[[#This Row],[Month Year]])</f>
        <v>1900</v>
      </c>
      <c r="D44" s="54"/>
      <c r="E44" s="54"/>
      <c r="F44" s="105">
        <f>Grid_BD[[#This Row],[Date]]-DAY(Grid_BD[[#This Row],[Date]])+1</f>
        <v>1</v>
      </c>
      <c r="G44" s="46">
        <f>DAY(EOMONTH(Grid_BD[[#This Row],[Month Year]],0))</f>
        <v>31</v>
      </c>
      <c r="H44" s="57"/>
      <c r="I44" s="48" t="str">
        <f>IFERROR(VLOOKUP(Grid_BD[[#This Row],[Date]],'Raw Data'!$G$4:$J$1048576,3,0),"")</f>
        <v/>
      </c>
      <c r="J44" s="72" t="str">
        <f>IFERROR(VLOOKUP(Grid_BD[[#This Row],[Date]],'Raw Data'!$G$4:$J$1048576,4,0),"")</f>
        <v/>
      </c>
      <c r="K44" s="47" t="str">
        <f>IFERROR((Grid_BD[[#This Row],[Sunset Time (POA&lt;20 W/m2)]]-Grid_BD[[#This Row],[Sunrise Time (POA&gt;20 W/m2)]])*24," ")</f>
        <v xml:space="preserve"> </v>
      </c>
      <c r="L44" s="54"/>
      <c r="M44" s="46" t="str">
        <f>IFERROR(VLOOKUP(Grid_BD[[#This Row],[Affceted Equipment]],'Basic Data'!$A$2:$B$108,2,0),"")</f>
        <v/>
      </c>
      <c r="N44" s="54"/>
      <c r="O44" s="54"/>
      <c r="P44" s="49" t="str">
        <f>IFERROR(VLOOKUP(Grid_BD[[#This Row],[Affceted Equipment]],'Basic Data'!$A$2:$C$118,3,0),"")</f>
        <v/>
      </c>
      <c r="Q44" s="54"/>
      <c r="R44" s="54"/>
      <c r="S44" s="60"/>
      <c r="T44" s="60"/>
      <c r="U44" s="60"/>
      <c r="V44" s="60"/>
      <c r="W44" s="46"/>
      <c r="X44" s="46"/>
      <c r="Y44" s="59"/>
      <c r="Z44" s="59"/>
      <c r="AA44" s="54"/>
      <c r="AB44" s="86" t="str">
        <f>IFERROR(Grid_BD[[#This Row],[Plant Equivalent Weightage]]*Grid_BD[[#This Row],[Resolution Time]],"")</f>
        <v/>
      </c>
      <c r="AC44" s="47"/>
      <c r="AD44" s="79" t="str">
        <f>IFERROR(_xlfn.XLOOKUP($F44,'Modelling New'!$D:$D,'Modelling New'!$O:$O)*Grid_BD[[#This Row],[Lost POA (kWh/m2)]]*Grid_BD[[#This Row],[DC Capacity Affceted (kW)]],"")</f>
        <v/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44"/>
  <sheetViews>
    <sheetView topLeftCell="A3" zoomScale="85" zoomScaleNormal="85" workbookViewId="0">
      <pane xSplit="8" ySplit="1" topLeftCell="I31" activePane="bottomRight" state="frozen"/>
      <selection pane="topRight" activeCell="I3" sqref="I3"/>
      <selection pane="bottomLeft" activeCell="A4" sqref="A4"/>
      <selection pane="bottomRight" activeCell="D44" sqref="D44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44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L4:L44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A111" activePane="bottomRight" state="frozen"/>
      <selection pane="topRight" activeCell="I2" sqref="I2"/>
      <selection pane="bottomLeft" activeCell="A3" sqref="A3"/>
      <selection pane="bottomRight" activeCell="C120" sqref="C120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15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/>
      <c r="B116" s="53"/>
      <c r="C116" s="53"/>
      <c r="D116" s="53"/>
      <c r="E116" s="53"/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2">
        <f>SUM(Mod_CL[[#This Row],[Inv 1 (630kw) unit 1]:[Inv 3 (630kw) unit 4]])</f>
        <v>0</v>
      </c>
      <c r="X116" s="53"/>
      <c r="Y116" s="53"/>
      <c r="Z116" s="53"/>
      <c r="AA116" s="53"/>
      <c r="AB116" s="53"/>
      <c r="AC116" s="53"/>
      <c r="AD116" s="53"/>
    </row>
    <row r="117" spans="1:30" x14ac:dyDescent="0.25">
      <c r="A117" s="53"/>
      <c r="B117" s="53"/>
      <c r="C117" s="53"/>
      <c r="D117" s="53"/>
      <c r="E117" s="53"/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2">
        <f>SUM(Mod_CL[[#This Row],[Inv 1 (630kw) unit 1]:[Inv 3 (630kw) unit 4]])</f>
        <v>0</v>
      </c>
      <c r="X117" s="53"/>
      <c r="Y117" s="53"/>
      <c r="Z117" s="53"/>
      <c r="AA117" s="53"/>
      <c r="AB117" s="53"/>
      <c r="AC117" s="53"/>
      <c r="AD117" s="53"/>
    </row>
    <row r="118" spans="1:30" x14ac:dyDescent="0.25">
      <c r="A118" s="53"/>
      <c r="B118" s="53"/>
      <c r="C118" s="53"/>
      <c r="D118" s="53"/>
      <c r="E118" s="53"/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2">
        <f>SUM(Mod_CL[[#This Row],[Inv 1 (630kw) unit 1]:[Inv 3 (630kw) unit 4]])</f>
        <v>0</v>
      </c>
      <c r="X118" s="53"/>
      <c r="Y118" s="53"/>
      <c r="Z118" s="53"/>
      <c r="AA118" s="53"/>
      <c r="AB118" s="53"/>
      <c r="AC118" s="53"/>
      <c r="AD118" s="53"/>
    </row>
    <row r="119" spans="1:30" x14ac:dyDescent="0.25">
      <c r="A119" s="53"/>
      <c r="B119" s="53"/>
      <c r="C119" s="53"/>
      <c r="D119" s="53"/>
      <c r="E119" s="53"/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2">
        <f>SUM(Mod_CL[[#This Row],[Inv 1 (630kw) unit 1]:[Inv 3 (630kw) unit 4]])</f>
        <v>0</v>
      </c>
      <c r="X119" s="53"/>
      <c r="Y119" s="53"/>
      <c r="Z119" s="53"/>
      <c r="AA119" s="53"/>
      <c r="AB119" s="53"/>
      <c r="AC119" s="53"/>
      <c r="AD119" s="53"/>
    </row>
    <row r="120" spans="1:30" x14ac:dyDescent="0.25">
      <c r="A120" s="53"/>
      <c r="B120" s="53"/>
      <c r="C120" s="53"/>
      <c r="D120" s="53"/>
      <c r="E120" s="53"/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2">
        <f>SUM(Mod_CL[[#This Row],[Inv 1 (630kw) unit 1]:[Inv 3 (630kw) unit 4]])</f>
        <v>0</v>
      </c>
      <c r="X120" s="53"/>
      <c r="Y120" s="53"/>
      <c r="Z120" s="53"/>
      <c r="AA120" s="53"/>
      <c r="AB120" s="53"/>
      <c r="AC120" s="53"/>
      <c r="AD120" s="53"/>
    </row>
    <row r="121" spans="1:30" x14ac:dyDescent="0.25">
      <c r="A121" s="53"/>
      <c r="B121" s="53"/>
      <c r="C121" s="53"/>
      <c r="D121" s="53"/>
      <c r="E121" s="53"/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2">
        <f>SUM(Mod_CL[[#This Row],[Inv 1 (630kw) unit 1]:[Inv 3 (630kw) unit 4]])</f>
        <v>0</v>
      </c>
      <c r="X121" s="53"/>
      <c r="Y121" s="53"/>
      <c r="Z121" s="53"/>
      <c r="AA121" s="53"/>
      <c r="AB121" s="53"/>
      <c r="AC121" s="53"/>
      <c r="AD121" s="53"/>
    </row>
    <row r="122" spans="1:30" x14ac:dyDescent="0.25">
      <c r="A122" s="53"/>
      <c r="B122" s="53"/>
      <c r="C122" s="53"/>
      <c r="D122" s="53"/>
      <c r="E122" s="53"/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2">
        <f>SUM(Mod_CL[[#This Row],[Inv 1 (630kw) unit 1]:[Inv 3 (630kw) unit 4]])</f>
        <v>0</v>
      </c>
      <c r="X122" s="53"/>
      <c r="Y122" s="53"/>
      <c r="Z122" s="53"/>
      <c r="AA122" s="53"/>
      <c r="AB122" s="53"/>
      <c r="AC122" s="53"/>
      <c r="AD122" s="53"/>
    </row>
    <row r="123" spans="1:30" x14ac:dyDescent="0.25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2">
        <f>SUM(Mod_CL[[#This Row],[Inv 1 (630kw) unit 1]:[Inv 3 (630kw) unit 4]])</f>
        <v>0</v>
      </c>
      <c r="X123" s="53"/>
      <c r="Y123" s="53"/>
      <c r="Z123" s="53"/>
      <c r="AA123" s="53"/>
      <c r="AB123" s="53"/>
      <c r="AC123" s="53"/>
      <c r="AD123" s="53"/>
    </row>
    <row r="124" spans="1:30" x14ac:dyDescent="0.25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25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25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06" activePane="bottomRight" state="frozen"/>
      <selection pane="topRight" activeCell="I2" sqref="I2"/>
      <selection pane="bottomLeft" activeCell="A3" sqref="A3"/>
      <selection pane="bottomRight" activeCell="E120" sqref="E120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15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12</v>
      </c>
      <c r="L115" s="53">
        <v>0</v>
      </c>
      <c r="M115" s="53">
        <v>0</v>
      </c>
      <c r="N115" s="2">
        <f>SUM(GC[[#This Row],[Inv1]:[Inv3]])</f>
        <v>12</v>
      </c>
      <c r="O115" t="s">
        <v>1109</v>
      </c>
    </row>
    <row r="116" spans="1:15" x14ac:dyDescent="0.25">
      <c r="A116" s="53"/>
      <c r="B116" s="53"/>
      <c r="C116" s="53">
        <f>YEAR(GC[[#This Row],[Date]])</f>
        <v>2025</v>
      </c>
      <c r="D116" s="53"/>
      <c r="E116" s="53"/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/>
      <c r="J116" s="53"/>
      <c r="K116" s="53"/>
      <c r="L116" s="53"/>
      <c r="M116" s="53"/>
      <c r="N116" s="2">
        <f>SUM(GC[[#This Row],[Inv1]:[Inv3]])</f>
        <v>0</v>
      </c>
    </row>
    <row r="117" spans="1:15" x14ac:dyDescent="0.25">
      <c r="A117" s="53"/>
      <c r="B117" s="53"/>
      <c r="C117" s="53">
        <f>YEAR(GC[[#This Row],[Date]])</f>
        <v>2025</v>
      </c>
      <c r="D117" s="53"/>
      <c r="E117" s="53"/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/>
      <c r="J117" s="53"/>
      <c r="K117" s="53"/>
      <c r="L117" s="53"/>
      <c r="M117" s="53"/>
      <c r="N117" s="2">
        <f>SUM(GC[[#This Row],[Inv1]:[Inv3]])</f>
        <v>0</v>
      </c>
    </row>
    <row r="118" spans="1:15" x14ac:dyDescent="0.25">
      <c r="A118" s="53"/>
      <c r="B118" s="53"/>
      <c r="C118" s="53">
        <f>YEAR(GC[[#This Row],[Date]])</f>
        <v>2025</v>
      </c>
      <c r="D118" s="53"/>
      <c r="E118" s="53"/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/>
      <c r="J118" s="53"/>
      <c r="K118" s="53"/>
      <c r="L118" s="53"/>
      <c r="M118" s="53"/>
      <c r="N118" s="2">
        <f>SUM(GC[[#This Row],[Inv1]:[Inv3]])</f>
        <v>0</v>
      </c>
    </row>
    <row r="119" spans="1:15" x14ac:dyDescent="0.25">
      <c r="A119" s="53"/>
      <c r="B119" s="53"/>
      <c r="C119" s="53">
        <f>YEAR(GC[[#This Row],[Date]])</f>
        <v>2025</v>
      </c>
      <c r="D119" s="53"/>
      <c r="E119" s="53"/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/>
      <c r="J119" s="53"/>
      <c r="K119" s="53"/>
      <c r="L119" s="53"/>
      <c r="M119" s="53"/>
      <c r="N119" s="2">
        <f>SUM(GC[[#This Row],[Inv1]:[Inv3]])</f>
        <v>0</v>
      </c>
    </row>
    <row r="120" spans="1:15" x14ac:dyDescent="0.25">
      <c r="A120" s="53"/>
      <c r="B120" s="53"/>
      <c r="C120" s="53">
        <f>YEAR(GC[[#This Row],[Date]])</f>
        <v>2025</v>
      </c>
      <c r="D120" s="53"/>
      <c r="E120" s="53"/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/>
      <c r="J120" s="53"/>
      <c r="K120" s="53"/>
      <c r="L120" s="53"/>
      <c r="M120" s="53"/>
      <c r="N120" s="2">
        <f>SUM(GC[[#This Row],[Inv1]:[Inv3]])</f>
        <v>0</v>
      </c>
    </row>
    <row r="121" spans="1:15" x14ac:dyDescent="0.25">
      <c r="A121" s="53"/>
      <c r="B121" s="53"/>
      <c r="C121" s="53">
        <f>YEAR(GC[[#This Row],[Date]])</f>
        <v>2025</v>
      </c>
      <c r="D121" s="53"/>
      <c r="E121" s="53"/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/>
      <c r="J121" s="53"/>
      <c r="K121" s="53"/>
      <c r="L121" s="53"/>
      <c r="M121" s="53"/>
      <c r="N121" s="2">
        <f>SUM(GC[[#This Row],[Inv1]:[Inv3]])</f>
        <v>0</v>
      </c>
    </row>
    <row r="122" spans="1:15" x14ac:dyDescent="0.25">
      <c r="A122" s="53"/>
      <c r="B122" s="53"/>
      <c r="C122" s="53">
        <f>YEAR(GC[[#This Row],[Date]])</f>
        <v>2025</v>
      </c>
      <c r="D122" s="53"/>
      <c r="E122" s="53"/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/>
      <c r="J122" s="53"/>
      <c r="K122" s="53"/>
      <c r="L122" s="53"/>
      <c r="M122" s="53"/>
      <c r="N122" s="2">
        <f>SUM(GC[[#This Row],[Inv1]:[Inv3]])</f>
        <v>0</v>
      </c>
    </row>
    <row r="123" spans="1:15" x14ac:dyDescent="0.25">
      <c r="A123" s="53"/>
      <c r="B123" s="53"/>
      <c r="C123" s="53">
        <f>YEAR(GC[[#This Row],[Date]])</f>
        <v>2025</v>
      </c>
      <c r="D123" s="53"/>
      <c r="E123" s="53"/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/>
      <c r="J123" s="53"/>
      <c r="K123" s="53"/>
      <c r="L123" s="53"/>
      <c r="M123" s="53"/>
      <c r="N123" s="2">
        <f>SUM(GC[[#This Row],[Inv1]:[Inv3]])</f>
        <v>0</v>
      </c>
    </row>
    <row r="124" spans="1:15" x14ac:dyDescent="0.25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25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25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25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25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25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25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6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J33" sqref="J33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547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547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547</v>
      </c>
      <c r="B32" s="8">
        <f>YEAR(Spare[[#This Row],[Date]])+IF(MONTH(Spare[[#This Row],[Date]])&gt;=4,1,0)</f>
        <v>1900</v>
      </c>
      <c r="C32" s="8">
        <f>YEAR(Spare[[#This Row],[Date]])</f>
        <v>1900</v>
      </c>
      <c r="D32" s="8" t="s">
        <v>1062</v>
      </c>
      <c r="E32" s="8">
        <v>2025</v>
      </c>
      <c r="F32" s="96">
        <f>Spare[[#This Row],[Date]]-DAY(Spare[[#This Row],[Date]])+1</f>
        <v>1</v>
      </c>
      <c r="G32" s="8">
        <f>DAY(EOMONTH(Spare[[#This Row],[Month Year]],0))</f>
        <v>31</v>
      </c>
      <c r="H32" s="97"/>
    </row>
    <row r="33" spans="1:8" x14ac:dyDescent="0.25">
      <c r="A33" s="8">
        <v>547</v>
      </c>
      <c r="B33" s="8">
        <f>YEAR(Spare[[#This Row],[Date]])+IF(MONTH(Spare[[#This Row],[Date]])&gt;=4,1,0)</f>
        <v>1900</v>
      </c>
      <c r="C33" s="8">
        <f>YEAR(Spare[[#This Row],[Date]])</f>
        <v>1900</v>
      </c>
      <c r="D33" s="8" t="s">
        <v>1062</v>
      </c>
      <c r="E33" s="8">
        <v>2025</v>
      </c>
      <c r="F33" s="96">
        <f>Spare[[#This Row],[Date]]-DAY(Spare[[#This Row],[Date]])+1</f>
        <v>1</v>
      </c>
      <c r="G33" s="8">
        <f>DAY(EOMONTH(Spare[[#This Row],[Month Year]],0))</f>
        <v>31</v>
      </c>
      <c r="H33" s="97"/>
    </row>
    <row r="34" spans="1:8" x14ac:dyDescent="0.25">
      <c r="A34" s="8">
        <v>547</v>
      </c>
      <c r="B34" s="8">
        <f>YEAR(Spare[[#This Row],[Date]])+IF(MONTH(Spare[[#This Row],[Date]])&gt;=4,1,0)</f>
        <v>1900</v>
      </c>
      <c r="C34" s="8">
        <f>YEAR(Spare[[#This Row],[Date]])</f>
        <v>1900</v>
      </c>
      <c r="D34" s="8" t="s">
        <v>1062</v>
      </c>
      <c r="E34" s="8">
        <v>2025</v>
      </c>
      <c r="F34" s="96">
        <f>Spare[[#This Row],[Date]]-DAY(Spare[[#This Row],[Date]])+1</f>
        <v>1</v>
      </c>
      <c r="G34" s="8">
        <f>DAY(EOMONTH(Spare[[#This Row],[Month Year]],0))</f>
        <v>31</v>
      </c>
      <c r="H34" s="97"/>
    </row>
    <row r="35" spans="1:8" x14ac:dyDescent="0.25">
      <c r="A35" s="8">
        <v>547</v>
      </c>
      <c r="B35" s="8">
        <f>YEAR(Spare[[#This Row],[Date]])+IF(MONTH(Spare[[#This Row],[Date]])&gt;=4,1,0)</f>
        <v>1900</v>
      </c>
      <c r="C35" s="8">
        <f>YEAR(Spare[[#This Row],[Date]])</f>
        <v>1900</v>
      </c>
      <c r="D35" s="8" t="s">
        <v>1062</v>
      </c>
      <c r="E35" s="8">
        <v>2025</v>
      </c>
      <c r="F35" s="96">
        <f>Spare[[#This Row],[Date]]-DAY(Spare[[#This Row],[Date]])+1</f>
        <v>1</v>
      </c>
      <c r="G35" s="8">
        <f>DAY(EOMONTH(Spare[[#This Row],[Month Year]],0))</f>
        <v>31</v>
      </c>
      <c r="H35" s="97"/>
    </row>
    <row r="36" spans="1:8" x14ac:dyDescent="0.25">
      <c r="A36" s="8">
        <v>547</v>
      </c>
      <c r="B36" s="8">
        <f>YEAR(Spare[[#This Row],[Date]])+IF(MONTH(Spare[[#This Row],[Date]])&gt;=4,1,0)</f>
        <v>1900</v>
      </c>
      <c r="C36" s="8">
        <f>YEAR(Spare[[#This Row],[Date]])</f>
        <v>1900</v>
      </c>
      <c r="D36" s="8" t="s">
        <v>1062</v>
      </c>
      <c r="E36" s="8">
        <v>2025</v>
      </c>
      <c r="F36" s="96">
        <f>Spare[[#This Row],[Date]]-DAY(Spare[[#This Row],[Date]])+1</f>
        <v>1</v>
      </c>
      <c r="G36" s="8">
        <f>DAY(EOMONTH(Spare[[#This Row],[Month Year]],0))</f>
        <v>31</v>
      </c>
      <c r="H36" s="97"/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2025-07-20T02:07:14Z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