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460016855\Downloads\"/>
    </mc:Choice>
  </mc:AlternateContent>
  <xr:revisionPtr revIDLastSave="0" documentId="8_{70645D9C-AA92-4BE0-AF6C-C96D2BEEB4E5}" xr6:coauthVersionLast="47" xr6:coauthVersionMax="47" xr10:uidLastSave="{00000000-0000-0000-0000-000000000000}"/>
  <bookViews>
    <workbookView xWindow="-120" yWindow="-120" windowWidth="20730" windowHeight="11160" firstSheet="4" activeTab="11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3" l="1"/>
  <c r="B53" i="3"/>
  <c r="B54" i="3"/>
  <c r="F52" i="3"/>
  <c r="F53" i="3"/>
  <c r="F54" i="3"/>
  <c r="G54" i="3" s="1"/>
  <c r="G52" i="3"/>
  <c r="G53" i="3"/>
  <c r="I52" i="3"/>
  <c r="K52" i="3" s="1"/>
  <c r="I53" i="3"/>
  <c r="I54" i="3"/>
  <c r="J52" i="3"/>
  <c r="J53" i="3"/>
  <c r="K53" i="3" s="1"/>
  <c r="J54" i="3"/>
  <c r="K54" i="3" s="1"/>
  <c r="M52" i="3"/>
  <c r="AE52" i="3" s="1"/>
  <c r="M53" i="3"/>
  <c r="M54" i="3"/>
  <c r="N52" i="3"/>
  <c r="N53" i="3"/>
  <c r="N54" i="3"/>
  <c r="W52" i="3"/>
  <c r="W53" i="3"/>
  <c r="W54" i="3"/>
  <c r="X52" i="3"/>
  <c r="X53" i="3"/>
  <c r="X54" i="3"/>
  <c r="Y52" i="3"/>
  <c r="Y53" i="3"/>
  <c r="Y54" i="3"/>
  <c r="Z52" i="3"/>
  <c r="AC52" i="3" s="1"/>
  <c r="Z53" i="3"/>
  <c r="AC53" i="3" s="1"/>
  <c r="Z54" i="3"/>
  <c r="AC54" i="3"/>
  <c r="AE53" i="3"/>
  <c r="AE54" i="3"/>
  <c r="A124" i="15"/>
  <c r="C124" i="15"/>
  <c r="F124" i="15"/>
  <c r="G124" i="15"/>
  <c r="H124" i="15"/>
  <c r="N124" i="15"/>
  <c r="W124" i="14"/>
  <c r="A123" i="14"/>
  <c r="A124" i="14"/>
  <c r="A125" i="14" s="1"/>
  <c r="A126" i="14" s="1"/>
  <c r="AI125" i="1"/>
  <c r="AJ125" i="1"/>
  <c r="AK125" i="1"/>
  <c r="AL125" i="1"/>
  <c r="AM125" i="1"/>
  <c r="W122" i="14"/>
  <c r="W123" i="14"/>
  <c r="M51" i="3"/>
  <c r="N51" i="3"/>
  <c r="W51" i="3"/>
  <c r="X51" i="3"/>
  <c r="Y51" i="3"/>
  <c r="Z51" i="3"/>
  <c r="AC51" i="3" s="1"/>
  <c r="AE51" i="3"/>
  <c r="B51" i="3"/>
  <c r="C51" i="3"/>
  <c r="F51" i="3"/>
  <c r="G51" i="3" s="1"/>
  <c r="I51" i="3"/>
  <c r="J51" i="3"/>
  <c r="I44" i="11"/>
  <c r="J44" i="11"/>
  <c r="M44" i="11"/>
  <c r="P44" i="11"/>
  <c r="Y44" i="11"/>
  <c r="AI124" i="1"/>
  <c r="AJ124" i="1"/>
  <c r="AK124" i="1"/>
  <c r="AL124" i="1"/>
  <c r="AM124" i="1"/>
  <c r="AI123" i="1"/>
  <c r="AJ123" i="1"/>
  <c r="AL123" i="1" s="1"/>
  <c r="AK123" i="1"/>
  <c r="AM123" i="1"/>
  <c r="K44" i="11" l="1"/>
  <c r="K51" i="3"/>
  <c r="AB44" i="11"/>
  <c r="A120" i="15"/>
  <c r="A121" i="15" s="1"/>
  <c r="A122" i="15" s="1"/>
  <c r="A123" i="15" s="1"/>
  <c r="C120" i="15"/>
  <c r="C121" i="15"/>
  <c r="C122" i="15"/>
  <c r="C123" i="15"/>
  <c r="A121" i="14"/>
  <c r="A122" i="14"/>
  <c r="F37" i="16"/>
  <c r="H37" i="16"/>
  <c r="B37" i="16"/>
  <c r="C37" i="16"/>
  <c r="G37" i="16"/>
  <c r="W120" i="14"/>
  <c r="W121" i="14"/>
  <c r="M43" i="11"/>
  <c r="P43" i="11"/>
  <c r="Y43" i="11"/>
  <c r="AI122" i="1"/>
  <c r="AJ122" i="1"/>
  <c r="AK122" i="1"/>
  <c r="AL122" i="1"/>
  <c r="AM122" i="1"/>
  <c r="A120" i="14"/>
  <c r="B49" i="3"/>
  <c r="C49" i="3"/>
  <c r="B50" i="3"/>
  <c r="C50" i="3"/>
  <c r="F49" i="3"/>
  <c r="G49" i="3" s="1"/>
  <c r="F50" i="3"/>
  <c r="G50" i="3" s="1"/>
  <c r="I49" i="3"/>
  <c r="I50" i="3"/>
  <c r="J49" i="3"/>
  <c r="J50" i="3"/>
  <c r="M49" i="3"/>
  <c r="M50" i="3"/>
  <c r="N49" i="3"/>
  <c r="N50" i="3"/>
  <c r="W49" i="3"/>
  <c r="W50" i="3"/>
  <c r="X49" i="3"/>
  <c r="X50" i="3"/>
  <c r="Y49" i="3"/>
  <c r="Y50" i="3"/>
  <c r="Z49" i="3"/>
  <c r="Z50" i="3"/>
  <c r="AC50" i="3" s="1"/>
  <c r="AI121" i="1"/>
  <c r="AJ121" i="1"/>
  <c r="AK121" i="1"/>
  <c r="AL121" i="1"/>
  <c r="AM121" i="1"/>
  <c r="A119" i="15"/>
  <c r="C119" i="15"/>
  <c r="A119" i="14"/>
  <c r="F119" i="14"/>
  <c r="G119" i="14" s="1"/>
  <c r="W119" i="14"/>
  <c r="AI120" i="1"/>
  <c r="AJ120" i="1"/>
  <c r="AK120" i="1"/>
  <c r="AL120" i="1"/>
  <c r="AM120" i="1"/>
  <c r="AE50" i="3" l="1"/>
  <c r="AE49" i="3"/>
  <c r="K49" i="3"/>
  <c r="AB43" i="11"/>
  <c r="K50" i="3"/>
  <c r="AC49" i="3"/>
  <c r="A118" i="14"/>
  <c r="A118" i="15"/>
  <c r="C118" i="15"/>
  <c r="W118" i="14"/>
  <c r="F115" i="7"/>
  <c r="C115" i="7" s="1"/>
  <c r="G115" i="7"/>
  <c r="H115" i="7"/>
  <c r="A115" i="7" s="1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H116" i="7"/>
  <c r="F116" i="7" s="1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16" i="7" l="1"/>
  <c r="G116" i="7"/>
  <c r="A116" i="7"/>
  <c r="H117" i="7"/>
  <c r="I117" i="6"/>
  <c r="J117" i="6"/>
  <c r="K117" i="6"/>
  <c r="L117" i="6"/>
  <c r="AA117" i="6" s="1"/>
  <c r="M117" i="6"/>
  <c r="AB117" i="6" s="1"/>
  <c r="N117" i="6"/>
  <c r="O117" i="6"/>
  <c r="P117" i="6"/>
  <c r="Q117" i="6"/>
  <c r="R117" i="6"/>
  <c r="S117" i="6"/>
  <c r="T117" i="6"/>
  <c r="U117" i="6"/>
  <c r="V117" i="6"/>
  <c r="W117" i="6"/>
  <c r="X117" i="6"/>
  <c r="Z117" i="6" s="1"/>
  <c r="Y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 s="1"/>
  <c r="X120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Y125" i="6" s="1"/>
  <c r="W125" i="6"/>
  <c r="X125" i="6"/>
  <c r="I126" i="6"/>
  <c r="J126" i="6"/>
  <c r="AA126" i="6" s="1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Z126" i="6"/>
  <c r="H36" i="16"/>
  <c r="H34" i="16"/>
  <c r="H35" i="16" s="1"/>
  <c r="H33" i="16"/>
  <c r="H32" i="16"/>
  <c r="W116" i="14"/>
  <c r="Z48" i="3"/>
  <c r="Y48" i="3"/>
  <c r="X48" i="3"/>
  <c r="W48" i="3"/>
  <c r="N48" i="3"/>
  <c r="M48" i="3"/>
  <c r="Z47" i="3"/>
  <c r="Y47" i="3"/>
  <c r="X47" i="3"/>
  <c r="W47" i="3"/>
  <c r="N47" i="3"/>
  <c r="M47" i="3"/>
  <c r="B47" i="3"/>
  <c r="C47" i="3"/>
  <c r="F47" i="3"/>
  <c r="G47" i="3" s="1"/>
  <c r="B48" i="3"/>
  <c r="C48" i="3"/>
  <c r="F48" i="3"/>
  <c r="G48" i="3" s="1"/>
  <c r="I47" i="3"/>
  <c r="I48" i="3"/>
  <c r="J47" i="3"/>
  <c r="J48" i="3"/>
  <c r="Z46" i="3"/>
  <c r="Y46" i="3"/>
  <c r="X46" i="3"/>
  <c r="W46" i="3"/>
  <c r="Z45" i="3"/>
  <c r="Y45" i="3"/>
  <c r="X45" i="3"/>
  <c r="W45" i="3"/>
  <c r="B45" i="3"/>
  <c r="C45" i="3"/>
  <c r="B46" i="3"/>
  <c r="C46" i="3"/>
  <c r="F46" i="3"/>
  <c r="I46" i="3"/>
  <c r="J46" i="3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AI123" i="7" l="1"/>
  <c r="AJ123" i="7"/>
  <c r="U123" i="7"/>
  <c r="Q123" i="7"/>
  <c r="Z125" i="6"/>
  <c r="AE123" i="7" s="1"/>
  <c r="T123" i="7"/>
  <c r="P123" i="7"/>
  <c r="L123" i="7"/>
  <c r="AH123" i="7"/>
  <c r="R123" i="7"/>
  <c r="N123" i="7"/>
  <c r="M123" i="7"/>
  <c r="S123" i="7"/>
  <c r="O123" i="7"/>
  <c r="K123" i="7"/>
  <c r="W123" i="7"/>
  <c r="AA123" i="7"/>
  <c r="AB123" i="7"/>
  <c r="Y123" i="7"/>
  <c r="AG123" i="7"/>
  <c r="AD123" i="7"/>
  <c r="AA125" i="6"/>
  <c r="J123" i="7"/>
  <c r="AB125" i="6"/>
  <c r="AE47" i="3"/>
  <c r="Y124" i="6"/>
  <c r="N122" i="7" s="1"/>
  <c r="AB124" i="6"/>
  <c r="AA124" i="6"/>
  <c r="Y123" i="6"/>
  <c r="U121" i="7" s="1"/>
  <c r="Z123" i="6"/>
  <c r="V121" i="7" s="1"/>
  <c r="AA123" i="6"/>
  <c r="AB123" i="6"/>
  <c r="AF121" i="7"/>
  <c r="AM121" i="7"/>
  <c r="AA121" i="7"/>
  <c r="Y122" i="6"/>
  <c r="AH120" i="7" s="1"/>
  <c r="Z122" i="6"/>
  <c r="AD120" i="7" s="1"/>
  <c r="U120" i="7"/>
  <c r="M120" i="7"/>
  <c r="S120" i="7"/>
  <c r="O120" i="7"/>
  <c r="K120" i="7"/>
  <c r="AA122" i="6"/>
  <c r="J120" i="7"/>
  <c r="AE46" i="3"/>
  <c r="AC45" i="3"/>
  <c r="AC47" i="3"/>
  <c r="AE48" i="3"/>
  <c r="AC48" i="3"/>
  <c r="AJ119" i="7"/>
  <c r="AI119" i="7"/>
  <c r="R119" i="7"/>
  <c r="U119" i="7"/>
  <c r="Q119" i="7"/>
  <c r="M119" i="7"/>
  <c r="Z121" i="6"/>
  <c r="AB119" i="7" s="1"/>
  <c r="T119" i="7"/>
  <c r="P119" i="7"/>
  <c r="AH119" i="7"/>
  <c r="N119" i="7"/>
  <c r="S119" i="7"/>
  <c r="O119" i="7"/>
  <c r="K119" i="7"/>
  <c r="AA121" i="6"/>
  <c r="L119" i="7"/>
  <c r="J119" i="7"/>
  <c r="AB121" i="6"/>
  <c r="Y119" i="7"/>
  <c r="AH118" i="7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AB119" i="6"/>
  <c r="AA119" i="6"/>
  <c r="AA118" i="6"/>
  <c r="K48" i="3"/>
  <c r="K46" i="3"/>
  <c r="K47" i="3"/>
  <c r="AB126" i="6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M42" i="11"/>
  <c r="P42" i="11"/>
  <c r="Y42" i="11"/>
  <c r="AD42" i="11"/>
  <c r="A112" i="15"/>
  <c r="C112" i="15"/>
  <c r="H112" i="15"/>
  <c r="H113" i="15" s="1"/>
  <c r="F112" i="15"/>
  <c r="G112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 s="1"/>
  <c r="N111" i="15"/>
  <c r="W111" i="14"/>
  <c r="AI112" i="1"/>
  <c r="AJ112" i="1"/>
  <c r="AK112" i="1"/>
  <c r="AL112" i="1"/>
  <c r="AM112" i="1"/>
  <c r="V123" i="7" l="1"/>
  <c r="Z123" i="7"/>
  <c r="X123" i="7"/>
  <c r="AL123" i="7"/>
  <c r="AC123" i="7"/>
  <c r="AM123" i="7"/>
  <c r="AK123" i="7"/>
  <c r="AF123" i="7"/>
  <c r="AC44" i="3"/>
  <c r="P122" i="7"/>
  <c r="O122" i="7"/>
  <c r="T122" i="7"/>
  <c r="J122" i="7"/>
  <c r="S122" i="7"/>
  <c r="U122" i="7"/>
  <c r="AJ122" i="7"/>
  <c r="AI122" i="7"/>
  <c r="M122" i="7"/>
  <c r="R122" i="7"/>
  <c r="K122" i="7"/>
  <c r="L122" i="7"/>
  <c r="Q122" i="7"/>
  <c r="AH122" i="7"/>
  <c r="X122" i="7"/>
  <c r="AB122" i="7"/>
  <c r="AF122" i="7"/>
  <c r="Y122" i="7"/>
  <c r="AC122" i="7"/>
  <c r="AG122" i="7"/>
  <c r="AK122" i="7"/>
  <c r="Z122" i="7"/>
  <c r="AD122" i="7"/>
  <c r="AL122" i="7"/>
  <c r="W122" i="7"/>
  <c r="AA122" i="7"/>
  <c r="AE122" i="7"/>
  <c r="AM122" i="7"/>
  <c r="V122" i="7"/>
  <c r="W121" i="7"/>
  <c r="AK121" i="7"/>
  <c r="J121" i="7"/>
  <c r="S121" i="7"/>
  <c r="M121" i="7"/>
  <c r="AL121" i="7"/>
  <c r="AC121" i="7"/>
  <c r="AB121" i="7"/>
  <c r="L121" i="7"/>
  <c r="Z121" i="7"/>
  <c r="Y121" i="7"/>
  <c r="X121" i="7"/>
  <c r="O121" i="7"/>
  <c r="P121" i="7"/>
  <c r="T121" i="7"/>
  <c r="Q121" i="7"/>
  <c r="AD121" i="7"/>
  <c r="AG121" i="7"/>
  <c r="AE121" i="7"/>
  <c r="K121" i="7"/>
  <c r="N121" i="7"/>
  <c r="AH121" i="7"/>
  <c r="AJ121" i="7"/>
  <c r="AI121" i="7"/>
  <c r="R121" i="7"/>
  <c r="AB120" i="7"/>
  <c r="AG120" i="7"/>
  <c r="X120" i="7"/>
  <c r="AL120" i="7"/>
  <c r="P120" i="7"/>
  <c r="N120" i="7"/>
  <c r="Y120" i="7"/>
  <c r="AA120" i="7"/>
  <c r="V120" i="7"/>
  <c r="W120" i="7"/>
  <c r="AC120" i="7"/>
  <c r="AM120" i="7"/>
  <c r="Z120" i="7"/>
  <c r="AK120" i="7"/>
  <c r="AF120" i="7"/>
  <c r="AE120" i="7"/>
  <c r="L120" i="7"/>
  <c r="Q120" i="7"/>
  <c r="AI120" i="7"/>
  <c r="AJ120" i="7"/>
  <c r="T120" i="7"/>
  <c r="R120" i="7"/>
  <c r="X119" i="7"/>
  <c r="AA119" i="7"/>
  <c r="AD119" i="7"/>
  <c r="Z119" i="7"/>
  <c r="AE119" i="7"/>
  <c r="AC119" i="7"/>
  <c r="W119" i="7"/>
  <c r="AK119" i="7"/>
  <c r="AF119" i="7"/>
  <c r="V119" i="7"/>
  <c r="AM119" i="7"/>
  <c r="AL119" i="7"/>
  <c r="AG119" i="7"/>
  <c r="W118" i="7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E44" i="3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A104" i="7"/>
  <c r="AK106" i="7"/>
  <c r="AG106" i="7"/>
  <c r="AF106" i="7"/>
  <c r="W105" i="7"/>
  <c r="AD104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AA108" i="6"/>
  <c r="AB107" i="6"/>
  <c r="AB39" i="11"/>
  <c r="AC99" i="7"/>
  <c r="AA101" i="6"/>
  <c r="AI100" i="7"/>
  <c r="AH102" i="7"/>
  <c r="J102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W99" i="7"/>
  <c r="Z107" i="6"/>
  <c r="AM105" i="7" s="1"/>
  <c r="AB105" i="6"/>
  <c r="Z103" i="6"/>
  <c r="AM101" i="7" s="1"/>
  <c r="AB101" i="6"/>
  <c r="T102" i="7"/>
  <c r="P102" i="7"/>
  <c r="Z99" i="7"/>
  <c r="H101" i="15"/>
  <c r="AB38" i="11"/>
  <c r="AB37" i="11"/>
  <c r="F124" i="7" l="1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AI126" i="1"/>
  <c r="AL126" i="1"/>
  <c r="AM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131" i="7" l="1"/>
  <c r="F131" i="7"/>
  <c r="H132" i="7"/>
  <c r="C130" i="7"/>
  <c r="G130" i="7"/>
  <c r="AL94" i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A90" i="7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G81" i="15" s="1"/>
  <c r="F82" i="15"/>
  <c r="F83" i="15"/>
  <c r="F84" i="15"/>
  <c r="F85" i="15"/>
  <c r="G78" i="15"/>
  <c r="G79" i="15"/>
  <c r="G80" i="15"/>
  <c r="G82" i="15"/>
  <c r="G83" i="15"/>
  <c r="G84" i="15"/>
  <c r="G85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H134" i="7" l="1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G138" i="7" l="1"/>
  <c r="C138" i="7"/>
  <c r="A139" i="7"/>
  <c r="F139" i="7"/>
  <c r="H140" i="7"/>
  <c r="AE40" i="3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C142" i="7" l="1"/>
  <c r="G142" i="7"/>
  <c r="H144" i="7"/>
  <c r="A143" i="7"/>
  <c r="F143" i="7"/>
  <c r="AB15" i="1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C143" i="7" l="1"/>
  <c r="G143" i="7"/>
  <c r="F144" i="7"/>
  <c r="H145" i="7"/>
  <c r="A144" i="7"/>
  <c r="G91" i="7"/>
  <c r="C91" i="7"/>
  <c r="A92" i="7"/>
  <c r="F92" i="7"/>
  <c r="H93" i="7"/>
  <c r="AB14" i="11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W51" i="7"/>
  <c r="AB53" i="6"/>
  <c r="AK51" i="7"/>
  <c r="AF51" i="7"/>
  <c r="Y51" i="7"/>
  <c r="AM51" i="7"/>
  <c r="AK48" i="7"/>
  <c r="U51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E48" i="7"/>
  <c r="AB48" i="7"/>
  <c r="AA50" i="6"/>
  <c r="AB50" i="6"/>
  <c r="J51" i="7"/>
  <c r="AH51" i="7"/>
  <c r="Q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F148" i="7" l="1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AD43" i="11" s="1"/>
  <c r="F44" i="11"/>
  <c r="AD44" i="11" s="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138" i="11"/>
  <c r="I642" i="11"/>
  <c r="J457" i="11"/>
  <c r="I644" i="11"/>
  <c r="J554" i="11"/>
  <c r="I611" i="11"/>
  <c r="J656" i="11"/>
  <c r="I584" i="11"/>
  <c r="I489" i="11"/>
  <c r="J76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U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O116" i="19" l="1"/>
  <c r="W116" i="19"/>
  <c r="U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O121" i="19" l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U121" i="19"/>
  <c r="W121" i="19"/>
  <c r="O122" i="19" l="1"/>
  <c r="U122" i="19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D24" i="13" s="1"/>
  <c r="E22" i="17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D21" i="13" s="1"/>
  <c r="E21" i="17" s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U123" i="19"/>
  <c r="W123" i="19"/>
  <c r="D12" i="13" s="1"/>
  <c r="O124" i="19" l="1"/>
  <c r="AE124" i="19"/>
  <c r="AH124" i="19"/>
  <c r="AF124" i="19"/>
  <c r="AC124" i="19"/>
  <c r="AG124" i="19"/>
  <c r="W124" i="19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F126" i="6" l="1"/>
  <c r="G126" i="6" s="1"/>
  <c r="C1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<sst xmlns="http://schemas.openxmlformats.org/spreadsheetml/2006/main" count="3945" uniqueCount="1118">
  <si>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</si>
  <si>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</si>
  <si>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</si>
  <si>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</si>
  <si>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</si>
  <si>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</si>
  <si>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</si>
  <si>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</si>
  <si>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</si>
  <si>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</si>
  <si>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</si>
  <si>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</si>
  <si>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</si>
  <si>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</si>
  <si>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</si>
  <si>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</si>
  <si>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</si>
  <si>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</si>
  <si>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</si>
  <si>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</si>
  <si>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</si>
  <si>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</si>
  <si>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</si>
  <si>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</si>
  <si>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</si>
  <si>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</si>
  <si>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</si>
  <si>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</si>
  <si>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</si>
  <si>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</si>
  <si>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</si>
  <si>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</si>
  <si>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</si>
  <si>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</si>
  <si>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</si>
  <si>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</si>
  <si>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</si>
  <si>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</si>
  <si>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</si>
  <si>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</si>
  <si>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</si>
  <si>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</si>
  <si>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</si>
  <si>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</si>
  <si>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</si>
  <si>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</si>
  <si>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</si>
  <si>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</si>
  <si>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</si>
  <si>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</si>
  <si>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</si>
  <si>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</si>
  <si>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</si>
  <si>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</si>
  <si>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</si>
  <si>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</si>
  <si>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</si>
  <si>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</si>
  <si>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</si>
  <si>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</si>
  <si>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</si>
  <si>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</si>
  <si>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</si>
  <si>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</si>
  <si>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</si>
  <si>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</si>
  <si>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</si>
  <si>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</si>
  <si>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</si>
  <si>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</si>
  <si>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</si>
  <si>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</si>
  <si>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</si>
  <si>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</si>
  <si>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</si>
  <si>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</si>
  <si>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</si>
  <si>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</si>
  <si>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</si>
  <si>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</si>
  <si>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</si>
  <si>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</si>
  <si>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</si>
  <si>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</si>
  <si>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</si>
  <si>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</si>
  <si>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</si>
  <si>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</si>
  <si>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</si>
  <si>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</si>
  <si>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</si>
  <si>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</si>
  <si>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</si>
  <si>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</si>
  <si>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</si>
  <si>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</si>
  <si>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</si>
  <si>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</si>
  <si>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</si>
  <si>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</si>
  <si>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</si>
  <si>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</si>
  <si>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</si>
  <si>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</si>
  <si>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</si>
  <si>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</si>
  <si>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</si>
  <si>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</si>
  <si>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</si>
  <si>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</si>
  <si>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</si>
  <si>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</si>
  <si>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</si>
  <si>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</si>
  <si>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</si>
  <si>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</si>
  <si>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</si>
  <si>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</si>
  <si>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</si>
  <si>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</si>
  <si>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</si>
  <si>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</si>
  <si>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</si>
  <si>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</si>
  <si>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</si>
  <si>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</si>
  <si>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</si>
  <si>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</si>
  <si>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</si>
  <si>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</si>
  <si>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</si>
  <si>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</si>
  <si>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</si>
  <si>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</si>
  <si>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</si>
  <si>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</si>
  <si>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</si>
  <si>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</si>
  <si>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</si>
  <si>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</si>
  <si>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</si>
  <si>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</si>
  <si>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</si>
  <si>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</si>
  <si>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</si>
  <si>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</si>
  <si>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</si>
  <si>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</si>
  <si>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</si>
  <si>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</si>
  <si>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</si>
  <si>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</si>
  <si>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</si>
  <si>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</si>
  <si>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</si>
  <si>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</si>
  <si>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</si>
  <si>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</si>
  <si>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</si>
  <si>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</si>
  <si>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</si>
  <si>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</si>
  <si>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</si>
  <si>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</si>
  <si>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</si>
  <si>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</si>
  <si>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</si>
  <si>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</si>
  <si>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</si>
  <si>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</si>
  <si>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</si>
  <si>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</si>
  <si>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</si>
  <si>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</si>
  <si>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</si>
  <si>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</si>
  <si>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</si>
  <si>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</si>
  <si>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</si>
  <si>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</si>
  <si>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</si>
  <si>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</si>
  <si>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</si>
  <si>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</si>
  <si>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</si>
  <si>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</si>
  <si>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</si>
  <si>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</si>
  <si>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</si>
  <si>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</si>
  <si>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</si>
  <si>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</si>
  <si>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</si>
  <si>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</si>
  <si>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</si>
  <si>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</si>
  <si>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</si>
  <si>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</si>
  <si>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</si>
  <si>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</si>
  <si>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</si>
  <si>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</si>
  <si>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</si>
  <si>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</si>
  <si>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</si>
  <si>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</si>
  <si>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</si>
  <si>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</si>
  <si>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</si>
  <si>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</si>
  <si>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</si>
  <si>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</si>
  <si>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</si>
  <si>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</si>
  <si>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</si>
  <si>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</si>
  <si>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</si>
  <si>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</si>
  <si>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</si>
  <si>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</si>
  <si>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</si>
  <si>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</si>
  <si>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</si>
  <si>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</si>
  <si>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</si>
  <si>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</si>
  <si>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</si>
  <si>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</si>
  <si>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</si>
  <si>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</si>
  <si>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</si>
  <si>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</si>
  <si>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</si>
  <si>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</si>
  <si>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</si>
  <si>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</si>
  <si>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</si>
  <si>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</si>
  <si>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</si>
  <si>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</si>
  <si>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</si>
  <si>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</si>
  <si>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</si>
  <si>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</si>
  <si>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</si>
  <si>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</si>
  <si>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</si>
  <si>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</si>
  <si>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</si>
  <si>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</si>
  <si>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</si>
  <si>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</si>
  <si>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</si>
  <si>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</si>
  <si>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</si>
  <si>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</si>
  <si>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</si>
  <si>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</si>
  <si>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</si>
  <si>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</si>
  <si>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</si>
  <si>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</si>
  <si>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</si>
  <si>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</si>
  <si>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</si>
  <si>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</si>
  <si>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</si>
  <si>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</si>
  <si>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</si>
  <si>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</si>
  <si>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</si>
  <si>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</si>
  <si>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</si>
  <si>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</si>
  <si>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</si>
  <si>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</si>
  <si>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</si>
  <si>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</si>
  <si>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</si>
  <si>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</si>
  <si>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</si>
  <si>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</si>
  <si>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</si>
  <si>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</si>
  <si>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</si>
  <si>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</si>
  <si>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</si>
  <si>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</si>
  <si>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</si>
  <si>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</si>
  <si>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</si>
  <si>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</si>
  <si>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</si>
  <si>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</si>
  <si>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</si>
  <si>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</si>
  <si>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</si>
  <si>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</si>
  <si>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</si>
  <si>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</si>
  <si>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</si>
  <si>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</si>
  <si>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</si>
  <si>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</si>
  <si>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</si>
  <si>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</si>
  <si>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</si>
  <si>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</si>
  <si>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</si>
  <si>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</si>
  <si>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</si>
  <si>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</si>
  <si>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</si>
  <si>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</si>
  <si>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</si>
  <si>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</si>
  <si>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</si>
  <si>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</si>
  <si>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</si>
  <si>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</si>
  <si>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</si>
  <si>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</si>
  <si>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</si>
  <si>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</si>
  <si>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</si>
  <si>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</si>
  <si>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</si>
  <si>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</si>
  <si>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</si>
  <si>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</si>
  <si>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</si>
  <si>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</si>
  <si>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</si>
  <si>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</si>
  <si>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</si>
  <si>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</si>
  <si>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</si>
  <si>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</si>
  <si>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</si>
  <si>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</si>
  <si>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</si>
  <si>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</si>
  <si>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</si>
  <si>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</si>
  <si>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</si>
  <si>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</si>
  <si>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</si>
  <si>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</si>
  <si>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</si>
  <si>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</si>
  <si>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</si>
  <si>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</si>
  <si>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</si>
  <si>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</si>
  <si>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</si>
  <si>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</si>
  <si>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</si>
  <si>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</si>
  <si>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</si>
  <si>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</si>
  <si>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</si>
  <si>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</si>
  <si>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</si>
  <si>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</si>
  <si>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</si>
  <si>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</si>
  <si>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</si>
  <si>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</si>
  <si>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</si>
  <si>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</si>
  <si>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</si>
  <si>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</si>
  <si>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</si>
  <si>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</si>
  <si>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</si>
  <si>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</si>
  <si>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</si>
  <si>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</si>
  <si>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</si>
  <si>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</si>
  <si>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</si>
  <si>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</si>
  <si>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</si>
  <si>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</si>
  <si>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</si>
  <si>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</si>
  <si>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</si>
  <si>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</si>
  <si>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</si>
  <si>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</si>
  <si>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</si>
  <si>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</si>
  <si>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</si>
  <si>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</si>
  <si>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</si>
  <si>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</si>
  <si>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</si>
  <si>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</si>
  <si>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</si>
  <si>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</si>
  <si>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</si>
  <si>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</si>
  <si>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</si>
  <si>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</si>
  <si>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</si>
  <si>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</si>
  <si>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</si>
  <si>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</si>
  <si>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</si>
  <si>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</si>
  <si>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</si>
  <si>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</si>
  <si>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</si>
  <si>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</si>
  <si>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</si>
  <si>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</si>
  <si>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</si>
  <si>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</si>
  <si>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</si>
  <si>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</si>
  <si>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</si>
  <si>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</si>
  <si>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</si>
  <si>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</si>
  <si>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</si>
  <si>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</si>
  <si>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</si>
  <si>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</si>
  <si>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</si>
  <si>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</si>
  <si>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</si>
  <si>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</si>
  <si>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</si>
  <si>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</si>
  <si>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</si>
  <si>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</si>
  <si>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</si>
  <si>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</si>
  <si>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</si>
  <si>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</si>
  <si>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</si>
  <si>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</si>
  <si>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</si>
  <si>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</si>
  <si>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</si>
  <si>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</si>
  <si>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</si>
  <si>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</si>
  <si>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</si>
  <si>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</si>
  <si>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</si>
  <si>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</si>
  <si>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</si>
  <si>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</si>
  <si>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</si>
  <si>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</si>
  <si>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</si>
  <si>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</si>
  <si>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</si>
  <si>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</si>
  <si>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</si>
  <si>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</si>
  <si>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</si>
  <si>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</si>
  <si>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</si>
  <si>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</si>
  <si>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</si>
  <si>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</si>
  <si>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</si>
  <si>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</si>
  <si>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</si>
  <si>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</si>
  <si>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</si>
  <si>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</si>
  <si>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</si>
  <si>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</si>
  <si>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</si>
  <si>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</si>
  <si>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</si>
  <si>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</si>
  <si>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</si>
  <si>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</si>
  <si>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</si>
  <si>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</si>
  <si>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</si>
  <si>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</si>
  <si>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</si>
  <si>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</si>
  <si>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</si>
  <si>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</si>
  <si>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</si>
  <si>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</si>
  <si>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</si>
  <si>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</si>
  <si>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</si>
  <si>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</si>
  <si>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</si>
  <si>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</si>
  <si>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</si>
  <si>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</si>
  <si>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</si>
  <si>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</si>
  <si>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</si>
  <si>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</si>
  <si>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</si>
  <si>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</si>
  <si>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</si>
  <si>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</si>
  <si>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</si>
  <si>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</si>
  <si>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</si>
  <si>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</si>
  <si>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</si>
  <si>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</si>
  <si>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</si>
  <si>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</si>
  <si>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</si>
  <si>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</si>
  <si>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</si>
  <si>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</si>
  <si>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</si>
  <si>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</si>
  <si>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</si>
  <si>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</si>
  <si>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</si>
  <si>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</si>
  <si>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</si>
  <si>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</si>
  <si>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</si>
  <si>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</si>
  <si>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</si>
  <si>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</si>
  <si>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</si>
  <si>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</si>
  <si>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</si>
  <si>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</si>
  <si>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</si>
  <si>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</si>
  <si>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</si>
  <si>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</si>
  <si>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</si>
  <si>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</si>
  <si>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</si>
  <si>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</si>
  <si>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</si>
  <si>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</si>
  <si>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</si>
  <si>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</si>
  <si>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</si>
  <si>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</si>
  <si>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</si>
  <si>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</si>
  <si>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</si>
  <si>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</si>
  <si>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</si>
  <si>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</si>
  <si>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</si>
  <si>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</si>
  <si>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</si>
  <si>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</si>
  <si>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</si>
  <si>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</si>
  <si>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</si>
  <si>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</si>
  <si>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</si>
  <si>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</si>
  <si>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</si>
  <si>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</si>
  <si>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</si>
  <si>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</si>
  <si>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</si>
  <si>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</si>
  <si>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</si>
  <si>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</si>
  <si>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</si>
  <si>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</si>
  <si>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</si>
  <si>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</si>
  <si>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</si>
  <si>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</si>
  <si>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</si>
  <si>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</si>
  <si>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</si>
  <si>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</si>
  <si>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</si>
  <si>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</si>
  <si>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</si>
  <si>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</si>
  <si>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</si>
  <si>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</si>
  <si>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</si>
  <si>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</si>
  <si>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</si>
  <si>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</si>
  <si>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</si>
  <si>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</si>
  <si>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</si>
  <si>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</si>
  <si>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</si>
  <si>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</si>
  <si>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</si>
  <si>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</si>
  <si>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</si>
  <si>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</si>
  <si>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</si>
  <si>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</si>
  <si>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</si>
  <si>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</si>
  <si>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</si>
  <si>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</si>
  <si>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</si>
  <si>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</si>
  <si>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</si>
  <si>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</si>
  <si>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</si>
  <si>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</si>
  <si>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</si>
  <si>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</si>
  <si>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</si>
  <si>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</si>
  <si>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</si>
  <si>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</si>
  <si>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</si>
  <si>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</si>
  <si>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</si>
  <si>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</si>
  <si>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</si>
  <si>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</si>
  <si>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</si>
  <si>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</si>
  <si>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</si>
  <si>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</si>
  <si>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</si>
  <si>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</si>
  <si>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</si>
  <si>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</si>
  <si>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</si>
  <si>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</si>
  <si>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</si>
  <si>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</si>
  <si>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</si>
  <si>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</si>
  <si>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</si>
  <si>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</si>
  <si>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</si>
  <si>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</si>
  <si>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</si>
  <si>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</si>
  <si>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</si>
  <si>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</si>
  <si>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</si>
  <si>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</si>
  <si>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</si>
  <si>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</si>
  <si>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</si>
  <si>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</si>
  <si>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</si>
  <si>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</si>
  <si>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</si>
  <si>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</si>
  <si>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</si>
  <si>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</si>
  <si>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</si>
  <si>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</si>
  <si>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</si>
  <si>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</si>
  <si>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</si>
  <si>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</si>
  <si>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</si>
  <si>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</si>
  <si>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</si>
  <si>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</si>
  <si>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</si>
  <si>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</si>
  <si>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</si>
  <si>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</si>
  <si>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</si>
  <si>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</si>
  <si>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</si>
  <si>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</si>
  <si>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</si>
  <si>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</si>
  <si>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</si>
  <si>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</si>
  <si>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</si>
  <si>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</si>
  <si>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</si>
  <si>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</si>
  <si>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</si>
  <si>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</si>
  <si>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</si>
  <si>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</si>
  <si>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</si>
  <si>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</si>
  <si>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</si>
  <si>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</si>
  <si>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</si>
  <si>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</si>
  <si>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</si>
  <si>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</si>
  <si>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</si>
  <si>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</si>
  <si>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</si>
  <si>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</si>
  <si>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</si>
  <si>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</si>
  <si>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</si>
  <si>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</si>
  <si>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</si>
  <si>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</si>
  <si>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</si>
  <si>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</si>
  <si>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</si>
  <si>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</si>
  <si>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</si>
  <si>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</si>
  <si>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</si>
  <si>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</si>
  <si>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</si>
  <si>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</si>
  <si>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</si>
  <si>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</si>
  <si>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</si>
  <si>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</si>
  <si>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</si>
  <si>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</si>
  <si>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</si>
  <si>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</si>
  <si>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</si>
  <si>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</si>
  <si>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</si>
  <si>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</si>
  <si>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</si>
  <si>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</si>
  <si>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</si>
  <si>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</si>
  <si>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</si>
  <si>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</si>
  <si>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</si>
  <si>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</si>
  <si>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</si>
  <si>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</si>
  <si>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</si>
  <si>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</si>
  <si>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</si>
  <si>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</si>
  <si>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</si>
  <si>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</si>
  <si>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</si>
  <si>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</si>
  <si>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</si>
  <si>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</si>
  <si>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</si>
  <si>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</si>
  <si>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</si>
  <si>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</si>
  <si>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</si>
  <si>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</si>
  <si>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</si>
  <si>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</si>
  <si>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</si>
  <si>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</si>
  <si>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</si>
  <si>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</si>
  <si>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</si>
  <si>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</si>
  <si>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</si>
  <si>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</si>
  <si>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</si>
  <si>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</si>
  <si>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</si>
  <si>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</si>
  <si>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</si>
  <si>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</si>
  <si>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</si>
  <si>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</si>
  <si>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</si>
  <si>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</si>
  <si>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</si>
  <si>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</si>
  <si>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</si>
  <si>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</si>
  <si>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</si>
  <si>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</si>
  <si>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</si>
  <si>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</si>
  <si>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</si>
  <si>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</si>
  <si>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</si>
  <si>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</si>
  <si>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</si>
  <si>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</si>
  <si>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</si>
  <si>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</si>
  <si>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</si>
  <si>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</si>
  <si>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</si>
  <si>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</si>
  <si>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</si>
  <si>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</si>
  <si>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</si>
  <si>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</si>
  <si>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</si>
  <si>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</si>
  <si>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</si>
  <si>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</si>
  <si>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</si>
  <si>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</si>
  <si>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</si>
  <si>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</si>
  <si>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</si>
  <si>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</si>
  <si>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</si>
  <si>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</si>
  <si>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</si>
  <si>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</si>
  <si>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</si>
  <si>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</si>
  <si>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</si>
  <si>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</si>
  <si>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</si>
  <si>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</si>
  <si>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</si>
  <si>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</si>
  <si>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</si>
  <si>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</si>
  <si>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</si>
  <si>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</si>
  <si>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</si>
  <si>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</si>
  <si>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</si>
  <si>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</si>
  <si>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</si>
  <si>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</si>
  <si>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</si>
  <si>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</si>
  <si>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</si>
  <si>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</si>
  <si>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</si>
  <si>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</si>
  <si>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</si>
  <si>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</si>
  <si>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</si>
  <si>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</si>
  <si>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</si>
  <si>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</si>
  <si>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</si>
  <si>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</si>
  <si>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</si>
  <si>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</si>
  <si>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</si>
  <si>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</si>
  <si>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</si>
  <si>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</si>
  <si>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</si>
  <si>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</si>
  <si>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</si>
  <si>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</si>
  <si>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</si>
  <si>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</si>
  <si>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</si>
  <si>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</si>
  <si>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</si>
  <si>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</si>
  <si>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</si>
  <si>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</si>
  <si>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</si>
  <si>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</si>
  <si>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</si>
  <si>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</si>
  <si>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</si>
  <si>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</si>
  <si>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</si>
  <si>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</si>
  <si>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</si>
  <si>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</si>
  <si>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</si>
  <si>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</si>
  <si>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</si>
  <si>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</si>
  <si>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</si>
  <si>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</si>
  <si>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</si>
  <si>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</si>
  <si>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</si>
  <si>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</si>
  <si>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</si>
  <si>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</si>
  <si>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</si>
  <si>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</si>
  <si>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</si>
  <si>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</si>
  <si>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</si>
  <si>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</si>
  <si>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</si>
  <si>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</si>
  <si>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</si>
  <si>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</si>
  <si>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</si>
  <si>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</si>
  <si>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</si>
  <si>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</si>
  <si>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</si>
  <si>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</si>
  <si>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</si>
  <si>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</si>
  <si>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</si>
  <si>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</si>
  <si>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</si>
  <si>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</si>
  <si>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</si>
  <si>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</si>
  <si>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</si>
  <si>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</si>
  <si>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</si>
  <si>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</si>
  <si>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</si>
  <si>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</si>
  <si>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</si>
  <si>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</si>
  <si>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</si>
  <si>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</si>
  <si>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</si>
  <si>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</si>
  <si>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</si>
  <si>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</si>
  <si>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</si>
  <si>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</si>
  <si>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</si>
  <si>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</si>
  <si>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</si>
  <si>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</si>
  <si>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</si>
  <si>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</si>
  <si>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</si>
  <si>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</si>
  <si>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</si>
  <si>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</si>
  <si>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</si>
  <si>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</si>
  <si>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</si>
  <si>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</si>
  <si>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</si>
  <si>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</si>
  <si>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</si>
  <si>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</si>
  <si>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</si>
  <si>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</si>
  <si>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</si>
  <si>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</si>
  <si>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</si>
  <si>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</si>
  <si>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</si>
  <si>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</si>
  <si>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</si>
  <si>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</si>
  <si>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</si>
  <si>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</si>
  <si>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</si>
  <si>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</si>
  <si>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</si>
  <si>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</si>
  <si>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</si>
  <si>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</si>
  <si>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</si>
  <si>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</si>
  <si>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</si>
  <si>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</si>
  <si>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</si>
  <si>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</si>
  <si>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</si>
  <si>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</si>
  <si>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</si>
  <si>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</si>
  <si>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</si>
  <si>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</si>
  <si>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</si>
  <si>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</si>
  <si>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</si>
  <si>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</si>
  <si>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</si>
  <si>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</si>
  <si>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</si>
  <si>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</si>
  <si>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</si>
  <si>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</si>
  <si>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</si>
  <si>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</si>
  <si>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</si>
  <si>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</si>
  <si>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</si>
  <si>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</si>
  <si>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</si>
  <si>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</si>
  <si>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</si>
  <si>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</si>
  <si>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</si>
  <si>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</si>
  <si>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</si>
  <si>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</si>
  <si>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</si>
  <si>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</si>
  <si>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</si>
  <si>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</si>
  <si>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</si>
  <si>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</si>
  <si>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</si>
  <si>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</si>
  <si>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</si>
  <si>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</si>
  <si>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</si>
  <si>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</si>
  <si>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</si>
  <si>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</si>
  <si>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</si>
  <si>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</si>
  <si>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</si>
  <si>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</si>
  <si>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</si>
  <si>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</si>
  <si>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</si>
  <si>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</si>
  <si>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</si>
  <si>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</si>
  <si>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</si>
  <si>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</si>
  <si>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</si>
  <si>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</si>
  <si>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</si>
  <si>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</si>
  <si>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</si>
  <si>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</si>
  <si>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</si>
  <si>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</si>
  <si>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</si>
  <si>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</si>
  <si>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</si>
  <si>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</si>
  <si>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</si>
  <si>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</si>
  <si>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</si>
  <si>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</si>
  <si>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</si>
  <si>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</si>
  <si>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</si>
  <si>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</si>
  <si>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</si>
  <si>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</si>
  <si>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</si>
  <si>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</si>
  <si>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</si>
  <si>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</si>
  <si>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</si>
  <si>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</si>
  <si>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</si>
  <si>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</si>
  <si>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</si>
  <si>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</si>
  <si>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</si>
  <si>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</si>
  <si>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</si>
  <si>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</si>
  <si>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</si>
  <si>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</si>
  <si>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</si>
  <si>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</si>
  <si>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</si>
  <si>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</si>
  <si>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</si>
  <si>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</si>
  <si>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</si>
  <si>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</si>
  <si>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</si>
  <si>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</si>
  <si>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</si>
  <si>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</si>
  <si>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</si>
  <si>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</si>
  <si>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</si>
  <si>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</si>
  <si>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</si>
  <si>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</si>
  <si>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</si>
  <si>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</si>
  <si>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</si>
  <si>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</si>
  <si>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</si>
  <si>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</si>
  <si>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</si>
  <si>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</si>
  <si>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</si>
  <si>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</si>
  <si>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</si>
  <si>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</si>
  <si>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</si>
  <si>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</si>
  <si>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</si>
  <si>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</si>
  <si>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</si>
  <si>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</si>
  <si>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</si>
  <si>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</si>
  <si>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</si>
  <si>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</si>
  <si>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</si>
  <si>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</si>
  <si>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</si>
  <si>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</si>
  <si>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</si>
  <si>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</si>
  <si>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</si>
  <si>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</si>
  <si>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</si>
  <si>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</si>
  <si>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</si>
  <si>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</si>
  <si>
    <t>1841].7</t>
  </si>
  <si>
    <t>1841.3]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</si>
</sst>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6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40" fillId="36" borderId="40" xfId="0" applyFont="1" applyFill="1" applyBorder="1" applyAlignment="1">
      <alignment horizontal="center"/>
    </xf>
    <xf numFmtId="17" fontId="40" fillId="36" borderId="40" xfId="0" applyNumberFormat="1" applyFont="1" applyFill="1" applyBorder="1" applyAlignment="1">
      <alignment horizontal="center"/>
    </xf>
    <xf numFmtId="15" fontId="40" fillId="36" borderId="40" xfId="0" applyNumberFormat="1" applyFont="1" applyFill="1" applyBorder="1"/>
    <xf numFmtId="164" fontId="40" fillId="36" borderId="40" xfId="0" applyNumberFormat="1" applyFont="1" applyFill="1" applyBorder="1" applyAlignment="1">
      <alignment horizontal="center"/>
    </xf>
    <xf numFmtId="0" fontId="40" fillId="40" borderId="12" xfId="0" applyFont="1" applyFill="1" applyBorder="1" applyAlignment="1">
      <alignment horizontal="center" vertical="center"/>
    </xf>
    <xf numFmtId="17" fontId="40" fillId="36" borderId="12" xfId="0" applyNumberFormat="1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15" fontId="40" fillId="40" borderId="12" xfId="0" applyNumberFormat="1" applyFont="1" applyFill="1" applyBorder="1" applyAlignment="1">
      <alignment horizontal="center" vertical="center"/>
    </xf>
    <xf numFmtId="2" fontId="40" fillId="40" borderId="12" xfId="0" applyNumberFormat="1" applyFont="1" applyFill="1" applyBorder="1" applyAlignment="1">
      <alignment horizontal="center" vertical="center"/>
    </xf>
    <xf numFmtId="165" fontId="40" fillId="0" borderId="12" xfId="2" applyNumberFormat="1" applyFont="1" applyBorder="1" applyAlignment="1">
      <alignment horizontal="center" vertic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26" fillId="34" borderId="9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39" borderId="0" xfId="0" applyFill="1" applyBorder="1" applyAlignment="1">
      <alignment horizontal="center"/>
    </xf>
    <xf numFmtId="0" fontId="0" fillId="0" borderId="22" xfId="0" applyNumberFormat="1" applyBorder="1" applyAlignment="1">
      <alignment horizontal="center"/>
    </xf>
    <xf numFmtId="170" fontId="0" fillId="0" borderId="22" xfId="0" applyNumberFormat="1" applyBorder="1" applyAlignment="1">
      <alignment horizont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26" totalsRowShown="0" headerRowDxfId="423" dataDxfId="422" headerRowCellStyle="Normal 26">
  <autoFilter ref="A3:AB12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 dataCellStyle="Percent">
      <calculatedColumnFormula>IFERROR(T2/(24*N2),"")</calculatedColumnFormula>
    </tableColumn>
    <tableColumn id="37" xr3:uid="{86A95442-92E4-4B24-8A27-110615C9B34D}" name="Bugt CUF (%) MTD" dataDxfId="191" dataCellStyle="Percent">
      <calculatedColumnFormula>IFERROR(U2/(24*N2*Q2),"")</calculatedColumnFormula>
    </tableColumn>
    <tableColumn id="36" xr3:uid="{D69BFE67-8866-4F68-9EF2-3EE1AC2A05F1}" name="Bugt CUF (%)YTD" dataDxfId="190" dataCellStyle="Percent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 dataCellStyle="Percent"/>
    <tableColumn id="26" xr3:uid="{F6B2DB2E-61B0-4CF1-92A4-31E4582651BB}" name="Bugt MA" dataDxfId="181" dataCellStyle="Percent"/>
    <tableColumn id="30" xr3:uid="{77C9BD3C-053A-46D2-A8AC-9738FDB77E0D}" name="Bugt IGA" dataDxfId="180" dataCellStyle="Percent"/>
    <tableColumn id="32" xr3:uid="{BD889FE4-B633-4329-BA30-E07317AF02B5}" name="Corelation" dataDxfId="179" dataCellStyle="Percent"/>
    <tableColumn id="33" xr3:uid="{1335AACD-1966-4902-8BC4-EFF32020B54B}" name="Bugt Line loss" dataDxfId="178" dataCellStyle="Percent"/>
    <tableColumn id="34" xr3:uid="{C199691B-8B24-49AD-A975-5EEEB6E31527}" name="Bugt Reactive Power" dataDxfId="177" dataCellStyle="Percent"/>
    <tableColumn id="39" xr3:uid="{6905C8EF-EDEE-4947-9859-D099FD2EFF0C}" name="Bugt Capacity" dataDxfId="176" dataCellStyle="Percent"/>
    <tableColumn id="40" xr3:uid="{0F8D3801-B25E-442E-BE52-FF0C12B41C1F}" name="CC*Bugt" dataDxfId="175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54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24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7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zoomScaleNormal="100" workbookViewId="0">
      <selection activeCell="I8" sqref="I8"/>
    </sheetView>
  </sheetViews>
  <sheetFormatPr defaultColWidth="8.5703125" defaultRowHeight="15" x14ac:dyDescent="0.25"/>
  <cols>
    <col min="1" max="1" width="14.42578125" style="36" customWidth="1"/>
    <col min="2" max="2" width="17.42578125" style="36" bestFit="1" customWidth="1"/>
    <col min="3" max="5" width="13.85546875" style="36" customWidth="1"/>
    <col min="6" max="6" width="57.140625" style="36" customWidth="1"/>
    <col min="7" max="16384" width="8.5703125" style="36"/>
  </cols>
  <sheetData>
    <row r="1" spans="1:6" ht="15.75" x14ac:dyDescent="0.25">
      <c r="A1" s="245" t="s">
        <v>0</v>
      </c>
      <c r="B1" s="246"/>
      <c r="C1" s="246"/>
      <c r="D1" s="246"/>
      <c r="E1" s="246"/>
      <c r="F1" s="247"/>
    </row>
    <row r="2" spans="1:6" x14ac:dyDescent="0.25">
      <c r="A2" s="93" t="s">
        <v>1</v>
      </c>
      <c r="B2" s="248">
        <v>45839</v>
      </c>
      <c r="C2" s="248"/>
      <c r="D2" s="248"/>
      <c r="E2" s="248"/>
      <c r="F2" s="249"/>
    </row>
    <row r="3" spans="1:6" x14ac:dyDescent="0.25">
      <c r="A3" s="93" t="s">
        <v>2</v>
      </c>
      <c r="B3" s="250">
        <v>45866</v>
      </c>
      <c r="C3" s="250"/>
      <c r="D3" s="250"/>
      <c r="E3" s="250"/>
      <c r="F3" s="251"/>
    </row>
    <row r="4" spans="1:6" x14ac:dyDescent="0.25">
      <c r="A4" s="93" t="s">
        <v>3</v>
      </c>
      <c r="B4" s="252" t="s">
        <v>4</v>
      </c>
      <c r="C4" s="252"/>
      <c r="D4" s="252"/>
      <c r="E4" s="252"/>
      <c r="F4" s="253"/>
    </row>
    <row r="5" spans="1:6" x14ac:dyDescent="0.25">
      <c r="A5" s="93" t="s">
        <v>5</v>
      </c>
      <c r="B5" s="254">
        <v>45748</v>
      </c>
      <c r="C5" s="254"/>
      <c r="D5" s="254"/>
      <c r="E5" s="254"/>
      <c r="F5" s="255"/>
    </row>
    <row r="6" spans="1:6" ht="15.75" thickBot="1" x14ac:dyDescent="0.3">
      <c r="A6" s="94" t="s">
        <v>6</v>
      </c>
      <c r="B6" s="243">
        <v>46112</v>
      </c>
      <c r="C6" s="243"/>
      <c r="D6" s="243"/>
      <c r="E6" s="243"/>
      <c r="F6" s="244"/>
    </row>
    <row r="7" spans="1:6" ht="4.5" customHeight="1" thickBot="1" x14ac:dyDescent="0.3">
      <c r="A7" s="37"/>
      <c r="B7" s="38"/>
      <c r="C7" s="38"/>
      <c r="D7" s="38"/>
      <c r="E7" s="38"/>
      <c r="F7" s="38"/>
    </row>
    <row r="8" spans="1:6" ht="15.75" thickBot="1" x14ac:dyDescent="0.3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25">
      <c r="A9" s="240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27.300000000000367</v>
      </c>
      <c r="E9" s="153">
        <f>-(C9-D9)/C9</f>
        <v>0.34515783664496102</v>
      </c>
      <c r="F9" s="171"/>
    </row>
    <row r="10" spans="1:6" x14ac:dyDescent="0.25">
      <c r="A10" s="241"/>
      <c r="B10" s="90" t="s">
        <v>14</v>
      </c>
      <c r="C10" s="183">
        <f>_xlfn.XLOOKUP($B$2,'Modelling New'!$D:$D,'Modelling New'!U:U)</f>
        <v>568.26045180433709</v>
      </c>
      <c r="D10" s="184">
        <f>'Monthly KPI'!$F$4</f>
        <v>611.29999999999984</v>
      </c>
      <c r="E10" s="154">
        <f t="shared" ref="E10:E11" si="0">-(C10-D10)/C10</f>
        <v>7.5739122895151043E-2</v>
      </c>
      <c r="F10" s="172"/>
    </row>
    <row r="11" spans="1:6" ht="15.75" thickBot="1" x14ac:dyDescent="0.3">
      <c r="A11" s="242"/>
      <c r="B11" s="92" t="s">
        <v>15</v>
      </c>
      <c r="C11" s="183">
        <f>_xlfn.XLOOKUP($B$2,'Modelling New'!$D:$D,'Modelling New'!V:V)</f>
        <v>3096.7873213039966</v>
      </c>
      <c r="D11" s="185">
        <f>'Annual KPI'!$F$4</f>
        <v>3137.8000000000015</v>
      </c>
      <c r="E11" s="155">
        <f t="shared" si="0"/>
        <v>1.3243621353608272E-2</v>
      </c>
      <c r="F11" s="173"/>
    </row>
    <row r="12" spans="1:6" x14ac:dyDescent="0.25">
      <c r="A12" s="240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0.16022932161370512</v>
      </c>
      <c r="E12" s="153">
        <f t="shared" ref="E12:E26" si="1">-(C12-D12)/C12</f>
        <v>0.34515783664496119</v>
      </c>
      <c r="F12" s="174"/>
    </row>
    <row r="13" spans="1:6" x14ac:dyDescent="0.25">
      <c r="A13" s="241"/>
      <c r="B13" s="90" t="s">
        <v>17</v>
      </c>
      <c r="C13" s="188">
        <f>_xlfn.XLOOKUP($B$2,'Modelling New'!$D:$D,'Modelling New'!X:X)</f>
        <v>0.11911562884943128</v>
      </c>
      <c r="D13" s="189">
        <f>'Monthly KPI'!$J$4</f>
        <v>0.12813734210159156</v>
      </c>
      <c r="E13" s="154">
        <f t="shared" si="1"/>
        <v>7.5739122895151084E-2</v>
      </c>
      <c r="F13" s="172"/>
    </row>
    <row r="14" spans="1:6" ht="15.75" thickBot="1" x14ac:dyDescent="0.3">
      <c r="A14" s="242"/>
      <c r="B14" s="92" t="s">
        <v>18</v>
      </c>
      <c r="C14" s="190">
        <f>_xlfn.XLOOKUP($B$2,'Modelling New'!$D:$D,'Modelling New'!Y:Y)</f>
        <v>0.15273682755393103</v>
      </c>
      <c r="D14" s="191">
        <f>'Annual KPI'!$J$4</f>
        <v>0.15475961626480664</v>
      </c>
      <c r="E14" s="155">
        <f t="shared" si="1"/>
        <v>1.3243621353608145E-2</v>
      </c>
      <c r="F14" s="173"/>
    </row>
    <row r="15" spans="1:6" x14ac:dyDescent="0.25">
      <c r="A15" s="240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0.77218950175279577</v>
      </c>
      <c r="E15" s="153">
        <f t="shared" si="1"/>
        <v>5.4308189105067448E-2</v>
      </c>
      <c r="F15" s="175"/>
    </row>
    <row r="16" spans="1:6" x14ac:dyDescent="0.25">
      <c r="A16" s="241"/>
      <c r="B16" s="90" t="s">
        <v>20</v>
      </c>
      <c r="C16" s="188">
        <f>'Monthly KPI'!$G$4</f>
        <v>0.73241345342129649</v>
      </c>
      <c r="D16" s="193">
        <f>'Monthly KPI'!$H$4</f>
        <v>0.76861817274185074</v>
      </c>
      <c r="E16" s="154">
        <f t="shared" si="1"/>
        <v>4.9432078495325896E-2</v>
      </c>
      <c r="F16" s="176"/>
    </row>
    <row r="17" spans="1:6" ht="15.75" thickBot="1" x14ac:dyDescent="0.3">
      <c r="A17" s="242"/>
      <c r="B17" s="92" t="s">
        <v>21</v>
      </c>
      <c r="C17" s="188">
        <f>'Annual KPI'!$G$4</f>
        <v>0.69695338585111477</v>
      </c>
      <c r="D17" s="194">
        <f>'Annual KPI'!$H$4</f>
        <v>0.76220225224143845</v>
      </c>
      <c r="E17" s="155">
        <f t="shared" si="1"/>
        <v>9.3620129717344305E-2</v>
      </c>
      <c r="F17" s="177"/>
    </row>
    <row r="18" spans="1:6" x14ac:dyDescent="0.25">
      <c r="A18" s="240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4.9800000000000004</v>
      </c>
      <c r="E18" s="153">
        <f t="shared" si="1"/>
        <v>0.27586776859504142</v>
      </c>
      <c r="F18" s="178"/>
    </row>
    <row r="19" spans="1:6" x14ac:dyDescent="0.25">
      <c r="A19" s="241"/>
      <c r="B19" s="90" t="s">
        <v>23</v>
      </c>
      <c r="C19" s="197">
        <f>'Monthly KPI'!$C$4</f>
        <v>109.29032258064517</v>
      </c>
      <c r="D19" s="198">
        <f>'Monthly KPI'!$D$4</f>
        <v>112.02999999999999</v>
      </c>
      <c r="E19" s="154">
        <f t="shared" si="1"/>
        <v>2.5067886658795575E-2</v>
      </c>
      <c r="F19" s="176"/>
    </row>
    <row r="20" spans="1:6" ht="15.75" thickBot="1" x14ac:dyDescent="0.3">
      <c r="A20" s="242"/>
      <c r="B20" s="92" t="s">
        <v>24</v>
      </c>
      <c r="C20" s="199">
        <f>'Annual KPI'!$C$4</f>
        <v>625.89032258064503</v>
      </c>
      <c r="D20" s="200">
        <f>'Annual KPI'!$D$4</f>
        <v>579.8900000000001</v>
      </c>
      <c r="E20" s="155">
        <f t="shared" si="1"/>
        <v>-7.3495820147814889E-2</v>
      </c>
      <c r="F20" s="179"/>
    </row>
    <row r="21" spans="1:6" x14ac:dyDescent="0.25">
      <c r="A21" s="240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25">
      <c r="A22" s="241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0.9983016226152992</v>
      </c>
      <c r="E22" s="154">
        <f>-(C22-D22)/C22</f>
        <v>1.82595089915332E-2</v>
      </c>
      <c r="F22" s="176"/>
    </row>
    <row r="23" spans="1:6" ht="15.75" thickBot="1" x14ac:dyDescent="0.3">
      <c r="A23" s="242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0.99465752882834413</v>
      </c>
      <c r="E23" s="155">
        <f>-(C23-D23)/C23</f>
        <v>1.4542563064406445E-2</v>
      </c>
      <c r="F23" s="177"/>
    </row>
    <row r="24" spans="1:6" x14ac:dyDescent="0.25">
      <c r="A24" s="240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1</v>
      </c>
      <c r="E24" s="153">
        <f t="shared" si="1"/>
        <v>2.0408163265306142E-2</v>
      </c>
      <c r="F24" s="175"/>
    </row>
    <row r="25" spans="1:6" x14ac:dyDescent="0.25">
      <c r="A25" s="241"/>
      <c r="B25" s="90" t="s">
        <v>29</v>
      </c>
      <c r="C25" s="193">
        <f>_xlfn.XLOOKUP($B$2,'Modelling New'!$D:$D,'Modelling New'!AF:AF)</f>
        <v>0.98</v>
      </c>
      <c r="D25" s="193">
        <f>'Monthly KPI'!$L$4</f>
        <v>0.97731709429388336</v>
      </c>
      <c r="E25" s="154">
        <f t="shared" si="1"/>
        <v>-2.7376588837924724E-3</v>
      </c>
      <c r="F25" s="180"/>
    </row>
    <row r="26" spans="1:6" ht="15.75" thickBot="1" x14ac:dyDescent="0.3">
      <c r="A26" s="242"/>
      <c r="B26" s="92" t="s">
        <v>30</v>
      </c>
      <c r="C26" s="194">
        <f>_xlfn.XLOOKUP($B$2,'Modelling New'!$D:$D,'Modelling New'!AF:AF)</f>
        <v>0.98</v>
      </c>
      <c r="D26" s="194">
        <f>'Annual KPI'!$L$4</f>
        <v>0.98654363669098144</v>
      </c>
      <c r="E26" s="155">
        <f t="shared" si="1"/>
        <v>6.6771802969198555E-3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1" max="1" width="9.140625" style="107"/>
    <col min="2" max="2" width="18.85546875" style="107" bestFit="1" customWidth="1"/>
    <col min="3" max="3" width="10.42578125" style="107" bestFit="1" customWidth="1"/>
    <col min="4" max="5" width="9.140625" style="107"/>
    <col min="6" max="6" width="12.7109375" style="107" bestFit="1" customWidth="1"/>
    <col min="7" max="16384" width="9.140625" style="107"/>
  </cols>
  <sheetData>
    <row r="4" spans="2:6" x14ac:dyDescent="0.25">
      <c r="B4" s="107" t="s">
        <v>31</v>
      </c>
    </row>
    <row r="6" spans="2:6" x14ac:dyDescent="0.25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25">
      <c r="B7" s="108" t="s">
        <v>36</v>
      </c>
      <c r="C7" s="109">
        <f>'Daily Dashboard'!B3</f>
        <v>45866</v>
      </c>
      <c r="D7" s="110">
        <f>'Daily Dashboard'!C9</f>
        <v>20.295016135869183</v>
      </c>
      <c r="E7" s="110">
        <f>'Daily Dashboard'!D9</f>
        <v>27.300000000000367</v>
      </c>
      <c r="F7" s="110">
        <f>D7-E7</f>
        <v>-7.0049838641311837</v>
      </c>
    </row>
    <row r="8" spans="2:6" x14ac:dyDescent="0.25">
      <c r="B8" s="108" t="s">
        <v>37</v>
      </c>
      <c r="C8" s="109">
        <f t="shared" ref="C8:C30" si="0">$C$7</f>
        <v>45866</v>
      </c>
      <c r="D8" s="108">
        <v>0</v>
      </c>
      <c r="E8" s="108">
        <v>0</v>
      </c>
      <c r="F8" s="108">
        <v>0</v>
      </c>
    </row>
    <row r="9" spans="2:6" x14ac:dyDescent="0.25">
      <c r="B9" s="108" t="s">
        <v>38</v>
      </c>
      <c r="C9" s="109">
        <f t="shared" si="0"/>
        <v>45866</v>
      </c>
      <c r="D9" s="108">
        <v>0</v>
      </c>
      <c r="E9" s="108">
        <v>0</v>
      </c>
      <c r="F9" s="108">
        <v>0</v>
      </c>
    </row>
    <row r="10" spans="2:6" x14ac:dyDescent="0.25">
      <c r="B10" s="108" t="s">
        <v>39</v>
      </c>
      <c r="C10" s="109">
        <f t="shared" si="0"/>
        <v>45866</v>
      </c>
      <c r="D10" s="108">
        <v>0</v>
      </c>
      <c r="E10" s="108">
        <v>0</v>
      </c>
      <c r="F10" s="108">
        <v>0</v>
      </c>
    </row>
    <row r="11" spans="2:6" x14ac:dyDescent="0.25">
      <c r="B11" s="108" t="s">
        <v>40</v>
      </c>
      <c r="C11" s="109">
        <f t="shared" si="0"/>
        <v>45866</v>
      </c>
      <c r="D11" s="108">
        <v>0</v>
      </c>
      <c r="E11" s="108">
        <v>0</v>
      </c>
      <c r="F11" s="108">
        <v>0</v>
      </c>
    </row>
    <row r="12" spans="2:6" x14ac:dyDescent="0.25">
      <c r="B12" s="108" t="s">
        <v>41</v>
      </c>
      <c r="C12" s="109">
        <f t="shared" si="0"/>
        <v>45866</v>
      </c>
      <c r="D12" s="108">
        <v>0</v>
      </c>
      <c r="E12" s="108">
        <v>0</v>
      </c>
      <c r="F12" s="108">
        <v>0</v>
      </c>
    </row>
    <row r="13" spans="2:6" x14ac:dyDescent="0.25">
      <c r="B13" s="108" t="s">
        <v>42</v>
      </c>
      <c r="C13" s="109">
        <f t="shared" si="0"/>
        <v>45866</v>
      </c>
      <c r="D13" s="108">
        <v>0</v>
      </c>
      <c r="E13" s="108">
        <v>0</v>
      </c>
      <c r="F13" s="108">
        <v>0</v>
      </c>
    </row>
    <row r="14" spans="2:6" x14ac:dyDescent="0.25">
      <c r="B14" s="108" t="s">
        <v>43</v>
      </c>
      <c r="C14" s="109">
        <f t="shared" si="0"/>
        <v>45866</v>
      </c>
      <c r="D14" s="108">
        <v>0</v>
      </c>
      <c r="E14" s="108">
        <v>0</v>
      </c>
      <c r="F14" s="108">
        <v>0</v>
      </c>
    </row>
    <row r="15" spans="2:6" x14ac:dyDescent="0.25">
      <c r="B15" s="108" t="s">
        <v>44</v>
      </c>
      <c r="C15" s="109">
        <f t="shared" si="0"/>
        <v>45866</v>
      </c>
      <c r="D15" s="108">
        <v>0</v>
      </c>
      <c r="E15" s="108">
        <v>0</v>
      </c>
      <c r="F15" s="108">
        <v>0</v>
      </c>
    </row>
    <row r="16" spans="2:6" x14ac:dyDescent="0.25">
      <c r="B16" s="108" t="s">
        <v>45</v>
      </c>
      <c r="C16" s="109">
        <f t="shared" si="0"/>
        <v>45866</v>
      </c>
      <c r="D16" s="108">
        <v>0</v>
      </c>
      <c r="E16" s="108">
        <v>0</v>
      </c>
      <c r="F16" s="108">
        <v>0</v>
      </c>
    </row>
    <row r="17" spans="2:7" x14ac:dyDescent="0.25">
      <c r="B17" s="108" t="s">
        <v>46</v>
      </c>
      <c r="C17" s="109">
        <f t="shared" si="0"/>
        <v>45866</v>
      </c>
      <c r="D17" s="108">
        <v>0</v>
      </c>
      <c r="E17" s="108">
        <v>0</v>
      </c>
      <c r="F17" s="108">
        <v>0</v>
      </c>
    </row>
    <row r="18" spans="2:7" x14ac:dyDescent="0.25">
      <c r="B18" s="108" t="s">
        <v>47</v>
      </c>
      <c r="C18" s="109">
        <f t="shared" si="0"/>
        <v>45866</v>
      </c>
      <c r="D18" s="108">
        <v>0</v>
      </c>
      <c r="E18" s="108">
        <v>0</v>
      </c>
      <c r="F18" s="108">
        <v>0</v>
      </c>
    </row>
    <row r="19" spans="2:7" x14ac:dyDescent="0.25">
      <c r="B19" s="108" t="s">
        <v>48</v>
      </c>
      <c r="C19" s="109">
        <f t="shared" si="0"/>
        <v>45866</v>
      </c>
      <c r="D19" s="108">
        <v>0</v>
      </c>
      <c r="E19" s="108">
        <v>0</v>
      </c>
      <c r="F19" s="108">
        <v>0</v>
      </c>
    </row>
    <row r="20" spans="2:7" x14ac:dyDescent="0.25">
      <c r="B20" s="108" t="s">
        <v>49</v>
      </c>
      <c r="C20" s="109">
        <f t="shared" si="0"/>
        <v>45866</v>
      </c>
      <c r="D20" s="108">
        <v>0</v>
      </c>
      <c r="E20" s="108">
        <v>0</v>
      </c>
      <c r="F20" s="108">
        <v>0</v>
      </c>
    </row>
    <row r="21" spans="2:7" x14ac:dyDescent="0.25">
      <c r="B21" s="108" t="s">
        <v>50</v>
      </c>
      <c r="C21" s="109">
        <f t="shared" si="0"/>
        <v>45866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25">
      <c r="B22" s="108" t="s">
        <v>51</v>
      </c>
      <c r="C22" s="109">
        <f t="shared" si="0"/>
        <v>45866</v>
      </c>
      <c r="D22" s="108">
        <f>'Daily Dashboard'!C24*100</f>
        <v>98</v>
      </c>
      <c r="E22" s="108">
        <f>'Daily Dashboard'!D24*100</f>
        <v>100</v>
      </c>
      <c r="F22" s="108">
        <f>E22-D22</f>
        <v>2</v>
      </c>
      <c r="G22" s="111">
        <f>(F22/100)*$D$7</f>
        <v>0.40590032271738369</v>
      </c>
    </row>
    <row r="23" spans="2:7" x14ac:dyDescent="0.25">
      <c r="B23" s="108" t="s">
        <v>52</v>
      </c>
      <c r="C23" s="109">
        <f t="shared" si="0"/>
        <v>45866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25">
      <c r="B24" s="108" t="s">
        <v>53</v>
      </c>
      <c r="C24" s="109">
        <f t="shared" si="0"/>
        <v>45866</v>
      </c>
      <c r="D24" s="108">
        <v>0</v>
      </c>
      <c r="E24" s="108">
        <v>0</v>
      </c>
      <c r="F24" s="108">
        <v>0</v>
      </c>
    </row>
    <row r="25" spans="2:7" x14ac:dyDescent="0.25">
      <c r="B25" s="108" t="s">
        <v>54</v>
      </c>
      <c r="C25" s="109">
        <f t="shared" si="0"/>
        <v>45866</v>
      </c>
      <c r="D25" s="108">
        <v>0</v>
      </c>
      <c r="E25" s="108">
        <v>0</v>
      </c>
      <c r="F25" s="108">
        <v>0</v>
      </c>
    </row>
    <row r="26" spans="2:7" x14ac:dyDescent="0.25">
      <c r="B26" s="108" t="s">
        <v>10</v>
      </c>
      <c r="C26" s="109">
        <f t="shared" si="0"/>
        <v>45866</v>
      </c>
      <c r="D26" s="112">
        <f>'Daily Dashboard'!$D$9</f>
        <v>27.300000000000367</v>
      </c>
      <c r="E26" s="112">
        <f>'Daily Dashboard'!$D$9</f>
        <v>27.300000000000367</v>
      </c>
      <c r="F26" s="112">
        <f>'Daily Dashboard'!$D$9</f>
        <v>27.300000000000367</v>
      </c>
    </row>
    <row r="27" spans="2:7" x14ac:dyDescent="0.25">
      <c r="B27" s="108" t="s">
        <v>55</v>
      </c>
      <c r="C27" s="109">
        <f t="shared" si="0"/>
        <v>45866</v>
      </c>
      <c r="D27" s="108">
        <v>0</v>
      </c>
      <c r="E27" s="108">
        <v>0</v>
      </c>
      <c r="F27" s="108">
        <v>0</v>
      </c>
    </row>
    <row r="28" spans="2:7" x14ac:dyDescent="0.25">
      <c r="B28" s="108" t="s">
        <v>56</v>
      </c>
      <c r="C28" s="109">
        <f t="shared" si="0"/>
        <v>45866</v>
      </c>
      <c r="D28" s="108">
        <v>0</v>
      </c>
      <c r="E28" s="108">
        <v>0</v>
      </c>
      <c r="F28" s="108">
        <v>0</v>
      </c>
    </row>
    <row r="29" spans="2:7" x14ac:dyDescent="0.25">
      <c r="B29" s="108" t="s">
        <v>57</v>
      </c>
      <c r="C29" s="109">
        <f t="shared" si="0"/>
        <v>45866</v>
      </c>
      <c r="D29" s="108">
        <v>0</v>
      </c>
      <c r="E29" s="110">
        <f>-(F7+G30)+(SUM(G21:G23))</f>
        <v>2.2099256881090108</v>
      </c>
      <c r="F29" s="110">
        <f>E29</f>
        <v>2.2099256881090108</v>
      </c>
    </row>
    <row r="30" spans="2:7" x14ac:dyDescent="0.25">
      <c r="B30" s="108" t="s">
        <v>58</v>
      </c>
      <c r="C30" s="109">
        <f t="shared" si="0"/>
        <v>45866</v>
      </c>
      <c r="D30" s="108">
        <f>'Daily Dashboard'!C18</f>
        <v>3.903225806451613</v>
      </c>
      <c r="E30" s="113">
        <f>'Daily Dashboard'!D18</f>
        <v>4.9800000000000004</v>
      </c>
      <c r="F30" s="108">
        <f>E30-D30</f>
        <v>1.0767741935483874</v>
      </c>
      <c r="G30" s="107">
        <f>(F30/D30)*D7</f>
        <v>5.598740815002591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9" t="s">
        <v>59</v>
      </c>
      <c r="B1" s="40">
        <f>'Daily Dashboard'!B3</f>
        <v>45866</v>
      </c>
      <c r="C1" s="28">
        <f>'Daily Dashboard'!B2</f>
        <v>45839</v>
      </c>
      <c r="D1" s="64"/>
      <c r="E1" s="64"/>
      <c r="F1" s="64"/>
    </row>
    <row r="2" spans="1:14" ht="21" x14ac:dyDescent="0.25">
      <c r="A2" s="256" t="s">
        <v>60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25">
      <c r="A4" s="152">
        <f>YEAR($B$1)+IF(MONTH($B$1)&gt;=4,1,0)</f>
        <v>2026</v>
      </c>
      <c r="B4" s="31">
        <f>($B$1-'Daily Dashboard'!$B$5)+1</f>
        <v>119</v>
      </c>
      <c r="C4" s="31">
        <f>_xlfn.XLOOKUP($C$1,'Modelling New'!$D:$D,'Modelling New'!$S:$S)</f>
        <v>625.89032258064503</v>
      </c>
      <c r="D4" s="32">
        <f>SUMIFS('Daily KPI'!$I:$I,'Daily KPI'!$B:$B,'Annual KPI'!$A$4,'Daily KPI'!$A:$A,"&lt;="&amp;'Annual KPI'!$B$1)</f>
        <v>579.8900000000001</v>
      </c>
      <c r="E4" s="31">
        <f>_xlfn.XLOOKUP($C$1,'Modelling New'!$D:$D,'Modelling New'!V:V)</f>
        <v>3096.7873213039966</v>
      </c>
      <c r="F4" s="32">
        <f>SUMIFS('Daily KPI'!$AA:$AA,'Daily KPI'!$B:$B,'Annual KPI'!A4,'Daily KPI'!$A:$A,"&lt;="&amp;'Annual KPI'!$B$1)/1000</f>
        <v>3137.8000000000015</v>
      </c>
      <c r="G4" s="33">
        <f>IFERROR(E4/C4/'Modelling New'!$AO$1,"")</f>
        <v>0.69695338585111477</v>
      </c>
      <c r="H4" s="34">
        <f>IFERROR(F4/D4/'Modelling New'!$AO$1,"")</f>
        <v>0.76220225224143845</v>
      </c>
      <c r="I4" s="33">
        <f>IFERROR(E4/(B4*24*'Modelling New'!$AO$1),"")</f>
        <v>0.15273682755393103</v>
      </c>
      <c r="J4" s="34">
        <f>IFERROR(F4/(B4*24*'Modelling New'!$AO$1),"")</f>
        <v>0.15475961626480664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0.98654363669098144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0.99465752882834413</v>
      </c>
    </row>
    <row r="8" spans="1:14" ht="21" x14ac:dyDescent="0.25">
      <c r="A8" s="256" t="s">
        <v>75</v>
      </c>
      <c r="B8" s="256"/>
      <c r="C8" s="256"/>
      <c r="D8" s="256"/>
      <c r="E8" s="256"/>
      <c r="F8" s="256"/>
      <c r="G8" s="256"/>
      <c r="H8" s="256"/>
      <c r="I8" s="256"/>
      <c r="J8" s="256"/>
      <c r="K8" s="256"/>
      <c r="L8" s="256"/>
      <c r="M8" s="256"/>
      <c r="N8" s="256"/>
    </row>
    <row r="9" spans="1:14" ht="45" x14ac:dyDescent="0.25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25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25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25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25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109.29032258064517</v>
      </c>
      <c r="D13" s="25">
        <f>SUMIF('Daily KPI'!$D:$D,A13,'Daily KPI'!$I:$I)</f>
        <v>112.02999999999999</v>
      </c>
      <c r="E13" s="31">
        <f>_xlfn.XLOOKUP($A13,'Modelling New'!$D:$D,'Modelling New'!$U:$U)</f>
        <v>568.26045180433709</v>
      </c>
      <c r="F13" s="25">
        <f>SUMIF('Daily KPI'!$D:$D,$A13,'Daily KPI'!$AA:$AA)/1000</f>
        <v>611.29999999999984</v>
      </c>
      <c r="G13" s="26">
        <f>IFERROR(E13/C13/'Modelling New'!$AO$1,"")</f>
        <v>0.73241345342129649</v>
      </c>
      <c r="H13" s="27">
        <f>IFERROR(F13/D13/'Modelling New'!$AO$1,"")</f>
        <v>0.76861817274185074</v>
      </c>
      <c r="I13" s="26">
        <f>IFERROR(E13/(B13*24*'Modelling New'!$AO$1),"")</f>
        <v>0.10758830992851859</v>
      </c>
      <c r="J13" s="27">
        <f>IFERROR(F13/(B13*24*'Modelling New'!$AO$1),"")</f>
        <v>0.11573695415627624</v>
      </c>
      <c r="K13" s="26">
        <f>_xlfn.XLOOKUP($A13,'Modelling New'!$D:$D,'Modelling New'!AF:AF)</f>
        <v>0.98</v>
      </c>
      <c r="L13" s="27">
        <f>IFERROR(AVERAGEIF('Daily KPI'!$D:$D,A13,'Daily KPI'!R:R),"")</f>
        <v>0.97731709429388336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0.9983016226152992</v>
      </c>
    </row>
    <row r="14" spans="1:14" x14ac:dyDescent="0.25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25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25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25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25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25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25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25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9" t="s">
        <v>59</v>
      </c>
      <c r="B1" s="40" cm="1">
        <f t="array" ref="B1:F1">'Daily Dashboard'!B3:F3</f>
        <v>45866</v>
      </c>
      <c r="C1" s="64">
        <v>0</v>
      </c>
      <c r="D1" s="64">
        <v>0</v>
      </c>
      <c r="E1" s="64">
        <v>0</v>
      </c>
      <c r="F1" s="64">
        <v>0</v>
      </c>
    </row>
    <row r="2" spans="1:14" ht="20.45" customHeight="1" x14ac:dyDescent="0.25">
      <c r="A2" s="256" t="s">
        <v>76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25">
      <c r="A4" s="28">
        <f>'Daily Dashboard'!B2</f>
        <v>45839</v>
      </c>
      <c r="B4" s="24">
        <f>DAY(B1)</f>
        <v>28</v>
      </c>
      <c r="C4" s="24">
        <f>_xlfn.XLOOKUP($A$4,'Modelling New'!$D:$D,'Modelling New'!R:R)</f>
        <v>109.29032258064517</v>
      </c>
      <c r="D4" s="78">
        <f>SUMIF('Daily KPI'!$D:$D,'Monthly KPI'!A4,'Daily KPI'!$I:$I)</f>
        <v>112.02999999999999</v>
      </c>
      <c r="E4" s="24">
        <f>_xlfn.XLOOKUP($A$4,'Modelling New'!$D:$D,'Modelling New'!U:U)</f>
        <v>568.26045180433709</v>
      </c>
      <c r="F4" s="78">
        <f>SUMIF('Daily KPI'!$D:$D,'Monthly KPI'!A4,'Daily KPI'!$AA:$AA)/1000</f>
        <v>611.29999999999984</v>
      </c>
      <c r="G4" s="26">
        <f>IFERROR(E4/C4/'Modelling New'!$AO$1,"")</f>
        <v>0.73241345342129649</v>
      </c>
      <c r="H4" s="27">
        <f>IFERROR(F4/D4/'Modelling New'!$AO$1,"")</f>
        <v>0.76861817274185074</v>
      </c>
      <c r="I4" s="26">
        <f>IFERROR(E4/(B4*24*'Modelling New'!$AO$1),"")</f>
        <v>0.11911562884943128</v>
      </c>
      <c r="J4" s="27">
        <f>IFERROR(F4/(B4*24*'Modelling New'!$AO$1),"")</f>
        <v>0.12813734210159156</v>
      </c>
      <c r="K4" s="26">
        <f>_xlfn.XLOOKUP($A$4,'Modelling New'!$D:$D,'Modelling New'!AF:AF)</f>
        <v>0.98</v>
      </c>
      <c r="L4" s="27">
        <f>IFERROR(AVERAGEIF('Daily KPI'!$D:$D,'Monthly KPI'!A4,'Daily KPI'!R:R),"")</f>
        <v>0.97731709429388336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0.9983016226152992</v>
      </c>
    </row>
    <row r="7" spans="1:14" x14ac:dyDescent="0.25">
      <c r="A7" s="39" t="s">
        <v>78</v>
      </c>
      <c r="B7" s="40">
        <f>B8-6</f>
        <v>45860</v>
      </c>
    </row>
    <row r="8" spans="1:14" x14ac:dyDescent="0.25">
      <c r="A8" s="39" t="s">
        <v>79</v>
      </c>
      <c r="B8" s="40">
        <f>B1</f>
        <v>45866</v>
      </c>
    </row>
    <row r="10" spans="1:14" ht="21" x14ac:dyDescent="0.25">
      <c r="A10" s="256" t="s">
        <v>76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</row>
    <row r="11" spans="1:14" ht="45" x14ac:dyDescent="0.25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25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21.070000000000004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112.9</v>
      </c>
      <c r="G12" s="26">
        <f>IFERROR(E12/C12/'Modelling New'!$AO$1,"")</f>
        <v>0.7324134534212966</v>
      </c>
      <c r="H12" s="27">
        <f>IFERROR(F12/D12/'Modelling New'!$AO$1,"")</f>
        <v>0.75477932418623683</v>
      </c>
      <c r="I12" s="26">
        <f>IFERROR(E12/(B12*24*'Modelling New'!$AO$1),"")</f>
        <v>0.11911562884943128</v>
      </c>
      <c r="J12" s="27">
        <f>IFERROR(F12/(B12*24*'Modelling New'!$AO$1),"")</f>
        <v>9.4661906908357213E-2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0.97364793322759646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26"/>
  <sheetViews>
    <sheetView topLeftCell="F1" workbookViewId="0">
      <pane xSplit="3" ySplit="3" topLeftCell="O112" activePane="bottomRight" state="frozen"/>
      <selection pane="topRight" activeCell="I1" sqref="I1"/>
      <selection pane="bottomLeft" activeCell="F4" sqref="F4"/>
      <selection pane="bottomRight" activeCell="O125" sqref="O125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77"/>
      <c r="B1" s="77"/>
      <c r="C1" s="77"/>
      <c r="D1" s="77"/>
      <c r="E1" s="77"/>
      <c r="F1" s="77"/>
      <c r="G1" s="77"/>
      <c r="H1" s="77"/>
    </row>
    <row r="2" spans="1:28" x14ac:dyDescent="0.25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25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25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26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230"/>
      <c r="B117" s="230"/>
      <c r="C117" s="230">
        <f>YEAR(Inv_SY[[#This Row],[Date]])</f>
        <v>2025</v>
      </c>
      <c r="D117" s="230"/>
      <c r="E117" s="230"/>
      <c r="F117" s="231" t="str">
        <f>TEXT(Inv_SY[[#This Row],[Date]],"mmm-yy")</f>
        <v>Jul-25</v>
      </c>
      <c r="G117" s="230">
        <f>DAY(EOMONTH(Inv_SY[[#This Row],[Month Year]],0))</f>
        <v>31</v>
      </c>
      <c r="H117" s="232">
        <f t="shared" si="19"/>
        <v>45858</v>
      </c>
      <c r="I117" s="233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230"/>
      <c r="B118" s="230"/>
      <c r="C118" s="230">
        <f>YEAR(Inv_SY[[#This Row],[Date]])</f>
        <v>2025</v>
      </c>
      <c r="D118" s="230"/>
      <c r="E118" s="230"/>
      <c r="F118" s="231" t="str">
        <f>TEXT(Inv_SY[[#This Row],[Date]],"mmm-yy")</f>
        <v>Jul-25</v>
      </c>
      <c r="G118" s="230">
        <f>DAY(EOMONTH(Inv_SY[[#This Row],[Month Year]],0))</f>
        <v>31</v>
      </c>
      <c r="H118" s="232">
        <f t="shared" si="19"/>
        <v>45859</v>
      </c>
      <c r="I118" s="233">
        <f>'Modelling New'!$AO$1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230"/>
      <c r="B119" s="230"/>
      <c r="C119" s="230">
        <f>YEAR(Inv_SY[[#This Row],[Date]])</f>
        <v>2025</v>
      </c>
      <c r="D119" s="230"/>
      <c r="E119" s="230"/>
      <c r="F119" s="231" t="str">
        <f>TEXT(Inv_SY[[#This Row],[Date]],"mmm-yy")</f>
        <v>Jul-25</v>
      </c>
      <c r="G119" s="230">
        <f>DAY(EOMONTH(Inv_SY[[#This Row],[Month Year]],0))</f>
        <v>31</v>
      </c>
      <c r="H119" s="232">
        <f t="shared" si="19"/>
        <v>45860</v>
      </c>
      <c r="I119" s="233">
        <f>'Modelling New'!$AO$1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230"/>
      <c r="B120" s="230"/>
      <c r="C120" s="230">
        <f>YEAR(Inv_SY[[#This Row],[Date]])</f>
        <v>2025</v>
      </c>
      <c r="D120" s="230"/>
      <c r="E120" s="230"/>
      <c r="F120" s="231" t="str">
        <f>TEXT(Inv_SY[[#This Row],[Date]],"mmm-yy")</f>
        <v>Jul-25</v>
      </c>
      <c r="G120" s="230">
        <f>DAY(EOMONTH(Inv_SY[[#This Row],[Month Year]],0))</f>
        <v>31</v>
      </c>
      <c r="H120" s="232">
        <f t="shared" si="19"/>
        <v>45861</v>
      </c>
      <c r="I120" s="233">
        <f>'Modelling New'!$AO$1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25">
      <c r="A121" s="230"/>
      <c r="B121" s="230"/>
      <c r="C121" s="230">
        <f>YEAR(Inv_SY[[#This Row],[Date]])</f>
        <v>2025</v>
      </c>
      <c r="D121" s="230"/>
      <c r="E121" s="230"/>
      <c r="F121" s="231" t="str">
        <f>TEXT(Inv_SY[[#This Row],[Date]],"mmm-yy")</f>
        <v>Jul-25</v>
      </c>
      <c r="G121" s="230">
        <f>DAY(EOMONTH(Inv_SY[[#This Row],[Month Year]],0))</f>
        <v>31</v>
      </c>
      <c r="H121" s="232">
        <f t="shared" si="19"/>
        <v>45862</v>
      </c>
      <c r="I121" s="233">
        <f>'Modelling New'!$AO$1</f>
        <v>7.0991999999999997</v>
      </c>
      <c r="J121" s="1">
        <f>IFERROR('Raw Data'!K121/Inv_SY!J$2,"")</f>
        <v>1.1874779541446205</v>
      </c>
      <c r="K121" s="1">
        <f>IFERROR('Raw Data'!L121/Inv_SY!K$2,"")</f>
        <v>0.98383303938859479</v>
      </c>
      <c r="L121" s="1">
        <f>IFERROR('Raw Data'!M121/Inv_SY!L$2,"")</f>
        <v>1.3915428167020523</v>
      </c>
      <c r="M121" s="1">
        <f>IFERROR('Raw Data'!N121/Inv_SY!M$2,"")</f>
        <v>1.1783068783068782</v>
      </c>
      <c r="N121" s="1">
        <f>IFERROR('Raw Data'!O121/Inv_SY!N$2,"")</f>
        <v>1.4551971326164876</v>
      </c>
      <c r="O121" s="1">
        <f>IFERROR('Raw Data'!P121/Inv_SY!O$2,"")</f>
        <v>1.4895943562610228</v>
      </c>
      <c r="P121" s="1">
        <f>IFERROR('Raw Data'!Q121/Inv_SY!P$2,"")</f>
        <v>1.2661918071709795</v>
      </c>
      <c r="Q121" s="1">
        <f>IFERROR('Raw Data'!R121/Inv_SY!Q$2,"")</f>
        <v>1.9053993752788934</v>
      </c>
      <c r="R121" s="1">
        <f>IFERROR('Raw Data'!S121/Inv_SY!R$2,"")</f>
        <v>1.5728831725616292</v>
      </c>
      <c r="S121" s="1">
        <f>IFERROR('Raw Data'!T121/Inv_SY!S$2,"")</f>
        <v>1.2959515366430261</v>
      </c>
      <c r="T121" s="1">
        <f>IFERROR('Raw Data'!U121/Inv_SY!T$2,"")</f>
        <v>1.9282600079270711</v>
      </c>
      <c r="U121" s="1">
        <f>IFERROR('Raw Data'!V121/Inv_SY!U$2,"")</f>
        <v>1.2911877394636018</v>
      </c>
      <c r="V121" s="1">
        <f>IFERROR('Raw Data'!W121/Inv_SY!V$2,"")</f>
        <v>1.175533703143385</v>
      </c>
      <c r="W121" s="1">
        <f>IFERROR('Raw Data'!X121/Inv_SY!W$2,"")</f>
        <v>1.4958345034166431</v>
      </c>
      <c r="X121" s="1">
        <f>IFERROR('Raw Data'!Y121/Inv_SY!X$2,"")</f>
        <v>1.4812141777879073</v>
      </c>
      <c r="Y121" s="1">
        <f t="shared" si="20"/>
        <v>1.3841941281159784</v>
      </c>
      <c r="Z121" s="1">
        <f>IFERROR(_xlfn.MAXIFS(V121:X121,Inv_SY[[#This Row],[Inv1]:[Inv3]],"&gt;"&amp;0),"")</f>
        <v>1.4958345034166431</v>
      </c>
      <c r="AA121" s="1">
        <f t="shared" si="21"/>
        <v>1.4121521513720714</v>
      </c>
      <c r="AB121" s="1">
        <f>IFERROR(_xlfn.MAXIFS(J121:U121,Inv_SY[[#This Row],[Inv 1 (630kw) unit 1]:[Inv 3 (630kw) unit 4]],"&gt;"&amp;0),"")</f>
        <v>1.9282600079270711</v>
      </c>
    </row>
    <row r="122" spans="1:28" x14ac:dyDescent="0.25">
      <c r="A122" s="230"/>
      <c r="B122" s="230"/>
      <c r="C122" s="230">
        <f>YEAR(Inv_SY[[#This Row],[Date]])</f>
        <v>2025</v>
      </c>
      <c r="D122" s="230"/>
      <c r="E122" s="230"/>
      <c r="F122" s="231" t="str">
        <f>TEXT(Inv_SY[[#This Row],[Date]],"mmm-yy")</f>
        <v>Jul-25</v>
      </c>
      <c r="G122" s="230">
        <f>DAY(EOMONTH(Inv_SY[[#This Row],[Month Year]],0))</f>
        <v>31</v>
      </c>
      <c r="H122" s="232">
        <f t="shared" si="19"/>
        <v>45863</v>
      </c>
      <c r="I122" s="233">
        <f>'Modelling New'!$AO$1</f>
        <v>7.0991999999999997</v>
      </c>
      <c r="J122" s="1">
        <f>IFERROR('Raw Data'!K122/Inv_SY!J$2,"")</f>
        <v>1.7959435626102289</v>
      </c>
      <c r="K122" s="1">
        <f>IFERROR('Raw Data'!L122/Inv_SY!K$2,"")</f>
        <v>1.608906525573192</v>
      </c>
      <c r="L122" s="1">
        <f>IFERROR('Raw Data'!M122/Inv_SY!L$2,"")</f>
        <v>1.7740622788393487</v>
      </c>
      <c r="M122" s="1">
        <f>IFERROR('Raw Data'!N122/Inv_SY!M$2,"")</f>
        <v>1.7823633156966487</v>
      </c>
      <c r="N122" s="1">
        <f>IFERROR('Raw Data'!O122/Inv_SY!N$2,"")</f>
        <v>1.5549581839904423</v>
      </c>
      <c r="O122" s="1">
        <f>IFERROR('Raw Data'!P122/Inv_SY!O$2,"")</f>
        <v>1.9724867724867723</v>
      </c>
      <c r="P122" s="1">
        <f>IFERROR('Raw Data'!Q122/Inv_SY!P$2,"")</f>
        <v>1.5517085925525198</v>
      </c>
      <c r="Q122" s="1">
        <f>IFERROR('Raw Data'!R122/Inv_SY!Q$2,"")</f>
        <v>4.3384649709950915</v>
      </c>
      <c r="R122" s="1">
        <f>IFERROR('Raw Data'!S122/Inv_SY!R$2,"")</f>
        <v>1.8976420150053592</v>
      </c>
      <c r="S122" s="1">
        <f>IFERROR('Raw Data'!T122/Inv_SY!S$2,"")</f>
        <v>1.5669326241134753</v>
      </c>
      <c r="T122" s="1">
        <f>IFERROR('Raw Data'!U122/Inv_SY!T$2,"")</f>
        <v>2.3301184656713789</v>
      </c>
      <c r="U122" s="1">
        <f>IFERROR('Raw Data'!V122/Inv_SY!U$2,"")</f>
        <v>1.5595343353964044</v>
      </c>
      <c r="V122" s="1">
        <f>IFERROR('Raw Data'!W122/Inv_SY!V$2,"")</f>
        <v>1.7340309295679941</v>
      </c>
      <c r="W122" s="1">
        <f>IFERROR('Raw Data'!X122/Inv_SY!W$2,"")</f>
        <v>1.8026516215227248</v>
      </c>
      <c r="X122" s="1">
        <f>IFERROR('Raw Data'!Y122/Inv_SY!X$2,"")</f>
        <v>1.7892324444782095</v>
      </c>
      <c r="Y122" s="1">
        <f t="shared" si="20"/>
        <v>1.7753049985229759</v>
      </c>
      <c r="Z122" s="1">
        <f>IFERROR(_xlfn.MAXIFS(V122:X122,Inv_SY[[#This Row],[Inv1]:[Inv3]],"&gt;"&amp;0),"")</f>
        <v>1.8026516215227248</v>
      </c>
      <c r="AA122" s="1">
        <f t="shared" si="21"/>
        <v>1.9777601369109055</v>
      </c>
      <c r="AB122" s="1">
        <f>IFERROR(_xlfn.MAXIFS(J122:U122,Inv_SY[[#This Row],[Inv 1 (630kw) unit 1]:[Inv 3 (630kw) unit 4]],"&gt;"&amp;0),"")</f>
        <v>4.3384649709950915</v>
      </c>
    </row>
    <row r="123" spans="1:28" x14ac:dyDescent="0.25">
      <c r="A123" s="230"/>
      <c r="B123" s="230"/>
      <c r="C123" s="230">
        <f>YEAR(Inv_SY[[#This Row],[Date]])</f>
        <v>2025</v>
      </c>
      <c r="D123" s="230"/>
      <c r="E123" s="230"/>
      <c r="F123" s="231" t="str">
        <f>TEXT(Inv_SY[[#This Row],[Date]],"mmm-yy")</f>
        <v>Jul-25</v>
      </c>
      <c r="G123" s="230">
        <f>DAY(EOMONTH(Inv_SY[[#This Row],[Month Year]],0))</f>
        <v>31</v>
      </c>
      <c r="H123" s="232">
        <f t="shared" si="19"/>
        <v>45864</v>
      </c>
      <c r="I123" s="233">
        <f>'Modelling New'!$AO$1</f>
        <v>7.0991999999999997</v>
      </c>
      <c r="J123" s="1">
        <f>IFERROR('Raw Data'!K123/Inv_SY!J$2,"")</f>
        <v>0.89823633156966476</v>
      </c>
      <c r="K123" s="1">
        <f>IFERROR('Raw Data'!L123/Inv_SY!K$2,"")</f>
        <v>0.74426807760141078</v>
      </c>
      <c r="L123" s="1">
        <f>IFERROR('Raw Data'!M123/Inv_SY!L$2,"")</f>
        <v>1.1776362349610756</v>
      </c>
      <c r="M123" s="1">
        <f>IFERROR('Raw Data'!N123/Inv_SY!M$2,"")</f>
        <v>0.89188712522045832</v>
      </c>
      <c r="N123" s="1">
        <f>IFERROR('Raw Data'!O123/Inv_SY!N$2,"")</f>
        <v>0.77210274790919964</v>
      </c>
      <c r="O123" s="1">
        <f>IFERROR('Raw Data'!P123/Inv_SY!O$2,"")</f>
        <v>0.90511463844797169</v>
      </c>
      <c r="P123" s="1">
        <f>IFERROR('Raw Data'!Q123/Inv_SY!P$2,"")</f>
        <v>0.98758753343551831</v>
      </c>
      <c r="Q123" s="1">
        <f>IFERROR('Raw Data'!R123/Inv_SY!Q$2,"")</f>
        <v>1.1630968317715304</v>
      </c>
      <c r="R123" s="1">
        <f>IFERROR('Raw Data'!S123/Inv_SY!R$2,"")</f>
        <v>0.98213647731332621</v>
      </c>
      <c r="S123" s="1">
        <f>IFERROR('Raw Data'!T123/Inv_SY!S$2,"")</f>
        <v>0.80437352245862881</v>
      </c>
      <c r="T123" s="1">
        <f>IFERROR('Raw Data'!U123/Inv_SY!T$2,"")</f>
        <v>1.2007310520984718</v>
      </c>
      <c r="U123" s="1">
        <f>IFERROR('Raw Data'!V123/Inv_SY!U$2,"")</f>
        <v>0.80459770114942541</v>
      </c>
      <c r="V123" s="1">
        <f>IFERROR('Raw Data'!W123/Inv_SY!V$2,"")</f>
        <v>0.91906202723146713</v>
      </c>
      <c r="W123" s="1">
        <f>IFERROR('Raw Data'!X123/Inv_SY!W$2,"")</f>
        <v>0.93976836605311731</v>
      </c>
      <c r="X123" s="1">
        <f>IFERROR('Raw Data'!Y123/Inv_SY!X$2,"")</f>
        <v>0.92240877206310634</v>
      </c>
      <c r="Y123" s="1">
        <f t="shared" si="20"/>
        <v>0.92707972178256359</v>
      </c>
      <c r="Z123" s="1">
        <f>IFERROR(_xlfn.MAXIFS(V123:X123,Inv_SY[[#This Row],[Inv1]:[Inv3]],"&gt;"&amp;0),"")</f>
        <v>0.93976836605311731</v>
      </c>
      <c r="AA123" s="1">
        <f t="shared" si="21"/>
        <v>0.94431402282805699</v>
      </c>
      <c r="AB123" s="1">
        <f>IFERROR(_xlfn.MAXIFS(J123:U123,Inv_SY[[#This Row],[Inv 1 (630kw) unit 1]:[Inv 3 (630kw) unit 4]],"&gt;"&amp;0),"")</f>
        <v>1.2007310520984718</v>
      </c>
    </row>
    <row r="124" spans="1:28" x14ac:dyDescent="0.25">
      <c r="A124" s="230"/>
      <c r="B124" s="230"/>
      <c r="C124" s="230">
        <f>YEAR(Inv_SY[[#This Row],[Date]])</f>
        <v>2025</v>
      </c>
      <c r="D124" s="230"/>
      <c r="E124" s="230"/>
      <c r="F124" s="231" t="str">
        <f>TEXT(Inv_SY[[#This Row],[Date]],"mmm-yy")</f>
        <v>Jul-25</v>
      </c>
      <c r="G124" s="230">
        <f>DAY(EOMONTH(Inv_SY[[#This Row],[Month Year]],0))</f>
        <v>31</v>
      </c>
      <c r="H124" s="232">
        <f t="shared" si="19"/>
        <v>45865</v>
      </c>
      <c r="I124" s="233">
        <f>'Modelling New'!$AO$1</f>
        <v>7.0991999999999997</v>
      </c>
      <c r="J124" s="1">
        <f>IFERROR('Raw Data'!K124/Inv_SY!J$2,"")</f>
        <v>3.134744268077601</v>
      </c>
      <c r="K124" s="1" t="str">
        <f>IFERROR('Raw Data'!L124/Inv_SY!K$2,"")</f>
        <v/>
      </c>
      <c r="L124" s="1">
        <f>IFERROR('Raw Data'!M124/Inv_SY!L$2,"")</f>
        <v>3.1127034677990091</v>
      </c>
      <c r="M124" s="1">
        <f>IFERROR('Raw Data'!N124/Inv_SY!M$2,"")</f>
        <v>3.1139329805996465</v>
      </c>
      <c r="N124" s="1">
        <f>IFERROR('Raw Data'!O124/Inv_SY!N$2,"")</f>
        <v>2.7459677419354844</v>
      </c>
      <c r="O124" s="1">
        <f>IFERROR('Raw Data'!P124/Inv_SY!O$2,"")</f>
        <v>3.3525573192239855</v>
      </c>
      <c r="P124" s="1">
        <f>IFERROR('Raw Data'!Q124/Inv_SY!P$2,"")</f>
        <v>2.7465212033781143</v>
      </c>
      <c r="Q124" s="1" t="str">
        <f>IFERROR('Raw Data'!R124/Inv_SY!Q$2,"")</f>
        <v/>
      </c>
      <c r="R124" s="1">
        <f>IFERROR('Raw Data'!S124/Inv_SY!R$2,"")</f>
        <v>3.269560557341908</v>
      </c>
      <c r="S124" s="1">
        <f>IFERROR('Raw Data'!T124/Inv_SY!S$2,"")</f>
        <v>2.7104018912529555</v>
      </c>
      <c r="T124" s="1">
        <f>IFERROR('Raw Data'!U124/Inv_SY!T$2,"")</f>
        <v>4.0240894878231384</v>
      </c>
      <c r="U124" s="1">
        <f>IFERROR('Raw Data'!V124/Inv_SY!U$2,"")</f>
        <v>2.6917182434423816</v>
      </c>
      <c r="V124" s="1">
        <f>IFERROR('Raw Data'!W124/Inv_SY!V$2,"")</f>
        <v>3.0021852412170102</v>
      </c>
      <c r="W124" s="1">
        <f>IFERROR('Raw Data'!X124/Inv_SY!W$2,"")</f>
        <v>3.1522469854399087</v>
      </c>
      <c r="X124" s="1">
        <f>IFERROR('Raw Data'!Y124/Inv_SY!X$2,"")</f>
        <v>3.0889614829446179</v>
      </c>
      <c r="Y124" s="1">
        <f t="shared" si="20"/>
        <v>3.0811312365338459</v>
      </c>
      <c r="Z124" s="1">
        <f>IFERROR(_xlfn.MAXIFS(V124:X124,Inv_SY[[#This Row],[Inv1]:[Inv3]],"&gt;"&amp;0),"")</f>
        <v>3.1522469854399087</v>
      </c>
      <c r="AA124" s="1">
        <f t="shared" si="21"/>
        <v>3.0902197160874225</v>
      </c>
      <c r="AB124" s="1">
        <f>IFERROR(_xlfn.MAXIFS(J124:U124,Inv_SY[[#This Row],[Inv 1 (630kw) unit 1]:[Inv 3 (630kw) unit 4]],"&gt;"&amp;0),"")</f>
        <v>4.0240894878231384</v>
      </c>
    </row>
    <row r="125" spans="1:28" x14ac:dyDescent="0.25">
      <c r="A125" s="230"/>
      <c r="B125" s="230"/>
      <c r="C125" s="230">
        <f>YEAR(Inv_SY[[#This Row],[Date]])</f>
        <v>2025</v>
      </c>
      <c r="D125" s="230"/>
      <c r="E125" s="230"/>
      <c r="F125" s="231" t="str">
        <f>TEXT(Inv_SY[[#This Row],[Date]],"mmm-yy")</f>
        <v>Jul-25</v>
      </c>
      <c r="G125" s="230">
        <f>DAY(EOMONTH(Inv_SY[[#This Row],[Month Year]],0))</f>
        <v>31</v>
      </c>
      <c r="H125" s="232">
        <f t="shared" si="19"/>
        <v>45866</v>
      </c>
      <c r="I125" s="233">
        <f>'Modelling New'!$AO$1</f>
        <v>7.0991999999999997</v>
      </c>
      <c r="J125" s="1">
        <f>IFERROR('Raw Data'!K125/Inv_SY!J$2,"")</f>
        <v>4.0694885361552018</v>
      </c>
      <c r="K125" s="1">
        <f>IFERROR('Raw Data'!L125/Inv_SY!K$2,"")</f>
        <v>3.371399176954732</v>
      </c>
      <c r="L125" s="1">
        <f>IFERROR('Raw Data'!M125/Inv_SY!L$2,"")</f>
        <v>4.0451167728237793</v>
      </c>
      <c r="M125" s="1">
        <f>IFERROR('Raw Data'!N125/Inv_SY!M$2,"")</f>
        <v>4.159435626102292</v>
      </c>
      <c r="N125" s="1">
        <f>IFERROR('Raw Data'!O125/Inv_SY!N$2,"")</f>
        <v>3.4347371565113507</v>
      </c>
      <c r="O125" s="1">
        <f>IFERROR('Raw Data'!P125/Inv_SY!O$2,"")</f>
        <v>4.0310405643738969</v>
      </c>
      <c r="P125" s="1">
        <f>IFERROR('Raw Data'!Q125/Inv_SY!P$2,"")</f>
        <v>3.5377032428695934</v>
      </c>
      <c r="Q125" s="1">
        <f>IFERROR('Raw Data'!R125/Inv_SY!Q$2,"")</f>
        <v>5.1381079875055784</v>
      </c>
      <c r="R125" s="1">
        <f>IFERROR('Raw Data'!S125/Inv_SY!R$2,"")</f>
        <v>4.137191854233655</v>
      </c>
      <c r="S125" s="1">
        <f>IFERROR('Raw Data'!T125/Inv_SY!S$2,"")</f>
        <v>3.4323286052009458</v>
      </c>
      <c r="T125" s="1">
        <f>IFERROR('Raw Data'!U125/Inv_SY!T$2,"")</f>
        <v>5.0929228872153969</v>
      </c>
      <c r="U125" s="1">
        <f>IFERROR('Raw Data'!V125/Inv_SY!U$2,"")</f>
        <v>3.4065723548482172</v>
      </c>
      <c r="V125" s="1">
        <f>IFERROR('Raw Data'!W125/Inv_SY!V$2,"")</f>
        <v>3.8855269793242551</v>
      </c>
      <c r="W125" s="1">
        <f>IFERROR('Raw Data'!X125/Inv_SY!W$2,"")</f>
        <v>3.9325861819543366</v>
      </c>
      <c r="X125" s="1">
        <f>IFERROR('Raw Data'!Y125/Inv_SY!X$2,"")</f>
        <v>3.909780782834039</v>
      </c>
      <c r="Y125" s="1">
        <f t="shared" si="20"/>
        <v>3.9092979813708766</v>
      </c>
      <c r="Z125" s="1">
        <f>IFERROR(_xlfn.MAXIFS(V125:X125,Inv_SY[[#This Row],[Inv1]:[Inv3]],"&gt;"&amp;0),"")</f>
        <v>3.9325861819543366</v>
      </c>
      <c r="AA125" s="1">
        <f t="shared" si="21"/>
        <v>3.9880037303995528</v>
      </c>
      <c r="AB125" s="1">
        <f>IFERROR(_xlfn.MAXIFS(J125:U125,Inv_SY[[#This Row],[Inv 1 (630kw) unit 1]:[Inv 3 (630kw) unit 4]],"&gt;"&amp;0),"")</f>
        <v>5.1381079875055784</v>
      </c>
    </row>
    <row r="126" spans="1:28" x14ac:dyDescent="0.25">
      <c r="A126" s="230"/>
      <c r="B126" s="230"/>
      <c r="C126" s="230">
        <f>YEAR(Inv_SY[[#This Row],[Date]])</f>
        <v>2025</v>
      </c>
      <c r="D126" s="230"/>
      <c r="E126" s="230"/>
      <c r="F126" s="231" t="str">
        <f>TEXT(Inv_SY[[#This Row],[Date]],"mmm-yy")</f>
        <v>Jul-25</v>
      </c>
      <c r="G126" s="230">
        <f>DAY(EOMONTH(Inv_SY[[#This Row],[Month Year]],0))</f>
        <v>31</v>
      </c>
      <c r="H126" s="232">
        <f t="shared" si="19"/>
        <v>45867</v>
      </c>
      <c r="I126" s="233">
        <f>'Modelling New'!$AO$1</f>
        <v>7.0991999999999997</v>
      </c>
      <c r="J126" s="1">
        <f>IFERROR('Raw Data'!K126/Inv_SY!J$2,"")</f>
        <v>0</v>
      </c>
      <c r="K126" s="1">
        <f>IFERROR('Raw Data'!L126/Inv_SY!K$2,"")</f>
        <v>0</v>
      </c>
      <c r="L126" s="1">
        <f>IFERROR('Raw Data'!M126/Inv_SY!L$2,"")</f>
        <v>0</v>
      </c>
      <c r="M126" s="1">
        <f>IFERROR('Raw Data'!N126/Inv_SY!M$2,"")</f>
        <v>0</v>
      </c>
      <c r="N126" s="1">
        <f>IFERROR('Raw Data'!O126/Inv_SY!N$2,"")</f>
        <v>0</v>
      </c>
      <c r="O126" s="1">
        <f>IFERROR('Raw Data'!P126/Inv_SY!O$2,"")</f>
        <v>0</v>
      </c>
      <c r="P126" s="1">
        <f>IFERROR('Raw Data'!Q126/Inv_SY!P$2,"")</f>
        <v>0</v>
      </c>
      <c r="Q126" s="1">
        <f>IFERROR('Raw Data'!R126/Inv_SY!Q$2,"")</f>
        <v>0</v>
      </c>
      <c r="R126" s="1">
        <f>IFERROR('Raw Data'!S126/Inv_SY!R$2,"")</f>
        <v>0</v>
      </c>
      <c r="S126" s="1">
        <f>IFERROR('Raw Data'!T126/Inv_SY!S$2,"")</f>
        <v>0</v>
      </c>
      <c r="T126" s="1">
        <f>IFERROR('Raw Data'!U126/Inv_SY!T$2,"")</f>
        <v>0</v>
      </c>
      <c r="U126" s="1">
        <f>IFERROR('Raw Data'!V126/Inv_SY!U$2,"")</f>
        <v>0</v>
      </c>
      <c r="V126" s="1">
        <f>IFERROR('Raw Data'!W126/Inv_SY!V$2,"")</f>
        <v>0</v>
      </c>
      <c r="W126" s="1">
        <f>IFERROR('Raw Data'!X126/Inv_SY!W$2,"")</f>
        <v>0</v>
      </c>
      <c r="X126" s="1">
        <f>IFERROR('Raw Data'!Y126/Inv_SY!X$2,"")</f>
        <v>0</v>
      </c>
      <c r="Y126" s="1" t="str">
        <f t="shared" si="20"/>
        <v/>
      </c>
      <c r="Z126" s="1">
        <f>IFERROR(_xlfn.MAXIFS(V126:X126,Inv_SY[[#This Row],[Inv1]:[Inv3]],"&gt;"&amp;0),"")</f>
        <v>0</v>
      </c>
      <c r="AA126" s="1" t="str">
        <f t="shared" si="21"/>
        <v/>
      </c>
      <c r="AB126" s="1">
        <f>IFERROR(_xlfn.MAXIFS(J126:U126,Inv_SY[[#This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118" activePane="bottomRight" state="frozen"/>
      <selection pane="topRight" activeCell="AB39" sqref="AB39"/>
      <selection pane="bottomLeft" activeCell="AB39" sqref="AB39"/>
      <selection pane="bottomRight" activeCell="AC138" sqref="AC138"/>
    </sheetView>
  </sheetViews>
  <sheetFormatPr defaultColWidth="8.7109375" defaultRowHeight="15" x14ac:dyDescent="0.25"/>
  <cols>
    <col min="1" max="1" width="10.140625" style="117" bestFit="1" customWidth="1"/>
    <col min="2" max="5" width="9" style="117" customWidth="1"/>
    <col min="6" max="9" width="10.28515625" style="117" customWidth="1"/>
    <col min="10" max="12" width="11.28515625" style="117" customWidth="1"/>
    <col min="13" max="13" width="15.140625" style="117" bestFit="1" customWidth="1"/>
    <col min="14" max="39" width="11.28515625" style="117" customWidth="1"/>
    <col min="40" max="40" width="11.28515625" style="211" customWidth="1"/>
    <col min="41" max="43" width="11.28515625" style="117" customWidth="1"/>
    <col min="44" max="44" width="8.7109375" style="118"/>
    <col min="45" max="16384" width="8.7109375" style="117"/>
  </cols>
  <sheetData>
    <row r="1" spans="1:45" ht="60" x14ac:dyDescent="0.25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25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25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25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25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25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25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25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25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25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25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25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25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25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25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25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25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25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25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25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25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25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25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25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25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25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25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25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25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25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25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25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25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25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25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25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25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25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25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25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25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25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25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25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25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25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25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25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25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25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25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25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25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25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25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25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25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25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25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25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25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25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25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25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25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25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25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25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25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25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25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25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25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25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25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25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25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25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25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25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25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25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25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25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25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25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25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25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25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25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25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25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25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25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25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25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0.95244543322837716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25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25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25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25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25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25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25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25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25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25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25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25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25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25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25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25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25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25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25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13.216666666666665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4.63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42.28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>
        <f>IFERROR(1-SUMIF('Plant BD'!$F:$F,$A115,'Plant BD'!AE:AE)/($AA115+SUMIF('Plant BD'!$F:$F,$A115,'Plant BD'!AE:AE)),"")</f>
        <v>1</v>
      </c>
      <c r="P115" s="122"/>
      <c r="Q115" s="121"/>
      <c r="R115" s="122">
        <f>IFERROR(1-SUMIF('Grid BD'!$H:$H,$A115,'Grid BD'!$AD:$AD)/($AA115+SUMIF('Grid BD'!$H:$H,$A115,'Plant BD'!$AE:$AE)),"")</f>
        <v>1</v>
      </c>
      <c r="T115" s="121"/>
      <c r="U115" s="120">
        <f t="shared" si="5"/>
        <v>0.79405412272898301</v>
      </c>
      <c r="V115" s="120"/>
      <c r="W115" s="115">
        <f t="shared" si="8"/>
        <v>0.15318627450979963</v>
      </c>
      <c r="X115" s="118">
        <f>IFERROR(_xlfn.XLOOKUP($A115,'Raw Data'!$G:$G,'Raw Data'!AI:AI),"")</f>
        <v>26614.199999999997</v>
      </c>
      <c r="Y115" s="118">
        <f>IFERROR(_xlfn.XLOOKUP($A115,'Raw Data'!$G:$G,'Raw Data'!AJ:AJ),"")</f>
        <v>26299.999999999272</v>
      </c>
      <c r="Z115" s="118">
        <f>IFERROR(_xlfn.XLOOKUP($A115,'Raw Data'!$G:$G,'Raw Data'!AK:AK),"")</f>
        <v>200.00000000000284</v>
      </c>
      <c r="AA115" s="118">
        <f>IFERROR(_xlfn.XLOOKUP($A115,'Raw Data'!$G:$G,'Raw Data'!AL:AL),"")</f>
        <v>26099.999999999269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25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13.033333333333335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3.56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38.99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>
        <f>IFERROR(1-SUMIF('Plant BD'!$F:$F,$A116,'Plant BD'!AE:AE)/($AA116+SUMIF('Plant BD'!$F:$F,$A116,'Plant BD'!AE:AE)),"")</f>
        <v>1</v>
      </c>
      <c r="P116" s="122"/>
      <c r="Q116" s="121"/>
      <c r="R116" s="122">
        <f>IFERROR(1-SUMIF('Grid BD'!$H:$H,$A116,'Grid BD'!$AD:$AD)/($AA116+SUMIF('Grid BD'!$H:$H,$A116,'Plant BD'!$AE:$AE)),"")</f>
        <v>1</v>
      </c>
      <c r="T116" s="121"/>
      <c r="U116" s="120">
        <f t="shared" si="5"/>
        <v>0.80718067932327398</v>
      </c>
      <c r="V116" s="120"/>
      <c r="W116" s="115">
        <f t="shared" si="8"/>
        <v>0.11973180076628565</v>
      </c>
      <c r="X116" s="118">
        <f>IFERROR(_xlfn.XLOOKUP($A116,'Raw Data'!$G:$G,'Raw Data'!AI:AI),"")</f>
        <v>20674.900000000001</v>
      </c>
      <c r="Y116" s="118">
        <f>IFERROR(_xlfn.XLOOKUP($A116,'Raw Data'!$G:$G,'Raw Data'!AJ:AJ),"")</f>
        <v>20600.000000000364</v>
      </c>
      <c r="Z116" s="118">
        <f>IFERROR(_xlfn.XLOOKUP($A116,'Raw Data'!$G:$G,'Raw Data'!AK:AK),"")</f>
        <v>200.00000000000284</v>
      </c>
      <c r="AA116" s="118">
        <f>IFERROR(_xlfn.XLOOKUP($A116,'Raw Data'!$G:$G,'Raw Data'!AL:AL),"")</f>
        <v>20400.00000000036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25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13.283333333333331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4.5599999999999996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41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>
        <f>IFERROR(1-SUMIF('Plant BD'!$F:$F,$A117,'Plant BD'!AE:AE)/($AA117+SUMIF('Plant BD'!$F:$F,$A117,'Plant BD'!AE:AE)),"")</f>
        <v>1</v>
      </c>
      <c r="P117" s="122"/>
      <c r="Q117" s="121"/>
      <c r="R117" s="122">
        <f>IFERROR(1-SUMIF('Grid BD'!$H:$H,$A117,'Grid BD'!$AD:$AD)/($AA117+SUMIF('Grid BD'!$H:$H,$A117,'Plant BD'!$AE:$AE)),"")</f>
        <v>1</v>
      </c>
      <c r="T117" s="121"/>
      <c r="U117" s="120">
        <f t="shared" ref="U117:U180" si="9">IFERROR(AA117/I117/AB117/1000,"")</f>
        <v>0.77844204832567143</v>
      </c>
      <c r="V117" s="120"/>
      <c r="W117" s="115">
        <f t="shared" si="8"/>
        <v>0.14790398918187755</v>
      </c>
      <c r="X117" s="118">
        <f>IFERROR(_xlfn.XLOOKUP($A117,'Raw Data'!$G:$G,'Raw Data'!AI:AI),"")</f>
        <v>25559.1</v>
      </c>
      <c r="Y117" s="118">
        <f>IFERROR(_xlfn.XLOOKUP($A117,'Raw Data'!$G:$G,'Raw Data'!AJ:AJ),"")</f>
        <v>25399.999999999636</v>
      </c>
      <c r="Z117" s="118">
        <f>IFERROR(_xlfn.XLOOKUP($A117,'Raw Data'!$G:$G,'Raw Data'!AK:AK),"")</f>
        <v>199.99999999999574</v>
      </c>
      <c r="AA117" s="118">
        <f>IFERROR(_xlfn.XLOOKUP($A117,'Raw Data'!$G:$G,'Raw Data'!AL:AL),"")</f>
        <v>25199.99999999964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25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12.866666666666667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1.82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32.479999999999997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>
        <f>IFERROR(1-SUMIF('Plant BD'!$F:$F,$A118,'Plant BD'!AE:AE)/($AA118+SUMIF('Plant BD'!$F:$F,$A118,'Plant BD'!AE:AE)),"")</f>
        <v>1</v>
      </c>
      <c r="P118" s="122"/>
      <c r="Q118" s="121"/>
      <c r="R118" s="122">
        <f>IFERROR(1-SUMIF('Grid BD'!$H:$H,$A118,'Grid BD'!$AD:$AD)/($AA118+SUMIF('Grid BD'!$H:$H,$A118,'Plant BD'!$AE:$AE)),"")</f>
        <v>1</v>
      </c>
      <c r="T118" s="121"/>
      <c r="U118" s="120">
        <f t="shared" si="9"/>
        <v>0.82813850562333458</v>
      </c>
      <c r="V118" s="120"/>
      <c r="W118" s="115">
        <f t="shared" si="8"/>
        <v>6.2800503343102873E-2</v>
      </c>
      <c r="X118" s="118">
        <f>IFERROR(_xlfn.XLOOKUP($A118,'Raw Data'!$G:$G,'Raw Data'!AI:AI),"")</f>
        <v>11090.4</v>
      </c>
      <c r="Y118" s="118">
        <f>IFERROR(_xlfn.XLOOKUP($A118,'Raw Data'!$G:$G,'Raw Data'!AJ:AJ),"")</f>
        <v>10900.000000000546</v>
      </c>
      <c r="Z118" s="118">
        <f>IFERROR(_xlfn.XLOOKUP($A118,'Raw Data'!$G:$G,'Raw Data'!AK:AK),"")</f>
        <v>200.00000000000284</v>
      </c>
      <c r="AA118" s="118">
        <f>IFERROR(_xlfn.XLOOKUP($A118,'Raw Data'!$G:$G,'Raw Data'!AL:AL),"")</f>
        <v>10700.000000000542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25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13.033333333333335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1.68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29.95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>
        <f>IFERROR(1-SUMIF('Plant BD'!$F:$F,$A119,'Plant BD'!AE:AE)/($AA119+SUMIF('Plant BD'!$F:$F,$A119,'Plant BD'!AE:AE)),"")</f>
        <v>1</v>
      </c>
      <c r="P119" s="122"/>
      <c r="Q119" s="121"/>
      <c r="R119" s="122">
        <f>IFERROR(1-SUMIF('Grid BD'!$H:$H,$A119,'Grid BD'!$AD:$AD)/($AA119+SUMIF('Grid BD'!$H:$H,$A119,'Plant BD'!$AE:$AE)),"")</f>
        <v>1</v>
      </c>
      <c r="T119" s="121"/>
      <c r="U119" s="120">
        <f t="shared" si="9"/>
        <v>0.79653508913145366</v>
      </c>
      <c r="V119" s="120"/>
      <c r="W119" s="115">
        <f t="shared" si="8"/>
        <v>5.5757456239201753E-2</v>
      </c>
      <c r="X119" s="118">
        <f>IFERROR(_xlfn.XLOOKUP($A119,'Raw Data'!$G:$G,'Raw Data'!AI:AI),"")</f>
        <v>9822.4</v>
      </c>
      <c r="Y119" s="118">
        <f>IFERROR(_xlfn.XLOOKUP($A119,'Raw Data'!$G:$G,'Raw Data'!AJ:AJ),"")</f>
        <v>9800.0000000001819</v>
      </c>
      <c r="Z119" s="118">
        <f>IFERROR(_xlfn.XLOOKUP($A119,'Raw Data'!$G:$G,'Raw Data'!AK:AK),"")</f>
        <v>299.99999999999716</v>
      </c>
      <c r="AA119" s="118">
        <f>IFERROR(_xlfn.XLOOKUP($A119,'Raw Data'!$G:$G,'Raw Data'!AL:AL),"")</f>
        <v>9500.0000000001855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25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12.833333333333336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2.06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31.81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>
        <f>IFERROR(1-SUMIF('Plant BD'!$F:$F,$A120,'Plant BD'!AE:AE)/($AA120+SUMIF('Plant BD'!$F:$F,$A120,'Plant BD'!AE:AE)),"")</f>
        <v>1</v>
      </c>
      <c r="P120" s="122"/>
      <c r="Q120" s="121"/>
      <c r="R120" s="122">
        <f>IFERROR(1-SUMIF('Grid BD'!$H:$H,$A120,'Grid BD'!$AD:$AD)/($AA120+SUMIF('Grid BD'!$H:$H,$A120,'Plant BD'!$AE:$AE)),"")</f>
        <v>0.99578582394650361</v>
      </c>
      <c r="T120" s="121"/>
      <c r="U120" s="120">
        <f t="shared" si="9"/>
        <v>0.84106290658211702</v>
      </c>
      <c r="V120" s="120"/>
      <c r="W120" s="115">
        <f t="shared" si="8"/>
        <v>7.2191232814965048E-2</v>
      </c>
      <c r="X120" s="118">
        <f>IFERROR(_xlfn.XLOOKUP($A120,'Raw Data'!$G:$G,'Raw Data'!AI:AI),"")</f>
        <v>12602.3</v>
      </c>
      <c r="Y120" s="118">
        <f>IFERROR(_xlfn.XLOOKUP($A120,'Raw Data'!$G:$G,'Raw Data'!AJ:AJ),"")</f>
        <v>12500</v>
      </c>
      <c r="Z120" s="118">
        <f>IFERROR(_xlfn.XLOOKUP($A120,'Raw Data'!$G:$G,'Raw Data'!AK:AK),"")</f>
        <v>200.00000000000284</v>
      </c>
      <c r="AA120" s="118">
        <f>IFERROR(_xlfn.XLOOKUP($A120,'Raw Data'!$G:$G,'Raw Data'!AL:AL),"")</f>
        <v>12299.999999999996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25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12.900000000000002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1.06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30.23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>
        <f>IFERROR(1-SUMIF('Plant BD'!$F:$F,$A121,'Plant BD'!AE:AE)/($AA121+SUMIF('Plant BD'!$F:$F,$A121,'Plant BD'!AE:AE)),"")</f>
        <v>1</v>
      </c>
      <c r="P121" s="122"/>
      <c r="Q121" s="121"/>
      <c r="R121" s="122">
        <f>IFERROR(1-SUMIF('Grid BD'!$H:$H,$A121,'Grid BD'!$AD:$AD)/($AA121+SUMIF('Grid BD'!$H:$H,$A121,'Plant BD'!$AE:$AE)),"")</f>
        <v>1</v>
      </c>
      <c r="T121" s="121"/>
      <c r="U121" s="120">
        <f t="shared" si="9"/>
        <v>0.83719239159554582</v>
      </c>
      <c r="V121" s="120"/>
      <c r="W121" s="115">
        <f t="shared" si="8"/>
        <v>3.6975997295469944E-2</v>
      </c>
      <c r="X121" s="118">
        <f>IFERROR(_xlfn.XLOOKUP($A121,'Raw Data'!$G:$G,'Raw Data'!AI:AI),"")</f>
        <v>6581.2</v>
      </c>
      <c r="Y121" s="118">
        <f>IFERROR(_xlfn.XLOOKUP($A121,'Raw Data'!$G:$G,'Raw Data'!AJ:AJ),"")</f>
        <v>6500</v>
      </c>
      <c r="Z121" s="118">
        <f>IFERROR(_xlfn.XLOOKUP($A121,'Raw Data'!$G:$G,'Raw Data'!AK:AK),"")</f>
        <v>199.99999999999574</v>
      </c>
      <c r="AA121" s="118">
        <f>IFERROR(_xlfn.XLOOKUP($A121,'Raw Data'!$G:$G,'Raw Data'!AL:AL),"")</f>
        <v>6300.0000000000045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25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12.883333333333333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4.91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40.340000000000003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>
        <f>IFERROR(1-SUMIF('Plant BD'!$F:$F,$A122,'Plant BD'!AE:AE)/($AA122+SUMIF('Plant BD'!$F:$F,$A122,'Plant BD'!AE:AE)),"")</f>
        <v>1</v>
      </c>
      <c r="P122" s="122"/>
      <c r="Q122" s="121"/>
      <c r="R122" s="122">
        <f>IFERROR(1-SUMIF('Grid BD'!$H:$H,$A122,'Grid BD'!$AD:$AD)/($AA122+SUMIF('Grid BD'!$H:$H,$A122,'Plant BD'!$AE:$AE)),"")</f>
        <v>0.81974970864667229</v>
      </c>
      <c r="T122" s="121"/>
      <c r="U122" s="120">
        <f t="shared" si="9"/>
        <v>0.619673390811462</v>
      </c>
      <c r="V122" s="120"/>
      <c r="W122" s="115">
        <f t="shared" si="8"/>
        <v>0.12677484787017826</v>
      </c>
      <c r="X122" s="118">
        <f>IFERROR(_xlfn.XLOOKUP($A122,'Raw Data'!$G:$G,'Raw Data'!AI:AI),"")</f>
        <v>21871.4</v>
      </c>
      <c r="Y122" s="118">
        <f>IFERROR(_xlfn.XLOOKUP($A122,'Raw Data'!$G:$G,'Raw Data'!AJ:AJ),"")</f>
        <v>21799.999999999272</v>
      </c>
      <c r="Z122" s="118">
        <f>IFERROR(_xlfn.XLOOKUP($A122,'Raw Data'!$G:$G,'Raw Data'!AK:AK),"")</f>
        <v>200.00000000000284</v>
      </c>
      <c r="AA122" s="118">
        <f>IFERROR(_xlfn.XLOOKUP($A122,'Raw Data'!$G:$G,'Raw Data'!AL:AL),"")</f>
        <v>21599.999999999269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25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13.166666666666664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4.9800000000000004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39.79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>
        <f>IFERROR(1-SUMIF('Plant BD'!$F:$F,$A123,'Plant BD'!AE:AE)/($AA123+SUMIF('Plant BD'!$F:$F,$A123,'Plant BD'!AE:AE)),"")</f>
        <v>1</v>
      </c>
      <c r="P123" s="122"/>
      <c r="Q123" s="121"/>
      <c r="R123" s="122">
        <f>IFERROR(1-SUMIF('Grid BD'!$H:$H,$A123,'Grid BD'!$AD:$AD)/($AA123+SUMIF('Grid BD'!$H:$H,$A123,'Plant BD'!$AE:$AE)),"")</f>
        <v>1</v>
      </c>
      <c r="T123" s="121"/>
      <c r="U123" s="120">
        <f t="shared" si="9"/>
        <v>0.77218950175279577</v>
      </c>
      <c r="V123" s="120"/>
      <c r="W123" s="115">
        <f t="shared" si="8"/>
        <v>0.16022932161370512</v>
      </c>
      <c r="X123" s="118">
        <f>IFERROR(_xlfn.XLOOKUP($A123,'Raw Data'!$G:$G,'Raw Data'!AI:AI),"")</f>
        <v>27752.199999999997</v>
      </c>
      <c r="Y123" s="118">
        <f>IFERROR(_xlfn.XLOOKUP($A123,'Raw Data'!$G:$G,'Raw Data'!AJ:AJ),"")</f>
        <v>27600.000000000364</v>
      </c>
      <c r="Z123" s="118">
        <f>IFERROR(_xlfn.XLOOKUP($A123,'Raw Data'!$G:$G,'Raw Data'!AK:AK),"")</f>
        <v>299.99999999999716</v>
      </c>
      <c r="AA123" s="118">
        <f>IFERROR(_xlfn.XLOOKUP($A123,'Raw Data'!$G:$G,'Raw Data'!AL:AL),"")</f>
        <v>27300.000000000367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25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0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0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0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 t="str">
        <f>IFERROR(1-SUMIF('Plant BD'!$F:$F,$A124,'Plant BD'!AE:AE)/($AA124+SUMIF('Plant BD'!$F:$F,$A124,'Plant BD'!AE:AE)),"")</f>
        <v/>
      </c>
      <c r="P124" s="122"/>
      <c r="Q124" s="121"/>
      <c r="R124" s="122" t="str">
        <f>IFERROR(1-SUMIF('Grid BD'!$H:$H,$A124,'Grid BD'!$AD:$AD)/($AA124+SUMIF('Grid BD'!$H:$H,$A124,'Plant BD'!$AE:$AE)),"")</f>
        <v/>
      </c>
      <c r="T124" s="121"/>
      <c r="U124" s="120" t="str">
        <f t="shared" si="9"/>
        <v/>
      </c>
      <c r="V124" s="120"/>
      <c r="W124" s="115">
        <f t="shared" si="8"/>
        <v>0</v>
      </c>
      <c r="X124" s="118">
        <f>IFERROR(_xlfn.XLOOKUP($A124,'Raw Data'!$G:$G,'Raw Data'!AI:AI),"")</f>
        <v>0</v>
      </c>
      <c r="Y124" s="118">
        <f>IFERROR(_xlfn.XLOOKUP($A124,'Raw Data'!$G:$G,'Raw Data'!AJ:AJ),"")</f>
        <v>0</v>
      </c>
      <c r="Z124" s="118">
        <f>IFERROR(_xlfn.XLOOKUP($A124,'Raw Data'!$G:$G,'Raw Data'!AK:AK),"")</f>
        <v>0</v>
      </c>
      <c r="AA124" s="118">
        <f>IFERROR(_xlfn.XLOOKUP($A124,'Raw Data'!$G:$G,'Raw Data'!AL:AL),"")</f>
        <v>0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25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0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0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0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 t="str">
        <f>IFERROR(1-SUMIF('Plant BD'!$F:$F,$A125,'Plant BD'!AE:AE)/($AA125+SUMIF('Plant BD'!$F:$F,$A125,'Plant BD'!AE:AE)),"")</f>
        <v/>
      </c>
      <c r="P125" s="122"/>
      <c r="Q125" s="121"/>
      <c r="R125" s="122" t="str">
        <f>IFERROR(1-SUMIF('Grid BD'!$H:$H,$A125,'Grid BD'!$AD:$AD)/($AA125+SUMIF('Grid BD'!$H:$H,$A125,'Plant BD'!$AE:$AE)),"")</f>
        <v/>
      </c>
      <c r="T125" s="121"/>
      <c r="U125" s="120" t="str">
        <f t="shared" si="9"/>
        <v/>
      </c>
      <c r="V125" s="120"/>
      <c r="W125" s="115">
        <f t="shared" si="8"/>
        <v>0</v>
      </c>
      <c r="X125" s="118">
        <f>IFERROR(_xlfn.XLOOKUP($A125,'Raw Data'!$G:$G,'Raw Data'!AI:AI),"")</f>
        <v>0</v>
      </c>
      <c r="Y125" s="118">
        <f>IFERROR(_xlfn.XLOOKUP($A125,'Raw Data'!$G:$G,'Raw Data'!AJ:AJ),"")</f>
        <v>0</v>
      </c>
      <c r="Z125" s="118">
        <f>IFERROR(_xlfn.XLOOKUP($A125,'Raw Data'!$G:$G,'Raw Data'!AK:AK),"")</f>
        <v>0</v>
      </c>
      <c r="AA125" s="118">
        <f>IFERROR(_xlfn.XLOOKUP($A125,'Raw Data'!$G:$G,'Raw Data'!AL:AL),"")</f>
        <v>0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25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0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0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0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 t="str">
        <f>IFERROR(1-SUMIF('Plant BD'!$F:$F,$A126,'Plant BD'!AE:AE)/($AA126+SUMIF('Plant BD'!$F:$F,$A126,'Plant BD'!AE:AE)),"")</f>
        <v/>
      </c>
      <c r="P126" s="122"/>
      <c r="Q126" s="121"/>
      <c r="R126" s="122" t="str">
        <f>IFERROR(1-SUMIF('Grid BD'!$H:$H,$A126,'Grid BD'!$AD:$AD)/($AA126+SUMIF('Grid BD'!$H:$H,$A126,'Plant BD'!$AE:$AE)),"")</f>
        <v/>
      </c>
      <c r="T126" s="121"/>
      <c r="U126" s="120" t="str">
        <f t="shared" si="9"/>
        <v/>
      </c>
      <c r="V126" s="120"/>
      <c r="W126" s="115">
        <f t="shared" si="8"/>
        <v>0</v>
      </c>
      <c r="X126" s="118">
        <f>IFERROR(_xlfn.XLOOKUP($A126,'Raw Data'!$G:$G,'Raw Data'!AI:AI),"")</f>
        <v>0</v>
      </c>
      <c r="Y126" s="118">
        <f>IFERROR(_xlfn.XLOOKUP($A126,'Raw Data'!$G:$G,'Raw Data'!AJ:AJ),"")</f>
        <v>0</v>
      </c>
      <c r="Z126" s="118">
        <f>IFERROR(_xlfn.XLOOKUP($A126,'Raw Data'!$G:$G,'Raw Data'!AK:AK),"")</f>
        <v>0</v>
      </c>
      <c r="AA126" s="118">
        <f>IFERROR(_xlfn.XLOOKUP($A126,'Raw Data'!$G:$G,'Raw Data'!AL:AL),"")</f>
        <v>0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25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25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25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25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25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25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25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25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25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25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25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25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25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25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25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25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25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25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25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25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25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25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25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25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25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25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25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25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25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25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25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25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25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25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25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25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25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25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25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25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25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25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25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25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25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25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25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25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25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25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25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25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25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25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25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25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25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25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25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25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25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25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25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25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25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25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25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25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25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25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25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25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25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25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25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25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25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25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25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25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25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25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25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25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25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25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25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25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25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25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25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25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25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25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25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25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25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25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25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25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25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25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25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25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25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25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25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25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25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25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25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25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25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25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25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25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25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25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25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25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25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25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25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25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25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25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25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25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25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25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25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25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25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25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25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25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25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25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25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25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25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25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25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25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25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25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25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25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25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25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25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25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25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25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25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25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25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25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25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25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25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25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25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25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25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25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25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25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25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25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25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25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25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25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25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25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25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25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25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25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25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25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25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25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25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25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25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25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25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25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25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25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25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25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25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25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25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25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25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25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25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25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25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25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25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25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25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25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25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25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25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25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25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25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25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25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25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25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25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25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25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25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25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25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25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25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25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25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25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25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25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25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25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25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25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25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25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25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25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25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25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25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25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AC109" activePane="bottomRight" state="frozen"/>
      <selection pane="topRight" activeCell="H1" sqref="H1"/>
      <selection pane="bottomLeft" activeCell="A4" sqref="A4"/>
      <selection pane="bottomRight" activeCell="AH124" sqref="AH124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4" customWidth="1"/>
    <col min="7" max="7" width="12" style="45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1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25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25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25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25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25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25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25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25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25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25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25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25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25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25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25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25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25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25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25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25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25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25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25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25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25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25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25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25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25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25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25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25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25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25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25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25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25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25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25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25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25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25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25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25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25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25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25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25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25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25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25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25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25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25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25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25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25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25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25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25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25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25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25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25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25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25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25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25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25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25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25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25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25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25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25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25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25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25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25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25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25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25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25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25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25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25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25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25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25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25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25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25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25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25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25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25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25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25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25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25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25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25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25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25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25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25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25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25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25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25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25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25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25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25">
      <c r="A117" s="164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25">
      <c r="A118" s="164">
        <f>YEAR(Raw_Data[[#This Row],[Date]])+IF(MONTH(Raw_Data[[#This Row],[Date]])&gt;=4,1,0)</f>
        <v>2026</v>
      </c>
      <c r="B118" s="42">
        <v>2025</v>
      </c>
      <c r="C118" s="81" t="s">
        <v>4</v>
      </c>
      <c r="D118" s="81" t="s">
        <v>4</v>
      </c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>
        <v>0.23472222222222222</v>
      </c>
      <c r="J118" s="41">
        <v>0.77777777777777779</v>
      </c>
      <c r="K118" s="80">
        <v>1702.8</v>
      </c>
      <c r="L118" s="80">
        <v>1692.9</v>
      </c>
      <c r="M118" s="80">
        <v>1684.5</v>
      </c>
      <c r="N118" s="80">
        <v>1780.3</v>
      </c>
      <c r="O118" s="80">
        <v>1709.3</v>
      </c>
      <c r="P118" s="80">
        <v>1789.2</v>
      </c>
      <c r="Q118" s="80">
        <v>1698.7</v>
      </c>
      <c r="R118" s="80">
        <v>1712.9</v>
      </c>
      <c r="S118" s="80">
        <v>1728.2</v>
      </c>
      <c r="T118" s="80">
        <v>1730.3</v>
      </c>
      <c r="U118" s="80">
        <v>1723.3</v>
      </c>
      <c r="V118" s="80">
        <v>1722.5</v>
      </c>
      <c r="W118" s="80">
        <v>6860.5</v>
      </c>
      <c r="X118" s="80">
        <v>6910.1</v>
      </c>
      <c r="Y118" s="80">
        <v>6904.3</v>
      </c>
      <c r="Z118" s="81">
        <v>5025.5</v>
      </c>
      <c r="AA118" s="81">
        <v>36.700000000000003</v>
      </c>
      <c r="AB118" s="81"/>
      <c r="AC118" s="81">
        <v>3.56</v>
      </c>
      <c r="AD118" s="81">
        <v>0</v>
      </c>
      <c r="AE118" s="81">
        <v>38.99</v>
      </c>
      <c r="AF118" s="81">
        <v>0</v>
      </c>
      <c r="AG118" s="81">
        <v>0</v>
      </c>
      <c r="AH118" s="81"/>
      <c r="AI118" s="11">
        <f>SUM(Raw_Data[[#This Row],[Inv1]:[Inv3]])</f>
        <v>20674.900000000001</v>
      </c>
      <c r="AJ118" s="11">
        <f>(Raw_Data[[#This Row],[33 kV Outgoinng Export Reading]]-Z117)*1000</f>
        <v>20600.000000000364</v>
      </c>
      <c r="AK118" s="11">
        <f>(Raw_Data[[#This Row],[33 kV Outgoinng Import Reading]]-AA117)*1000</f>
        <v>200.00000000000284</v>
      </c>
      <c r="AL118" s="11">
        <f>Raw_Data[[#This Row],[Export  (kWh)]]-Raw_Data[[#This Row],[Import (kWh)]]</f>
        <v>20400.00000000036</v>
      </c>
      <c r="AM118" s="21">
        <f t="shared" ref="AM118" si="109">IFERROR((J118-I118)*24,"")</f>
        <v>13.033333333333335</v>
      </c>
    </row>
    <row r="119" spans="1:39" x14ac:dyDescent="0.25">
      <c r="A119" s="164">
        <f>YEAR(Raw_Data[[#This Row],[Date]])+IF(MONTH(Raw_Data[[#This Row],[Date]])&gt;=4,1,0)</f>
        <v>2026</v>
      </c>
      <c r="B119" s="42">
        <v>2025</v>
      </c>
      <c r="C119" s="81" t="s">
        <v>4</v>
      </c>
      <c r="D119" s="81" t="s">
        <v>4</v>
      </c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>
        <v>0.2326388888888889</v>
      </c>
      <c r="J119" s="41">
        <v>0.78611111111111109</v>
      </c>
      <c r="K119" s="80">
        <v>2169.8000000000002</v>
      </c>
      <c r="L119" s="80">
        <v>2070.1</v>
      </c>
      <c r="M119" s="80">
        <v>2062.4</v>
      </c>
      <c r="N119" s="80">
        <v>2067.8000000000002</v>
      </c>
      <c r="O119" s="80">
        <v>2117</v>
      </c>
      <c r="P119" s="80">
        <v>2104.6</v>
      </c>
      <c r="Q119" s="80">
        <v>2195.6999999999998</v>
      </c>
      <c r="R119" s="80">
        <v>2120.3000000000002</v>
      </c>
      <c r="S119" s="80">
        <v>2164.8000000000002</v>
      </c>
      <c r="T119" s="80">
        <v>2169.1999999999998</v>
      </c>
      <c r="U119" s="80">
        <v>2158.9</v>
      </c>
      <c r="V119" s="80">
        <v>2158.5</v>
      </c>
      <c r="W119" s="80">
        <v>8370.1</v>
      </c>
      <c r="X119" s="80">
        <v>8537.6</v>
      </c>
      <c r="Y119" s="80">
        <v>8651.4</v>
      </c>
      <c r="Z119" s="81">
        <v>5050.8999999999996</v>
      </c>
      <c r="AA119" s="81">
        <v>36.9</v>
      </c>
      <c r="AB119" s="81"/>
      <c r="AC119" s="81">
        <v>4.5599999999999996</v>
      </c>
      <c r="AD119" s="81">
        <v>0</v>
      </c>
      <c r="AE119" s="81">
        <v>41</v>
      </c>
      <c r="AF119" s="81">
        <v>0</v>
      </c>
      <c r="AG119" s="81">
        <v>0</v>
      </c>
      <c r="AH119" s="81"/>
      <c r="AI119" s="11">
        <f>SUM(Raw_Data[[#This Row],[Inv1]:[Inv3]])</f>
        <v>25559.1</v>
      </c>
      <c r="AJ119" s="11">
        <f>(Raw_Data[[#This Row],[33 kV Outgoinng Export Reading]]-Z118)*1000</f>
        <v>25399.999999999636</v>
      </c>
      <c r="AK119" s="11">
        <f>(Raw_Data[[#This Row],[33 kV Outgoinng Import Reading]]-AA118)*1000</f>
        <v>199.99999999999574</v>
      </c>
      <c r="AL119" s="11">
        <f>Raw_Data[[#This Row],[Export  (kWh)]]-Raw_Data[[#This Row],[Import (kWh)]]</f>
        <v>25199.99999999964</v>
      </c>
      <c r="AM119" s="21">
        <f t="shared" ref="AM119" si="110">IFERROR((J119-I119)*24,"")</f>
        <v>13.283333333333331</v>
      </c>
    </row>
    <row r="120" spans="1:39" x14ac:dyDescent="0.25">
      <c r="A120" s="164">
        <f>YEAR(Raw_Data[[#This Row],[Date]])+IF(MONTH(Raw_Data[[#This Row],[Date]])&gt;=4,1,0)</f>
        <v>2026</v>
      </c>
      <c r="B120" s="42">
        <v>2025</v>
      </c>
      <c r="C120" s="81" t="s">
        <v>4</v>
      </c>
      <c r="D120" s="81" t="s">
        <v>4</v>
      </c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>
        <v>0.24166666666666667</v>
      </c>
      <c r="J120" s="41">
        <v>0.77777777777777779</v>
      </c>
      <c r="K120" s="80">
        <v>876.2</v>
      </c>
      <c r="L120" s="80">
        <v>995.8</v>
      </c>
      <c r="M120" s="80">
        <v>862.6</v>
      </c>
      <c r="N120" s="80">
        <v>869.8</v>
      </c>
      <c r="O120" s="80">
        <v>902</v>
      </c>
      <c r="P120" s="80">
        <v>896.2</v>
      </c>
      <c r="Q120" s="80">
        <v>894.2</v>
      </c>
      <c r="R120" s="80">
        <v>1032.5</v>
      </c>
      <c r="S120" s="80">
        <v>943.3</v>
      </c>
      <c r="T120" s="80">
        <v>940.7</v>
      </c>
      <c r="U120" s="80">
        <v>938.6</v>
      </c>
      <c r="V120" s="80">
        <v>938.5</v>
      </c>
      <c r="W120" s="80">
        <v>3604.4</v>
      </c>
      <c r="X120" s="80">
        <v>3724.9</v>
      </c>
      <c r="Y120" s="80">
        <v>3761.1</v>
      </c>
      <c r="Z120" s="81">
        <v>5061.8</v>
      </c>
      <c r="AA120" s="81">
        <v>37.1</v>
      </c>
      <c r="AB120" s="81"/>
      <c r="AC120" s="81">
        <v>1.82</v>
      </c>
      <c r="AD120" s="81">
        <v>0</v>
      </c>
      <c r="AE120" s="81">
        <v>32.479999999999997</v>
      </c>
      <c r="AF120" s="81">
        <v>0</v>
      </c>
      <c r="AG120" s="81">
        <v>0</v>
      </c>
      <c r="AH120" s="81"/>
      <c r="AI120" s="11">
        <f>SUM(Raw_Data[[#This Row],[Inv1]:[Inv3]])</f>
        <v>11090.4</v>
      </c>
      <c r="AJ120" s="11">
        <f>(Raw_Data[[#This Row],[33 kV Outgoinng Export Reading]]-Z119)*1000</f>
        <v>10900.000000000546</v>
      </c>
      <c r="AK120" s="11">
        <f>(Raw_Data[[#This Row],[33 kV Outgoinng Import Reading]]-AA119)*1000</f>
        <v>200.00000000000284</v>
      </c>
      <c r="AL120" s="11">
        <f>Raw_Data[[#This Row],[Export  (kWh)]]-Raw_Data[[#This Row],[Import (kWh)]]</f>
        <v>10700.000000000542</v>
      </c>
      <c r="AM120" s="21">
        <f t="shared" ref="AM120" si="111">IFERROR((J120-I120)*24,"")</f>
        <v>12.866666666666667</v>
      </c>
    </row>
    <row r="121" spans="1:39" x14ac:dyDescent="0.25">
      <c r="A121" s="164">
        <f>YEAR(Raw_Data[[#This Row],[Date]])+IF(MONTH(Raw_Data[[#This Row],[Date]])&gt;=4,1,0)</f>
        <v>2026</v>
      </c>
      <c r="B121" s="42">
        <v>2025</v>
      </c>
      <c r="C121" s="81" t="s">
        <v>4</v>
      </c>
      <c r="D121" s="81" t="s">
        <v>4</v>
      </c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>
        <v>0.2361111111111111</v>
      </c>
      <c r="J121" s="41">
        <v>0.77916666666666667</v>
      </c>
      <c r="K121" s="80">
        <v>673.3</v>
      </c>
      <c r="L121" s="80">
        <v>669.4</v>
      </c>
      <c r="M121" s="80">
        <v>786.5</v>
      </c>
      <c r="N121" s="80">
        <v>668.1</v>
      </c>
      <c r="O121" s="80">
        <v>974.4</v>
      </c>
      <c r="P121" s="80">
        <v>844.6</v>
      </c>
      <c r="Q121" s="80">
        <v>842.6</v>
      </c>
      <c r="R121" s="80">
        <v>854</v>
      </c>
      <c r="S121" s="80">
        <v>880.5</v>
      </c>
      <c r="T121" s="80">
        <v>877.1</v>
      </c>
      <c r="U121" s="80">
        <v>875.7</v>
      </c>
      <c r="V121" s="80">
        <v>876.2</v>
      </c>
      <c r="W121" s="80">
        <v>2797.3</v>
      </c>
      <c r="X121" s="80">
        <v>3515.6</v>
      </c>
      <c r="Y121" s="80">
        <v>3509.5</v>
      </c>
      <c r="Z121" s="81">
        <v>5071.6000000000004</v>
      </c>
      <c r="AA121" s="81">
        <v>37.4</v>
      </c>
      <c r="AB121" s="81"/>
      <c r="AC121" s="81">
        <v>1.68</v>
      </c>
      <c r="AD121" s="81">
        <v>0</v>
      </c>
      <c r="AE121" s="81">
        <v>29.95</v>
      </c>
      <c r="AF121" s="81">
        <v>0</v>
      </c>
      <c r="AG121" s="81">
        <v>0</v>
      </c>
      <c r="AH121" s="81"/>
      <c r="AI121" s="11">
        <f>SUM(Raw_Data[[#This Row],[Inv1]:[Inv3]])</f>
        <v>9822.4</v>
      </c>
      <c r="AJ121" s="11">
        <f>(Raw_Data[[#This Row],[33 kV Outgoinng Export Reading]]-Z120)*1000</f>
        <v>9800.0000000001819</v>
      </c>
      <c r="AK121" s="11">
        <f>(Raw_Data[[#This Row],[33 kV Outgoinng Import Reading]]-AA120)*1000</f>
        <v>299.99999999999716</v>
      </c>
      <c r="AL121" s="11">
        <f>Raw_Data[[#This Row],[Export  (kWh)]]-Raw_Data[[#This Row],[Import (kWh)]]</f>
        <v>9500.0000000001855</v>
      </c>
      <c r="AM121" s="21">
        <f t="shared" ref="AM121" si="112">IFERROR((J121-I121)*24,"")</f>
        <v>13.033333333333335</v>
      </c>
    </row>
    <row r="122" spans="1:39" x14ac:dyDescent="0.25">
      <c r="A122" s="164">
        <f>YEAR(Raw_Data[[#This Row],[Date]])+IF(MONTH(Raw_Data[[#This Row],[Date]])&gt;=4,1,0)</f>
        <v>2026</v>
      </c>
      <c r="B122" s="42">
        <v>2025</v>
      </c>
      <c r="C122" s="81" t="s">
        <v>4</v>
      </c>
      <c r="D122" s="81" t="s">
        <v>4</v>
      </c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>
        <v>0.2361111111111111</v>
      </c>
      <c r="J122" s="41">
        <v>0.77083333333333337</v>
      </c>
      <c r="K122" s="80">
        <v>1018.3</v>
      </c>
      <c r="L122" s="80">
        <v>1094.7</v>
      </c>
      <c r="M122" s="80">
        <v>1002.7</v>
      </c>
      <c r="N122" s="80">
        <v>1010.6</v>
      </c>
      <c r="O122" s="80">
        <v>1041.2</v>
      </c>
      <c r="P122" s="80">
        <v>1118.4000000000001</v>
      </c>
      <c r="Q122" s="80">
        <v>1032.5999999999999</v>
      </c>
      <c r="R122" s="80">
        <v>1944.5</v>
      </c>
      <c r="S122" s="80">
        <v>1062.3</v>
      </c>
      <c r="T122" s="80">
        <v>1060.5</v>
      </c>
      <c r="U122" s="80">
        <v>1058.2</v>
      </c>
      <c r="V122" s="80">
        <v>1058.3</v>
      </c>
      <c r="W122" s="80">
        <v>4126.3</v>
      </c>
      <c r="X122" s="80">
        <v>4236.7</v>
      </c>
      <c r="Y122" s="80">
        <v>4239.3</v>
      </c>
      <c r="Z122" s="81">
        <v>5084.1000000000004</v>
      </c>
      <c r="AA122" s="81">
        <v>37.6</v>
      </c>
      <c r="AB122" s="81"/>
      <c r="AC122" s="81">
        <v>2.06</v>
      </c>
      <c r="AD122" s="81">
        <v>0</v>
      </c>
      <c r="AE122" s="81">
        <v>31.81</v>
      </c>
      <c r="AF122" s="81">
        <v>0</v>
      </c>
      <c r="AG122" s="81">
        <v>0</v>
      </c>
      <c r="AH122" s="81"/>
      <c r="AI122" s="11">
        <f>SUM(Raw_Data[[#This Row],[Inv1]:[Inv3]])</f>
        <v>12602.3</v>
      </c>
      <c r="AJ122" s="11">
        <f>(Raw_Data[[#This Row],[33 kV Outgoinng Export Reading]]-Z121)*1000</f>
        <v>12500</v>
      </c>
      <c r="AK122" s="11">
        <f>(Raw_Data[[#This Row],[33 kV Outgoinng Import Reading]]-AA121)*1000</f>
        <v>200.00000000000284</v>
      </c>
      <c r="AL122" s="11">
        <f>Raw_Data[[#This Row],[Export  (kWh)]]-Raw_Data[[#This Row],[Import (kWh)]]</f>
        <v>12299.999999999996</v>
      </c>
      <c r="AM122" s="21">
        <f t="shared" ref="AM122" si="113">IFERROR((J122-I122)*24,"")</f>
        <v>12.833333333333336</v>
      </c>
    </row>
    <row r="123" spans="1:39" x14ac:dyDescent="0.25">
      <c r="A123" s="164">
        <f>YEAR(Raw_Data[[#This Row],[Date]])+IF(MONTH(Raw_Data[[#This Row],[Date]])&gt;=4,1,0)</f>
        <v>2026</v>
      </c>
      <c r="B123" s="42">
        <v>2025</v>
      </c>
      <c r="C123" s="81" t="s">
        <v>4</v>
      </c>
      <c r="D123" s="81" t="s">
        <v>4</v>
      </c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>
        <v>0.23472222222222222</v>
      </c>
      <c r="J123" s="41">
        <v>0.77222222222222225</v>
      </c>
      <c r="K123" s="80">
        <v>509.3</v>
      </c>
      <c r="L123" s="80">
        <v>506.4</v>
      </c>
      <c r="M123" s="80">
        <v>665.6</v>
      </c>
      <c r="N123" s="80">
        <v>505.7</v>
      </c>
      <c r="O123" s="80">
        <v>517</v>
      </c>
      <c r="P123" s="80">
        <v>513.20000000000005</v>
      </c>
      <c r="Q123" s="80">
        <v>657.2</v>
      </c>
      <c r="R123" s="80">
        <v>521.29999999999995</v>
      </c>
      <c r="S123" s="80">
        <v>549.79999999999995</v>
      </c>
      <c r="T123" s="80">
        <v>544.4</v>
      </c>
      <c r="U123" s="80">
        <v>545.29999999999995</v>
      </c>
      <c r="V123" s="80">
        <v>546</v>
      </c>
      <c r="W123" s="80">
        <v>2187</v>
      </c>
      <c r="X123" s="80">
        <v>2208.6999999999998</v>
      </c>
      <c r="Y123" s="80">
        <v>2185.5</v>
      </c>
      <c r="Z123" s="81">
        <v>5090.6000000000004</v>
      </c>
      <c r="AA123" s="81">
        <v>37.799999999999997</v>
      </c>
      <c r="AB123" s="81"/>
      <c r="AC123" s="81">
        <v>1.06</v>
      </c>
      <c r="AD123" s="81">
        <v>0</v>
      </c>
      <c r="AE123" s="81">
        <v>30.23</v>
      </c>
      <c r="AF123" s="81">
        <v>0</v>
      </c>
      <c r="AG123" s="81">
        <v>0</v>
      </c>
      <c r="AH123" s="81"/>
      <c r="AI123" s="11">
        <f>SUM(Raw_Data[[#This Row],[Inv1]:[Inv3]])</f>
        <v>6581.2</v>
      </c>
      <c r="AJ123" s="11">
        <f>(Raw_Data[[#This Row],[33 kV Outgoinng Export Reading]]-Z122)*1000</f>
        <v>6500</v>
      </c>
      <c r="AK123" s="11">
        <f>(Raw_Data[[#This Row],[33 kV Outgoinng Import Reading]]-AA122)*1000</f>
        <v>199.99999999999574</v>
      </c>
      <c r="AL123" s="11">
        <f>Raw_Data[[#This Row],[Export  (kWh)]]-Raw_Data[[#This Row],[Import (kWh)]]</f>
        <v>6300.0000000000045</v>
      </c>
      <c r="AM123" s="21">
        <f t="shared" ref="AM123" si="114">IFERROR((J123-I123)*24,"")</f>
        <v>12.900000000000002</v>
      </c>
    </row>
    <row r="124" spans="1:39" x14ac:dyDescent="0.25">
      <c r="A124" s="164">
        <f>YEAR(Raw_Data[[#This Row],[Date]])+IF(MONTH(Raw_Data[[#This Row],[Date]])&gt;=4,1,0)</f>
        <v>2026</v>
      </c>
      <c r="B124" s="42">
        <v>2025</v>
      </c>
      <c r="C124" s="81" t="s">
        <v>4</v>
      </c>
      <c r="D124" s="81" t="s">
        <v>4</v>
      </c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>
        <v>0.23402777777777778</v>
      </c>
      <c r="J124" s="41">
        <v>0.77083333333333337</v>
      </c>
      <c r="K124" s="80">
        <v>1777.4</v>
      </c>
      <c r="L124" s="80" t="s">
        <v>1116</v>
      </c>
      <c r="M124" s="80">
        <v>1759.3</v>
      </c>
      <c r="N124" s="80">
        <v>1765.6</v>
      </c>
      <c r="O124" s="80">
        <v>1838.7</v>
      </c>
      <c r="P124" s="80">
        <v>1900.9</v>
      </c>
      <c r="Q124" s="80">
        <v>1827.7</v>
      </c>
      <c r="R124" s="80" t="s">
        <v>1117</v>
      </c>
      <c r="S124" s="80">
        <v>1830.3</v>
      </c>
      <c r="T124" s="80">
        <v>1834.4</v>
      </c>
      <c r="U124" s="80">
        <v>1827.5</v>
      </c>
      <c r="V124" s="80">
        <v>1826.6</v>
      </c>
      <c r="W124" s="80">
        <v>7144</v>
      </c>
      <c r="X124" s="80">
        <v>7408.6</v>
      </c>
      <c r="Y124" s="80">
        <v>7318.8</v>
      </c>
      <c r="Z124" s="81">
        <v>5112.3999999999996</v>
      </c>
      <c r="AA124" s="81">
        <v>38</v>
      </c>
      <c r="AB124" s="81"/>
      <c r="AC124" s="81">
        <v>4.91</v>
      </c>
      <c r="AD124" s="81">
        <v>0</v>
      </c>
      <c r="AE124" s="81">
        <v>40.340000000000003</v>
      </c>
      <c r="AF124" s="81">
        <v>0</v>
      </c>
      <c r="AG124" s="81">
        <v>0</v>
      </c>
      <c r="AH124" s="81"/>
      <c r="AI124" s="11">
        <f>SUM(Raw_Data[[#This Row],[Inv1]:[Inv3]])</f>
        <v>21871.4</v>
      </c>
      <c r="AJ124" s="11">
        <f>(Raw_Data[[#This Row],[33 kV Outgoinng Export Reading]]-Z123)*1000</f>
        <v>21799.999999999272</v>
      </c>
      <c r="AK124" s="11">
        <f>(Raw_Data[[#This Row],[33 kV Outgoinng Import Reading]]-AA123)*1000</f>
        <v>200.00000000000284</v>
      </c>
      <c r="AL124" s="11">
        <f>Raw_Data[[#This Row],[Export  (kWh)]]-Raw_Data[[#This Row],[Import (kWh)]]</f>
        <v>21599.999999999269</v>
      </c>
      <c r="AM124" s="21">
        <f t="shared" ref="AM124" si="115">IFERROR((J124-I124)*24,"")</f>
        <v>12.883333333333333</v>
      </c>
    </row>
    <row r="125" spans="1:39" x14ac:dyDescent="0.25">
      <c r="A125" s="164">
        <f>YEAR(Raw_Data[[#This Row],[Date]])+IF(MONTH(Raw_Data[[#This Row],[Date]])&gt;=4,1,0)</f>
        <v>2026</v>
      </c>
      <c r="B125" s="42">
        <v>2025</v>
      </c>
      <c r="C125" s="81" t="s">
        <v>4</v>
      </c>
      <c r="D125" s="81" t="s">
        <v>4</v>
      </c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>
        <v>0.24097222222222223</v>
      </c>
      <c r="J125" s="41">
        <v>0.7895833333333333</v>
      </c>
      <c r="K125" s="80">
        <v>2307.4</v>
      </c>
      <c r="L125" s="80">
        <v>2293.9</v>
      </c>
      <c r="M125" s="80">
        <v>2286.3000000000002</v>
      </c>
      <c r="N125" s="80">
        <v>2358.4</v>
      </c>
      <c r="O125" s="80">
        <v>2299.9</v>
      </c>
      <c r="P125" s="80">
        <v>2285.6</v>
      </c>
      <c r="Q125" s="80">
        <v>2354.1999999999998</v>
      </c>
      <c r="R125" s="80">
        <v>2302.9</v>
      </c>
      <c r="S125" s="80">
        <v>2316</v>
      </c>
      <c r="T125" s="80">
        <v>2323</v>
      </c>
      <c r="U125" s="80">
        <v>2312.9</v>
      </c>
      <c r="V125" s="80">
        <v>2311.6999999999998</v>
      </c>
      <c r="W125" s="80">
        <v>9246</v>
      </c>
      <c r="X125" s="80">
        <v>9242.6</v>
      </c>
      <c r="Y125" s="80">
        <v>9263.6</v>
      </c>
      <c r="Z125" s="81">
        <v>5140</v>
      </c>
      <c r="AA125" s="81">
        <v>38.299999999999997</v>
      </c>
      <c r="AB125" s="81"/>
      <c r="AC125" s="81">
        <v>4.9800000000000004</v>
      </c>
      <c r="AD125" s="81">
        <v>0</v>
      </c>
      <c r="AE125" s="81">
        <v>39.79</v>
      </c>
      <c r="AF125" s="81">
        <v>0</v>
      </c>
      <c r="AG125" s="81">
        <v>0</v>
      </c>
      <c r="AH125" s="81"/>
      <c r="AI125" s="11">
        <f>SUM(Raw_Data[[#This Row],[Inv1]:[Inv3]])</f>
        <v>27752.199999999997</v>
      </c>
      <c r="AJ125" s="11">
        <f>(Raw_Data[[#This Row],[33 kV Outgoinng Export Reading]]-Z124)*1000</f>
        <v>27600.000000000364</v>
      </c>
      <c r="AK125" s="11">
        <f>(Raw_Data[[#This Row],[33 kV Outgoinng Import Reading]]-AA124)*1000</f>
        <v>299.99999999999716</v>
      </c>
      <c r="AL125" s="11">
        <f>Raw_Data[[#This Row],[Export  (kWh)]]-Raw_Data[[#This Row],[Import (kWh)]]</f>
        <v>27300.000000000367</v>
      </c>
      <c r="AM125" s="21">
        <f t="shared" ref="AM125" si="116">IFERROR((J125-I125)*24,"")</f>
        <v>13.166666666666664</v>
      </c>
    </row>
    <row r="126" spans="1:39" x14ac:dyDescent="0.25">
      <c r="A126" s="164">
        <f>YEAR(Raw_Data[[#This Row],[Date]])+IF(MONTH(Raw_Data[[#This Row],[Date]])&gt;=4,1,0)</f>
        <v>2026</v>
      </c>
      <c r="B126" s="42"/>
      <c r="C126" s="81"/>
      <c r="D126" s="81"/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/>
      <c r="J126" s="4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1"/>
      <c r="AA126" s="81"/>
      <c r="AB126" s="81"/>
      <c r="AC126" s="81"/>
      <c r="AD126" s="81"/>
      <c r="AE126" s="81"/>
      <c r="AF126" s="81"/>
      <c r="AG126" s="81"/>
      <c r="AH126" s="81"/>
      <c r="AI126" s="11">
        <f>SUM(Raw_Data[[#This Row],[Inv1]:[Inv3]])</f>
        <v>0</v>
      </c>
      <c r="AJ126" s="11">
        <v>0</v>
      </c>
      <c r="AK126" s="11"/>
      <c r="AL126" s="11">
        <f>Raw_Data[[#This Row],[Export  (kWh)]]-Raw_Data[[#This Row],[Import (kWh)]]</f>
        <v>0</v>
      </c>
      <c r="AM126" s="21">
        <f t="shared" ref="AM125:AM134" si="117">IFERROR((J126-I126)*24,"")</f>
        <v>0</v>
      </c>
    </row>
    <row r="127" spans="1:39" x14ac:dyDescent="0.25">
      <c r="A127" s="164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si="117"/>
        <v>0</v>
      </c>
    </row>
    <row r="128" spans="1:39" x14ac:dyDescent="0.25">
      <c r="A128" s="164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17"/>
        <v>0</v>
      </c>
    </row>
    <row r="129" spans="1:39" x14ac:dyDescent="0.25">
      <c r="A129" s="164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17"/>
        <v>0</v>
      </c>
    </row>
    <row r="130" spans="1:39" x14ac:dyDescent="0.25">
      <c r="A130" s="164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17"/>
        <v>0</v>
      </c>
    </row>
    <row r="131" spans="1:39" x14ac:dyDescent="0.25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17"/>
        <v>0</v>
      </c>
    </row>
    <row r="132" spans="1:39" x14ac:dyDescent="0.25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17"/>
        <v>0</v>
      </c>
    </row>
    <row r="133" spans="1:39" x14ac:dyDescent="0.25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18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17"/>
        <v>0</v>
      </c>
    </row>
    <row r="134" spans="1:39" x14ac:dyDescent="0.25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18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17"/>
        <v>0</v>
      </c>
    </row>
    <row r="135" spans="1:39" x14ac:dyDescent="0.25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5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5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5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5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5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25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25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25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25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25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25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25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10" customFormat="1" ht="30" x14ac:dyDescent="0.25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25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25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25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25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25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25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25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25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25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25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25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25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25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25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25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25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25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25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25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25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25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25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25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25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25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25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25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25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25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25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25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25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25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25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25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25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25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25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25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25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25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25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25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25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25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25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25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25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25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25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25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25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25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25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25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25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25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25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25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25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25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25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25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25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25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25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25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25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25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25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25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25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25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25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25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25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25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25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25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25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25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25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25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25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25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25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25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25">
      <c r="A89" s="4" t="s">
        <v>283</v>
      </c>
      <c r="B89" s="6">
        <f>SUM(B86:B88)</f>
        <v>7099.2000000000007</v>
      </c>
      <c r="C89" s="9">
        <v>1</v>
      </c>
    </row>
    <row r="90" spans="1:3" x14ac:dyDescent="0.25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25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25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25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25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25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25">
      <c r="A96" s="82" t="s">
        <v>290</v>
      </c>
      <c r="B96" s="83">
        <v>11.34</v>
      </c>
      <c r="C96" s="9">
        <f t="shared" si="2"/>
        <v>1.5973630831643E-3</v>
      </c>
    </row>
    <row r="97" spans="1:3" x14ac:dyDescent="0.25">
      <c r="A97" s="82" t="s">
        <v>291</v>
      </c>
      <c r="B97" s="83">
        <v>11.34</v>
      </c>
      <c r="C97" s="9">
        <f t="shared" si="2"/>
        <v>1.5973630831643E-3</v>
      </c>
    </row>
    <row r="98" spans="1:3" x14ac:dyDescent="0.25">
      <c r="A98" s="82" t="s">
        <v>292</v>
      </c>
      <c r="B98" s="83">
        <v>11.34</v>
      </c>
      <c r="C98" s="9">
        <f t="shared" si="2"/>
        <v>1.5973630831643E-3</v>
      </c>
    </row>
    <row r="99" spans="1:3" x14ac:dyDescent="0.25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25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25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25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25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25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25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25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25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25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25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25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25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25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25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25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25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25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25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25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25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25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25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25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25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25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25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25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25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25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25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25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25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25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25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25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25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25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25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25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25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25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25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25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25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25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25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25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25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25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25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25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25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25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25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25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25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25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25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25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25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25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25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25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25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25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25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25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25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25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25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25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25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25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25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25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25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25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25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25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25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25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25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25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25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25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25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25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25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25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25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25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25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25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25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25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25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25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25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25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25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25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25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25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25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25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25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25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25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25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25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25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25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25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25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25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25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25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25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25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25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25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25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25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25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25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25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25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25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25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25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25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25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25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25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25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25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25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25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25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25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25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25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25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25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25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25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25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25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25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25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25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25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25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25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25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25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25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25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25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25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25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25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25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25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25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25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25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25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25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25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25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25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25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25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25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25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25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25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25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25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25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25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25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25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25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25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25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25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25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25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25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25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25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25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25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25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25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25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25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25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25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25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25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25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25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25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25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25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25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25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25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25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25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25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25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25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25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25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25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25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25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25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25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25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25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25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25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25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25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25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25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25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25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25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25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25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25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25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25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25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25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25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25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25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25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25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25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25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25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25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25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25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25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25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25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25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25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25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25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25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25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25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25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25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25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25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25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25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25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25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25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25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25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25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25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25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25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25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25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25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25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25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25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25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25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25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25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25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25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25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25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25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25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25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25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25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25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25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25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25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25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25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25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25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25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25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25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25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25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25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25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25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25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25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25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25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25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25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25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25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25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25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25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25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25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25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25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25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25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25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25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25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25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25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25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25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25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25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25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25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25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25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25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25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25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25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25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25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25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25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25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25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25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25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25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25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25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25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25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25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25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25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25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25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25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25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25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25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25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25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25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25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25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25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25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25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25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25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25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25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25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25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25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25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25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25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25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25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25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25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25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25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25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25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25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25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25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25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25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25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25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25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25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25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25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25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25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25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25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25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25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25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25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25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25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25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25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25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25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25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25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25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25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25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25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25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25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25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25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25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25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25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25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25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25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25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25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25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25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25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25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25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25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25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25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25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25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25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25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25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25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25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25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25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25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25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25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25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25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25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25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25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25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25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25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25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25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25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25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25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25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25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25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25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25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25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25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25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25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25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25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25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25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25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25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25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25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25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25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25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25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25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25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25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25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25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25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25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25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25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25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25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25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25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25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25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25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25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25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25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25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25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25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25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25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25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25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25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25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25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25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25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25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25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25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25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25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25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25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25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25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25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25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25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25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25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25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25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25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25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25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25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25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25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25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25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25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25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25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25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25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25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25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25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25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25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25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25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25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25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25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25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25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25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25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25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25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25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25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25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25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25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25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25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25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25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25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25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25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25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25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25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25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25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25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25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25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25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25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25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25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25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25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25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25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25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25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25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25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25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25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25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25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25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25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25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25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25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25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25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25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25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25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25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25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25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25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25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25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25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25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25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25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25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25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109375" defaultRowHeight="15" x14ac:dyDescent="0.25"/>
  <cols>
    <col min="1" max="2" width="9.28515625" style="117" customWidth="1"/>
    <col min="3" max="3" width="15.85546875" style="117" customWidth="1"/>
    <col min="4" max="6" width="8.7109375" style="117"/>
    <col min="7" max="7" width="20.5703125" style="117" customWidth="1"/>
    <col min="8" max="8" width="8.7109375" style="117"/>
    <col min="9" max="9" width="9.42578125" style="117" bestFit="1" customWidth="1"/>
    <col min="10" max="14" width="8.7109375" style="117"/>
    <col min="15" max="15" width="9.85546875" style="117" bestFit="1" customWidth="1"/>
    <col min="16" max="16" width="11" style="117" customWidth="1"/>
    <col min="17" max="17" width="15.28515625" style="117" customWidth="1"/>
    <col min="18" max="19" width="10.85546875" style="117" customWidth="1"/>
    <col min="20" max="20" width="13" style="117" customWidth="1"/>
    <col min="21" max="25" width="12.85546875" style="117" customWidth="1"/>
    <col min="26" max="27" width="14.5703125" style="117" customWidth="1"/>
    <col min="28" max="29" width="15.5703125" style="117" customWidth="1"/>
    <col min="30" max="38" width="9.85546875" style="117" customWidth="1"/>
    <col min="39" max="39" width="12" style="117" bestFit="1" customWidth="1"/>
    <col min="40" max="40" width="27.5703125" style="117" bestFit="1" customWidth="1"/>
    <col min="41" max="16384" width="8.7109375" style="117"/>
  </cols>
  <sheetData>
    <row r="1" spans="1:41" ht="45" x14ac:dyDescent="0.25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25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25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25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25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25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25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25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25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25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25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25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25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25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25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25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25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25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25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25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25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25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25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25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25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25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25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25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25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25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25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25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25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25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25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25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25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25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25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25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25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25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25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25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25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25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25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25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25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25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25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25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25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25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25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25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25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25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25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25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25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25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25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25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25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25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25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25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25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25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25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25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25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25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25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25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25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25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25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25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25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25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25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25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25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25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25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25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25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28</v>
      </c>
      <c r="R89" s="141">
        <f t="shared" si="37"/>
        <v>109.29032258064517</v>
      </c>
      <c r="S89" s="149">
        <f>SUMIF($F$2:F89,F89,$R$2:R89)</f>
        <v>625.89032258064503</v>
      </c>
      <c r="T89" s="140">
        <f t="shared" si="38"/>
        <v>20.295016135869183</v>
      </c>
      <c r="U89" s="141">
        <f t="shared" si="39"/>
        <v>568.26045180433709</v>
      </c>
      <c r="V89" s="149">
        <f>SUMIF($F$2:F89,F89,$U$2:U89)</f>
        <v>3096.7873213039966</v>
      </c>
      <c r="W89" s="142">
        <f t="shared" si="40"/>
        <v>0.11911562884943129</v>
      </c>
      <c r="X89" s="142">
        <f t="shared" si="73"/>
        <v>0.11911562884943128</v>
      </c>
      <c r="Y89" s="142">
        <f t="shared" si="74"/>
        <v>0.15273682755393103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25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625.89032258064503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3096.7873213039966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0.15273682755393103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25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625.89032258064503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3096.7873213039966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0.15273682755393103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25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625.89032258064503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3096.7873213039966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0.15273682755393103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25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625.89032258064503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3096.7873213039966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0.15273682755393103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25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625.89032258064503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3096.7873213039966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0.15273682755393103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25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625.89032258064503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3096.7873213039966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0.15273682755393103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25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625.89032258064503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3096.7873213039966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0.15273682755393103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25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625.89032258064503</v>
      </c>
      <c r="T97" s="140">
        <f>M97/G97</f>
        <v>33.827192387794739</v>
      </c>
      <c r="U97" s="141">
        <f>M97/G97*Q97</f>
        <v>0</v>
      </c>
      <c r="V97" s="149">
        <f>SUMIF($F$2:F97,F97,$U$2:U97)</f>
        <v>3096.7873213039966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0.15273682755393103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F115" activePane="bottomRight" state="frozen"/>
      <selection pane="topRight" activeCell="I1" sqref="I1"/>
      <selection pane="bottomLeft" activeCell="A2" sqref="A2"/>
      <selection pane="bottomRight" activeCell="AG131" sqref="AG131"/>
    </sheetView>
  </sheetViews>
  <sheetFormatPr defaultColWidth="9.140625" defaultRowHeight="15" x14ac:dyDescent="0.25"/>
  <cols>
    <col min="1" max="2" width="11.140625" style="8" customWidth="1"/>
    <col min="3" max="3" width="12.42578125" style="8" customWidth="1"/>
    <col min="4" max="4" width="14.140625" style="8" customWidth="1"/>
    <col min="5" max="5" width="13" style="8" customWidth="1"/>
    <col min="6" max="6" width="10.85546875" style="8" customWidth="1"/>
    <col min="7" max="7" width="8.5703125" style="8" customWidth="1"/>
    <col min="8" max="8" width="11.5703125" style="8" customWidth="1"/>
    <col min="9" max="9" width="12.42578125" style="8" customWidth="1"/>
    <col min="10" max="11" width="8.85546875" style="8" customWidth="1"/>
    <col min="12" max="12" width="8.5703125" style="8" customWidth="1"/>
    <col min="13" max="15" width="8.85546875" style="8" customWidth="1"/>
    <col min="16" max="16" width="8.5703125" style="8" customWidth="1"/>
    <col min="17" max="21" width="9.5703125" style="8" customWidth="1"/>
    <col min="22" max="16384" width="9.140625" style="8"/>
  </cols>
  <sheetData>
    <row r="1" spans="1:39" ht="48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25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25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25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25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25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25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25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25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25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25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25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25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25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25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25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25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25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25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25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25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25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25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25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25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25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25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25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25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25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25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25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25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25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25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25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25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25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25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25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25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25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25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25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25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25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25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25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25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25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25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25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25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25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25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25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25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25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25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25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25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25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25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25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25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25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25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25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25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25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25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25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25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25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25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25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25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40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25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25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25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25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25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25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25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25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25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25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25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25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25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25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25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25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25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25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25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25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25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25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25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25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25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25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25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25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25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25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25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25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25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25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25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25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25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25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>
        <f>IFERROR(Inv_SY!J117/Inv_SY!$Y117-1,"")</f>
        <v>3.9075477327964236E-2</v>
      </c>
      <c r="K115" s="220">
        <f>IFERROR(Inv_SY!K117/Inv_SY!$Y117-1,"")</f>
        <v>-0.13931764967646632</v>
      </c>
      <c r="L115" s="220">
        <f>IFERROR(Inv_SY!L117/Inv_SY!$Y117-1,"")</f>
        <v>6.5414501878008791E-2</v>
      </c>
      <c r="M115" s="220">
        <f>IFERROR(Inv_SY!M117/Inv_SY!$Y117-1,"")</f>
        <v>3.1642757053705894E-2</v>
      </c>
      <c r="N115" s="220">
        <f>IFERROR(Inv_SY!N117/Inv_SY!$Y117-1,"")</f>
        <v>-8.5999617050323107E-2</v>
      </c>
      <c r="O115" s="220">
        <f>IFERROR(Inv_SY!O117/Inv_SY!$Y117-1,"")</f>
        <v>4.0157455595736025E-2</v>
      </c>
      <c r="P115" s="220">
        <f>IFERROR(Inv_SY!P117/Inv_SY!$Y117-1,"")</f>
        <v>-0.11382212140485093</v>
      </c>
      <c r="Q115" s="220">
        <f>IFERROR(Inv_SY!Q117/Inv_SY!$Y117-1,"")</f>
        <v>0.32556223851053789</v>
      </c>
      <c r="R115" s="220">
        <f>IFERROR(Inv_SY!R117/Inv_SY!$Y117-1,"")</f>
        <v>5.0629184031298013E-2</v>
      </c>
      <c r="S115" s="220">
        <f>IFERROR(Inv_SY!S117/Inv_SY!$Y117-1,"")</f>
        <v>-0.12874913584947789</v>
      </c>
      <c r="T115" s="220">
        <f>IFERROR(Inv_SY!T117/Inv_SY!$Y117-1,"")</f>
        <v>0.29254254902529842</v>
      </c>
      <c r="U115" s="220">
        <f>IFERROR(Inv_SY!U117/Inv_SY!$Y117-1,"")</f>
        <v>-0.13558034708526312</v>
      </c>
      <c r="V115" s="220">
        <f>IFERROR(Inv_SY!J117/Inv_SY!$Z117-1,"")</f>
        <v>2.3675499679927325E-2</v>
      </c>
      <c r="W115" s="220">
        <f>IFERROR(Inv_SY!K117/Inv_SY!$Z117-1,"")</f>
        <v>-0.1520736902589338</v>
      </c>
      <c r="X115" s="220">
        <f>IFERROR(Inv_SY!L117/Inv_SY!$Z117-1,"")</f>
        <v>4.9624157602915275E-2</v>
      </c>
      <c r="Y115" s="220">
        <f>IFERROR(Inv_SY!M117/Inv_SY!$Z117-1,"")</f>
        <v>1.6352938608330536E-2</v>
      </c>
      <c r="Z115" s="220">
        <f>IFERROR(Inv_SY!N117/Inv_SY!$Z117-1,"")</f>
        <v>-9.9545875984196175E-2</v>
      </c>
      <c r="AA115" s="220">
        <f>IFERROR(Inv_SY!O117/Inv_SY!$Z117-1,"")</f>
        <v>2.4741442114400103E-2</v>
      </c>
      <c r="AB115" s="220">
        <f>IFERROR(Inv_SY!P117/Inv_SY!$Z117-1,"")</f>
        <v>-0.12695602728591782</v>
      </c>
      <c r="AC115" s="220">
        <f>IFERROR(Inv_SY!Q117/Inv_SY!$Z117-1,"")</f>
        <v>0.30591628468951337</v>
      </c>
      <c r="AD115" s="220">
        <f>IFERROR(Inv_SY!R117/Inv_SY!$Z117-1,"")</f>
        <v>3.5057970675301808E-2</v>
      </c>
      <c r="AE115" s="220">
        <f>IFERROR(Inv_SY!S117/Inv_SY!$Z117-1,"")</f>
        <v>-0.14166181074798867</v>
      </c>
      <c r="AF115" s="220">
        <f>IFERROR(Inv_SY!T117/Inv_SY!$Z117-1,"")</f>
        <v>0.27338597493761663</v>
      </c>
      <c r="AG115" s="220">
        <f>IFERROR(Inv_SY!U117/Inv_SY!$Z117-1,"")</f>
        <v>-0.1483917776539484</v>
      </c>
      <c r="AH115" s="220">
        <f>IFERROR(Inv_SY!V117/Inv_SY!$Y117-1,"")</f>
        <v>-7.4475598772947293E-3</v>
      </c>
      <c r="AI115" s="220">
        <f>IFERROR(Inv_SY!W117/Inv_SY!$Y117-1,"")</f>
        <v>1.5043807977090484E-2</v>
      </c>
      <c r="AJ115" s="220">
        <f>IFERROR(Inv_SY!X117/Inv_SY!$Y117-1,"")</f>
        <v>-7.5962480997960879E-3</v>
      </c>
      <c r="AK115" s="220">
        <f>IFERROR(Inv_SY!V117/Inv_SY!$Z117-1,"")</f>
        <v>-2.2158026754735771E-2</v>
      </c>
      <c r="AL115" s="220">
        <f>IFERROR(Inv_SY!W117/Inv_SY!$Z117-1,"")</f>
        <v>0</v>
      </c>
      <c r="AM115" s="220">
        <f>IFERROR(Inv_SY!X117/Inv_SY!$Z117-1,"")</f>
        <v>-2.2304511291987072E-2</v>
      </c>
    </row>
    <row r="116" spans="1:39" x14ac:dyDescent="0.25">
      <c r="A116" s="234">
        <f>YEAR(Inv_SY_D[[#This Row],[Date]])+IF(MONTH(Inv_SY_D[[#This Row],[Date]])&gt;=4,1,0)</f>
        <v>2026</v>
      </c>
      <c r="B116" s="234">
        <v>4</v>
      </c>
      <c r="C116" s="234">
        <f>YEAR(Inv_SY_D[[#This Row],[Month Year]])</f>
        <v>2025</v>
      </c>
      <c r="D116" s="234" t="s">
        <v>4</v>
      </c>
      <c r="E116" s="234" t="s">
        <v>4</v>
      </c>
      <c r="F116" s="235" t="str">
        <f>TEXT(Inv_SY_D[[#This Row],[Date]],"mmm-yy")</f>
        <v>Jul-25</v>
      </c>
      <c r="G116" s="236">
        <f>DAY(EOMONTH(Inv_SY_D[[#This Row],[Month Year]],0))</f>
        <v>31</v>
      </c>
      <c r="H116" s="237">
        <f t="shared" si="2"/>
        <v>45859</v>
      </c>
      <c r="I116" s="238">
        <v>7.0991999999999997</v>
      </c>
      <c r="J116" s="239">
        <f>IFERROR(Inv_SY!J118/Inv_SY!$Y118-1,"")</f>
        <v>3.1167299308979102E-2</v>
      </c>
      <c r="K116" s="239">
        <f>IFERROR(Inv_SY!K118/Inv_SY!$Y118-1,"")</f>
        <v>-0.14568988283994444</v>
      </c>
      <c r="L116" s="239">
        <f>IFERROR(Inv_SY!L118/Inv_SY!$Y118-1,"")</f>
        <v>2.3334018680888136E-2</v>
      </c>
      <c r="M116" s="239">
        <f>IFERROR(Inv_SY!M118/Inv_SY!$Y118-1,"")</f>
        <v>7.8099097345416757E-2</v>
      </c>
      <c r="N116" s="239">
        <f>IFERROR(Inv_SY!N118/Inv_SY!$Y118-1,"")</f>
        <v>-0.12350105616163476</v>
      </c>
      <c r="O116" s="239">
        <f>IFERROR(Inv_SY!O118/Inv_SY!$Y118-1,"")</f>
        <v>8.3488684474762653E-2</v>
      </c>
      <c r="P116" s="239">
        <f>IFERROR(Inv_SY!P118/Inv_SY!$Y118-1,"")</f>
        <v>-0.1235174369029326</v>
      </c>
      <c r="Q116" s="239">
        <f>IFERROR(Inv_SY!Q118/Inv_SY!$Y118-1,"")</f>
        <v>0.31222620597659745</v>
      </c>
      <c r="R116" s="239">
        <f>IFERROR(Inv_SY!R118/Inv_SY!$Y118-1,"")</f>
        <v>6.0009252586661121E-2</v>
      </c>
      <c r="S116" s="239">
        <f>IFERROR(Inv_SY!S118/Inv_SY!$Y118-1,"")</f>
        <v>-0.12217164053290663</v>
      </c>
      <c r="T116" s="239">
        <f>IFERROR(Inv_SY!T118/Inv_SY!$Y118-1,"")</f>
        <v>0.30292579393199381</v>
      </c>
      <c r="U116" s="239">
        <f>IFERROR(Inv_SY!U118/Inv_SY!$Y118-1,"")</f>
        <v>-0.12844675392844773</v>
      </c>
      <c r="V116" s="239">
        <f>IFERROR(Inv_SY!J118/Inv_SY!$Z118-1,"")</f>
        <v>2.143835007556194E-2</v>
      </c>
      <c r="W116" s="239">
        <f>IFERROR(Inv_SY!K118/Inv_SY!$Z118-1,"")</f>
        <v>-0.15375020415251395</v>
      </c>
      <c r="X116" s="239">
        <f>IFERROR(Inv_SY!L118/Inv_SY!$Z118-1,"")</f>
        <v>1.3678975582404718E-2</v>
      </c>
      <c r="Y116" s="239">
        <f>IFERROR(Inv_SY!M118/Inv_SY!$Z118-1,"")</f>
        <v>6.7927351796760238E-2</v>
      </c>
      <c r="Z116" s="239">
        <f>IFERROR(Inv_SY!N118/Inv_SY!$Z118-1,"")</f>
        <v>-0.13177072659577449</v>
      </c>
      <c r="AA116" s="239">
        <f>IFERROR(Inv_SY!O118/Inv_SY!$Z118-1,"")</f>
        <v>7.3266088768613846E-2</v>
      </c>
      <c r="AB116" s="239">
        <f>IFERROR(Inv_SY!P118/Inv_SY!$Z118-1,"")</f>
        <v>-0.13178695278659291</v>
      </c>
      <c r="AC116" s="239">
        <f>IFERROR(Inv_SY!Q118/Inv_SY!$Z118-1,"")</f>
        <v>0.29984549709525377</v>
      </c>
      <c r="AD116" s="239">
        <f>IFERROR(Inv_SY!R118/Inv_SY!$Z118-1,"")</f>
        <v>5.0008182719260219E-2</v>
      </c>
      <c r="AE116" s="239">
        <f>IFERROR(Inv_SY!S118/Inv_SY!$Z118-1,"")</f>
        <v>-0.1304538538562271</v>
      </c>
      <c r="AF116" s="239">
        <f>IFERROR(Inv_SY!T118/Inv_SY!$Z118-1,"")</f>
        <v>0.29063283340796553</v>
      </c>
      <c r="AG116" s="239">
        <f>IFERROR(Inv_SY!U118/Inv_SY!$Z118-1,"")</f>
        <v>-0.13666976225205574</v>
      </c>
      <c r="AH116" s="239">
        <f>IFERROR(Inv_SY!V118/Inv_SY!$Y118-1,"")</f>
        <v>-1.0079409153983088E-2</v>
      </c>
      <c r="AI116" s="239">
        <f>IFERROR(Inv_SY!W118/Inv_SY!$Y118-1,"")</f>
        <v>9.5247542181056133E-3</v>
      </c>
      <c r="AJ116" s="239">
        <f>IFERROR(Inv_SY!X118/Inv_SY!$Y118-1,"")</f>
        <v>5.5465493587791848E-4</v>
      </c>
      <c r="AK116" s="239">
        <f>IFERROR(Inv_SY!V118/Inv_SY!$Z118-1,"")</f>
        <v>-1.9419200262476566E-2</v>
      </c>
      <c r="AL116" s="239">
        <f>IFERROR(Inv_SY!W118/Inv_SY!$Z118-1,"")</f>
        <v>0</v>
      </c>
      <c r="AM116" s="239">
        <f>IFERROR(Inv_SY!X118/Inv_SY!$Z118-1,"")</f>
        <v>-8.8854673892324598E-3</v>
      </c>
    </row>
    <row r="117" spans="1:39" x14ac:dyDescent="0.25">
      <c r="A117" s="234">
        <f>YEAR(Inv_SY_D[[#This Row],[Date]])+IF(MONTH(Inv_SY_D[[#This Row],[Date]])&gt;=4,1,0)</f>
        <v>2026</v>
      </c>
      <c r="B117" s="234">
        <v>4</v>
      </c>
      <c r="C117" s="234">
        <f>YEAR(Inv_SY_D[[#This Row],[Month Year]])</f>
        <v>2025</v>
      </c>
      <c r="D117" s="234" t="s">
        <v>4</v>
      </c>
      <c r="E117" s="234" t="s">
        <v>4</v>
      </c>
      <c r="F117" s="235" t="str">
        <f>TEXT(Inv_SY_D[[#This Row],[Date]],"mmm-yy")</f>
        <v>Jul-25</v>
      </c>
      <c r="G117" s="236">
        <f>DAY(EOMONTH(Inv_SY_D[[#This Row],[Month Year]],0))</f>
        <v>31</v>
      </c>
      <c r="H117" s="237">
        <f t="shared" si="2"/>
        <v>45860</v>
      </c>
      <c r="I117" s="238">
        <v>7.0991999999999997</v>
      </c>
      <c r="J117" s="239">
        <f>IFERROR(Inv_SY!J119/Inv_SY!$Y119-1,"")</f>
        <v>6.2858879551363378E-2</v>
      </c>
      <c r="K117" s="239">
        <f>IFERROR(Inv_SY!K119/Inv_SY!$Y119-1,"")</f>
        <v>-0.15498196202442716</v>
      </c>
      <c r="L117" s="239">
        <f>IFERROR(Inv_SY!L119/Inv_SY!$Y119-1,"")</f>
        <v>1.3467219459336599E-2</v>
      </c>
      <c r="M117" s="239">
        <f>IFERROR(Inv_SY!M119/Inv_SY!$Y119-1,"")</f>
        <v>1.2895009280260661E-2</v>
      </c>
      <c r="N117" s="239">
        <f>IFERROR(Inv_SY!N119/Inv_SY!$Y119-1,"")</f>
        <v>-0.12189920120081343</v>
      </c>
      <c r="O117" s="239">
        <f>IFERROR(Inv_SY!O119/Inv_SY!$Y119-1,"")</f>
        <v>3.0921189927089809E-2</v>
      </c>
      <c r="P117" s="239">
        <f>IFERROR(Inv_SY!P119/Inv_SY!$Y119-1,"")</f>
        <v>-8.3589608013065586E-2</v>
      </c>
      <c r="Q117" s="239">
        <f>IFERROR(Inv_SY!Q119/Inv_SY!$Y119-1,"")</f>
        <v>0.31390637659591891</v>
      </c>
      <c r="R117" s="239">
        <f>IFERROR(Inv_SY!R119/Inv_SY!$Y119-1,"")</f>
        <v>7.404837980922796E-2</v>
      </c>
      <c r="S117" s="239">
        <f>IFERROR(Inv_SY!S119/Inv_SY!$Y119-1,"")</f>
        <v>-0.10981923684542982</v>
      </c>
      <c r="T117" s="239">
        <f>IFERROR(Inv_SY!T119/Inv_SY!$Y119-1,"")</f>
        <v>0.32032768535005363</v>
      </c>
      <c r="U117" s="239">
        <f>IFERROR(Inv_SY!U119/Inv_SY!$Y119-1,"")</f>
        <v>-0.11655980122340126</v>
      </c>
      <c r="V117" s="239">
        <f>IFERROR(Inv_SY!J119/Inv_SY!$Z119-1,"")</f>
        <v>4.8039473196557214E-2</v>
      </c>
      <c r="W117" s="239">
        <f>IFERROR(Inv_SY!K119/Inv_SY!$Z119-1,"")</f>
        <v>-0.16676402069922214</v>
      </c>
      <c r="X117" s="239">
        <f>IFERROR(Inv_SY!L119/Inv_SY!$Z119-1,"")</f>
        <v>-6.6352060540564306E-4</v>
      </c>
      <c r="Y117" s="239">
        <f>IFERROR(Inv_SY!M119/Inv_SY!$Z119-1,"")</f>
        <v>-1.2277524767990711E-3</v>
      </c>
      <c r="Z117" s="239">
        <f>IFERROR(Inv_SY!N119/Inv_SY!$Z119-1,"")</f>
        <v>-0.13414253172026847</v>
      </c>
      <c r="AA117" s="239">
        <f>IFERROR(Inv_SY!O119/Inv_SY!$Z119-1,"")</f>
        <v>1.6547089726921538E-2</v>
      </c>
      <c r="AB117" s="239">
        <f>IFERROR(Inv_SY!P119/Inv_SY!$Z119-1,"")</f>
        <v>-9.6367087928700301E-2</v>
      </c>
      <c r="AC117" s="239">
        <f>IFERROR(Inv_SY!Q119/Inv_SY!$Z119-1,"")</f>
        <v>0.29558662325748419</v>
      </c>
      <c r="AD117" s="239">
        <f>IFERROR(Inv_SY!R119/Inv_SY!$Z119-1,"")</f>
        <v>5.907295862082651E-2</v>
      </c>
      <c r="AE117" s="239">
        <f>IFERROR(Inv_SY!S119/Inv_SY!$Z119-1,"")</f>
        <v>-0.12223099791006653</v>
      </c>
      <c r="AF117" s="239">
        <f>IFERROR(Inv_SY!T119/Inv_SY!$Z119-1,"")</f>
        <v>0.30191839991513092</v>
      </c>
      <c r="AG117" s="239">
        <f>IFERROR(Inv_SY!U119/Inv_SY!$Z119-1,"")</f>
        <v>-0.12887757882090067</v>
      </c>
      <c r="AH117" s="239">
        <f>IFERROR(Inv_SY!V119/Inv_SY!$Y119-1,"")</f>
        <v>-2.306505276326809E-2</v>
      </c>
      <c r="AI117" s="239">
        <f>IFERROR(Inv_SY!W119/Inv_SY!$Y119-1,"")</f>
        <v>8.9249304359992898E-3</v>
      </c>
      <c r="AJ117" s="239">
        <f>IFERROR(Inv_SY!X119/Inv_SY!$Y119-1,"")</f>
        <v>1.4140122327269244E-2</v>
      </c>
      <c r="AK117" s="239">
        <f>IFERROR(Inv_SY!V119/Inv_SY!$Z119-1,"")</f>
        <v>-3.6686424559515651E-2</v>
      </c>
      <c r="AL117" s="239">
        <f>IFERROR(Inv_SY!W119/Inv_SY!$Z119-1,"")</f>
        <v>-5.1424766424802426E-3</v>
      </c>
      <c r="AM117" s="239">
        <f>IFERROR(Inv_SY!X119/Inv_SY!$Z119-1,"")</f>
        <v>0</v>
      </c>
    </row>
    <row r="118" spans="1:39" x14ac:dyDescent="0.25">
      <c r="A118" s="234">
        <f>YEAR(Inv_SY_D[[#This Row],[Date]])+IF(MONTH(Inv_SY_D[[#This Row],[Date]])&gt;=4,1,0)</f>
        <v>2026</v>
      </c>
      <c r="B118" s="234">
        <v>4</v>
      </c>
      <c r="C118" s="234">
        <f>YEAR(Inv_SY_D[[#This Row],[Month Year]])</f>
        <v>2025</v>
      </c>
      <c r="D118" s="234" t="s">
        <v>4</v>
      </c>
      <c r="E118" s="234" t="s">
        <v>4</v>
      </c>
      <c r="F118" s="235" t="str">
        <f>TEXT(Inv_SY_D[[#This Row],[Date]],"mmm-yy")</f>
        <v>Jul-25</v>
      </c>
      <c r="G118" s="236">
        <f>DAY(EOMONTH(Inv_SY_D[[#This Row],[Month Year]],0))</f>
        <v>31</v>
      </c>
      <c r="H118" s="237">
        <f t="shared" si="2"/>
        <v>45861</v>
      </c>
      <c r="I118" s="238">
        <v>7.0991999999999997</v>
      </c>
      <c r="J118" s="239">
        <f>IFERROR(Inv_SY!J120/Inv_SY!$Y120-1,"")</f>
        <v>-1.0885870699263833E-2</v>
      </c>
      <c r="K118" s="239">
        <f>IFERROR(Inv_SY!K120/Inv_SY!$Y120-1,"")</f>
        <v>-6.3227716315079285E-2</v>
      </c>
      <c r="L118" s="239">
        <f>IFERROR(Inv_SY!L120/Inv_SY!$Y120-1,"")</f>
        <v>-2.3137323955838784E-2</v>
      </c>
      <c r="M118" s="239">
        <f>IFERROR(Inv_SY!M120/Inv_SY!$Y120-1,"")</f>
        <v>-1.8110625809426795E-2</v>
      </c>
      <c r="N118" s="239">
        <f>IFERROR(Inv_SY!N120/Inv_SY!$Y120-1,"")</f>
        <v>-0.1377815568503955</v>
      </c>
      <c r="O118" s="239">
        <f>IFERROR(Inv_SY!O120/Inv_SY!$Y120-1,"")</f>
        <v>1.1691489019995061E-2</v>
      </c>
      <c r="P118" s="239">
        <f>IFERROR(Inv_SY!P120/Inv_SY!$Y120-1,"")</f>
        <v>-0.13991984795741996</v>
      </c>
      <c r="Q118" s="239">
        <f>IFERROR(Inv_SY!Q120/Inv_SY!$Y120-1,"")</f>
        <v>0.47449880154467783</v>
      </c>
      <c r="R118" s="239">
        <f>IFERROR(Inv_SY!R120/Inv_SY!$Y120-1,"")</f>
        <v>7.8557134775041115E-2</v>
      </c>
      <c r="S118" s="239">
        <f>IFERROR(Inv_SY!S120/Inv_SY!$Y120-1,"")</f>
        <v>-0.1103544520358134</v>
      </c>
      <c r="T118" s="239">
        <f>IFERROR(Inv_SY!T120/Inv_SY!$Y120-1,"")</f>
        <v>0.32286951986452528</v>
      </c>
      <c r="U118" s="239">
        <f>IFERROR(Inv_SY!U120/Inv_SY!$Y120-1,"")</f>
        <v>-0.11478933549002157</v>
      </c>
      <c r="V118" s="239">
        <f>IFERROR(Inv_SY!J120/Inv_SY!$Z120-1,"")</f>
        <v>-2.6507307681432501E-2</v>
      </c>
      <c r="W118" s="239">
        <f>IFERROR(Inv_SY!K120/Inv_SY!$Z120-1,"")</f>
        <v>-7.8022499609269658E-2</v>
      </c>
      <c r="X118" s="239">
        <f>IFERROR(Inv_SY!L120/Inv_SY!$Z120-1,"")</f>
        <v>-3.8565269308155847E-2</v>
      </c>
      <c r="Y118" s="239">
        <f>IFERROR(Inv_SY!M120/Inv_SY!$Z120-1,"")</f>
        <v>-3.361795962258618E-2</v>
      </c>
      <c r="Z118" s="239">
        <f>IFERROR(Inv_SY!N120/Inv_SY!$Z120-1,"")</f>
        <v>-0.15139888439180593</v>
      </c>
      <c r="AA118" s="239">
        <f>IFERROR(Inv_SY!O120/Inv_SY!$Z120-1,"")</f>
        <v>-4.2865203653272843E-3</v>
      </c>
      <c r="AB118" s="239">
        <f>IFERROR(Inv_SY!P120/Inv_SY!$Z120-1,"")</f>
        <v>-0.15350340469444246</v>
      </c>
      <c r="AC118" s="239">
        <f>IFERROR(Inv_SY!Q120/Inv_SY!$Z120-1,"")</f>
        <v>0.4512115089802724</v>
      </c>
      <c r="AD118" s="239">
        <f>IFERROR(Inv_SY!R120/Inv_SY!$Z120-1,"")</f>
        <v>6.1523092076178898E-2</v>
      </c>
      <c r="AE118" s="239">
        <f>IFERROR(Inv_SY!S120/Inv_SY!$Z120-1,"")</f>
        <v>-0.12440494575772032</v>
      </c>
      <c r="AF118" s="239">
        <f>IFERROR(Inv_SY!T120/Inv_SY!$Z120-1,"")</f>
        <v>0.30197696335559665</v>
      </c>
      <c r="AG118" s="239">
        <f>IFERROR(Inv_SY!U120/Inv_SY!$Z120-1,"")</f>
        <v>-0.12876978749444523</v>
      </c>
      <c r="AH118" s="239">
        <f>IFERROR(Inv_SY!V120/Inv_SY!$Y120-1,"")</f>
        <v>-3.0483428812005386E-2</v>
      </c>
      <c r="AI118" s="239">
        <f>IFERROR(Inv_SY!W120/Inv_SY!$Y120-1,"")</f>
        <v>1.4436634516135305E-2</v>
      </c>
      <c r="AJ118" s="239">
        <f>IFERROR(Inv_SY!X120/Inv_SY!$Y120-1,"")</f>
        <v>1.6046794295869971E-2</v>
      </c>
      <c r="AK118" s="239">
        <f>IFERROR(Inv_SY!V120/Inv_SY!$Z120-1,"")</f>
        <v>-4.57953544749099E-2</v>
      </c>
      <c r="AL118" s="239">
        <f>IFERROR(Inv_SY!W120/Inv_SY!$Z120-1,"")</f>
        <v>-1.5847299443038088E-3</v>
      </c>
      <c r="AM118" s="239">
        <f>IFERROR(Inv_SY!X120/Inv_SY!$Z120-1,"")</f>
        <v>0</v>
      </c>
    </row>
    <row r="119" spans="1:39" x14ac:dyDescent="0.25">
      <c r="A119" s="234">
        <f>YEAR(Inv_SY_D[[#This Row],[Date]])+IF(MONTH(Inv_SY_D[[#This Row],[Date]])&gt;=4,1,0)</f>
        <v>2026</v>
      </c>
      <c r="B119" s="234">
        <v>4</v>
      </c>
      <c r="C119" s="234">
        <f>YEAR(Inv_SY_D[[#This Row],[Month Year]])</f>
        <v>2025</v>
      </c>
      <c r="D119" s="234" t="s">
        <v>4</v>
      </c>
      <c r="E119" s="234" t="s">
        <v>4</v>
      </c>
      <c r="F119" s="235" t="str">
        <f>TEXT(Inv_SY_D[[#This Row],[Date]],"mmm-yy")</f>
        <v>Jul-25</v>
      </c>
      <c r="G119" s="236">
        <f>DAY(EOMONTH(Inv_SY_D[[#This Row],[Month Year]],0))</f>
        <v>31</v>
      </c>
      <c r="H119" s="237">
        <f t="shared" si="2"/>
        <v>45862</v>
      </c>
      <c r="I119" s="238">
        <v>7.0991999999999997</v>
      </c>
      <c r="J119" s="239">
        <f>IFERROR(Inv_SY!J121/Inv_SY!$Y121-1,"")</f>
        <v>-0.14211602980797755</v>
      </c>
      <c r="K119" s="239">
        <f>IFERROR(Inv_SY!K121/Inv_SY!$Y121-1,"")</f>
        <v>-0.28923767309453452</v>
      </c>
      <c r="L119" s="239">
        <f>IFERROR(Inv_SY!L121/Inv_SY!$Y121-1,"")</f>
        <v>5.3090014159185017E-3</v>
      </c>
      <c r="M119" s="239">
        <f>IFERROR(Inv_SY!M121/Inv_SY!$Y121-1,"")</f>
        <v>-0.14874160034859607</v>
      </c>
      <c r="N119" s="239">
        <f>IFERROR(Inv_SY!N121/Inv_SY!$Y121-1,"")</f>
        <v>5.1295553895428725E-2</v>
      </c>
      <c r="O119" s="239">
        <f>IFERROR(Inv_SY!O121/Inv_SY!$Y121-1,"")</f>
        <v>7.6145553578170544E-2</v>
      </c>
      <c r="P119" s="239">
        <f>IFERROR(Inv_SY!P121/Inv_SY!$Y121-1,"")</f>
        <v>-8.5249834938695646E-2</v>
      </c>
      <c r="Q119" s="239">
        <f>IFERROR(Inv_SY!Q121/Inv_SY!$Y121-1,"")</f>
        <v>0.37654057084632009</v>
      </c>
      <c r="R119" s="239">
        <f>IFERROR(Inv_SY!R121/Inv_SY!$Y121-1,"")</f>
        <v>0.13631689415015424</v>
      </c>
      <c r="S119" s="239">
        <f>IFERROR(Inv_SY!S121/Inv_SY!$Y121-1,"")</f>
        <v>-6.3750155907003392E-2</v>
      </c>
      <c r="T119" s="239">
        <f>IFERROR(Inv_SY!T121/Inv_SY!$Y121-1,"")</f>
        <v>0.39305605244231079</v>
      </c>
      <c r="U119" s="239">
        <f>IFERROR(Inv_SY!U121/Inv_SY!$Y121-1,"")</f>
        <v>-6.7191723157334349E-2</v>
      </c>
      <c r="V119" s="239">
        <f>IFERROR(Inv_SY!J121/Inv_SY!$Z121-1,"")</f>
        <v>-0.20614349285813627</v>
      </c>
      <c r="W119" s="239">
        <f>IFERROR(Inv_SY!K121/Inv_SY!$Z121-1,"")</f>
        <v>-0.34228483355517147</v>
      </c>
      <c r="X119" s="239">
        <f>IFERROR(Inv_SY!L121/Inv_SY!$Z121-1,"")</f>
        <v>-6.9721407332413943E-2</v>
      </c>
      <c r="Y119" s="239">
        <f>IFERROR(Inv_SY!M121/Inv_SY!$Z121-1,"")</f>
        <v>-0.212274569402229</v>
      </c>
      <c r="Z119" s="239">
        <f>IFERROR(Inv_SY!N121/Inv_SY!$Z121-1,"")</f>
        <v>-2.7167023295247894E-2</v>
      </c>
      <c r="AA119" s="239">
        <f>IFERROR(Inv_SY!O121/Inv_SY!$Z121-1,"")</f>
        <v>-4.1716828575402154E-3</v>
      </c>
      <c r="AB119" s="239">
        <f>IFERROR(Inv_SY!P121/Inv_SY!$Z121-1,"")</f>
        <v>-0.1535214595739941</v>
      </c>
      <c r="AC119" s="239">
        <f>IFERROR(Inv_SY!Q121/Inv_SY!$Z121-1,"")</f>
        <v>0.27380359988137792</v>
      </c>
      <c r="AD119" s="239">
        <f>IFERROR(Inv_SY!R121/Inv_SY!$Z121-1,"")</f>
        <v>5.1508819303872855E-2</v>
      </c>
      <c r="AE119" s="239">
        <f>IFERROR(Inv_SY!S121/Inv_SY!$Z121-1,"")</f>
        <v>-0.13362639136686805</v>
      </c>
      <c r="AF119" s="239">
        <f>IFERROR(Inv_SY!T121/Inv_SY!$Z121-1,"")</f>
        <v>0.28908646212045697</v>
      </c>
      <c r="AG119" s="239">
        <f>IFERROR(Inv_SY!U121/Inv_SY!$Z121-1,"")</f>
        <v>-0.13681110008199882</v>
      </c>
      <c r="AH119" s="239">
        <f>IFERROR(Inv_SY!V121/Inv_SY!$Y121-1,"")</f>
        <v>-0.15074505861154053</v>
      </c>
      <c r="AI119" s="239">
        <f>IFERROR(Inv_SY!W121/Inv_SY!$Y121-1,"")</f>
        <v>8.0653698085410896E-2</v>
      </c>
      <c r="AJ119" s="239">
        <f>IFERROR(Inv_SY!X121/Inv_SY!$Y121-1,"")</f>
        <v>7.0091360526129742E-2</v>
      </c>
      <c r="AK119" s="239">
        <f>IFERROR(Inv_SY!V121/Inv_SY!$Z121-1,"")</f>
        <v>-0.21412850120896221</v>
      </c>
      <c r="AL119" s="239">
        <f>IFERROR(Inv_SY!W121/Inv_SY!$Z121-1,"")</f>
        <v>0</v>
      </c>
      <c r="AM119" s="239">
        <f>IFERROR(Inv_SY!X121/Inv_SY!$Z121-1,"")</f>
        <v>-9.7740262009877732E-3</v>
      </c>
    </row>
    <row r="120" spans="1:39" x14ac:dyDescent="0.25">
      <c r="A120" s="234">
        <f>YEAR(Inv_SY_D[[#This Row],[Date]])+IF(MONTH(Inv_SY_D[[#This Row],[Date]])&gt;=4,1,0)</f>
        <v>2026</v>
      </c>
      <c r="B120" s="234">
        <v>4</v>
      </c>
      <c r="C120" s="234">
        <f>YEAR(Inv_SY_D[[#This Row],[Month Year]])</f>
        <v>2025</v>
      </c>
      <c r="D120" s="234" t="s">
        <v>4</v>
      </c>
      <c r="E120" s="234" t="s">
        <v>4</v>
      </c>
      <c r="F120" s="235" t="str">
        <f>TEXT(Inv_SY_D[[#This Row],[Date]],"mmm-yy")</f>
        <v>Jul-25</v>
      </c>
      <c r="G120" s="236">
        <f>DAY(EOMONTH(Inv_SY_D[[#This Row],[Month Year]],0))</f>
        <v>31</v>
      </c>
      <c r="H120" s="237">
        <f t="shared" si="2"/>
        <v>45863</v>
      </c>
      <c r="I120" s="238">
        <v>7.0991999999999997</v>
      </c>
      <c r="J120" s="239">
        <f>IFERROR(Inv_SY!J122/Inv_SY!$Y122-1,"")</f>
        <v>1.1625362461337163E-2</v>
      </c>
      <c r="K120" s="239">
        <f>IFERROR(Inv_SY!K122/Inv_SY!$Y122-1,"")</f>
        <v>-9.3729513006624021E-2</v>
      </c>
      <c r="L120" s="239">
        <f>IFERROR(Inv_SY!L122/Inv_SY!$Y122-1,"")</f>
        <v>-7.0000348371745957E-4</v>
      </c>
      <c r="M120" s="239">
        <f>IFERROR(Inv_SY!M122/Inv_SY!$Y122-1,"")</f>
        <v>3.9758335494719521E-3</v>
      </c>
      <c r="N120" s="239">
        <f>IFERROR(Inv_SY!N122/Inv_SY!$Y122-1,"")</f>
        <v>-0.12411772327338599</v>
      </c>
      <c r="O120" s="239">
        <f>IFERROR(Inv_SY!O122/Inv_SY!$Y122-1,"")</f>
        <v>0.11106923831558424</v>
      </c>
      <c r="P120" s="239">
        <f>IFERROR(Inv_SY!P122/Inv_SY!$Y122-1,"")</f>
        <v>-0.12594816448806512</v>
      </c>
      <c r="Q120" s="239">
        <f>IFERROR(Inv_SY!Q122/Inv_SY!$Y122-1,"")</f>
        <v>1.443785701389126</v>
      </c>
      <c r="R120" s="239">
        <f>IFERROR(Inv_SY!R122/Inv_SY!$Y122-1,"")</f>
        <v>6.8910421918580544E-2</v>
      </c>
      <c r="S120" s="239">
        <f>IFERROR(Inv_SY!S122/Inv_SY!$Y122-1,"")</f>
        <v>-0.11737271881894262</v>
      </c>
      <c r="T120" s="239">
        <f>IFERROR(Inv_SY!T122/Inv_SY!$Y122-1,"")</f>
        <v>0.31251726751741171</v>
      </c>
      <c r="U120" s="239">
        <f>IFERROR(Inv_SY!U122/Inv_SY!$Y122-1,"")</f>
        <v>-0.12154005272676471</v>
      </c>
      <c r="V120" s="239">
        <f>IFERROR(Inv_SY!J122/Inv_SY!$Z122-1,"")</f>
        <v>-3.7212175843658324E-3</v>
      </c>
      <c r="W120" s="239">
        <f>IFERROR(Inv_SY!K122/Inv_SY!$Z122-1,"")</f>
        <v>-0.10747783633638186</v>
      </c>
      <c r="X120" s="239">
        <f>IFERROR(Inv_SY!L122/Inv_SY!$Z122-1,"")</f>
        <v>-1.5859605007442434E-2</v>
      </c>
      <c r="Y120" s="239">
        <f>IFERROR(Inv_SY!M122/Inv_SY!$Z122-1,"")</f>
        <v>-1.1254701454149085E-2</v>
      </c>
      <c r="Z120" s="239">
        <f>IFERROR(Inv_SY!N122/Inv_SY!$Z122-1,"")</f>
        <v>-0.13740505074577447</v>
      </c>
      <c r="AA120" s="239">
        <f>IFERROR(Inv_SY!O122/Inv_SY!$Z122-1,"")</f>
        <v>9.4214072722817788E-2</v>
      </c>
      <c r="AB120" s="239">
        <f>IFERROR(Inv_SY!P122/Inv_SY!$Z122-1,"")</f>
        <v>-0.13920772376319168</v>
      </c>
      <c r="AC120" s="239">
        <f>IFERROR(Inv_SY!Q122/Inv_SY!$Z122-1,"")</f>
        <v>1.4067129328795822</v>
      </c>
      <c r="AD120" s="239">
        <f>IFERROR(Inv_SY!R122/Inv_SY!$Z122-1,"")</f>
        <v>5.2694814876317997E-2</v>
      </c>
      <c r="AE120" s="239">
        <f>IFERROR(Inv_SY!S122/Inv_SY!$Z122-1,"")</f>
        <v>-0.13076236949773712</v>
      </c>
      <c r="AF120" s="239">
        <f>IFERROR(Inv_SY!T122/Inv_SY!$Z122-1,"")</f>
        <v>0.29260609085581124</v>
      </c>
      <c r="AG120" s="239">
        <f>IFERROR(Inv_SY!U122/Inv_SY!$Z122-1,"")</f>
        <v>-0.13486648403031742</v>
      </c>
      <c r="AH120" s="239">
        <f>IFERROR(Inv_SY!V122/Inv_SY!$Y122-1,"")</f>
        <v>-2.3249001714815809E-2</v>
      </c>
      <c r="AI120" s="239">
        <f>IFERROR(Inv_SY!W122/Inv_SY!$Y122-1,"")</f>
        <v>1.5403901314140933E-2</v>
      </c>
      <c r="AJ120" s="239">
        <f>IFERROR(Inv_SY!X122/Inv_SY!$Y122-1,"")</f>
        <v>7.845100400675431E-3</v>
      </c>
      <c r="AK120" s="239">
        <f>IFERROR(Inv_SY!V122/Inv_SY!$Z122-1,"")</f>
        <v>-3.8066529958110218E-2</v>
      </c>
      <c r="AL120" s="239">
        <f>IFERROR(Inv_SY!W122/Inv_SY!$Z122-1,"")</f>
        <v>0</v>
      </c>
      <c r="AM120" s="239">
        <f>IFERROR(Inv_SY!X122/Inv_SY!$Z122-1,"")</f>
        <v>-7.4441322351459505E-3</v>
      </c>
    </row>
    <row r="121" spans="1:39" x14ac:dyDescent="0.25">
      <c r="A121" s="234">
        <f>YEAR(Inv_SY_D[[#This Row],[Date]])+IF(MONTH(Inv_SY_D[[#This Row],[Date]])&gt;=4,1,0)</f>
        <v>2026</v>
      </c>
      <c r="B121" s="234">
        <v>4</v>
      </c>
      <c r="C121" s="234">
        <f>YEAR(Inv_SY_D[[#This Row],[Month Year]])</f>
        <v>2025</v>
      </c>
      <c r="D121" s="234" t="s">
        <v>4</v>
      </c>
      <c r="E121" s="234" t="s">
        <v>4</v>
      </c>
      <c r="F121" s="235" t="str">
        <f>TEXT(Inv_SY_D[[#This Row],[Date]],"mmm-yy")</f>
        <v>Jul-25</v>
      </c>
      <c r="G121" s="236">
        <f>DAY(EOMONTH(Inv_SY_D[[#This Row],[Month Year]],0))</f>
        <v>31</v>
      </c>
      <c r="H121" s="237">
        <f t="shared" si="2"/>
        <v>45864</v>
      </c>
      <c r="I121" s="238">
        <v>7.0991999999999997</v>
      </c>
      <c r="J121" s="239">
        <f>IFERROR(Inv_SY!J123/Inv_SY!$Y123-1,"")</f>
        <v>-3.1112092666032543E-2</v>
      </c>
      <c r="K121" s="239">
        <f>IFERROR(Inv_SY!K123/Inv_SY!$Y123-1,"")</f>
        <v>-0.19719085628326283</v>
      </c>
      <c r="L121" s="239">
        <f>IFERROR(Inv_SY!L123/Inv_SY!$Y123-1,"")</f>
        <v>0.270264258069143</v>
      </c>
      <c r="M121" s="239">
        <f>IFERROR(Inv_SY!M123/Inv_SY!$Y123-1,"")</f>
        <v>-3.7960701474990644E-2</v>
      </c>
      <c r="N121" s="239">
        <f>IFERROR(Inv_SY!N123/Inv_SY!$Y123-1,"")</f>
        <v>-0.16716682528162563</v>
      </c>
      <c r="O121" s="239">
        <f>IFERROR(Inv_SY!O123/Inv_SY!$Y123-1,"")</f>
        <v>-2.3692766456328118E-2</v>
      </c>
      <c r="P121" s="239">
        <f>IFERROR(Inv_SY!P123/Inv_SY!$Y123-1,"")</f>
        <v>6.5267107273808023E-2</v>
      </c>
      <c r="Q121" s="239">
        <f>IFERROR(Inv_SY!Q123/Inv_SY!$Y123-1,"")</f>
        <v>0.25458124521929948</v>
      </c>
      <c r="R121" s="239">
        <f>IFERROR(Inv_SY!R123/Inv_SY!$Y123-1,"")</f>
        <v>5.9387293494998383E-2</v>
      </c>
      <c r="S121" s="239">
        <f>IFERROR(Inv_SY!S123/Inv_SY!$Y123-1,"")</f>
        <v>-0.13235776432257484</v>
      </c>
      <c r="T121" s="239">
        <f>IFERROR(Inv_SY!T123/Inv_SY!$Y123-1,"")</f>
        <v>0.29517561854307295</v>
      </c>
      <c r="U121" s="239">
        <f>IFERROR(Inv_SY!U123/Inv_SY!$Y123-1,"")</f>
        <v>-0.13211595265791498</v>
      </c>
      <c r="V121" s="239">
        <f>IFERROR(Inv_SY!J123/Inv_SY!$Z123-1,"")</f>
        <v>-4.4193905630044439E-2</v>
      </c>
      <c r="W121" s="239">
        <f>IFERROR(Inv_SY!K123/Inv_SY!$Z123-1,"")</f>
        <v>-0.20803029290374786</v>
      </c>
      <c r="X121" s="239">
        <f>IFERROR(Inv_SY!L123/Inv_SY!$Z123-1,"")</f>
        <v>0.25311329631892887</v>
      </c>
      <c r="Y121" s="239">
        <f>IFERROR(Inv_SY!M123/Inv_SY!$Z123-1,"")</f>
        <v>-5.0950045311434433E-2</v>
      </c>
      <c r="Z121" s="239">
        <f>IFERROR(Inv_SY!N123/Inv_SY!$Z123-1,"")</f>
        <v>-0.17841164291163314</v>
      </c>
      <c r="AA121" s="239">
        <f>IFERROR(Inv_SY!O123/Inv_SY!$Z123-1,"")</f>
        <v>-3.6874754308538815E-2</v>
      </c>
      <c r="AB121" s="239">
        <f>IFERROR(Inv_SY!P123/Inv_SY!$Z123-1,"")</f>
        <v>5.0883993449613696E-2</v>
      </c>
      <c r="AC121" s="239">
        <f>IFERROR(Inv_SY!Q123/Inv_SY!$Z123-1,"")</f>
        <v>0.23764203370279247</v>
      </c>
      <c r="AD121" s="239">
        <f>IFERROR(Inv_SY!R123/Inv_SY!$Z123-1,"")</f>
        <v>4.5083568239425276E-2</v>
      </c>
      <c r="AE121" s="239">
        <f>IFERROR(Inv_SY!S123/Inv_SY!$Z123-1,"")</f>
        <v>-0.14407256988562622</v>
      </c>
      <c r="AF121" s="239">
        <f>IFERROR(Inv_SY!T123/Inv_SY!$Z123-1,"")</f>
        <v>0.27768830647211251</v>
      </c>
      <c r="AG121" s="239">
        <f>IFERROR(Inv_SY!U123/Inv_SY!$Z123-1,"")</f>
        <v>-0.14383402313421967</v>
      </c>
      <c r="AH121" s="239">
        <f>IFERROR(Inv_SY!V123/Inv_SY!$Y123-1,"")</f>
        <v>-8.648333431002353E-3</v>
      </c>
      <c r="AI121" s="239">
        <f>IFERROR(Inv_SY!W123/Inv_SY!$Y123-1,"")</f>
        <v>1.3686680845695021E-2</v>
      </c>
      <c r="AJ121" s="239">
        <f>IFERROR(Inv_SY!X123/Inv_SY!$Y123-1,"")</f>
        <v>-5.0383474146927787E-3</v>
      </c>
      <c r="AK121" s="239">
        <f>IFERROR(Inv_SY!V123/Inv_SY!$Z123-1,"")</f>
        <v>-2.2033449485657441E-2</v>
      </c>
      <c r="AL121" s="239">
        <f>IFERROR(Inv_SY!W123/Inv_SY!$Z123-1,"")</f>
        <v>0</v>
      </c>
      <c r="AM121" s="239">
        <f>IFERROR(Inv_SY!X123/Inv_SY!$Z123-1,"")</f>
        <v>-1.8472205084874904E-2</v>
      </c>
    </row>
    <row r="122" spans="1:39" x14ac:dyDescent="0.25">
      <c r="A122" s="234">
        <f>YEAR(Inv_SY_D[[#This Row],[Date]])+IF(MONTH(Inv_SY_D[[#This Row],[Date]])&gt;=4,1,0)</f>
        <v>2026</v>
      </c>
      <c r="B122" s="234">
        <v>4</v>
      </c>
      <c r="C122" s="234">
        <f>YEAR(Inv_SY_D[[#This Row],[Month Year]])</f>
        <v>2025</v>
      </c>
      <c r="D122" s="234" t="s">
        <v>4</v>
      </c>
      <c r="E122" s="234" t="s">
        <v>4</v>
      </c>
      <c r="F122" s="235" t="str">
        <f>TEXT(Inv_SY_D[[#This Row],[Date]],"mmm-yy")</f>
        <v>Jul-25</v>
      </c>
      <c r="G122" s="236">
        <f>DAY(EOMONTH(Inv_SY_D[[#This Row],[Month Year]],0))</f>
        <v>31</v>
      </c>
      <c r="H122" s="237">
        <f t="shared" si="2"/>
        <v>45865</v>
      </c>
      <c r="I122" s="238">
        <v>7.0991999999999997</v>
      </c>
      <c r="J122" s="239">
        <f>IFERROR(Inv_SY!J124/Inv_SY!$Y124-1,"")</f>
        <v>1.7400437510759037E-2</v>
      </c>
      <c r="K122" s="239" t="str">
        <f>IFERROR(Inv_SY!K124/Inv_SY!$Y124-1,"")</f>
        <v/>
      </c>
      <c r="L122" s="239">
        <f>IFERROR(Inv_SY!L124/Inv_SY!$Y124-1,"")</f>
        <v>1.0246960885924805E-2</v>
      </c>
      <c r="M122" s="239">
        <f>IFERROR(Inv_SY!M124/Inv_SY!$Y124-1,"")</f>
        <v>1.0646006790253182E-2</v>
      </c>
      <c r="N122" s="239">
        <f>IFERROR(Inv_SY!N124/Inv_SY!$Y124-1,"")</f>
        <v>-0.10877936344425476</v>
      </c>
      <c r="O122" s="239">
        <f>IFERROR(Inv_SY!O124/Inv_SY!$Y124-1,"")</f>
        <v>8.8092996322832295E-2</v>
      </c>
      <c r="P122" s="239">
        <f>IFERROR(Inv_SY!P124/Inv_SY!$Y124-1,"")</f>
        <v>-0.10859973414574675</v>
      </c>
      <c r="Q122" s="239" t="str">
        <f>IFERROR(Inv_SY!Q124/Inv_SY!$Y124-1,"")</f>
        <v/>
      </c>
      <c r="R122" s="239">
        <f>IFERROR(Inv_SY!R124/Inv_SY!$Y124-1,"")</f>
        <v>6.1155889296048871E-2</v>
      </c>
      <c r="S122" s="239">
        <f>IFERROR(Inv_SY!S124/Inv_SY!$Y124-1,"")</f>
        <v>-0.12032247795389162</v>
      </c>
      <c r="T122" s="239">
        <f>IFERROR(Inv_SY!T124/Inv_SY!$Y124-1,"")</f>
        <v>0.30604287156235643</v>
      </c>
      <c r="U122" s="239">
        <f>IFERROR(Inv_SY!U124/Inv_SY!$Y124-1,"")</f>
        <v>-0.12638637019873877</v>
      </c>
      <c r="V122" s="239">
        <f>IFERROR(Inv_SY!J124/Inv_SY!$Z124-1,"")</f>
        <v>-5.5524574829167728E-3</v>
      </c>
      <c r="W122" s="239" t="str">
        <f>IFERROR(Inv_SY!K124/Inv_SY!$Z124-1,"")</f>
        <v/>
      </c>
      <c r="X122" s="239">
        <f>IFERROR(Inv_SY!L124/Inv_SY!$Z124-1,"")</f>
        <v>-1.2544549276611083E-2</v>
      </c>
      <c r="Y122" s="239">
        <f>IFERROR(Inv_SY!M124/Inv_SY!$Z124-1,"")</f>
        <v>-1.2154505981679997E-2</v>
      </c>
      <c r="Z122" s="239">
        <f>IFERROR(Inv_SY!N124/Inv_SY!$Z124-1,"")</f>
        <v>-0.12888559982165426</v>
      </c>
      <c r="AA122" s="239">
        <f>IFERROR(Inv_SY!O124/Inv_SY!$Z124-1,"")</f>
        <v>6.3545253499900811E-2</v>
      </c>
      <c r="AB122" s="239">
        <f>IFERROR(Inv_SY!P124/Inv_SY!$Z124-1,"")</f>
        <v>-0.1287100230203484</v>
      </c>
      <c r="AC122" s="239" t="str">
        <f>IFERROR(Inv_SY!Q124/Inv_SY!$Z124-1,"")</f>
        <v/>
      </c>
      <c r="AD122" s="239">
        <f>IFERROR(Inv_SY!R124/Inv_SY!$Z124-1,"")</f>
        <v>3.7215856639364109E-2</v>
      </c>
      <c r="AE122" s="239">
        <f>IFERROR(Inv_SY!S124/Inv_SY!$Z124-1,"")</f>
        <v>-0.14016829779767148</v>
      </c>
      <c r="AF122" s="239">
        <f>IFERROR(Inv_SY!T124/Inv_SY!$Z124-1,"")</f>
        <v>0.27657810647777037</v>
      </c>
      <c r="AG122" s="239">
        <f>IFERROR(Inv_SY!U124/Inv_SY!$Z124-1,"")</f>
        <v>-0.14609538660031696</v>
      </c>
      <c r="AH122" s="239">
        <f>IFERROR(Inv_SY!V124/Inv_SY!$Y124-1,"")</f>
        <v>-2.5622405946475357E-2</v>
      </c>
      <c r="AI122" s="239">
        <f>IFERROR(Inv_SY!W124/Inv_SY!$Y124-1,"")</f>
        <v>2.3081051551074205E-2</v>
      </c>
      <c r="AJ122" s="239">
        <f>IFERROR(Inv_SY!X124/Inv_SY!$Y124-1,"")</f>
        <v>2.5413543954007078E-3</v>
      </c>
      <c r="AK122" s="239">
        <f>IFERROR(Inv_SY!V124/Inv_SY!$Z124-1,"")</f>
        <v>-4.7604691166658886E-2</v>
      </c>
      <c r="AL122" s="239">
        <f>IFERROR(Inv_SY!W124/Inv_SY!$Z124-1,"")</f>
        <v>0</v>
      </c>
      <c r="AM122" s="239">
        <f>IFERROR(Inv_SY!X124/Inv_SY!$Z124-1,"")</f>
        <v>-2.0076314701101716E-2</v>
      </c>
    </row>
    <row r="123" spans="1:39" x14ac:dyDescent="0.25">
      <c r="A123" s="234">
        <f>YEAR(Inv_SY_D[[#This Row],[Date]])+IF(MONTH(Inv_SY_D[[#This Row],[Date]])&gt;=4,1,0)</f>
        <v>2026</v>
      </c>
      <c r="B123" s="234">
        <v>4</v>
      </c>
      <c r="C123" s="234">
        <f>YEAR(Inv_SY_D[[#This Row],[Month Year]])</f>
        <v>2025</v>
      </c>
      <c r="D123" s="234" t="s">
        <v>4</v>
      </c>
      <c r="E123" s="234" t="s">
        <v>4</v>
      </c>
      <c r="F123" s="235" t="str">
        <f>TEXT(Inv_SY_D[[#This Row],[Date]],"mmm-yy")</f>
        <v>Jul-25</v>
      </c>
      <c r="G123" s="236">
        <f>DAY(EOMONTH(Inv_SY_D[[#This Row],[Month Year]],0))</f>
        <v>31</v>
      </c>
      <c r="H123" s="237">
        <f t="shared" si="2"/>
        <v>45866</v>
      </c>
      <c r="I123" s="238">
        <v>7.0991999999999997</v>
      </c>
      <c r="J123" s="239">
        <f>IFERROR(Inv_SY!J125/Inv_SY!$Y125-1,"")</f>
        <v>4.0976808508250695E-2</v>
      </c>
      <c r="K123" s="239">
        <f>IFERROR(Inv_SY!K125/Inv_SY!$Y125-1,"")</f>
        <v>-0.13759473106921338</v>
      </c>
      <c r="L123" s="239">
        <f>IFERROR(Inv_SY!L125/Inv_SY!$Y125-1,"")</f>
        <v>3.474250162052761E-2</v>
      </c>
      <c r="M123" s="239">
        <f>IFERROR(Inv_SY!M125/Inv_SY!$Y125-1,"")</f>
        <v>6.3985310386520888E-2</v>
      </c>
      <c r="N123" s="239">
        <f>IFERROR(Inv_SY!N125/Inv_SY!$Y125-1,"")</f>
        <v>-0.1213928503585473</v>
      </c>
      <c r="O123" s="239">
        <f>IFERROR(Inv_SY!O125/Inv_SY!$Y125-1,"")</f>
        <v>3.1141801823029391E-2</v>
      </c>
      <c r="P123" s="239">
        <f>IFERROR(Inv_SY!P125/Inv_SY!$Y125-1,"")</f>
        <v>-9.5054083948590606E-2</v>
      </c>
      <c r="Q123" s="239">
        <f>IFERROR(Inv_SY!Q125/Inv_SY!$Y125-1,"")</f>
        <v>0.31433009506832077</v>
      </c>
      <c r="R123" s="239">
        <f>IFERROR(Inv_SY!R125/Inv_SY!$Y125-1,"")</f>
        <v>5.8295344573058738E-2</v>
      </c>
      <c r="S123" s="239">
        <f>IFERROR(Inv_SY!S125/Inv_SY!$Y125-1,"")</f>
        <v>-0.12200895875496076</v>
      </c>
      <c r="T123" s="239">
        <f>IFERROR(Inv_SY!T125/Inv_SY!$Y125-1,"")</f>
        <v>0.30277172819388354</v>
      </c>
      <c r="U123" s="239">
        <f>IFERROR(Inv_SY!U125/Inv_SY!$Y125-1,"")</f>
        <v>-0.12859741798100743</v>
      </c>
      <c r="V123" s="239">
        <f>IFERROR(Inv_SY!J125/Inv_SY!$Z125-1,"")</f>
        <v>3.4812295997243892E-2</v>
      </c>
      <c r="W123" s="239">
        <f>IFERROR(Inv_SY!K125/Inv_SY!$Z125-1,"")</f>
        <v>-0.14270176902282594</v>
      </c>
      <c r="X123" s="239">
        <f>IFERROR(Inv_SY!L125/Inv_SY!$Z125-1,"")</f>
        <v>2.8614907763704567E-2</v>
      </c>
      <c r="Y123" s="239">
        <f>IFERROR(Inv_SY!M125/Inv_SY!$Z125-1,"")</f>
        <v>5.7684544890309386E-2</v>
      </c>
      <c r="Z123" s="239">
        <f>IFERROR(Inv_SY!N125/Inv_SY!$Z125-1,"")</f>
        <v>-0.12659583348166448</v>
      </c>
      <c r="AA123" s="239">
        <f>IFERROR(Inv_SY!O125/Inv_SY!$Z125-1,"")</f>
        <v>2.5035530784129456E-2</v>
      </c>
      <c r="AB123" s="239">
        <f>IFERROR(Inv_SY!P125/Inv_SY!$Z125-1,"")</f>
        <v>-0.10041304139671836</v>
      </c>
      <c r="AC123" s="239">
        <f>IFERROR(Inv_SY!Q125/Inv_SY!$Z125-1,"")</f>
        <v>0.3065468243475713</v>
      </c>
      <c r="AD123" s="239">
        <f>IFERROR(Inv_SY!R125/Inv_SY!$Z125-1,"")</f>
        <v>5.2028274222750248E-2</v>
      </c>
      <c r="AE123" s="239">
        <f>IFERROR(Inv_SY!S125/Inv_SY!$Z125-1,"")</f>
        <v>-0.1272082933742047</v>
      </c>
      <c r="AF123" s="239">
        <f>IFERROR(Inv_SY!T125/Inv_SY!$Z125-1,"")</f>
        <v>0.29505690443239563</v>
      </c>
      <c r="AG123" s="239">
        <f>IFERROR(Inv_SY!U125/Inv_SY!$Z125-1,"")</f>
        <v>-0.13375773670768276</v>
      </c>
      <c r="AH123" s="239">
        <f>IFERROR(Inv_SY!V125/Inv_SY!$Y125-1,"")</f>
        <v>-6.0806319088231309E-3</v>
      </c>
      <c r="AI123" s="239">
        <f>IFERROR(Inv_SY!W125/Inv_SY!$Y125-1,"")</f>
        <v>5.9571310998640659E-3</v>
      </c>
      <c r="AJ123" s="239">
        <f>IFERROR(Inv_SY!X125/Inv_SY!$Y125-1,"")</f>
        <v>1.2350080895928706E-4</v>
      </c>
      <c r="AK123" s="239">
        <f>IFERROR(Inv_SY!V125/Inv_SY!$Z125-1,"")</f>
        <v>-1.196647713558685E-2</v>
      </c>
      <c r="AL123" s="239">
        <f>IFERROR(Inv_SY!W125/Inv_SY!$Z125-1,"")</f>
        <v>0</v>
      </c>
      <c r="AM123" s="239">
        <f>IFERROR(Inv_SY!X125/Inv_SY!$Z125-1,"")</f>
        <v>-5.7990843849642371E-3</v>
      </c>
    </row>
    <row r="124" spans="1:39" x14ac:dyDescent="0.25">
      <c r="A124" s="234">
        <f>YEAR(Inv_SY_D[[#This Row],[Date]])+IF(MONTH(Inv_SY_D[[#This Row],[Date]])&gt;=4,1,0)</f>
        <v>2026</v>
      </c>
      <c r="B124" s="234">
        <v>4</v>
      </c>
      <c r="C124" s="234">
        <f>YEAR(Inv_SY_D[[#This Row],[Month Year]])</f>
        <v>2025</v>
      </c>
      <c r="D124" s="234" t="s">
        <v>4</v>
      </c>
      <c r="E124" s="234" t="s">
        <v>4</v>
      </c>
      <c r="F124" s="235" t="str">
        <f>TEXT(Inv_SY_D[[#This Row],[Date]],"mmm-yy")</f>
        <v>Jul-25</v>
      </c>
      <c r="G124" s="236">
        <f>DAY(EOMONTH(Inv_SY_D[[#This Row],[Month Year]],0))</f>
        <v>31</v>
      </c>
      <c r="H124" s="237">
        <f t="shared" si="2"/>
        <v>45867</v>
      </c>
      <c r="I124" s="238">
        <v>7.0991999999999997</v>
      </c>
      <c r="J124" s="239" t="str">
        <f>IFERROR(Inv_SY!J126/Inv_SY!$Y126-1,"")</f>
        <v/>
      </c>
      <c r="K124" s="239" t="str">
        <f>IFERROR(Inv_SY!K126/Inv_SY!$Y126-1,"")</f>
        <v/>
      </c>
      <c r="L124" s="239" t="str">
        <f>IFERROR(Inv_SY!L126/Inv_SY!$Y126-1,"")</f>
        <v/>
      </c>
      <c r="M124" s="239" t="str">
        <f>IFERROR(Inv_SY!M126/Inv_SY!$Y126-1,"")</f>
        <v/>
      </c>
      <c r="N124" s="239" t="str">
        <f>IFERROR(Inv_SY!N126/Inv_SY!$Y126-1,"")</f>
        <v/>
      </c>
      <c r="O124" s="239" t="str">
        <f>IFERROR(Inv_SY!O126/Inv_SY!$Y126-1,"")</f>
        <v/>
      </c>
      <c r="P124" s="239" t="str">
        <f>IFERROR(Inv_SY!P126/Inv_SY!$Y126-1,"")</f>
        <v/>
      </c>
      <c r="Q124" s="239" t="str">
        <f>IFERROR(Inv_SY!Q126/Inv_SY!$Y126-1,"")</f>
        <v/>
      </c>
      <c r="R124" s="239" t="str">
        <f>IFERROR(Inv_SY!R126/Inv_SY!$Y126-1,"")</f>
        <v/>
      </c>
      <c r="S124" s="239" t="str">
        <f>IFERROR(Inv_SY!S126/Inv_SY!$Y126-1,"")</f>
        <v/>
      </c>
      <c r="T124" s="239" t="str">
        <f>IFERROR(Inv_SY!T126/Inv_SY!$Y126-1,"")</f>
        <v/>
      </c>
      <c r="U124" s="239" t="str">
        <f>IFERROR(Inv_SY!U126/Inv_SY!$Y126-1,"")</f>
        <v/>
      </c>
      <c r="V124" s="239" t="str">
        <f>IFERROR(Inv_SY!J126/Inv_SY!$Z126-1,"")</f>
        <v/>
      </c>
      <c r="W124" s="239" t="str">
        <f>IFERROR(Inv_SY!K126/Inv_SY!$Z126-1,"")</f>
        <v/>
      </c>
      <c r="X124" s="239" t="str">
        <f>IFERROR(Inv_SY!L126/Inv_SY!$Z126-1,"")</f>
        <v/>
      </c>
      <c r="Y124" s="239" t="str">
        <f>IFERROR(Inv_SY!M126/Inv_SY!$Z126-1,"")</f>
        <v/>
      </c>
      <c r="Z124" s="239" t="str">
        <f>IFERROR(Inv_SY!N126/Inv_SY!$Z126-1,"")</f>
        <v/>
      </c>
      <c r="AA124" s="239" t="str">
        <f>IFERROR(Inv_SY!O126/Inv_SY!$Z126-1,"")</f>
        <v/>
      </c>
      <c r="AB124" s="239" t="str">
        <f>IFERROR(Inv_SY!P126/Inv_SY!$Z126-1,"")</f>
        <v/>
      </c>
      <c r="AC124" s="239" t="str">
        <f>IFERROR(Inv_SY!Q126/Inv_SY!$Z126-1,"")</f>
        <v/>
      </c>
      <c r="AD124" s="239" t="str">
        <f>IFERROR(Inv_SY!R126/Inv_SY!$Z126-1,"")</f>
        <v/>
      </c>
      <c r="AE124" s="239" t="str">
        <f>IFERROR(Inv_SY!S126/Inv_SY!$Z126-1,"")</f>
        <v/>
      </c>
      <c r="AF124" s="239" t="str">
        <f>IFERROR(Inv_SY!T126/Inv_SY!$Z126-1,"")</f>
        <v/>
      </c>
      <c r="AG124" s="239" t="str">
        <f>IFERROR(Inv_SY!U126/Inv_SY!$Z126-1,"")</f>
        <v/>
      </c>
      <c r="AH124" s="239" t="str">
        <f>IFERROR(Inv_SY!V126/Inv_SY!$Y126-1,"")</f>
        <v/>
      </c>
      <c r="AI124" s="239" t="str">
        <f>IFERROR(Inv_SY!W126/Inv_SY!$Y126-1,"")</f>
        <v/>
      </c>
      <c r="AJ124" s="239" t="str">
        <f>IFERROR(Inv_SY!X126/Inv_SY!$Y126-1,"")</f>
        <v/>
      </c>
      <c r="AK124" s="239" t="str">
        <f>IFERROR(Inv_SY!V126/Inv_SY!$Z126-1,"")</f>
        <v/>
      </c>
      <c r="AL124" s="239" t="str">
        <f>IFERROR(Inv_SY!W126/Inv_SY!$Z126-1,"")</f>
        <v/>
      </c>
      <c r="AM124" s="239" t="str">
        <f>IFERROR(Inv_SY!X126/Inv_SY!$Z126-1,"")</f>
        <v/>
      </c>
    </row>
    <row r="125" spans="1:39" x14ac:dyDescent="0.25">
      <c r="A125" s="234">
        <f>YEAR(Inv_SY_D[[#This Row],[Date]])+IF(MONTH(Inv_SY_D[[#This Row],[Date]])&gt;=4,1,0)</f>
        <v>2026</v>
      </c>
      <c r="B125" s="234">
        <v>4</v>
      </c>
      <c r="C125" s="234">
        <f>YEAR(Inv_SY_D[[#This Row],[Month Year]])</f>
        <v>2025</v>
      </c>
      <c r="D125" s="234" t="s">
        <v>4</v>
      </c>
      <c r="E125" s="234" t="s">
        <v>4</v>
      </c>
      <c r="F125" s="235" t="str">
        <f>TEXT(Inv_SY_D[[#This Row],[Date]],"mmm-yy")</f>
        <v>Jul-25</v>
      </c>
      <c r="G125" s="236">
        <f>DAY(EOMONTH(Inv_SY_D[[#This Row],[Month Year]],0))</f>
        <v>31</v>
      </c>
      <c r="H125" s="237">
        <f t="shared" si="2"/>
        <v>45868</v>
      </c>
      <c r="I125" s="238">
        <v>7.0991999999999997</v>
      </c>
      <c r="J125" s="239" t="str">
        <f>IFERROR(Inv_SY!J127/Inv_SY!$Y127-1,"")</f>
        <v/>
      </c>
      <c r="K125" s="239" t="str">
        <f>IFERROR(Inv_SY!K127/Inv_SY!$Y127-1,"")</f>
        <v/>
      </c>
      <c r="L125" s="239" t="str">
        <f>IFERROR(Inv_SY!L127/Inv_SY!$Y127-1,"")</f>
        <v/>
      </c>
      <c r="M125" s="239" t="str">
        <f>IFERROR(Inv_SY!M127/Inv_SY!$Y127-1,"")</f>
        <v/>
      </c>
      <c r="N125" s="239" t="str">
        <f>IFERROR(Inv_SY!N127/Inv_SY!$Y127-1,"")</f>
        <v/>
      </c>
      <c r="O125" s="239" t="str">
        <f>IFERROR(Inv_SY!O127/Inv_SY!$Y127-1,"")</f>
        <v/>
      </c>
      <c r="P125" s="239" t="str">
        <f>IFERROR(Inv_SY!P127/Inv_SY!$Y127-1,"")</f>
        <v/>
      </c>
      <c r="Q125" s="239" t="str">
        <f>IFERROR(Inv_SY!Q127/Inv_SY!$Y127-1,"")</f>
        <v/>
      </c>
      <c r="R125" s="239" t="str">
        <f>IFERROR(Inv_SY!R127/Inv_SY!$Y127-1,"")</f>
        <v/>
      </c>
      <c r="S125" s="239" t="str">
        <f>IFERROR(Inv_SY!S127/Inv_SY!$Y127-1,"")</f>
        <v/>
      </c>
      <c r="T125" s="239" t="str">
        <f>IFERROR(Inv_SY!T127/Inv_SY!$Y127-1,"")</f>
        <v/>
      </c>
      <c r="U125" s="239" t="str">
        <f>IFERROR(Inv_SY!U127/Inv_SY!$Y127-1,"")</f>
        <v/>
      </c>
      <c r="V125" s="239" t="str">
        <f>IFERROR(Inv_SY!J127/Inv_SY!$Z127-1,"")</f>
        <v/>
      </c>
      <c r="W125" s="239" t="str">
        <f>IFERROR(Inv_SY!K127/Inv_SY!$Z127-1,"")</f>
        <v/>
      </c>
      <c r="X125" s="239" t="str">
        <f>IFERROR(Inv_SY!L127/Inv_SY!$Z127-1,"")</f>
        <v/>
      </c>
      <c r="Y125" s="239" t="str">
        <f>IFERROR(Inv_SY!M127/Inv_SY!$Z127-1,"")</f>
        <v/>
      </c>
      <c r="Z125" s="239" t="str">
        <f>IFERROR(Inv_SY!N127/Inv_SY!$Z127-1,"")</f>
        <v/>
      </c>
      <c r="AA125" s="239" t="str">
        <f>IFERROR(Inv_SY!O127/Inv_SY!$Z127-1,"")</f>
        <v/>
      </c>
      <c r="AB125" s="239" t="str">
        <f>IFERROR(Inv_SY!P127/Inv_SY!$Z127-1,"")</f>
        <v/>
      </c>
      <c r="AC125" s="239" t="str">
        <f>IFERROR(Inv_SY!Q127/Inv_SY!$Z127-1,"")</f>
        <v/>
      </c>
      <c r="AD125" s="239" t="str">
        <f>IFERROR(Inv_SY!R127/Inv_SY!$Z127-1,"")</f>
        <v/>
      </c>
      <c r="AE125" s="239" t="str">
        <f>IFERROR(Inv_SY!S127/Inv_SY!$Z127-1,"")</f>
        <v/>
      </c>
      <c r="AF125" s="239" t="str">
        <f>IFERROR(Inv_SY!T127/Inv_SY!$Z127-1,"")</f>
        <v/>
      </c>
      <c r="AG125" s="239" t="str">
        <f>IFERROR(Inv_SY!U127/Inv_SY!$Z127-1,"")</f>
        <v/>
      </c>
      <c r="AH125" s="239" t="str">
        <f>IFERROR(Inv_SY!V127/Inv_SY!$Y127-1,"")</f>
        <v/>
      </c>
      <c r="AI125" s="239" t="str">
        <f>IFERROR(Inv_SY!W127/Inv_SY!$Y127-1,"")</f>
        <v/>
      </c>
      <c r="AJ125" s="239" t="str">
        <f>IFERROR(Inv_SY!X127/Inv_SY!$Y127-1,"")</f>
        <v/>
      </c>
      <c r="AK125" s="239" t="str">
        <f>IFERROR(Inv_SY!V127/Inv_SY!$Z127-1,"")</f>
        <v/>
      </c>
      <c r="AL125" s="239" t="str">
        <f>IFERROR(Inv_SY!W127/Inv_SY!$Z127-1,"")</f>
        <v/>
      </c>
      <c r="AM125" s="239" t="str">
        <f>IFERROR(Inv_SY!X127/Inv_SY!$Z127-1,"")</f>
        <v/>
      </c>
    </row>
    <row r="126" spans="1:39" x14ac:dyDescent="0.25">
      <c r="A126" s="234">
        <f>YEAR(Inv_SY_D[[#This Row],[Date]])+IF(MONTH(Inv_SY_D[[#This Row],[Date]])&gt;=4,1,0)</f>
        <v>2026</v>
      </c>
      <c r="B126" s="234">
        <v>4</v>
      </c>
      <c r="C126" s="234">
        <f>YEAR(Inv_SY_D[[#This Row],[Month Year]])</f>
        <v>2025</v>
      </c>
      <c r="D126" s="234" t="s">
        <v>4</v>
      </c>
      <c r="E126" s="234" t="s">
        <v>4</v>
      </c>
      <c r="F126" s="235" t="str">
        <f>TEXT(Inv_SY_D[[#This Row],[Date]],"mmm-yy")</f>
        <v>Jul-25</v>
      </c>
      <c r="G126" s="236">
        <f>DAY(EOMONTH(Inv_SY_D[[#This Row],[Month Year]],0))</f>
        <v>31</v>
      </c>
      <c r="H126" s="237">
        <f t="shared" si="2"/>
        <v>45869</v>
      </c>
      <c r="I126" s="238">
        <v>7.0991999999999997</v>
      </c>
      <c r="J126" s="239" t="str">
        <f>IFERROR(Inv_SY!J128/Inv_SY!$Y128-1,"")</f>
        <v/>
      </c>
      <c r="K126" s="239" t="str">
        <f>IFERROR(Inv_SY!K128/Inv_SY!$Y128-1,"")</f>
        <v/>
      </c>
      <c r="L126" s="239" t="str">
        <f>IFERROR(Inv_SY!L128/Inv_SY!$Y128-1,"")</f>
        <v/>
      </c>
      <c r="M126" s="239" t="str">
        <f>IFERROR(Inv_SY!M128/Inv_SY!$Y128-1,"")</f>
        <v/>
      </c>
      <c r="N126" s="239" t="str">
        <f>IFERROR(Inv_SY!N128/Inv_SY!$Y128-1,"")</f>
        <v/>
      </c>
      <c r="O126" s="239" t="str">
        <f>IFERROR(Inv_SY!O128/Inv_SY!$Y128-1,"")</f>
        <v/>
      </c>
      <c r="P126" s="239" t="str">
        <f>IFERROR(Inv_SY!P128/Inv_SY!$Y128-1,"")</f>
        <v/>
      </c>
      <c r="Q126" s="239" t="str">
        <f>IFERROR(Inv_SY!Q128/Inv_SY!$Y128-1,"")</f>
        <v/>
      </c>
      <c r="R126" s="239" t="str">
        <f>IFERROR(Inv_SY!R128/Inv_SY!$Y128-1,"")</f>
        <v/>
      </c>
      <c r="S126" s="239" t="str">
        <f>IFERROR(Inv_SY!S128/Inv_SY!$Y128-1,"")</f>
        <v/>
      </c>
      <c r="T126" s="239" t="str">
        <f>IFERROR(Inv_SY!T128/Inv_SY!$Y128-1,"")</f>
        <v/>
      </c>
      <c r="U126" s="239" t="str">
        <f>IFERROR(Inv_SY!U128/Inv_SY!$Y128-1,"")</f>
        <v/>
      </c>
      <c r="V126" s="239" t="str">
        <f>IFERROR(Inv_SY!J128/Inv_SY!$Z128-1,"")</f>
        <v/>
      </c>
      <c r="W126" s="239" t="str">
        <f>IFERROR(Inv_SY!K128/Inv_SY!$Z128-1,"")</f>
        <v/>
      </c>
      <c r="X126" s="239" t="str">
        <f>IFERROR(Inv_SY!L128/Inv_SY!$Z128-1,"")</f>
        <v/>
      </c>
      <c r="Y126" s="239" t="str">
        <f>IFERROR(Inv_SY!M128/Inv_SY!$Z128-1,"")</f>
        <v/>
      </c>
      <c r="Z126" s="239" t="str">
        <f>IFERROR(Inv_SY!N128/Inv_SY!$Z128-1,"")</f>
        <v/>
      </c>
      <c r="AA126" s="239" t="str">
        <f>IFERROR(Inv_SY!O128/Inv_SY!$Z128-1,"")</f>
        <v/>
      </c>
      <c r="AB126" s="239" t="str">
        <f>IFERROR(Inv_SY!P128/Inv_SY!$Z128-1,"")</f>
        <v/>
      </c>
      <c r="AC126" s="239" t="str">
        <f>IFERROR(Inv_SY!Q128/Inv_SY!$Z128-1,"")</f>
        <v/>
      </c>
      <c r="AD126" s="239" t="str">
        <f>IFERROR(Inv_SY!R128/Inv_SY!$Z128-1,"")</f>
        <v/>
      </c>
      <c r="AE126" s="239" t="str">
        <f>IFERROR(Inv_SY!S128/Inv_SY!$Z128-1,"")</f>
        <v/>
      </c>
      <c r="AF126" s="239" t="str">
        <f>IFERROR(Inv_SY!T128/Inv_SY!$Z128-1,"")</f>
        <v/>
      </c>
      <c r="AG126" s="239" t="str">
        <f>IFERROR(Inv_SY!U128/Inv_SY!$Z128-1,"")</f>
        <v/>
      </c>
      <c r="AH126" s="239" t="str">
        <f>IFERROR(Inv_SY!V128/Inv_SY!$Y128-1,"")</f>
        <v/>
      </c>
      <c r="AI126" s="239" t="str">
        <f>IFERROR(Inv_SY!W128/Inv_SY!$Y128-1,"")</f>
        <v/>
      </c>
      <c r="AJ126" s="239" t="str">
        <f>IFERROR(Inv_SY!X128/Inv_SY!$Y128-1,"")</f>
        <v/>
      </c>
      <c r="AK126" s="239" t="str">
        <f>IFERROR(Inv_SY!V128/Inv_SY!$Z128-1,"")</f>
        <v/>
      </c>
      <c r="AL126" s="239" t="str">
        <f>IFERROR(Inv_SY!W128/Inv_SY!$Z128-1,"")</f>
        <v/>
      </c>
      <c r="AM126" s="239" t="str">
        <f>IFERROR(Inv_SY!X128/Inv_SY!$Z128-1,"")</f>
        <v/>
      </c>
    </row>
    <row r="127" spans="1:39" x14ac:dyDescent="0.25">
      <c r="A127" s="234">
        <f>YEAR(Inv_SY_D[[#This Row],[Date]])+IF(MONTH(Inv_SY_D[[#This Row],[Date]])&gt;=4,1,0)</f>
        <v>2026</v>
      </c>
      <c r="B127" s="234">
        <v>4</v>
      </c>
      <c r="C127" s="234">
        <f>YEAR(Inv_SY_D[[#This Row],[Month Year]])</f>
        <v>2025</v>
      </c>
      <c r="D127" s="234" t="s">
        <v>4</v>
      </c>
      <c r="E127" s="234" t="s">
        <v>4</v>
      </c>
      <c r="F127" s="235" t="str">
        <f>TEXT(Inv_SY_D[[#This Row],[Date]],"mmm-yy")</f>
        <v>Aug-25</v>
      </c>
      <c r="G127" s="236">
        <f>DAY(EOMONTH(Inv_SY_D[[#This Row],[Month Year]],0))</f>
        <v>31</v>
      </c>
      <c r="H127" s="237">
        <f t="shared" si="2"/>
        <v>45870</v>
      </c>
      <c r="I127" s="238">
        <v>7.0991999999999997</v>
      </c>
      <c r="J127" s="239" t="str">
        <f>IFERROR(Inv_SY!J129/Inv_SY!$Y129-1,"")</f>
        <v/>
      </c>
      <c r="K127" s="239" t="str">
        <f>IFERROR(Inv_SY!K129/Inv_SY!$Y129-1,"")</f>
        <v/>
      </c>
      <c r="L127" s="239" t="str">
        <f>IFERROR(Inv_SY!L129/Inv_SY!$Y129-1,"")</f>
        <v/>
      </c>
      <c r="M127" s="239" t="str">
        <f>IFERROR(Inv_SY!M129/Inv_SY!$Y129-1,"")</f>
        <v/>
      </c>
      <c r="N127" s="239" t="str">
        <f>IFERROR(Inv_SY!N129/Inv_SY!$Y129-1,"")</f>
        <v/>
      </c>
      <c r="O127" s="239" t="str">
        <f>IFERROR(Inv_SY!O129/Inv_SY!$Y129-1,"")</f>
        <v/>
      </c>
      <c r="P127" s="239" t="str">
        <f>IFERROR(Inv_SY!P129/Inv_SY!$Y129-1,"")</f>
        <v/>
      </c>
      <c r="Q127" s="239" t="str">
        <f>IFERROR(Inv_SY!Q129/Inv_SY!$Y129-1,"")</f>
        <v/>
      </c>
      <c r="R127" s="239" t="str">
        <f>IFERROR(Inv_SY!R129/Inv_SY!$Y129-1,"")</f>
        <v/>
      </c>
      <c r="S127" s="239" t="str">
        <f>IFERROR(Inv_SY!S129/Inv_SY!$Y129-1,"")</f>
        <v/>
      </c>
      <c r="T127" s="239" t="str">
        <f>IFERROR(Inv_SY!T129/Inv_SY!$Y129-1,"")</f>
        <v/>
      </c>
      <c r="U127" s="239" t="str">
        <f>IFERROR(Inv_SY!U129/Inv_SY!$Y129-1,"")</f>
        <v/>
      </c>
      <c r="V127" s="239" t="str">
        <f>IFERROR(Inv_SY!J129/Inv_SY!$Z129-1,"")</f>
        <v/>
      </c>
      <c r="W127" s="239" t="str">
        <f>IFERROR(Inv_SY!K129/Inv_SY!$Z129-1,"")</f>
        <v/>
      </c>
      <c r="X127" s="239" t="str">
        <f>IFERROR(Inv_SY!L129/Inv_SY!$Z129-1,"")</f>
        <v/>
      </c>
      <c r="Y127" s="239" t="str">
        <f>IFERROR(Inv_SY!M129/Inv_SY!$Z129-1,"")</f>
        <v/>
      </c>
      <c r="Z127" s="239" t="str">
        <f>IFERROR(Inv_SY!N129/Inv_SY!$Z129-1,"")</f>
        <v/>
      </c>
      <c r="AA127" s="239" t="str">
        <f>IFERROR(Inv_SY!O129/Inv_SY!$Z129-1,"")</f>
        <v/>
      </c>
      <c r="AB127" s="239" t="str">
        <f>IFERROR(Inv_SY!P129/Inv_SY!$Z129-1,"")</f>
        <v/>
      </c>
      <c r="AC127" s="239" t="str">
        <f>IFERROR(Inv_SY!Q129/Inv_SY!$Z129-1,"")</f>
        <v/>
      </c>
      <c r="AD127" s="239" t="str">
        <f>IFERROR(Inv_SY!R129/Inv_SY!$Z129-1,"")</f>
        <v/>
      </c>
      <c r="AE127" s="239" t="str">
        <f>IFERROR(Inv_SY!S129/Inv_SY!$Z129-1,"")</f>
        <v/>
      </c>
      <c r="AF127" s="239" t="str">
        <f>IFERROR(Inv_SY!T129/Inv_SY!$Z129-1,"")</f>
        <v/>
      </c>
      <c r="AG127" s="239" t="str">
        <f>IFERROR(Inv_SY!U129/Inv_SY!$Z129-1,"")</f>
        <v/>
      </c>
      <c r="AH127" s="239" t="str">
        <f>IFERROR(Inv_SY!V129/Inv_SY!$Y129-1,"")</f>
        <v/>
      </c>
      <c r="AI127" s="239" t="str">
        <f>IFERROR(Inv_SY!W129/Inv_SY!$Y129-1,"")</f>
        <v/>
      </c>
      <c r="AJ127" s="239" t="str">
        <f>IFERROR(Inv_SY!X129/Inv_SY!$Y129-1,"")</f>
        <v/>
      </c>
      <c r="AK127" s="239" t="str">
        <f>IFERROR(Inv_SY!V129/Inv_SY!$Z129-1,"")</f>
        <v/>
      </c>
      <c r="AL127" s="239" t="str">
        <f>IFERROR(Inv_SY!W129/Inv_SY!$Z129-1,"")</f>
        <v/>
      </c>
      <c r="AM127" s="239" t="str">
        <f>IFERROR(Inv_SY!X129/Inv_SY!$Z129-1,"")</f>
        <v/>
      </c>
    </row>
    <row r="128" spans="1:39" x14ac:dyDescent="0.25">
      <c r="A128" s="234">
        <f>YEAR(Inv_SY_D[[#This Row],[Date]])+IF(MONTH(Inv_SY_D[[#This Row],[Date]])&gt;=4,1,0)</f>
        <v>2026</v>
      </c>
      <c r="B128" s="234">
        <v>4</v>
      </c>
      <c r="C128" s="234">
        <f>YEAR(Inv_SY_D[[#This Row],[Month Year]])</f>
        <v>2025</v>
      </c>
      <c r="D128" s="234" t="s">
        <v>4</v>
      </c>
      <c r="E128" s="234" t="s">
        <v>4</v>
      </c>
      <c r="F128" s="235" t="str">
        <f>TEXT(Inv_SY_D[[#This Row],[Date]],"mmm-yy")</f>
        <v>Aug-25</v>
      </c>
      <c r="G128" s="236">
        <f>DAY(EOMONTH(Inv_SY_D[[#This Row],[Month Year]],0))</f>
        <v>31</v>
      </c>
      <c r="H128" s="237">
        <f t="shared" si="2"/>
        <v>45871</v>
      </c>
      <c r="I128" s="238">
        <v>7.0991999999999997</v>
      </c>
      <c r="J128" s="239" t="str">
        <f>IFERROR(Inv_SY!J130/Inv_SY!$Y130-1,"")</f>
        <v/>
      </c>
      <c r="K128" s="239" t="str">
        <f>IFERROR(Inv_SY!K130/Inv_SY!$Y130-1,"")</f>
        <v/>
      </c>
      <c r="L128" s="239" t="str">
        <f>IFERROR(Inv_SY!L130/Inv_SY!$Y130-1,"")</f>
        <v/>
      </c>
      <c r="M128" s="239" t="str">
        <f>IFERROR(Inv_SY!M130/Inv_SY!$Y130-1,"")</f>
        <v/>
      </c>
      <c r="N128" s="239" t="str">
        <f>IFERROR(Inv_SY!N130/Inv_SY!$Y130-1,"")</f>
        <v/>
      </c>
      <c r="O128" s="239" t="str">
        <f>IFERROR(Inv_SY!O130/Inv_SY!$Y130-1,"")</f>
        <v/>
      </c>
      <c r="P128" s="239" t="str">
        <f>IFERROR(Inv_SY!P130/Inv_SY!$Y130-1,"")</f>
        <v/>
      </c>
      <c r="Q128" s="239" t="str">
        <f>IFERROR(Inv_SY!Q130/Inv_SY!$Y130-1,"")</f>
        <v/>
      </c>
      <c r="R128" s="239" t="str">
        <f>IFERROR(Inv_SY!R130/Inv_SY!$Y130-1,"")</f>
        <v/>
      </c>
      <c r="S128" s="239" t="str">
        <f>IFERROR(Inv_SY!S130/Inv_SY!$Y130-1,"")</f>
        <v/>
      </c>
      <c r="T128" s="239" t="str">
        <f>IFERROR(Inv_SY!T130/Inv_SY!$Y130-1,"")</f>
        <v/>
      </c>
      <c r="U128" s="239" t="str">
        <f>IFERROR(Inv_SY!U130/Inv_SY!$Y130-1,"")</f>
        <v/>
      </c>
      <c r="V128" s="239" t="str">
        <f>IFERROR(Inv_SY!J130/Inv_SY!$Z130-1,"")</f>
        <v/>
      </c>
      <c r="W128" s="239" t="str">
        <f>IFERROR(Inv_SY!K130/Inv_SY!$Z130-1,"")</f>
        <v/>
      </c>
      <c r="X128" s="239" t="str">
        <f>IFERROR(Inv_SY!L130/Inv_SY!$Z130-1,"")</f>
        <v/>
      </c>
      <c r="Y128" s="239" t="str">
        <f>IFERROR(Inv_SY!M130/Inv_SY!$Z130-1,"")</f>
        <v/>
      </c>
      <c r="Z128" s="239" t="str">
        <f>IFERROR(Inv_SY!N130/Inv_SY!$Z130-1,"")</f>
        <v/>
      </c>
      <c r="AA128" s="239" t="str">
        <f>IFERROR(Inv_SY!O130/Inv_SY!$Z130-1,"")</f>
        <v/>
      </c>
      <c r="AB128" s="239" t="str">
        <f>IFERROR(Inv_SY!P130/Inv_SY!$Z130-1,"")</f>
        <v/>
      </c>
      <c r="AC128" s="239" t="str">
        <f>IFERROR(Inv_SY!Q130/Inv_SY!$Z130-1,"")</f>
        <v/>
      </c>
      <c r="AD128" s="239" t="str">
        <f>IFERROR(Inv_SY!R130/Inv_SY!$Z130-1,"")</f>
        <v/>
      </c>
      <c r="AE128" s="239" t="str">
        <f>IFERROR(Inv_SY!S130/Inv_SY!$Z130-1,"")</f>
        <v/>
      </c>
      <c r="AF128" s="239" t="str">
        <f>IFERROR(Inv_SY!T130/Inv_SY!$Z130-1,"")</f>
        <v/>
      </c>
      <c r="AG128" s="239" t="str">
        <f>IFERROR(Inv_SY!U130/Inv_SY!$Z130-1,"")</f>
        <v/>
      </c>
      <c r="AH128" s="239" t="str">
        <f>IFERROR(Inv_SY!V130/Inv_SY!$Y130-1,"")</f>
        <v/>
      </c>
      <c r="AI128" s="239" t="str">
        <f>IFERROR(Inv_SY!W130/Inv_SY!$Y130-1,"")</f>
        <v/>
      </c>
      <c r="AJ128" s="239" t="str">
        <f>IFERROR(Inv_SY!X130/Inv_SY!$Y130-1,"")</f>
        <v/>
      </c>
      <c r="AK128" s="239" t="str">
        <f>IFERROR(Inv_SY!V130/Inv_SY!$Z130-1,"")</f>
        <v/>
      </c>
      <c r="AL128" s="239" t="str">
        <f>IFERROR(Inv_SY!W130/Inv_SY!$Z130-1,"")</f>
        <v/>
      </c>
      <c r="AM128" s="239" t="str">
        <f>IFERROR(Inv_SY!X130/Inv_SY!$Z130-1,"")</f>
        <v/>
      </c>
    </row>
    <row r="129" spans="1:39" x14ac:dyDescent="0.25">
      <c r="A129" s="234">
        <f>YEAR(Inv_SY_D[[#This Row],[Date]])+IF(MONTH(Inv_SY_D[[#This Row],[Date]])&gt;=4,1,0)</f>
        <v>2026</v>
      </c>
      <c r="B129" s="234">
        <v>4</v>
      </c>
      <c r="C129" s="234">
        <f>YEAR(Inv_SY_D[[#This Row],[Month Year]])</f>
        <v>2025</v>
      </c>
      <c r="D129" s="234" t="s">
        <v>4</v>
      </c>
      <c r="E129" s="234" t="s">
        <v>4</v>
      </c>
      <c r="F129" s="235" t="str">
        <f>TEXT(Inv_SY_D[[#This Row],[Date]],"mmm-yy")</f>
        <v>Aug-25</v>
      </c>
      <c r="G129" s="236">
        <f>DAY(EOMONTH(Inv_SY_D[[#This Row],[Month Year]],0))</f>
        <v>31</v>
      </c>
      <c r="H129" s="237">
        <f t="shared" si="2"/>
        <v>45872</v>
      </c>
      <c r="I129" s="238">
        <v>7.0991999999999997</v>
      </c>
      <c r="J129" s="239" t="str">
        <f>IFERROR(Inv_SY!J131/Inv_SY!$Y131-1,"")</f>
        <v/>
      </c>
      <c r="K129" s="239" t="str">
        <f>IFERROR(Inv_SY!K131/Inv_SY!$Y131-1,"")</f>
        <v/>
      </c>
      <c r="L129" s="239" t="str">
        <f>IFERROR(Inv_SY!L131/Inv_SY!$Y131-1,"")</f>
        <v/>
      </c>
      <c r="M129" s="239" t="str">
        <f>IFERROR(Inv_SY!M131/Inv_SY!$Y131-1,"")</f>
        <v/>
      </c>
      <c r="N129" s="239" t="str">
        <f>IFERROR(Inv_SY!N131/Inv_SY!$Y131-1,"")</f>
        <v/>
      </c>
      <c r="O129" s="239" t="str">
        <f>IFERROR(Inv_SY!O131/Inv_SY!$Y131-1,"")</f>
        <v/>
      </c>
      <c r="P129" s="239" t="str">
        <f>IFERROR(Inv_SY!P131/Inv_SY!$Y131-1,"")</f>
        <v/>
      </c>
      <c r="Q129" s="239" t="str">
        <f>IFERROR(Inv_SY!Q131/Inv_SY!$Y131-1,"")</f>
        <v/>
      </c>
      <c r="R129" s="239" t="str">
        <f>IFERROR(Inv_SY!R131/Inv_SY!$Y131-1,"")</f>
        <v/>
      </c>
      <c r="S129" s="239" t="str">
        <f>IFERROR(Inv_SY!S131/Inv_SY!$Y131-1,"")</f>
        <v/>
      </c>
      <c r="T129" s="239" t="str">
        <f>IFERROR(Inv_SY!T131/Inv_SY!$Y131-1,"")</f>
        <v/>
      </c>
      <c r="U129" s="239" t="str">
        <f>IFERROR(Inv_SY!U131/Inv_SY!$Y131-1,"")</f>
        <v/>
      </c>
      <c r="V129" s="239" t="str">
        <f>IFERROR(Inv_SY!J131/Inv_SY!$Z131-1,"")</f>
        <v/>
      </c>
      <c r="W129" s="239" t="str">
        <f>IFERROR(Inv_SY!K131/Inv_SY!$Z131-1,"")</f>
        <v/>
      </c>
      <c r="X129" s="239" t="str">
        <f>IFERROR(Inv_SY!L131/Inv_SY!$Z131-1,"")</f>
        <v/>
      </c>
      <c r="Y129" s="239" t="str">
        <f>IFERROR(Inv_SY!M131/Inv_SY!$Z131-1,"")</f>
        <v/>
      </c>
      <c r="Z129" s="239" t="str">
        <f>IFERROR(Inv_SY!N131/Inv_SY!$Z131-1,"")</f>
        <v/>
      </c>
      <c r="AA129" s="239" t="str">
        <f>IFERROR(Inv_SY!O131/Inv_SY!$Z131-1,"")</f>
        <v/>
      </c>
      <c r="AB129" s="239" t="str">
        <f>IFERROR(Inv_SY!P131/Inv_SY!$Z131-1,"")</f>
        <v/>
      </c>
      <c r="AC129" s="239" t="str">
        <f>IFERROR(Inv_SY!Q131/Inv_SY!$Z131-1,"")</f>
        <v/>
      </c>
      <c r="AD129" s="239" t="str">
        <f>IFERROR(Inv_SY!R131/Inv_SY!$Z131-1,"")</f>
        <v/>
      </c>
      <c r="AE129" s="239" t="str">
        <f>IFERROR(Inv_SY!S131/Inv_SY!$Z131-1,"")</f>
        <v/>
      </c>
      <c r="AF129" s="239" t="str">
        <f>IFERROR(Inv_SY!T131/Inv_SY!$Z131-1,"")</f>
        <v/>
      </c>
      <c r="AG129" s="239" t="str">
        <f>IFERROR(Inv_SY!U131/Inv_SY!$Z131-1,"")</f>
        <v/>
      </c>
      <c r="AH129" s="239" t="str">
        <f>IFERROR(Inv_SY!V131/Inv_SY!$Y131-1,"")</f>
        <v/>
      </c>
      <c r="AI129" s="239" t="str">
        <f>IFERROR(Inv_SY!W131/Inv_SY!$Y131-1,"")</f>
        <v/>
      </c>
      <c r="AJ129" s="239" t="str">
        <f>IFERROR(Inv_SY!X131/Inv_SY!$Y131-1,"")</f>
        <v/>
      </c>
      <c r="AK129" s="239" t="str">
        <f>IFERROR(Inv_SY!V131/Inv_SY!$Z131-1,"")</f>
        <v/>
      </c>
      <c r="AL129" s="239" t="str">
        <f>IFERROR(Inv_SY!W131/Inv_SY!$Z131-1,"")</f>
        <v/>
      </c>
      <c r="AM129" s="239" t="str">
        <f>IFERROR(Inv_SY!X131/Inv_SY!$Z131-1,"")</f>
        <v/>
      </c>
    </row>
    <row r="130" spans="1:39" x14ac:dyDescent="0.25">
      <c r="A130" s="234">
        <f>YEAR(Inv_SY_D[[#This Row],[Date]])+IF(MONTH(Inv_SY_D[[#This Row],[Date]])&gt;=4,1,0)</f>
        <v>2026</v>
      </c>
      <c r="B130" s="234">
        <v>4</v>
      </c>
      <c r="C130" s="234">
        <f>YEAR(Inv_SY_D[[#This Row],[Month Year]])</f>
        <v>2025</v>
      </c>
      <c r="D130" s="234" t="s">
        <v>4</v>
      </c>
      <c r="E130" s="234" t="s">
        <v>4</v>
      </c>
      <c r="F130" s="235" t="str">
        <f>TEXT(Inv_SY_D[[#This Row],[Date]],"mmm-yy")</f>
        <v>Aug-25</v>
      </c>
      <c r="G130" s="236">
        <f>DAY(EOMONTH(Inv_SY_D[[#This Row],[Month Year]],0))</f>
        <v>31</v>
      </c>
      <c r="H130" s="237">
        <f t="shared" si="2"/>
        <v>45873</v>
      </c>
      <c r="I130" s="238">
        <v>7.0991999999999997</v>
      </c>
      <c r="J130" s="239" t="str">
        <f>IFERROR(Inv_SY!J132/Inv_SY!$Y132-1,"")</f>
        <v/>
      </c>
      <c r="K130" s="239" t="str">
        <f>IFERROR(Inv_SY!K132/Inv_SY!$Y132-1,"")</f>
        <v/>
      </c>
      <c r="L130" s="239" t="str">
        <f>IFERROR(Inv_SY!L132/Inv_SY!$Y132-1,"")</f>
        <v/>
      </c>
      <c r="M130" s="239" t="str">
        <f>IFERROR(Inv_SY!M132/Inv_SY!$Y132-1,"")</f>
        <v/>
      </c>
      <c r="N130" s="239" t="str">
        <f>IFERROR(Inv_SY!N132/Inv_SY!$Y132-1,"")</f>
        <v/>
      </c>
      <c r="O130" s="239" t="str">
        <f>IFERROR(Inv_SY!O132/Inv_SY!$Y132-1,"")</f>
        <v/>
      </c>
      <c r="P130" s="239" t="str">
        <f>IFERROR(Inv_SY!P132/Inv_SY!$Y132-1,"")</f>
        <v/>
      </c>
      <c r="Q130" s="239" t="str">
        <f>IFERROR(Inv_SY!Q132/Inv_SY!$Y132-1,"")</f>
        <v/>
      </c>
      <c r="R130" s="239" t="str">
        <f>IFERROR(Inv_SY!R132/Inv_SY!$Y132-1,"")</f>
        <v/>
      </c>
      <c r="S130" s="239" t="str">
        <f>IFERROR(Inv_SY!S132/Inv_SY!$Y132-1,"")</f>
        <v/>
      </c>
      <c r="T130" s="239" t="str">
        <f>IFERROR(Inv_SY!T132/Inv_SY!$Y132-1,"")</f>
        <v/>
      </c>
      <c r="U130" s="239" t="str">
        <f>IFERROR(Inv_SY!U132/Inv_SY!$Y132-1,"")</f>
        <v/>
      </c>
      <c r="V130" s="239" t="str">
        <f>IFERROR(Inv_SY!J132/Inv_SY!$Z132-1,"")</f>
        <v/>
      </c>
      <c r="W130" s="239" t="str">
        <f>IFERROR(Inv_SY!K132/Inv_SY!$Z132-1,"")</f>
        <v/>
      </c>
      <c r="X130" s="239" t="str">
        <f>IFERROR(Inv_SY!L132/Inv_SY!$Z132-1,"")</f>
        <v/>
      </c>
      <c r="Y130" s="239" t="str">
        <f>IFERROR(Inv_SY!M132/Inv_SY!$Z132-1,"")</f>
        <v/>
      </c>
      <c r="Z130" s="239" t="str">
        <f>IFERROR(Inv_SY!N132/Inv_SY!$Z132-1,"")</f>
        <v/>
      </c>
      <c r="AA130" s="239" t="str">
        <f>IFERROR(Inv_SY!O132/Inv_SY!$Z132-1,"")</f>
        <v/>
      </c>
      <c r="AB130" s="239" t="str">
        <f>IFERROR(Inv_SY!P132/Inv_SY!$Z132-1,"")</f>
        <v/>
      </c>
      <c r="AC130" s="239" t="str">
        <f>IFERROR(Inv_SY!Q132/Inv_SY!$Z132-1,"")</f>
        <v/>
      </c>
      <c r="AD130" s="239" t="str">
        <f>IFERROR(Inv_SY!R132/Inv_SY!$Z132-1,"")</f>
        <v/>
      </c>
      <c r="AE130" s="239" t="str">
        <f>IFERROR(Inv_SY!S132/Inv_SY!$Z132-1,"")</f>
        <v/>
      </c>
      <c r="AF130" s="239" t="str">
        <f>IFERROR(Inv_SY!T132/Inv_SY!$Z132-1,"")</f>
        <v/>
      </c>
      <c r="AG130" s="239" t="str">
        <f>IFERROR(Inv_SY!U132/Inv_SY!$Z132-1,"")</f>
        <v/>
      </c>
      <c r="AH130" s="239" t="str">
        <f>IFERROR(Inv_SY!V132/Inv_SY!$Y132-1,"")</f>
        <v/>
      </c>
      <c r="AI130" s="239" t="str">
        <f>IFERROR(Inv_SY!W132/Inv_SY!$Y132-1,"")</f>
        <v/>
      </c>
      <c r="AJ130" s="239" t="str">
        <f>IFERROR(Inv_SY!X132/Inv_SY!$Y132-1,"")</f>
        <v/>
      </c>
      <c r="AK130" s="239" t="str">
        <f>IFERROR(Inv_SY!V132/Inv_SY!$Z132-1,"")</f>
        <v/>
      </c>
      <c r="AL130" s="239" t="str">
        <f>IFERROR(Inv_SY!W132/Inv_SY!$Z132-1,"")</f>
        <v/>
      </c>
      <c r="AM130" s="239" t="str">
        <f>IFERROR(Inv_SY!X132/Inv_SY!$Z132-1,"")</f>
        <v/>
      </c>
    </row>
    <row r="131" spans="1:39" x14ac:dyDescent="0.25">
      <c r="A131" s="234">
        <f>YEAR(Inv_SY_D[[#This Row],[Date]])+IF(MONTH(Inv_SY_D[[#This Row],[Date]])&gt;=4,1,0)</f>
        <v>2026</v>
      </c>
      <c r="B131" s="234">
        <v>4</v>
      </c>
      <c r="C131" s="234">
        <f>YEAR(Inv_SY_D[[#This Row],[Month Year]])</f>
        <v>2025</v>
      </c>
      <c r="D131" s="234" t="s">
        <v>4</v>
      </c>
      <c r="E131" s="234" t="s">
        <v>4</v>
      </c>
      <c r="F131" s="235" t="str">
        <f>TEXT(Inv_SY_D[[#This Row],[Date]],"mmm-yy")</f>
        <v>Aug-25</v>
      </c>
      <c r="G131" s="236">
        <f>DAY(EOMONTH(Inv_SY_D[[#This Row],[Month Year]],0))</f>
        <v>31</v>
      </c>
      <c r="H131" s="237">
        <f t="shared" si="2"/>
        <v>45874</v>
      </c>
      <c r="I131" s="238">
        <v>7.0991999999999997</v>
      </c>
      <c r="J131" s="239" t="str">
        <f>IFERROR(Inv_SY!J133/Inv_SY!$Y133-1,"")</f>
        <v/>
      </c>
      <c r="K131" s="239" t="str">
        <f>IFERROR(Inv_SY!K133/Inv_SY!$Y133-1,"")</f>
        <v/>
      </c>
      <c r="L131" s="239" t="str">
        <f>IFERROR(Inv_SY!L133/Inv_SY!$Y133-1,"")</f>
        <v/>
      </c>
      <c r="M131" s="239" t="str">
        <f>IFERROR(Inv_SY!M133/Inv_SY!$Y133-1,"")</f>
        <v/>
      </c>
      <c r="N131" s="239" t="str">
        <f>IFERROR(Inv_SY!N133/Inv_SY!$Y133-1,"")</f>
        <v/>
      </c>
      <c r="O131" s="239" t="str">
        <f>IFERROR(Inv_SY!O133/Inv_SY!$Y133-1,"")</f>
        <v/>
      </c>
      <c r="P131" s="239" t="str">
        <f>IFERROR(Inv_SY!P133/Inv_SY!$Y133-1,"")</f>
        <v/>
      </c>
      <c r="Q131" s="239" t="str">
        <f>IFERROR(Inv_SY!Q133/Inv_SY!$Y133-1,"")</f>
        <v/>
      </c>
      <c r="R131" s="239" t="str">
        <f>IFERROR(Inv_SY!R133/Inv_SY!$Y133-1,"")</f>
        <v/>
      </c>
      <c r="S131" s="239" t="str">
        <f>IFERROR(Inv_SY!S133/Inv_SY!$Y133-1,"")</f>
        <v/>
      </c>
      <c r="T131" s="239" t="str">
        <f>IFERROR(Inv_SY!T133/Inv_SY!$Y133-1,"")</f>
        <v/>
      </c>
      <c r="U131" s="239" t="str">
        <f>IFERROR(Inv_SY!U133/Inv_SY!$Y133-1,"")</f>
        <v/>
      </c>
      <c r="V131" s="239" t="str">
        <f>IFERROR(Inv_SY!J133/Inv_SY!$Z133-1,"")</f>
        <v/>
      </c>
      <c r="W131" s="239" t="str">
        <f>IFERROR(Inv_SY!K133/Inv_SY!$Z133-1,"")</f>
        <v/>
      </c>
      <c r="X131" s="239" t="str">
        <f>IFERROR(Inv_SY!L133/Inv_SY!$Z133-1,"")</f>
        <v/>
      </c>
      <c r="Y131" s="239" t="str">
        <f>IFERROR(Inv_SY!M133/Inv_SY!$Z133-1,"")</f>
        <v/>
      </c>
      <c r="Z131" s="239" t="str">
        <f>IFERROR(Inv_SY!N133/Inv_SY!$Z133-1,"")</f>
        <v/>
      </c>
      <c r="AA131" s="239" t="str">
        <f>IFERROR(Inv_SY!O133/Inv_SY!$Z133-1,"")</f>
        <v/>
      </c>
      <c r="AB131" s="239" t="str">
        <f>IFERROR(Inv_SY!P133/Inv_SY!$Z133-1,"")</f>
        <v/>
      </c>
      <c r="AC131" s="239" t="str">
        <f>IFERROR(Inv_SY!Q133/Inv_SY!$Z133-1,"")</f>
        <v/>
      </c>
      <c r="AD131" s="239" t="str">
        <f>IFERROR(Inv_SY!R133/Inv_SY!$Z133-1,"")</f>
        <v/>
      </c>
      <c r="AE131" s="239" t="str">
        <f>IFERROR(Inv_SY!S133/Inv_SY!$Z133-1,"")</f>
        <v/>
      </c>
      <c r="AF131" s="239" t="str">
        <f>IFERROR(Inv_SY!T133/Inv_SY!$Z133-1,"")</f>
        <v/>
      </c>
      <c r="AG131" s="239" t="str">
        <f>IFERROR(Inv_SY!U133/Inv_SY!$Z133-1,"")</f>
        <v/>
      </c>
      <c r="AH131" s="239" t="str">
        <f>IFERROR(Inv_SY!V133/Inv_SY!$Y133-1,"")</f>
        <v/>
      </c>
      <c r="AI131" s="239" t="str">
        <f>IFERROR(Inv_SY!W133/Inv_SY!$Y133-1,"")</f>
        <v/>
      </c>
      <c r="AJ131" s="239" t="str">
        <f>IFERROR(Inv_SY!X133/Inv_SY!$Y133-1,"")</f>
        <v/>
      </c>
      <c r="AK131" s="239" t="str">
        <f>IFERROR(Inv_SY!V133/Inv_SY!$Z133-1,"")</f>
        <v/>
      </c>
      <c r="AL131" s="239" t="str">
        <f>IFERROR(Inv_SY!W133/Inv_SY!$Z133-1,"")</f>
        <v/>
      </c>
      <c r="AM131" s="239" t="str">
        <f>IFERROR(Inv_SY!X133/Inv_SY!$Z133-1,"")</f>
        <v/>
      </c>
    </row>
    <row r="132" spans="1:39" x14ac:dyDescent="0.25">
      <c r="A132" s="234">
        <f>YEAR(Inv_SY_D[[#This Row],[Date]])+IF(MONTH(Inv_SY_D[[#This Row],[Date]])&gt;=4,1,0)</f>
        <v>2026</v>
      </c>
      <c r="B132" s="234">
        <v>4</v>
      </c>
      <c r="C132" s="234">
        <f>YEAR(Inv_SY_D[[#This Row],[Month Year]])</f>
        <v>2025</v>
      </c>
      <c r="D132" s="234" t="s">
        <v>4</v>
      </c>
      <c r="E132" s="234" t="s">
        <v>4</v>
      </c>
      <c r="F132" s="235" t="str">
        <f>TEXT(Inv_SY_D[[#This Row],[Date]],"mmm-yy")</f>
        <v>Aug-25</v>
      </c>
      <c r="G132" s="236">
        <f>DAY(EOMONTH(Inv_SY_D[[#This Row],[Month Year]],0))</f>
        <v>31</v>
      </c>
      <c r="H132" s="237">
        <f t="shared" si="2"/>
        <v>45875</v>
      </c>
      <c r="I132" s="238">
        <v>7.0991999999999997</v>
      </c>
      <c r="J132" s="239" t="str">
        <f>IFERROR(Inv_SY!J134/Inv_SY!$Y134-1,"")</f>
        <v/>
      </c>
      <c r="K132" s="239" t="str">
        <f>IFERROR(Inv_SY!K134/Inv_SY!$Y134-1,"")</f>
        <v/>
      </c>
      <c r="L132" s="239" t="str">
        <f>IFERROR(Inv_SY!L134/Inv_SY!$Y134-1,"")</f>
        <v/>
      </c>
      <c r="M132" s="239" t="str">
        <f>IFERROR(Inv_SY!M134/Inv_SY!$Y134-1,"")</f>
        <v/>
      </c>
      <c r="N132" s="239" t="str">
        <f>IFERROR(Inv_SY!N134/Inv_SY!$Y134-1,"")</f>
        <v/>
      </c>
      <c r="O132" s="239" t="str">
        <f>IFERROR(Inv_SY!O134/Inv_SY!$Y134-1,"")</f>
        <v/>
      </c>
      <c r="P132" s="239" t="str">
        <f>IFERROR(Inv_SY!P134/Inv_SY!$Y134-1,"")</f>
        <v/>
      </c>
      <c r="Q132" s="239" t="str">
        <f>IFERROR(Inv_SY!Q134/Inv_SY!$Y134-1,"")</f>
        <v/>
      </c>
      <c r="R132" s="239" t="str">
        <f>IFERROR(Inv_SY!R134/Inv_SY!$Y134-1,"")</f>
        <v/>
      </c>
      <c r="S132" s="239" t="str">
        <f>IFERROR(Inv_SY!S134/Inv_SY!$Y134-1,"")</f>
        <v/>
      </c>
      <c r="T132" s="239" t="str">
        <f>IFERROR(Inv_SY!T134/Inv_SY!$Y134-1,"")</f>
        <v/>
      </c>
      <c r="U132" s="239" t="str">
        <f>IFERROR(Inv_SY!U134/Inv_SY!$Y134-1,"")</f>
        <v/>
      </c>
      <c r="V132" s="239" t="str">
        <f>IFERROR(Inv_SY!J134/Inv_SY!$Z134-1,"")</f>
        <v/>
      </c>
      <c r="W132" s="239" t="str">
        <f>IFERROR(Inv_SY!K134/Inv_SY!$Z134-1,"")</f>
        <v/>
      </c>
      <c r="X132" s="239" t="str">
        <f>IFERROR(Inv_SY!L134/Inv_SY!$Z134-1,"")</f>
        <v/>
      </c>
      <c r="Y132" s="239" t="str">
        <f>IFERROR(Inv_SY!M134/Inv_SY!$Z134-1,"")</f>
        <v/>
      </c>
      <c r="Z132" s="239" t="str">
        <f>IFERROR(Inv_SY!N134/Inv_SY!$Z134-1,"")</f>
        <v/>
      </c>
      <c r="AA132" s="239" t="str">
        <f>IFERROR(Inv_SY!O134/Inv_SY!$Z134-1,"")</f>
        <v/>
      </c>
      <c r="AB132" s="239" t="str">
        <f>IFERROR(Inv_SY!P134/Inv_SY!$Z134-1,"")</f>
        <v/>
      </c>
      <c r="AC132" s="239" t="str">
        <f>IFERROR(Inv_SY!Q134/Inv_SY!$Z134-1,"")</f>
        <v/>
      </c>
      <c r="AD132" s="239" t="str">
        <f>IFERROR(Inv_SY!R134/Inv_SY!$Z134-1,"")</f>
        <v/>
      </c>
      <c r="AE132" s="239" t="str">
        <f>IFERROR(Inv_SY!S134/Inv_SY!$Z134-1,"")</f>
        <v/>
      </c>
      <c r="AF132" s="239" t="str">
        <f>IFERROR(Inv_SY!T134/Inv_SY!$Z134-1,"")</f>
        <v/>
      </c>
      <c r="AG132" s="239" t="str">
        <f>IFERROR(Inv_SY!U134/Inv_SY!$Z134-1,"")</f>
        <v/>
      </c>
      <c r="AH132" s="239" t="str">
        <f>IFERROR(Inv_SY!V134/Inv_SY!$Y134-1,"")</f>
        <v/>
      </c>
      <c r="AI132" s="239" t="str">
        <f>IFERROR(Inv_SY!W134/Inv_SY!$Y134-1,"")</f>
        <v/>
      </c>
      <c r="AJ132" s="239" t="str">
        <f>IFERROR(Inv_SY!X134/Inv_SY!$Y134-1,"")</f>
        <v/>
      </c>
      <c r="AK132" s="239" t="str">
        <f>IFERROR(Inv_SY!V134/Inv_SY!$Z134-1,"")</f>
        <v/>
      </c>
      <c r="AL132" s="239" t="str">
        <f>IFERROR(Inv_SY!W134/Inv_SY!$Z134-1,"")</f>
        <v/>
      </c>
      <c r="AM132" s="239" t="str">
        <f>IFERROR(Inv_SY!X134/Inv_SY!$Z134-1,"")</f>
        <v/>
      </c>
    </row>
    <row r="133" spans="1:39" x14ac:dyDescent="0.25">
      <c r="A133" s="234">
        <f>YEAR(Inv_SY_D[[#This Row],[Date]])+IF(MONTH(Inv_SY_D[[#This Row],[Date]])&gt;=4,1,0)</f>
        <v>2026</v>
      </c>
      <c r="B133" s="234">
        <v>4</v>
      </c>
      <c r="C133" s="234">
        <f>YEAR(Inv_SY_D[[#This Row],[Month Year]])</f>
        <v>2025</v>
      </c>
      <c r="D133" s="234" t="s">
        <v>4</v>
      </c>
      <c r="E133" s="234" t="s">
        <v>4</v>
      </c>
      <c r="F133" s="235" t="str">
        <f>TEXT(Inv_SY_D[[#This Row],[Date]],"mmm-yy")</f>
        <v>Aug-25</v>
      </c>
      <c r="G133" s="236">
        <f>DAY(EOMONTH(Inv_SY_D[[#This Row],[Month Year]],0))</f>
        <v>31</v>
      </c>
      <c r="H133" s="237">
        <f t="shared" si="2"/>
        <v>45876</v>
      </c>
      <c r="I133" s="238">
        <v>7.0991999999999997</v>
      </c>
      <c r="J133" s="239" t="str">
        <f>IFERROR(Inv_SY!J135/Inv_SY!$Y135-1,"")</f>
        <v/>
      </c>
      <c r="K133" s="239" t="str">
        <f>IFERROR(Inv_SY!K135/Inv_SY!$Y135-1,"")</f>
        <v/>
      </c>
      <c r="L133" s="239" t="str">
        <f>IFERROR(Inv_SY!L135/Inv_SY!$Y135-1,"")</f>
        <v/>
      </c>
      <c r="M133" s="239" t="str">
        <f>IFERROR(Inv_SY!M135/Inv_SY!$Y135-1,"")</f>
        <v/>
      </c>
      <c r="N133" s="239" t="str">
        <f>IFERROR(Inv_SY!N135/Inv_SY!$Y135-1,"")</f>
        <v/>
      </c>
      <c r="O133" s="239" t="str">
        <f>IFERROR(Inv_SY!O135/Inv_SY!$Y135-1,"")</f>
        <v/>
      </c>
      <c r="P133" s="239" t="str">
        <f>IFERROR(Inv_SY!P135/Inv_SY!$Y135-1,"")</f>
        <v/>
      </c>
      <c r="Q133" s="239" t="str">
        <f>IFERROR(Inv_SY!Q135/Inv_SY!$Y135-1,"")</f>
        <v/>
      </c>
      <c r="R133" s="239" t="str">
        <f>IFERROR(Inv_SY!R135/Inv_SY!$Y135-1,"")</f>
        <v/>
      </c>
      <c r="S133" s="239" t="str">
        <f>IFERROR(Inv_SY!S135/Inv_SY!$Y135-1,"")</f>
        <v/>
      </c>
      <c r="T133" s="239" t="str">
        <f>IFERROR(Inv_SY!T135/Inv_SY!$Y135-1,"")</f>
        <v/>
      </c>
      <c r="U133" s="239" t="str">
        <f>IFERROR(Inv_SY!U135/Inv_SY!$Y135-1,"")</f>
        <v/>
      </c>
      <c r="V133" s="239" t="str">
        <f>IFERROR(Inv_SY!J135/Inv_SY!$Z135-1,"")</f>
        <v/>
      </c>
      <c r="W133" s="239" t="str">
        <f>IFERROR(Inv_SY!K135/Inv_SY!$Z135-1,"")</f>
        <v/>
      </c>
      <c r="X133" s="239" t="str">
        <f>IFERROR(Inv_SY!L135/Inv_SY!$Z135-1,"")</f>
        <v/>
      </c>
      <c r="Y133" s="239" t="str">
        <f>IFERROR(Inv_SY!M135/Inv_SY!$Z135-1,"")</f>
        <v/>
      </c>
      <c r="Z133" s="239" t="str">
        <f>IFERROR(Inv_SY!N135/Inv_SY!$Z135-1,"")</f>
        <v/>
      </c>
      <c r="AA133" s="239" t="str">
        <f>IFERROR(Inv_SY!O135/Inv_SY!$Z135-1,"")</f>
        <v/>
      </c>
      <c r="AB133" s="239" t="str">
        <f>IFERROR(Inv_SY!P135/Inv_SY!$Z135-1,"")</f>
        <v/>
      </c>
      <c r="AC133" s="239" t="str">
        <f>IFERROR(Inv_SY!Q135/Inv_SY!$Z135-1,"")</f>
        <v/>
      </c>
      <c r="AD133" s="239" t="str">
        <f>IFERROR(Inv_SY!R135/Inv_SY!$Z135-1,"")</f>
        <v/>
      </c>
      <c r="AE133" s="239" t="str">
        <f>IFERROR(Inv_SY!S135/Inv_SY!$Z135-1,"")</f>
        <v/>
      </c>
      <c r="AF133" s="239" t="str">
        <f>IFERROR(Inv_SY!T135/Inv_SY!$Z135-1,"")</f>
        <v/>
      </c>
      <c r="AG133" s="239" t="str">
        <f>IFERROR(Inv_SY!U135/Inv_SY!$Z135-1,"")</f>
        <v/>
      </c>
      <c r="AH133" s="239" t="str">
        <f>IFERROR(Inv_SY!V135/Inv_SY!$Y135-1,"")</f>
        <v/>
      </c>
      <c r="AI133" s="239" t="str">
        <f>IFERROR(Inv_SY!W135/Inv_SY!$Y135-1,"")</f>
        <v/>
      </c>
      <c r="AJ133" s="239" t="str">
        <f>IFERROR(Inv_SY!X135/Inv_SY!$Y135-1,"")</f>
        <v/>
      </c>
      <c r="AK133" s="239" t="str">
        <f>IFERROR(Inv_SY!V135/Inv_SY!$Z135-1,"")</f>
        <v/>
      </c>
      <c r="AL133" s="239" t="str">
        <f>IFERROR(Inv_SY!W135/Inv_SY!$Z135-1,"")</f>
        <v/>
      </c>
      <c r="AM133" s="239" t="str">
        <f>IFERROR(Inv_SY!X135/Inv_SY!$Z135-1,"")</f>
        <v/>
      </c>
    </row>
    <row r="134" spans="1:39" x14ac:dyDescent="0.25">
      <c r="A134" s="234">
        <f>YEAR(Inv_SY_D[[#This Row],[Date]])+IF(MONTH(Inv_SY_D[[#This Row],[Date]])&gt;=4,1,0)</f>
        <v>2026</v>
      </c>
      <c r="B134" s="234">
        <v>4</v>
      </c>
      <c r="C134" s="234">
        <f>YEAR(Inv_SY_D[[#This Row],[Month Year]])</f>
        <v>2025</v>
      </c>
      <c r="D134" s="234" t="s">
        <v>4</v>
      </c>
      <c r="E134" s="234" t="s">
        <v>4</v>
      </c>
      <c r="F134" s="235" t="str">
        <f>TEXT(Inv_SY_D[[#This Row],[Date]],"mmm-yy")</f>
        <v>Aug-25</v>
      </c>
      <c r="G134" s="236">
        <f>DAY(EOMONTH(Inv_SY_D[[#This Row],[Month Year]],0))</f>
        <v>31</v>
      </c>
      <c r="H134" s="237">
        <f t="shared" si="2"/>
        <v>45877</v>
      </c>
      <c r="I134" s="238">
        <v>7.0991999999999997</v>
      </c>
      <c r="J134" s="239" t="str">
        <f>IFERROR(Inv_SY!J136/Inv_SY!$Y136-1,"")</f>
        <v/>
      </c>
      <c r="K134" s="239" t="str">
        <f>IFERROR(Inv_SY!K136/Inv_SY!$Y136-1,"")</f>
        <v/>
      </c>
      <c r="L134" s="239" t="str">
        <f>IFERROR(Inv_SY!L136/Inv_SY!$Y136-1,"")</f>
        <v/>
      </c>
      <c r="M134" s="239" t="str">
        <f>IFERROR(Inv_SY!M136/Inv_SY!$Y136-1,"")</f>
        <v/>
      </c>
      <c r="N134" s="239" t="str">
        <f>IFERROR(Inv_SY!N136/Inv_SY!$Y136-1,"")</f>
        <v/>
      </c>
      <c r="O134" s="239" t="str">
        <f>IFERROR(Inv_SY!O136/Inv_SY!$Y136-1,"")</f>
        <v/>
      </c>
      <c r="P134" s="239" t="str">
        <f>IFERROR(Inv_SY!P136/Inv_SY!$Y136-1,"")</f>
        <v/>
      </c>
      <c r="Q134" s="239" t="str">
        <f>IFERROR(Inv_SY!Q136/Inv_SY!$Y136-1,"")</f>
        <v/>
      </c>
      <c r="R134" s="239" t="str">
        <f>IFERROR(Inv_SY!R136/Inv_SY!$Y136-1,"")</f>
        <v/>
      </c>
      <c r="S134" s="239" t="str">
        <f>IFERROR(Inv_SY!S136/Inv_SY!$Y136-1,"")</f>
        <v/>
      </c>
      <c r="T134" s="239" t="str">
        <f>IFERROR(Inv_SY!T136/Inv_SY!$Y136-1,"")</f>
        <v/>
      </c>
      <c r="U134" s="239" t="str">
        <f>IFERROR(Inv_SY!U136/Inv_SY!$Y136-1,"")</f>
        <v/>
      </c>
      <c r="V134" s="239" t="str">
        <f>IFERROR(Inv_SY!J136/Inv_SY!$Z136-1,"")</f>
        <v/>
      </c>
      <c r="W134" s="239" t="str">
        <f>IFERROR(Inv_SY!K136/Inv_SY!$Z136-1,"")</f>
        <v/>
      </c>
      <c r="X134" s="239" t="str">
        <f>IFERROR(Inv_SY!L136/Inv_SY!$Z136-1,"")</f>
        <v/>
      </c>
      <c r="Y134" s="239" t="str">
        <f>IFERROR(Inv_SY!M136/Inv_SY!$Z136-1,"")</f>
        <v/>
      </c>
      <c r="Z134" s="239" t="str">
        <f>IFERROR(Inv_SY!N136/Inv_SY!$Z136-1,"")</f>
        <v/>
      </c>
      <c r="AA134" s="239" t="str">
        <f>IFERROR(Inv_SY!O136/Inv_SY!$Z136-1,"")</f>
        <v/>
      </c>
      <c r="AB134" s="239" t="str">
        <f>IFERROR(Inv_SY!P136/Inv_SY!$Z136-1,"")</f>
        <v/>
      </c>
      <c r="AC134" s="239" t="str">
        <f>IFERROR(Inv_SY!Q136/Inv_SY!$Z136-1,"")</f>
        <v/>
      </c>
      <c r="AD134" s="239" t="str">
        <f>IFERROR(Inv_SY!R136/Inv_SY!$Z136-1,"")</f>
        <v/>
      </c>
      <c r="AE134" s="239" t="str">
        <f>IFERROR(Inv_SY!S136/Inv_SY!$Z136-1,"")</f>
        <v/>
      </c>
      <c r="AF134" s="239" t="str">
        <f>IFERROR(Inv_SY!T136/Inv_SY!$Z136-1,"")</f>
        <v/>
      </c>
      <c r="AG134" s="239" t="str">
        <f>IFERROR(Inv_SY!U136/Inv_SY!$Z136-1,"")</f>
        <v/>
      </c>
      <c r="AH134" s="239" t="str">
        <f>IFERROR(Inv_SY!V136/Inv_SY!$Y136-1,"")</f>
        <v/>
      </c>
      <c r="AI134" s="239" t="str">
        <f>IFERROR(Inv_SY!W136/Inv_SY!$Y136-1,"")</f>
        <v/>
      </c>
      <c r="AJ134" s="239" t="str">
        <f>IFERROR(Inv_SY!X136/Inv_SY!$Y136-1,"")</f>
        <v/>
      </c>
      <c r="AK134" s="239" t="str">
        <f>IFERROR(Inv_SY!V136/Inv_SY!$Z136-1,"")</f>
        <v/>
      </c>
      <c r="AL134" s="239" t="str">
        <f>IFERROR(Inv_SY!W136/Inv_SY!$Z136-1,"")</f>
        <v/>
      </c>
      <c r="AM134" s="239" t="str">
        <f>IFERROR(Inv_SY!X136/Inv_SY!$Z136-1,"")</f>
        <v/>
      </c>
    </row>
    <row r="135" spans="1:39" x14ac:dyDescent="0.25">
      <c r="A135" s="234">
        <f>YEAR(Inv_SY_D[[#This Row],[Date]])+IF(MONTH(Inv_SY_D[[#This Row],[Date]])&gt;=4,1,0)</f>
        <v>2026</v>
      </c>
      <c r="B135" s="234">
        <v>4</v>
      </c>
      <c r="C135" s="234">
        <f>YEAR(Inv_SY_D[[#This Row],[Month Year]])</f>
        <v>2025</v>
      </c>
      <c r="D135" s="234" t="s">
        <v>4</v>
      </c>
      <c r="E135" s="234" t="s">
        <v>4</v>
      </c>
      <c r="F135" s="235" t="str">
        <f>TEXT(Inv_SY_D[[#This Row],[Date]],"mmm-yy")</f>
        <v>Aug-25</v>
      </c>
      <c r="G135" s="236">
        <f>DAY(EOMONTH(Inv_SY_D[[#This Row],[Month Year]],0))</f>
        <v>31</v>
      </c>
      <c r="H135" s="237">
        <f t="shared" si="2"/>
        <v>45878</v>
      </c>
      <c r="I135" s="238">
        <v>7.0991999999999997</v>
      </c>
      <c r="J135" s="239" t="str">
        <f>IFERROR(Inv_SY!J137/Inv_SY!$Y137-1,"")</f>
        <v/>
      </c>
      <c r="K135" s="239" t="str">
        <f>IFERROR(Inv_SY!K137/Inv_SY!$Y137-1,"")</f>
        <v/>
      </c>
      <c r="L135" s="239" t="str">
        <f>IFERROR(Inv_SY!L137/Inv_SY!$Y137-1,"")</f>
        <v/>
      </c>
      <c r="M135" s="239" t="str">
        <f>IFERROR(Inv_SY!M137/Inv_SY!$Y137-1,"")</f>
        <v/>
      </c>
      <c r="N135" s="239" t="str">
        <f>IFERROR(Inv_SY!N137/Inv_SY!$Y137-1,"")</f>
        <v/>
      </c>
      <c r="O135" s="239" t="str">
        <f>IFERROR(Inv_SY!O137/Inv_SY!$Y137-1,"")</f>
        <v/>
      </c>
      <c r="P135" s="239" t="str">
        <f>IFERROR(Inv_SY!P137/Inv_SY!$Y137-1,"")</f>
        <v/>
      </c>
      <c r="Q135" s="239" t="str">
        <f>IFERROR(Inv_SY!Q137/Inv_SY!$Y137-1,"")</f>
        <v/>
      </c>
      <c r="R135" s="239" t="str">
        <f>IFERROR(Inv_SY!R137/Inv_SY!$Y137-1,"")</f>
        <v/>
      </c>
      <c r="S135" s="239" t="str">
        <f>IFERROR(Inv_SY!S137/Inv_SY!$Y137-1,"")</f>
        <v/>
      </c>
      <c r="T135" s="239" t="str">
        <f>IFERROR(Inv_SY!T137/Inv_SY!$Y137-1,"")</f>
        <v/>
      </c>
      <c r="U135" s="239" t="str">
        <f>IFERROR(Inv_SY!U137/Inv_SY!$Y137-1,"")</f>
        <v/>
      </c>
      <c r="V135" s="239" t="str">
        <f>IFERROR(Inv_SY!J137/Inv_SY!$Z137-1,"")</f>
        <v/>
      </c>
      <c r="W135" s="239" t="str">
        <f>IFERROR(Inv_SY!K137/Inv_SY!$Z137-1,"")</f>
        <v/>
      </c>
      <c r="X135" s="239" t="str">
        <f>IFERROR(Inv_SY!L137/Inv_SY!$Z137-1,"")</f>
        <v/>
      </c>
      <c r="Y135" s="239" t="str">
        <f>IFERROR(Inv_SY!M137/Inv_SY!$Z137-1,"")</f>
        <v/>
      </c>
      <c r="Z135" s="239" t="str">
        <f>IFERROR(Inv_SY!N137/Inv_SY!$Z137-1,"")</f>
        <v/>
      </c>
      <c r="AA135" s="239" t="str">
        <f>IFERROR(Inv_SY!O137/Inv_SY!$Z137-1,"")</f>
        <v/>
      </c>
      <c r="AB135" s="239" t="str">
        <f>IFERROR(Inv_SY!P137/Inv_SY!$Z137-1,"")</f>
        <v/>
      </c>
      <c r="AC135" s="239" t="str">
        <f>IFERROR(Inv_SY!Q137/Inv_SY!$Z137-1,"")</f>
        <v/>
      </c>
      <c r="AD135" s="239" t="str">
        <f>IFERROR(Inv_SY!R137/Inv_SY!$Z137-1,"")</f>
        <v/>
      </c>
      <c r="AE135" s="239" t="str">
        <f>IFERROR(Inv_SY!S137/Inv_SY!$Z137-1,"")</f>
        <v/>
      </c>
      <c r="AF135" s="239" t="str">
        <f>IFERROR(Inv_SY!T137/Inv_SY!$Z137-1,"")</f>
        <v/>
      </c>
      <c r="AG135" s="239" t="str">
        <f>IFERROR(Inv_SY!U137/Inv_SY!$Z137-1,"")</f>
        <v/>
      </c>
      <c r="AH135" s="239" t="str">
        <f>IFERROR(Inv_SY!V137/Inv_SY!$Y137-1,"")</f>
        <v/>
      </c>
      <c r="AI135" s="239" t="str">
        <f>IFERROR(Inv_SY!W137/Inv_SY!$Y137-1,"")</f>
        <v/>
      </c>
      <c r="AJ135" s="239" t="str">
        <f>IFERROR(Inv_SY!X137/Inv_SY!$Y137-1,"")</f>
        <v/>
      </c>
      <c r="AK135" s="239" t="str">
        <f>IFERROR(Inv_SY!V137/Inv_SY!$Z137-1,"")</f>
        <v/>
      </c>
      <c r="AL135" s="239" t="str">
        <f>IFERROR(Inv_SY!W137/Inv_SY!$Z137-1,"")</f>
        <v/>
      </c>
      <c r="AM135" s="239" t="str">
        <f>IFERROR(Inv_SY!X137/Inv_SY!$Z137-1,"")</f>
        <v/>
      </c>
    </row>
    <row r="136" spans="1:39" x14ac:dyDescent="0.25">
      <c r="A136" s="234">
        <f>YEAR(Inv_SY_D[[#This Row],[Date]])+IF(MONTH(Inv_SY_D[[#This Row],[Date]])&gt;=4,1,0)</f>
        <v>2026</v>
      </c>
      <c r="B136" s="234">
        <v>4</v>
      </c>
      <c r="C136" s="234">
        <f>YEAR(Inv_SY_D[[#This Row],[Month Year]])</f>
        <v>2025</v>
      </c>
      <c r="D136" s="234" t="s">
        <v>4</v>
      </c>
      <c r="E136" s="234" t="s">
        <v>4</v>
      </c>
      <c r="F136" s="235" t="str">
        <f>TEXT(Inv_SY_D[[#This Row],[Date]],"mmm-yy")</f>
        <v>Aug-25</v>
      </c>
      <c r="G136" s="236">
        <f>DAY(EOMONTH(Inv_SY_D[[#This Row],[Month Year]],0))</f>
        <v>31</v>
      </c>
      <c r="H136" s="237">
        <f t="shared" si="2"/>
        <v>45879</v>
      </c>
      <c r="I136" s="238">
        <v>7.0991999999999997</v>
      </c>
      <c r="J136" s="239" t="str">
        <f>IFERROR(Inv_SY!J138/Inv_SY!$Y138-1,"")</f>
        <v/>
      </c>
      <c r="K136" s="239" t="str">
        <f>IFERROR(Inv_SY!K138/Inv_SY!$Y138-1,"")</f>
        <v/>
      </c>
      <c r="L136" s="239" t="str">
        <f>IFERROR(Inv_SY!L138/Inv_SY!$Y138-1,"")</f>
        <v/>
      </c>
      <c r="M136" s="239" t="str">
        <f>IFERROR(Inv_SY!M138/Inv_SY!$Y138-1,"")</f>
        <v/>
      </c>
      <c r="N136" s="239" t="str">
        <f>IFERROR(Inv_SY!N138/Inv_SY!$Y138-1,"")</f>
        <v/>
      </c>
      <c r="O136" s="239" t="str">
        <f>IFERROR(Inv_SY!O138/Inv_SY!$Y138-1,"")</f>
        <v/>
      </c>
      <c r="P136" s="239" t="str">
        <f>IFERROR(Inv_SY!P138/Inv_SY!$Y138-1,"")</f>
        <v/>
      </c>
      <c r="Q136" s="239" t="str">
        <f>IFERROR(Inv_SY!Q138/Inv_SY!$Y138-1,"")</f>
        <v/>
      </c>
      <c r="R136" s="239" t="str">
        <f>IFERROR(Inv_SY!R138/Inv_SY!$Y138-1,"")</f>
        <v/>
      </c>
      <c r="S136" s="239" t="str">
        <f>IFERROR(Inv_SY!S138/Inv_SY!$Y138-1,"")</f>
        <v/>
      </c>
      <c r="T136" s="239" t="str">
        <f>IFERROR(Inv_SY!T138/Inv_SY!$Y138-1,"")</f>
        <v/>
      </c>
      <c r="U136" s="239" t="str">
        <f>IFERROR(Inv_SY!U138/Inv_SY!$Y138-1,"")</f>
        <v/>
      </c>
      <c r="V136" s="239" t="str">
        <f>IFERROR(Inv_SY!J138/Inv_SY!$Z138-1,"")</f>
        <v/>
      </c>
      <c r="W136" s="239" t="str">
        <f>IFERROR(Inv_SY!K138/Inv_SY!$Z138-1,"")</f>
        <v/>
      </c>
      <c r="X136" s="239" t="str">
        <f>IFERROR(Inv_SY!L138/Inv_SY!$Z138-1,"")</f>
        <v/>
      </c>
      <c r="Y136" s="239" t="str">
        <f>IFERROR(Inv_SY!M138/Inv_SY!$Z138-1,"")</f>
        <v/>
      </c>
      <c r="Z136" s="239" t="str">
        <f>IFERROR(Inv_SY!N138/Inv_SY!$Z138-1,"")</f>
        <v/>
      </c>
      <c r="AA136" s="239" t="str">
        <f>IFERROR(Inv_SY!O138/Inv_SY!$Z138-1,"")</f>
        <v/>
      </c>
      <c r="AB136" s="239" t="str">
        <f>IFERROR(Inv_SY!P138/Inv_SY!$Z138-1,"")</f>
        <v/>
      </c>
      <c r="AC136" s="239" t="str">
        <f>IFERROR(Inv_SY!Q138/Inv_SY!$Z138-1,"")</f>
        <v/>
      </c>
      <c r="AD136" s="239" t="str">
        <f>IFERROR(Inv_SY!R138/Inv_SY!$Z138-1,"")</f>
        <v/>
      </c>
      <c r="AE136" s="239" t="str">
        <f>IFERROR(Inv_SY!S138/Inv_SY!$Z138-1,"")</f>
        <v/>
      </c>
      <c r="AF136" s="239" t="str">
        <f>IFERROR(Inv_SY!T138/Inv_SY!$Z138-1,"")</f>
        <v/>
      </c>
      <c r="AG136" s="239" t="str">
        <f>IFERROR(Inv_SY!U138/Inv_SY!$Z138-1,"")</f>
        <v/>
      </c>
      <c r="AH136" s="239" t="str">
        <f>IFERROR(Inv_SY!V138/Inv_SY!$Y138-1,"")</f>
        <v/>
      </c>
      <c r="AI136" s="239" t="str">
        <f>IFERROR(Inv_SY!W138/Inv_SY!$Y138-1,"")</f>
        <v/>
      </c>
      <c r="AJ136" s="239" t="str">
        <f>IFERROR(Inv_SY!X138/Inv_SY!$Y138-1,"")</f>
        <v/>
      </c>
      <c r="AK136" s="239" t="str">
        <f>IFERROR(Inv_SY!V138/Inv_SY!$Z138-1,"")</f>
        <v/>
      </c>
      <c r="AL136" s="239" t="str">
        <f>IFERROR(Inv_SY!W138/Inv_SY!$Z138-1,"")</f>
        <v/>
      </c>
      <c r="AM136" s="239" t="str">
        <f>IFERROR(Inv_SY!X138/Inv_SY!$Z138-1,"")</f>
        <v/>
      </c>
    </row>
    <row r="137" spans="1:39" x14ac:dyDescent="0.25">
      <c r="A137" s="234">
        <f>YEAR(Inv_SY_D[[#This Row],[Date]])+IF(MONTH(Inv_SY_D[[#This Row],[Date]])&gt;=4,1,0)</f>
        <v>2026</v>
      </c>
      <c r="B137" s="234">
        <v>4</v>
      </c>
      <c r="C137" s="234">
        <f>YEAR(Inv_SY_D[[#This Row],[Month Year]])</f>
        <v>2025</v>
      </c>
      <c r="D137" s="234" t="s">
        <v>4</v>
      </c>
      <c r="E137" s="234" t="s">
        <v>4</v>
      </c>
      <c r="F137" s="235" t="str">
        <f>TEXT(Inv_SY_D[[#This Row],[Date]],"mmm-yy")</f>
        <v>Aug-25</v>
      </c>
      <c r="G137" s="236">
        <f>DAY(EOMONTH(Inv_SY_D[[#This Row],[Month Year]],0))</f>
        <v>31</v>
      </c>
      <c r="H137" s="237">
        <f t="shared" si="2"/>
        <v>45880</v>
      </c>
      <c r="I137" s="238">
        <v>7.0991999999999997</v>
      </c>
      <c r="J137" s="239" t="str">
        <f>IFERROR(Inv_SY!J139/Inv_SY!$Y139-1,"")</f>
        <v/>
      </c>
      <c r="K137" s="239" t="str">
        <f>IFERROR(Inv_SY!K139/Inv_SY!$Y139-1,"")</f>
        <v/>
      </c>
      <c r="L137" s="239" t="str">
        <f>IFERROR(Inv_SY!L139/Inv_SY!$Y139-1,"")</f>
        <v/>
      </c>
      <c r="M137" s="239" t="str">
        <f>IFERROR(Inv_SY!M139/Inv_SY!$Y139-1,"")</f>
        <v/>
      </c>
      <c r="N137" s="239" t="str">
        <f>IFERROR(Inv_SY!N139/Inv_SY!$Y139-1,"")</f>
        <v/>
      </c>
      <c r="O137" s="239" t="str">
        <f>IFERROR(Inv_SY!O139/Inv_SY!$Y139-1,"")</f>
        <v/>
      </c>
      <c r="P137" s="239" t="str">
        <f>IFERROR(Inv_SY!P139/Inv_SY!$Y139-1,"")</f>
        <v/>
      </c>
      <c r="Q137" s="239" t="str">
        <f>IFERROR(Inv_SY!Q139/Inv_SY!$Y139-1,"")</f>
        <v/>
      </c>
      <c r="R137" s="239" t="str">
        <f>IFERROR(Inv_SY!R139/Inv_SY!$Y139-1,"")</f>
        <v/>
      </c>
      <c r="S137" s="239" t="str">
        <f>IFERROR(Inv_SY!S139/Inv_SY!$Y139-1,"")</f>
        <v/>
      </c>
      <c r="T137" s="239" t="str">
        <f>IFERROR(Inv_SY!T139/Inv_SY!$Y139-1,"")</f>
        <v/>
      </c>
      <c r="U137" s="239" t="str">
        <f>IFERROR(Inv_SY!U139/Inv_SY!$Y139-1,"")</f>
        <v/>
      </c>
      <c r="V137" s="239" t="str">
        <f>IFERROR(Inv_SY!J139/Inv_SY!$Z139-1,"")</f>
        <v/>
      </c>
      <c r="W137" s="239" t="str">
        <f>IFERROR(Inv_SY!K139/Inv_SY!$Z139-1,"")</f>
        <v/>
      </c>
      <c r="X137" s="239" t="str">
        <f>IFERROR(Inv_SY!L139/Inv_SY!$Z139-1,"")</f>
        <v/>
      </c>
      <c r="Y137" s="239" t="str">
        <f>IFERROR(Inv_SY!M139/Inv_SY!$Z139-1,"")</f>
        <v/>
      </c>
      <c r="Z137" s="239" t="str">
        <f>IFERROR(Inv_SY!N139/Inv_SY!$Z139-1,"")</f>
        <v/>
      </c>
      <c r="AA137" s="239" t="str">
        <f>IFERROR(Inv_SY!O139/Inv_SY!$Z139-1,"")</f>
        <v/>
      </c>
      <c r="AB137" s="239" t="str">
        <f>IFERROR(Inv_SY!P139/Inv_SY!$Z139-1,"")</f>
        <v/>
      </c>
      <c r="AC137" s="239" t="str">
        <f>IFERROR(Inv_SY!Q139/Inv_SY!$Z139-1,"")</f>
        <v/>
      </c>
      <c r="AD137" s="239" t="str">
        <f>IFERROR(Inv_SY!R139/Inv_SY!$Z139-1,"")</f>
        <v/>
      </c>
      <c r="AE137" s="239" t="str">
        <f>IFERROR(Inv_SY!S139/Inv_SY!$Z139-1,"")</f>
        <v/>
      </c>
      <c r="AF137" s="239" t="str">
        <f>IFERROR(Inv_SY!T139/Inv_SY!$Z139-1,"")</f>
        <v/>
      </c>
      <c r="AG137" s="239" t="str">
        <f>IFERROR(Inv_SY!U139/Inv_SY!$Z139-1,"")</f>
        <v/>
      </c>
      <c r="AH137" s="239" t="str">
        <f>IFERROR(Inv_SY!V139/Inv_SY!$Y139-1,"")</f>
        <v/>
      </c>
      <c r="AI137" s="239" t="str">
        <f>IFERROR(Inv_SY!W139/Inv_SY!$Y139-1,"")</f>
        <v/>
      </c>
      <c r="AJ137" s="239" t="str">
        <f>IFERROR(Inv_SY!X139/Inv_SY!$Y139-1,"")</f>
        <v/>
      </c>
      <c r="AK137" s="239" t="str">
        <f>IFERROR(Inv_SY!V139/Inv_SY!$Z139-1,"")</f>
        <v/>
      </c>
      <c r="AL137" s="239" t="str">
        <f>IFERROR(Inv_SY!W139/Inv_SY!$Z139-1,"")</f>
        <v/>
      </c>
      <c r="AM137" s="239" t="str">
        <f>IFERROR(Inv_SY!X139/Inv_SY!$Z139-1,"")</f>
        <v/>
      </c>
    </row>
    <row r="138" spans="1:39" x14ac:dyDescent="0.25">
      <c r="A138" s="234">
        <f>YEAR(Inv_SY_D[[#This Row],[Date]])+IF(MONTH(Inv_SY_D[[#This Row],[Date]])&gt;=4,1,0)</f>
        <v>2026</v>
      </c>
      <c r="B138" s="234">
        <v>4</v>
      </c>
      <c r="C138" s="234">
        <f>YEAR(Inv_SY_D[[#This Row],[Month Year]])</f>
        <v>2025</v>
      </c>
      <c r="D138" s="234" t="s">
        <v>4</v>
      </c>
      <c r="E138" s="234" t="s">
        <v>4</v>
      </c>
      <c r="F138" s="235" t="str">
        <f>TEXT(Inv_SY_D[[#This Row],[Date]],"mmm-yy")</f>
        <v>Aug-25</v>
      </c>
      <c r="G138" s="236">
        <f>DAY(EOMONTH(Inv_SY_D[[#This Row],[Month Year]],0))</f>
        <v>31</v>
      </c>
      <c r="H138" s="237">
        <f t="shared" si="2"/>
        <v>45881</v>
      </c>
      <c r="I138" s="238">
        <v>7.0991999999999997</v>
      </c>
      <c r="J138" s="239" t="str">
        <f>IFERROR(Inv_SY!J140/Inv_SY!$Y140-1,"")</f>
        <v/>
      </c>
      <c r="K138" s="239" t="str">
        <f>IFERROR(Inv_SY!K140/Inv_SY!$Y140-1,"")</f>
        <v/>
      </c>
      <c r="L138" s="239" t="str">
        <f>IFERROR(Inv_SY!L140/Inv_SY!$Y140-1,"")</f>
        <v/>
      </c>
      <c r="M138" s="239" t="str">
        <f>IFERROR(Inv_SY!M140/Inv_SY!$Y140-1,"")</f>
        <v/>
      </c>
      <c r="N138" s="239" t="str">
        <f>IFERROR(Inv_SY!N140/Inv_SY!$Y140-1,"")</f>
        <v/>
      </c>
      <c r="O138" s="239" t="str">
        <f>IFERROR(Inv_SY!O140/Inv_SY!$Y140-1,"")</f>
        <v/>
      </c>
      <c r="P138" s="239" t="str">
        <f>IFERROR(Inv_SY!P140/Inv_SY!$Y140-1,"")</f>
        <v/>
      </c>
      <c r="Q138" s="239" t="str">
        <f>IFERROR(Inv_SY!Q140/Inv_SY!$Y140-1,"")</f>
        <v/>
      </c>
      <c r="R138" s="239" t="str">
        <f>IFERROR(Inv_SY!R140/Inv_SY!$Y140-1,"")</f>
        <v/>
      </c>
      <c r="S138" s="239" t="str">
        <f>IFERROR(Inv_SY!S140/Inv_SY!$Y140-1,"")</f>
        <v/>
      </c>
      <c r="T138" s="239" t="str">
        <f>IFERROR(Inv_SY!T140/Inv_SY!$Y140-1,"")</f>
        <v/>
      </c>
      <c r="U138" s="239" t="str">
        <f>IFERROR(Inv_SY!U140/Inv_SY!$Y140-1,"")</f>
        <v/>
      </c>
      <c r="V138" s="239" t="str">
        <f>IFERROR(Inv_SY!J140/Inv_SY!$Z140-1,"")</f>
        <v/>
      </c>
      <c r="W138" s="239" t="str">
        <f>IFERROR(Inv_SY!K140/Inv_SY!$Z140-1,"")</f>
        <v/>
      </c>
      <c r="X138" s="239" t="str">
        <f>IFERROR(Inv_SY!L140/Inv_SY!$Z140-1,"")</f>
        <v/>
      </c>
      <c r="Y138" s="239" t="str">
        <f>IFERROR(Inv_SY!M140/Inv_SY!$Z140-1,"")</f>
        <v/>
      </c>
      <c r="Z138" s="239" t="str">
        <f>IFERROR(Inv_SY!N140/Inv_SY!$Z140-1,"")</f>
        <v/>
      </c>
      <c r="AA138" s="239" t="str">
        <f>IFERROR(Inv_SY!O140/Inv_SY!$Z140-1,"")</f>
        <v/>
      </c>
      <c r="AB138" s="239" t="str">
        <f>IFERROR(Inv_SY!P140/Inv_SY!$Z140-1,"")</f>
        <v/>
      </c>
      <c r="AC138" s="239" t="str">
        <f>IFERROR(Inv_SY!Q140/Inv_SY!$Z140-1,"")</f>
        <v/>
      </c>
      <c r="AD138" s="239" t="str">
        <f>IFERROR(Inv_SY!R140/Inv_SY!$Z140-1,"")</f>
        <v/>
      </c>
      <c r="AE138" s="239" t="str">
        <f>IFERROR(Inv_SY!S140/Inv_SY!$Z140-1,"")</f>
        <v/>
      </c>
      <c r="AF138" s="239" t="str">
        <f>IFERROR(Inv_SY!T140/Inv_SY!$Z140-1,"")</f>
        <v/>
      </c>
      <c r="AG138" s="239" t="str">
        <f>IFERROR(Inv_SY!U140/Inv_SY!$Z140-1,"")</f>
        <v/>
      </c>
      <c r="AH138" s="239" t="str">
        <f>IFERROR(Inv_SY!V140/Inv_SY!$Y140-1,"")</f>
        <v/>
      </c>
      <c r="AI138" s="239" t="str">
        <f>IFERROR(Inv_SY!W140/Inv_SY!$Y140-1,"")</f>
        <v/>
      </c>
      <c r="AJ138" s="239" t="str">
        <f>IFERROR(Inv_SY!X140/Inv_SY!$Y140-1,"")</f>
        <v/>
      </c>
      <c r="AK138" s="239" t="str">
        <f>IFERROR(Inv_SY!V140/Inv_SY!$Z140-1,"")</f>
        <v/>
      </c>
      <c r="AL138" s="239" t="str">
        <f>IFERROR(Inv_SY!W140/Inv_SY!$Z140-1,"")</f>
        <v/>
      </c>
      <c r="AM138" s="239" t="str">
        <f>IFERROR(Inv_SY!X140/Inv_SY!$Z140-1,"")</f>
        <v/>
      </c>
    </row>
    <row r="139" spans="1:39" x14ac:dyDescent="0.25">
      <c r="A139" s="234">
        <f>YEAR(Inv_SY_D[[#This Row],[Date]])+IF(MONTH(Inv_SY_D[[#This Row],[Date]])&gt;=4,1,0)</f>
        <v>2026</v>
      </c>
      <c r="B139" s="234">
        <v>4</v>
      </c>
      <c r="C139" s="234">
        <f>YEAR(Inv_SY_D[[#This Row],[Month Year]])</f>
        <v>2025</v>
      </c>
      <c r="D139" s="234" t="s">
        <v>4</v>
      </c>
      <c r="E139" s="234" t="s">
        <v>4</v>
      </c>
      <c r="F139" s="235" t="str">
        <f>TEXT(Inv_SY_D[[#This Row],[Date]],"mmm-yy")</f>
        <v>Aug-25</v>
      </c>
      <c r="G139" s="236">
        <f>DAY(EOMONTH(Inv_SY_D[[#This Row],[Month Year]],0))</f>
        <v>31</v>
      </c>
      <c r="H139" s="237">
        <f t="shared" si="2"/>
        <v>45882</v>
      </c>
      <c r="I139" s="238">
        <v>7.0991999999999997</v>
      </c>
      <c r="J139" s="239" t="str">
        <f>IFERROR(Inv_SY!J141/Inv_SY!$Y141-1,"")</f>
        <v/>
      </c>
      <c r="K139" s="239" t="str">
        <f>IFERROR(Inv_SY!K141/Inv_SY!$Y141-1,"")</f>
        <v/>
      </c>
      <c r="L139" s="239" t="str">
        <f>IFERROR(Inv_SY!L141/Inv_SY!$Y141-1,"")</f>
        <v/>
      </c>
      <c r="M139" s="239" t="str">
        <f>IFERROR(Inv_SY!M141/Inv_SY!$Y141-1,"")</f>
        <v/>
      </c>
      <c r="N139" s="239" t="str">
        <f>IFERROR(Inv_SY!N141/Inv_SY!$Y141-1,"")</f>
        <v/>
      </c>
      <c r="O139" s="239" t="str">
        <f>IFERROR(Inv_SY!O141/Inv_SY!$Y141-1,"")</f>
        <v/>
      </c>
      <c r="P139" s="239" t="str">
        <f>IFERROR(Inv_SY!P141/Inv_SY!$Y141-1,"")</f>
        <v/>
      </c>
      <c r="Q139" s="239" t="str">
        <f>IFERROR(Inv_SY!Q141/Inv_SY!$Y141-1,"")</f>
        <v/>
      </c>
      <c r="R139" s="239" t="str">
        <f>IFERROR(Inv_SY!R141/Inv_SY!$Y141-1,"")</f>
        <v/>
      </c>
      <c r="S139" s="239" t="str">
        <f>IFERROR(Inv_SY!S141/Inv_SY!$Y141-1,"")</f>
        <v/>
      </c>
      <c r="T139" s="239" t="str">
        <f>IFERROR(Inv_SY!T141/Inv_SY!$Y141-1,"")</f>
        <v/>
      </c>
      <c r="U139" s="239" t="str">
        <f>IFERROR(Inv_SY!U141/Inv_SY!$Y141-1,"")</f>
        <v/>
      </c>
      <c r="V139" s="239" t="str">
        <f>IFERROR(Inv_SY!J141/Inv_SY!$Z141-1,"")</f>
        <v/>
      </c>
      <c r="W139" s="239" t="str">
        <f>IFERROR(Inv_SY!K141/Inv_SY!$Z141-1,"")</f>
        <v/>
      </c>
      <c r="X139" s="239" t="str">
        <f>IFERROR(Inv_SY!L141/Inv_SY!$Z141-1,"")</f>
        <v/>
      </c>
      <c r="Y139" s="239" t="str">
        <f>IFERROR(Inv_SY!M141/Inv_SY!$Z141-1,"")</f>
        <v/>
      </c>
      <c r="Z139" s="239" t="str">
        <f>IFERROR(Inv_SY!N141/Inv_SY!$Z141-1,"")</f>
        <v/>
      </c>
      <c r="AA139" s="239" t="str">
        <f>IFERROR(Inv_SY!O141/Inv_SY!$Z141-1,"")</f>
        <v/>
      </c>
      <c r="AB139" s="239" t="str">
        <f>IFERROR(Inv_SY!P141/Inv_SY!$Z141-1,"")</f>
        <v/>
      </c>
      <c r="AC139" s="239" t="str">
        <f>IFERROR(Inv_SY!Q141/Inv_SY!$Z141-1,"")</f>
        <v/>
      </c>
      <c r="AD139" s="239" t="str">
        <f>IFERROR(Inv_SY!R141/Inv_SY!$Z141-1,"")</f>
        <v/>
      </c>
      <c r="AE139" s="239" t="str">
        <f>IFERROR(Inv_SY!S141/Inv_SY!$Z141-1,"")</f>
        <v/>
      </c>
      <c r="AF139" s="239" t="str">
        <f>IFERROR(Inv_SY!T141/Inv_SY!$Z141-1,"")</f>
        <v/>
      </c>
      <c r="AG139" s="239" t="str">
        <f>IFERROR(Inv_SY!U141/Inv_SY!$Z141-1,"")</f>
        <v/>
      </c>
      <c r="AH139" s="239" t="str">
        <f>IFERROR(Inv_SY!V141/Inv_SY!$Y141-1,"")</f>
        <v/>
      </c>
      <c r="AI139" s="239" t="str">
        <f>IFERROR(Inv_SY!W141/Inv_SY!$Y141-1,"")</f>
        <v/>
      </c>
      <c r="AJ139" s="239" t="str">
        <f>IFERROR(Inv_SY!X141/Inv_SY!$Y141-1,"")</f>
        <v/>
      </c>
      <c r="AK139" s="239" t="str">
        <f>IFERROR(Inv_SY!V141/Inv_SY!$Z141-1,"")</f>
        <v/>
      </c>
      <c r="AL139" s="239" t="str">
        <f>IFERROR(Inv_SY!W141/Inv_SY!$Z141-1,"")</f>
        <v/>
      </c>
      <c r="AM139" s="239" t="str">
        <f>IFERROR(Inv_SY!X141/Inv_SY!$Z141-1,"")</f>
        <v/>
      </c>
    </row>
    <row r="140" spans="1:39" x14ac:dyDescent="0.25">
      <c r="A140" s="234">
        <f>YEAR(Inv_SY_D[[#This Row],[Date]])+IF(MONTH(Inv_SY_D[[#This Row],[Date]])&gt;=4,1,0)</f>
        <v>2026</v>
      </c>
      <c r="B140" s="234">
        <v>4</v>
      </c>
      <c r="C140" s="234">
        <f>YEAR(Inv_SY_D[[#This Row],[Month Year]])</f>
        <v>2025</v>
      </c>
      <c r="D140" s="234" t="s">
        <v>4</v>
      </c>
      <c r="E140" s="234" t="s">
        <v>4</v>
      </c>
      <c r="F140" s="235" t="str">
        <f>TEXT(Inv_SY_D[[#This Row],[Date]],"mmm-yy")</f>
        <v>Aug-25</v>
      </c>
      <c r="G140" s="236">
        <f>DAY(EOMONTH(Inv_SY_D[[#This Row],[Month Year]],0))</f>
        <v>31</v>
      </c>
      <c r="H140" s="237">
        <f t="shared" si="2"/>
        <v>45883</v>
      </c>
      <c r="I140" s="238">
        <v>7.0991999999999997</v>
      </c>
      <c r="J140" s="239" t="str">
        <f>IFERROR(Inv_SY!J142/Inv_SY!$Y142-1,"")</f>
        <v/>
      </c>
      <c r="K140" s="239" t="str">
        <f>IFERROR(Inv_SY!K142/Inv_SY!$Y142-1,"")</f>
        <v/>
      </c>
      <c r="L140" s="239" t="str">
        <f>IFERROR(Inv_SY!L142/Inv_SY!$Y142-1,"")</f>
        <v/>
      </c>
      <c r="M140" s="239" t="str">
        <f>IFERROR(Inv_SY!M142/Inv_SY!$Y142-1,"")</f>
        <v/>
      </c>
      <c r="N140" s="239" t="str">
        <f>IFERROR(Inv_SY!N142/Inv_SY!$Y142-1,"")</f>
        <v/>
      </c>
      <c r="O140" s="239" t="str">
        <f>IFERROR(Inv_SY!O142/Inv_SY!$Y142-1,"")</f>
        <v/>
      </c>
      <c r="P140" s="239" t="str">
        <f>IFERROR(Inv_SY!P142/Inv_SY!$Y142-1,"")</f>
        <v/>
      </c>
      <c r="Q140" s="239" t="str">
        <f>IFERROR(Inv_SY!Q142/Inv_SY!$Y142-1,"")</f>
        <v/>
      </c>
      <c r="R140" s="239" t="str">
        <f>IFERROR(Inv_SY!R142/Inv_SY!$Y142-1,"")</f>
        <v/>
      </c>
      <c r="S140" s="239" t="str">
        <f>IFERROR(Inv_SY!S142/Inv_SY!$Y142-1,"")</f>
        <v/>
      </c>
      <c r="T140" s="239" t="str">
        <f>IFERROR(Inv_SY!T142/Inv_SY!$Y142-1,"")</f>
        <v/>
      </c>
      <c r="U140" s="239" t="str">
        <f>IFERROR(Inv_SY!U142/Inv_SY!$Y142-1,"")</f>
        <v/>
      </c>
      <c r="V140" s="239" t="str">
        <f>IFERROR(Inv_SY!J142/Inv_SY!$Z142-1,"")</f>
        <v/>
      </c>
      <c r="W140" s="239" t="str">
        <f>IFERROR(Inv_SY!K142/Inv_SY!$Z142-1,"")</f>
        <v/>
      </c>
      <c r="X140" s="239" t="str">
        <f>IFERROR(Inv_SY!L142/Inv_SY!$Z142-1,"")</f>
        <v/>
      </c>
      <c r="Y140" s="239" t="str">
        <f>IFERROR(Inv_SY!M142/Inv_SY!$Z142-1,"")</f>
        <v/>
      </c>
      <c r="Z140" s="239" t="str">
        <f>IFERROR(Inv_SY!N142/Inv_SY!$Z142-1,"")</f>
        <v/>
      </c>
      <c r="AA140" s="239" t="str">
        <f>IFERROR(Inv_SY!O142/Inv_SY!$Z142-1,"")</f>
        <v/>
      </c>
      <c r="AB140" s="239" t="str">
        <f>IFERROR(Inv_SY!P142/Inv_SY!$Z142-1,"")</f>
        <v/>
      </c>
      <c r="AC140" s="239" t="str">
        <f>IFERROR(Inv_SY!Q142/Inv_SY!$Z142-1,"")</f>
        <v/>
      </c>
      <c r="AD140" s="239" t="str">
        <f>IFERROR(Inv_SY!R142/Inv_SY!$Z142-1,"")</f>
        <v/>
      </c>
      <c r="AE140" s="239" t="str">
        <f>IFERROR(Inv_SY!S142/Inv_SY!$Z142-1,"")</f>
        <v/>
      </c>
      <c r="AF140" s="239" t="str">
        <f>IFERROR(Inv_SY!T142/Inv_SY!$Z142-1,"")</f>
        <v/>
      </c>
      <c r="AG140" s="239" t="str">
        <f>IFERROR(Inv_SY!U142/Inv_SY!$Z142-1,"")</f>
        <v/>
      </c>
      <c r="AH140" s="239" t="str">
        <f>IFERROR(Inv_SY!V142/Inv_SY!$Y142-1,"")</f>
        <v/>
      </c>
      <c r="AI140" s="239" t="str">
        <f>IFERROR(Inv_SY!W142/Inv_SY!$Y142-1,"")</f>
        <v/>
      </c>
      <c r="AJ140" s="239" t="str">
        <f>IFERROR(Inv_SY!X142/Inv_SY!$Y142-1,"")</f>
        <v/>
      </c>
      <c r="AK140" s="239" t="str">
        <f>IFERROR(Inv_SY!V142/Inv_SY!$Z142-1,"")</f>
        <v/>
      </c>
      <c r="AL140" s="239" t="str">
        <f>IFERROR(Inv_SY!W142/Inv_SY!$Z142-1,"")</f>
        <v/>
      </c>
      <c r="AM140" s="239" t="str">
        <f>IFERROR(Inv_SY!X142/Inv_SY!$Z142-1,"")</f>
        <v/>
      </c>
    </row>
    <row r="141" spans="1:39" x14ac:dyDescent="0.25">
      <c r="A141" s="234">
        <f>YEAR(Inv_SY_D[[#This Row],[Date]])+IF(MONTH(Inv_SY_D[[#This Row],[Date]])&gt;=4,1,0)</f>
        <v>2026</v>
      </c>
      <c r="B141" s="234">
        <v>4</v>
      </c>
      <c r="C141" s="234">
        <f>YEAR(Inv_SY_D[[#This Row],[Month Year]])</f>
        <v>2025</v>
      </c>
      <c r="D141" s="234" t="s">
        <v>4</v>
      </c>
      <c r="E141" s="234" t="s">
        <v>4</v>
      </c>
      <c r="F141" s="235" t="str">
        <f>TEXT(Inv_SY_D[[#This Row],[Date]],"mmm-yy")</f>
        <v>Aug-25</v>
      </c>
      <c r="G141" s="236">
        <f>DAY(EOMONTH(Inv_SY_D[[#This Row],[Month Year]],0))</f>
        <v>31</v>
      </c>
      <c r="H141" s="237">
        <f t="shared" ref="H141:H149" si="3">H140+1</f>
        <v>45884</v>
      </c>
      <c r="I141" s="238">
        <v>7.0991999999999997</v>
      </c>
      <c r="J141" s="239" t="str">
        <f>IFERROR(Inv_SY!J143/Inv_SY!$Y143-1,"")</f>
        <v/>
      </c>
      <c r="K141" s="239" t="str">
        <f>IFERROR(Inv_SY!K143/Inv_SY!$Y143-1,"")</f>
        <v/>
      </c>
      <c r="L141" s="239" t="str">
        <f>IFERROR(Inv_SY!L143/Inv_SY!$Y143-1,"")</f>
        <v/>
      </c>
      <c r="M141" s="239" t="str">
        <f>IFERROR(Inv_SY!M143/Inv_SY!$Y143-1,"")</f>
        <v/>
      </c>
      <c r="N141" s="239" t="str">
        <f>IFERROR(Inv_SY!N143/Inv_SY!$Y143-1,"")</f>
        <v/>
      </c>
      <c r="O141" s="239" t="str">
        <f>IFERROR(Inv_SY!O143/Inv_SY!$Y143-1,"")</f>
        <v/>
      </c>
      <c r="P141" s="239" t="str">
        <f>IFERROR(Inv_SY!P143/Inv_SY!$Y143-1,"")</f>
        <v/>
      </c>
      <c r="Q141" s="239" t="str">
        <f>IFERROR(Inv_SY!Q143/Inv_SY!$Y143-1,"")</f>
        <v/>
      </c>
      <c r="R141" s="239" t="str">
        <f>IFERROR(Inv_SY!R143/Inv_SY!$Y143-1,"")</f>
        <v/>
      </c>
      <c r="S141" s="239" t="str">
        <f>IFERROR(Inv_SY!S143/Inv_SY!$Y143-1,"")</f>
        <v/>
      </c>
      <c r="T141" s="239" t="str">
        <f>IFERROR(Inv_SY!T143/Inv_SY!$Y143-1,"")</f>
        <v/>
      </c>
      <c r="U141" s="239" t="str">
        <f>IFERROR(Inv_SY!U143/Inv_SY!$Y143-1,"")</f>
        <v/>
      </c>
      <c r="V141" s="239" t="str">
        <f>IFERROR(Inv_SY!J143/Inv_SY!$Z143-1,"")</f>
        <v/>
      </c>
      <c r="W141" s="239" t="str">
        <f>IFERROR(Inv_SY!K143/Inv_SY!$Z143-1,"")</f>
        <v/>
      </c>
      <c r="X141" s="239" t="str">
        <f>IFERROR(Inv_SY!L143/Inv_SY!$Z143-1,"")</f>
        <v/>
      </c>
      <c r="Y141" s="239" t="str">
        <f>IFERROR(Inv_SY!M143/Inv_SY!$Z143-1,"")</f>
        <v/>
      </c>
      <c r="Z141" s="239" t="str">
        <f>IFERROR(Inv_SY!N143/Inv_SY!$Z143-1,"")</f>
        <v/>
      </c>
      <c r="AA141" s="239" t="str">
        <f>IFERROR(Inv_SY!O143/Inv_SY!$Z143-1,"")</f>
        <v/>
      </c>
      <c r="AB141" s="239" t="str">
        <f>IFERROR(Inv_SY!P143/Inv_SY!$Z143-1,"")</f>
        <v/>
      </c>
      <c r="AC141" s="239" t="str">
        <f>IFERROR(Inv_SY!Q143/Inv_SY!$Z143-1,"")</f>
        <v/>
      </c>
      <c r="AD141" s="239" t="str">
        <f>IFERROR(Inv_SY!R143/Inv_SY!$Z143-1,"")</f>
        <v/>
      </c>
      <c r="AE141" s="239" t="str">
        <f>IFERROR(Inv_SY!S143/Inv_SY!$Z143-1,"")</f>
        <v/>
      </c>
      <c r="AF141" s="239" t="str">
        <f>IFERROR(Inv_SY!T143/Inv_SY!$Z143-1,"")</f>
        <v/>
      </c>
      <c r="AG141" s="239" t="str">
        <f>IFERROR(Inv_SY!U143/Inv_SY!$Z143-1,"")</f>
        <v/>
      </c>
      <c r="AH141" s="239" t="str">
        <f>IFERROR(Inv_SY!V143/Inv_SY!$Y143-1,"")</f>
        <v/>
      </c>
      <c r="AI141" s="239" t="str">
        <f>IFERROR(Inv_SY!W143/Inv_SY!$Y143-1,"")</f>
        <v/>
      </c>
      <c r="AJ141" s="239" t="str">
        <f>IFERROR(Inv_SY!X143/Inv_SY!$Y143-1,"")</f>
        <v/>
      </c>
      <c r="AK141" s="239" t="str">
        <f>IFERROR(Inv_SY!V143/Inv_SY!$Z143-1,"")</f>
        <v/>
      </c>
      <c r="AL141" s="239" t="str">
        <f>IFERROR(Inv_SY!W143/Inv_SY!$Z143-1,"")</f>
        <v/>
      </c>
      <c r="AM141" s="239" t="str">
        <f>IFERROR(Inv_SY!X143/Inv_SY!$Z143-1,"")</f>
        <v/>
      </c>
    </row>
    <row r="142" spans="1:39" x14ac:dyDescent="0.25">
      <c r="A142" s="234">
        <f>YEAR(Inv_SY_D[[#This Row],[Date]])+IF(MONTH(Inv_SY_D[[#This Row],[Date]])&gt;=4,1,0)</f>
        <v>2026</v>
      </c>
      <c r="B142" s="234">
        <v>4</v>
      </c>
      <c r="C142" s="234">
        <f>YEAR(Inv_SY_D[[#This Row],[Month Year]])</f>
        <v>2025</v>
      </c>
      <c r="D142" s="234" t="s">
        <v>4</v>
      </c>
      <c r="E142" s="234" t="s">
        <v>4</v>
      </c>
      <c r="F142" s="235" t="str">
        <f>TEXT(Inv_SY_D[[#This Row],[Date]],"mmm-yy")</f>
        <v>Aug-25</v>
      </c>
      <c r="G142" s="236">
        <f>DAY(EOMONTH(Inv_SY_D[[#This Row],[Month Year]],0))</f>
        <v>31</v>
      </c>
      <c r="H142" s="237">
        <f t="shared" si="3"/>
        <v>45885</v>
      </c>
      <c r="I142" s="238">
        <v>7.0991999999999997</v>
      </c>
      <c r="J142" s="239" t="str">
        <f>IFERROR(Inv_SY!J144/Inv_SY!$Y144-1,"")</f>
        <v/>
      </c>
      <c r="K142" s="239" t="str">
        <f>IFERROR(Inv_SY!K144/Inv_SY!$Y144-1,"")</f>
        <v/>
      </c>
      <c r="L142" s="239" t="str">
        <f>IFERROR(Inv_SY!L144/Inv_SY!$Y144-1,"")</f>
        <v/>
      </c>
      <c r="M142" s="239" t="str">
        <f>IFERROR(Inv_SY!M144/Inv_SY!$Y144-1,"")</f>
        <v/>
      </c>
      <c r="N142" s="239" t="str">
        <f>IFERROR(Inv_SY!N144/Inv_SY!$Y144-1,"")</f>
        <v/>
      </c>
      <c r="O142" s="239" t="str">
        <f>IFERROR(Inv_SY!O144/Inv_SY!$Y144-1,"")</f>
        <v/>
      </c>
      <c r="P142" s="239" t="str">
        <f>IFERROR(Inv_SY!P144/Inv_SY!$Y144-1,"")</f>
        <v/>
      </c>
      <c r="Q142" s="239" t="str">
        <f>IFERROR(Inv_SY!Q144/Inv_SY!$Y144-1,"")</f>
        <v/>
      </c>
      <c r="R142" s="239" t="str">
        <f>IFERROR(Inv_SY!R144/Inv_SY!$Y144-1,"")</f>
        <v/>
      </c>
      <c r="S142" s="239" t="str">
        <f>IFERROR(Inv_SY!S144/Inv_SY!$Y144-1,"")</f>
        <v/>
      </c>
      <c r="T142" s="239" t="str">
        <f>IFERROR(Inv_SY!T144/Inv_SY!$Y144-1,"")</f>
        <v/>
      </c>
      <c r="U142" s="239" t="str">
        <f>IFERROR(Inv_SY!U144/Inv_SY!$Y144-1,"")</f>
        <v/>
      </c>
      <c r="V142" s="239" t="str">
        <f>IFERROR(Inv_SY!J144/Inv_SY!$Z144-1,"")</f>
        <v/>
      </c>
      <c r="W142" s="239" t="str">
        <f>IFERROR(Inv_SY!K144/Inv_SY!$Z144-1,"")</f>
        <v/>
      </c>
      <c r="X142" s="239" t="str">
        <f>IFERROR(Inv_SY!L144/Inv_SY!$Z144-1,"")</f>
        <v/>
      </c>
      <c r="Y142" s="239" t="str">
        <f>IFERROR(Inv_SY!M144/Inv_SY!$Z144-1,"")</f>
        <v/>
      </c>
      <c r="Z142" s="239" t="str">
        <f>IFERROR(Inv_SY!N144/Inv_SY!$Z144-1,"")</f>
        <v/>
      </c>
      <c r="AA142" s="239" t="str">
        <f>IFERROR(Inv_SY!O144/Inv_SY!$Z144-1,"")</f>
        <v/>
      </c>
      <c r="AB142" s="239" t="str">
        <f>IFERROR(Inv_SY!P144/Inv_SY!$Z144-1,"")</f>
        <v/>
      </c>
      <c r="AC142" s="239" t="str">
        <f>IFERROR(Inv_SY!Q144/Inv_SY!$Z144-1,"")</f>
        <v/>
      </c>
      <c r="AD142" s="239" t="str">
        <f>IFERROR(Inv_SY!R144/Inv_SY!$Z144-1,"")</f>
        <v/>
      </c>
      <c r="AE142" s="239" t="str">
        <f>IFERROR(Inv_SY!S144/Inv_SY!$Z144-1,"")</f>
        <v/>
      </c>
      <c r="AF142" s="239" t="str">
        <f>IFERROR(Inv_SY!T144/Inv_SY!$Z144-1,"")</f>
        <v/>
      </c>
      <c r="AG142" s="239" t="str">
        <f>IFERROR(Inv_SY!U144/Inv_SY!$Z144-1,"")</f>
        <v/>
      </c>
      <c r="AH142" s="239" t="str">
        <f>IFERROR(Inv_SY!V144/Inv_SY!$Y144-1,"")</f>
        <v/>
      </c>
      <c r="AI142" s="239" t="str">
        <f>IFERROR(Inv_SY!W144/Inv_SY!$Y144-1,"")</f>
        <v/>
      </c>
      <c r="AJ142" s="239" t="str">
        <f>IFERROR(Inv_SY!X144/Inv_SY!$Y144-1,"")</f>
        <v/>
      </c>
      <c r="AK142" s="239" t="str">
        <f>IFERROR(Inv_SY!V144/Inv_SY!$Z144-1,"")</f>
        <v/>
      </c>
      <c r="AL142" s="239" t="str">
        <f>IFERROR(Inv_SY!W144/Inv_SY!$Z144-1,"")</f>
        <v/>
      </c>
      <c r="AM142" s="239" t="str">
        <f>IFERROR(Inv_SY!X144/Inv_SY!$Z144-1,"")</f>
        <v/>
      </c>
    </row>
    <row r="143" spans="1:39" x14ac:dyDescent="0.25">
      <c r="A143" s="234">
        <f>YEAR(Inv_SY_D[[#This Row],[Date]])+IF(MONTH(Inv_SY_D[[#This Row],[Date]])&gt;=4,1,0)</f>
        <v>2026</v>
      </c>
      <c r="B143" s="234">
        <v>4</v>
      </c>
      <c r="C143" s="234">
        <f>YEAR(Inv_SY_D[[#This Row],[Month Year]])</f>
        <v>2025</v>
      </c>
      <c r="D143" s="234" t="s">
        <v>4</v>
      </c>
      <c r="E143" s="234" t="s">
        <v>4</v>
      </c>
      <c r="F143" s="235" t="str">
        <f>TEXT(Inv_SY_D[[#This Row],[Date]],"mmm-yy")</f>
        <v>Aug-25</v>
      </c>
      <c r="G143" s="236">
        <f>DAY(EOMONTH(Inv_SY_D[[#This Row],[Month Year]],0))</f>
        <v>31</v>
      </c>
      <c r="H143" s="237">
        <f t="shared" si="3"/>
        <v>45886</v>
      </c>
      <c r="I143" s="238">
        <v>7.0991999999999997</v>
      </c>
      <c r="J143" s="239" t="str">
        <f>IFERROR(Inv_SY!J145/Inv_SY!$Y145-1,"")</f>
        <v/>
      </c>
      <c r="K143" s="239" t="str">
        <f>IFERROR(Inv_SY!K145/Inv_SY!$Y145-1,"")</f>
        <v/>
      </c>
      <c r="L143" s="239" t="str">
        <f>IFERROR(Inv_SY!L145/Inv_SY!$Y145-1,"")</f>
        <v/>
      </c>
      <c r="M143" s="239" t="str">
        <f>IFERROR(Inv_SY!M145/Inv_SY!$Y145-1,"")</f>
        <v/>
      </c>
      <c r="N143" s="239" t="str">
        <f>IFERROR(Inv_SY!N145/Inv_SY!$Y145-1,"")</f>
        <v/>
      </c>
      <c r="O143" s="239" t="str">
        <f>IFERROR(Inv_SY!O145/Inv_SY!$Y145-1,"")</f>
        <v/>
      </c>
      <c r="P143" s="239" t="str">
        <f>IFERROR(Inv_SY!P145/Inv_SY!$Y145-1,"")</f>
        <v/>
      </c>
      <c r="Q143" s="239" t="str">
        <f>IFERROR(Inv_SY!Q145/Inv_SY!$Y145-1,"")</f>
        <v/>
      </c>
      <c r="R143" s="239" t="str">
        <f>IFERROR(Inv_SY!R145/Inv_SY!$Y145-1,"")</f>
        <v/>
      </c>
      <c r="S143" s="239" t="str">
        <f>IFERROR(Inv_SY!S145/Inv_SY!$Y145-1,"")</f>
        <v/>
      </c>
      <c r="T143" s="239" t="str">
        <f>IFERROR(Inv_SY!T145/Inv_SY!$Y145-1,"")</f>
        <v/>
      </c>
      <c r="U143" s="239" t="str">
        <f>IFERROR(Inv_SY!U145/Inv_SY!$Y145-1,"")</f>
        <v/>
      </c>
      <c r="V143" s="239" t="str">
        <f>IFERROR(Inv_SY!J145/Inv_SY!$Z145-1,"")</f>
        <v/>
      </c>
      <c r="W143" s="239" t="str">
        <f>IFERROR(Inv_SY!K145/Inv_SY!$Z145-1,"")</f>
        <v/>
      </c>
      <c r="X143" s="239" t="str">
        <f>IFERROR(Inv_SY!L145/Inv_SY!$Z145-1,"")</f>
        <v/>
      </c>
      <c r="Y143" s="239" t="str">
        <f>IFERROR(Inv_SY!M145/Inv_SY!$Z145-1,"")</f>
        <v/>
      </c>
      <c r="Z143" s="239" t="str">
        <f>IFERROR(Inv_SY!N145/Inv_SY!$Z145-1,"")</f>
        <v/>
      </c>
      <c r="AA143" s="239" t="str">
        <f>IFERROR(Inv_SY!O145/Inv_SY!$Z145-1,"")</f>
        <v/>
      </c>
      <c r="AB143" s="239" t="str">
        <f>IFERROR(Inv_SY!P145/Inv_SY!$Z145-1,"")</f>
        <v/>
      </c>
      <c r="AC143" s="239" t="str">
        <f>IFERROR(Inv_SY!Q145/Inv_SY!$Z145-1,"")</f>
        <v/>
      </c>
      <c r="AD143" s="239" t="str">
        <f>IFERROR(Inv_SY!R145/Inv_SY!$Z145-1,"")</f>
        <v/>
      </c>
      <c r="AE143" s="239" t="str">
        <f>IFERROR(Inv_SY!S145/Inv_SY!$Z145-1,"")</f>
        <v/>
      </c>
      <c r="AF143" s="239" t="str">
        <f>IFERROR(Inv_SY!T145/Inv_SY!$Z145-1,"")</f>
        <v/>
      </c>
      <c r="AG143" s="239" t="str">
        <f>IFERROR(Inv_SY!U145/Inv_SY!$Z145-1,"")</f>
        <v/>
      </c>
      <c r="AH143" s="239" t="str">
        <f>IFERROR(Inv_SY!V145/Inv_SY!$Y145-1,"")</f>
        <v/>
      </c>
      <c r="AI143" s="239" t="str">
        <f>IFERROR(Inv_SY!W145/Inv_SY!$Y145-1,"")</f>
        <v/>
      </c>
      <c r="AJ143" s="239" t="str">
        <f>IFERROR(Inv_SY!X145/Inv_SY!$Y145-1,"")</f>
        <v/>
      </c>
      <c r="AK143" s="239" t="str">
        <f>IFERROR(Inv_SY!V145/Inv_SY!$Z145-1,"")</f>
        <v/>
      </c>
      <c r="AL143" s="239" t="str">
        <f>IFERROR(Inv_SY!W145/Inv_SY!$Z145-1,"")</f>
        <v/>
      </c>
      <c r="AM143" s="239" t="str">
        <f>IFERROR(Inv_SY!X145/Inv_SY!$Z145-1,"")</f>
        <v/>
      </c>
    </row>
    <row r="144" spans="1:39" x14ac:dyDescent="0.25">
      <c r="A144" s="234">
        <f>YEAR(Inv_SY_D[[#This Row],[Date]])+IF(MONTH(Inv_SY_D[[#This Row],[Date]])&gt;=4,1,0)</f>
        <v>2026</v>
      </c>
      <c r="B144" s="234">
        <v>4</v>
      </c>
      <c r="C144" s="234">
        <f>YEAR(Inv_SY_D[[#This Row],[Month Year]])</f>
        <v>2025</v>
      </c>
      <c r="D144" s="234" t="s">
        <v>4</v>
      </c>
      <c r="E144" s="234" t="s">
        <v>4</v>
      </c>
      <c r="F144" s="235" t="str">
        <f>TEXT(Inv_SY_D[[#This Row],[Date]],"mmm-yy")</f>
        <v>Aug-25</v>
      </c>
      <c r="G144" s="236">
        <f>DAY(EOMONTH(Inv_SY_D[[#This Row],[Month Year]],0))</f>
        <v>31</v>
      </c>
      <c r="H144" s="237">
        <f t="shared" si="3"/>
        <v>45887</v>
      </c>
      <c r="I144" s="238">
        <v>7.0991999999999997</v>
      </c>
      <c r="J144" s="239" t="str">
        <f>IFERROR(Inv_SY!J146/Inv_SY!$Y146-1,"")</f>
        <v/>
      </c>
      <c r="K144" s="239" t="str">
        <f>IFERROR(Inv_SY!K146/Inv_SY!$Y146-1,"")</f>
        <v/>
      </c>
      <c r="L144" s="239" t="str">
        <f>IFERROR(Inv_SY!L146/Inv_SY!$Y146-1,"")</f>
        <v/>
      </c>
      <c r="M144" s="239" t="str">
        <f>IFERROR(Inv_SY!M146/Inv_SY!$Y146-1,"")</f>
        <v/>
      </c>
      <c r="N144" s="239" t="str">
        <f>IFERROR(Inv_SY!N146/Inv_SY!$Y146-1,"")</f>
        <v/>
      </c>
      <c r="O144" s="239" t="str">
        <f>IFERROR(Inv_SY!O146/Inv_SY!$Y146-1,"")</f>
        <v/>
      </c>
      <c r="P144" s="239" t="str">
        <f>IFERROR(Inv_SY!P146/Inv_SY!$Y146-1,"")</f>
        <v/>
      </c>
      <c r="Q144" s="239" t="str">
        <f>IFERROR(Inv_SY!Q146/Inv_SY!$Y146-1,"")</f>
        <v/>
      </c>
      <c r="R144" s="239" t="str">
        <f>IFERROR(Inv_SY!R146/Inv_SY!$Y146-1,"")</f>
        <v/>
      </c>
      <c r="S144" s="239" t="str">
        <f>IFERROR(Inv_SY!S146/Inv_SY!$Y146-1,"")</f>
        <v/>
      </c>
      <c r="T144" s="239" t="str">
        <f>IFERROR(Inv_SY!T146/Inv_SY!$Y146-1,"")</f>
        <v/>
      </c>
      <c r="U144" s="239" t="str">
        <f>IFERROR(Inv_SY!U146/Inv_SY!$Y146-1,"")</f>
        <v/>
      </c>
      <c r="V144" s="239" t="str">
        <f>IFERROR(Inv_SY!J146/Inv_SY!$Z146-1,"")</f>
        <v/>
      </c>
      <c r="W144" s="239" t="str">
        <f>IFERROR(Inv_SY!K146/Inv_SY!$Z146-1,"")</f>
        <v/>
      </c>
      <c r="X144" s="239" t="str">
        <f>IFERROR(Inv_SY!L146/Inv_SY!$Z146-1,"")</f>
        <v/>
      </c>
      <c r="Y144" s="239" t="str">
        <f>IFERROR(Inv_SY!M146/Inv_SY!$Z146-1,"")</f>
        <v/>
      </c>
      <c r="Z144" s="239" t="str">
        <f>IFERROR(Inv_SY!N146/Inv_SY!$Z146-1,"")</f>
        <v/>
      </c>
      <c r="AA144" s="239" t="str">
        <f>IFERROR(Inv_SY!O146/Inv_SY!$Z146-1,"")</f>
        <v/>
      </c>
      <c r="AB144" s="239" t="str">
        <f>IFERROR(Inv_SY!P146/Inv_SY!$Z146-1,"")</f>
        <v/>
      </c>
      <c r="AC144" s="239" t="str">
        <f>IFERROR(Inv_SY!Q146/Inv_SY!$Z146-1,"")</f>
        <v/>
      </c>
      <c r="AD144" s="239" t="str">
        <f>IFERROR(Inv_SY!R146/Inv_SY!$Z146-1,"")</f>
        <v/>
      </c>
      <c r="AE144" s="239" t="str">
        <f>IFERROR(Inv_SY!S146/Inv_SY!$Z146-1,"")</f>
        <v/>
      </c>
      <c r="AF144" s="239" t="str">
        <f>IFERROR(Inv_SY!T146/Inv_SY!$Z146-1,"")</f>
        <v/>
      </c>
      <c r="AG144" s="239" t="str">
        <f>IFERROR(Inv_SY!U146/Inv_SY!$Z146-1,"")</f>
        <v/>
      </c>
      <c r="AH144" s="239" t="str">
        <f>IFERROR(Inv_SY!V146/Inv_SY!$Y146-1,"")</f>
        <v/>
      </c>
      <c r="AI144" s="239" t="str">
        <f>IFERROR(Inv_SY!W146/Inv_SY!$Y146-1,"")</f>
        <v/>
      </c>
      <c r="AJ144" s="239" t="str">
        <f>IFERROR(Inv_SY!X146/Inv_SY!$Y146-1,"")</f>
        <v/>
      </c>
      <c r="AK144" s="239" t="str">
        <f>IFERROR(Inv_SY!V146/Inv_SY!$Z146-1,"")</f>
        <v/>
      </c>
      <c r="AL144" s="239" t="str">
        <f>IFERROR(Inv_SY!W146/Inv_SY!$Z146-1,"")</f>
        <v/>
      </c>
      <c r="AM144" s="239" t="str">
        <f>IFERROR(Inv_SY!X146/Inv_SY!$Z146-1,"")</f>
        <v/>
      </c>
    </row>
    <row r="145" spans="1:39" x14ac:dyDescent="0.25">
      <c r="A145" s="234">
        <f>YEAR(Inv_SY_D[[#This Row],[Date]])+IF(MONTH(Inv_SY_D[[#This Row],[Date]])&gt;=4,1,0)</f>
        <v>2026</v>
      </c>
      <c r="B145" s="234">
        <v>4</v>
      </c>
      <c r="C145" s="234">
        <f>YEAR(Inv_SY_D[[#This Row],[Month Year]])</f>
        <v>2025</v>
      </c>
      <c r="D145" s="234" t="s">
        <v>4</v>
      </c>
      <c r="E145" s="234" t="s">
        <v>4</v>
      </c>
      <c r="F145" s="235" t="str">
        <f>TEXT(Inv_SY_D[[#This Row],[Date]],"mmm-yy")</f>
        <v>Aug-25</v>
      </c>
      <c r="G145" s="236">
        <f>DAY(EOMONTH(Inv_SY_D[[#This Row],[Month Year]],0))</f>
        <v>31</v>
      </c>
      <c r="H145" s="237">
        <f t="shared" si="3"/>
        <v>45888</v>
      </c>
      <c r="I145" s="238">
        <v>7.0991999999999997</v>
      </c>
      <c r="J145" s="239" t="str">
        <f>IFERROR(Inv_SY!J147/Inv_SY!$Y147-1,"")</f>
        <v/>
      </c>
      <c r="K145" s="239" t="str">
        <f>IFERROR(Inv_SY!K147/Inv_SY!$Y147-1,"")</f>
        <v/>
      </c>
      <c r="L145" s="239" t="str">
        <f>IFERROR(Inv_SY!L147/Inv_SY!$Y147-1,"")</f>
        <v/>
      </c>
      <c r="M145" s="239" t="str">
        <f>IFERROR(Inv_SY!M147/Inv_SY!$Y147-1,"")</f>
        <v/>
      </c>
      <c r="N145" s="239" t="str">
        <f>IFERROR(Inv_SY!N147/Inv_SY!$Y147-1,"")</f>
        <v/>
      </c>
      <c r="O145" s="239" t="str">
        <f>IFERROR(Inv_SY!O147/Inv_SY!$Y147-1,"")</f>
        <v/>
      </c>
      <c r="P145" s="239" t="str">
        <f>IFERROR(Inv_SY!P147/Inv_SY!$Y147-1,"")</f>
        <v/>
      </c>
      <c r="Q145" s="239" t="str">
        <f>IFERROR(Inv_SY!Q147/Inv_SY!$Y147-1,"")</f>
        <v/>
      </c>
      <c r="R145" s="239" t="str">
        <f>IFERROR(Inv_SY!R147/Inv_SY!$Y147-1,"")</f>
        <v/>
      </c>
      <c r="S145" s="239" t="str">
        <f>IFERROR(Inv_SY!S147/Inv_SY!$Y147-1,"")</f>
        <v/>
      </c>
      <c r="T145" s="239" t="str">
        <f>IFERROR(Inv_SY!T147/Inv_SY!$Y147-1,"")</f>
        <v/>
      </c>
      <c r="U145" s="239" t="str">
        <f>IFERROR(Inv_SY!U147/Inv_SY!$Y147-1,"")</f>
        <v/>
      </c>
      <c r="V145" s="239" t="str">
        <f>IFERROR(Inv_SY!J147/Inv_SY!$Z147-1,"")</f>
        <v/>
      </c>
      <c r="W145" s="239" t="str">
        <f>IFERROR(Inv_SY!K147/Inv_SY!$Z147-1,"")</f>
        <v/>
      </c>
      <c r="X145" s="239" t="str">
        <f>IFERROR(Inv_SY!L147/Inv_SY!$Z147-1,"")</f>
        <v/>
      </c>
      <c r="Y145" s="239" t="str">
        <f>IFERROR(Inv_SY!M147/Inv_SY!$Z147-1,"")</f>
        <v/>
      </c>
      <c r="Z145" s="239" t="str">
        <f>IFERROR(Inv_SY!N147/Inv_SY!$Z147-1,"")</f>
        <v/>
      </c>
      <c r="AA145" s="239" t="str">
        <f>IFERROR(Inv_SY!O147/Inv_SY!$Z147-1,"")</f>
        <v/>
      </c>
      <c r="AB145" s="239" t="str">
        <f>IFERROR(Inv_SY!P147/Inv_SY!$Z147-1,"")</f>
        <v/>
      </c>
      <c r="AC145" s="239" t="str">
        <f>IFERROR(Inv_SY!Q147/Inv_SY!$Z147-1,"")</f>
        <v/>
      </c>
      <c r="AD145" s="239" t="str">
        <f>IFERROR(Inv_SY!R147/Inv_SY!$Z147-1,"")</f>
        <v/>
      </c>
      <c r="AE145" s="239" t="str">
        <f>IFERROR(Inv_SY!S147/Inv_SY!$Z147-1,"")</f>
        <v/>
      </c>
      <c r="AF145" s="239" t="str">
        <f>IFERROR(Inv_SY!T147/Inv_SY!$Z147-1,"")</f>
        <v/>
      </c>
      <c r="AG145" s="239" t="str">
        <f>IFERROR(Inv_SY!U147/Inv_SY!$Z147-1,"")</f>
        <v/>
      </c>
      <c r="AH145" s="239" t="str">
        <f>IFERROR(Inv_SY!V147/Inv_SY!$Y147-1,"")</f>
        <v/>
      </c>
      <c r="AI145" s="239" t="str">
        <f>IFERROR(Inv_SY!W147/Inv_SY!$Y147-1,"")</f>
        <v/>
      </c>
      <c r="AJ145" s="239" t="str">
        <f>IFERROR(Inv_SY!X147/Inv_SY!$Y147-1,"")</f>
        <v/>
      </c>
      <c r="AK145" s="239" t="str">
        <f>IFERROR(Inv_SY!V147/Inv_SY!$Z147-1,"")</f>
        <v/>
      </c>
      <c r="AL145" s="239" t="str">
        <f>IFERROR(Inv_SY!W147/Inv_SY!$Z147-1,"")</f>
        <v/>
      </c>
      <c r="AM145" s="239" t="str">
        <f>IFERROR(Inv_SY!X147/Inv_SY!$Z147-1,"")</f>
        <v/>
      </c>
    </row>
    <row r="146" spans="1:39" x14ac:dyDescent="0.25">
      <c r="A146" s="234">
        <f>YEAR(Inv_SY_D[[#This Row],[Date]])+IF(MONTH(Inv_SY_D[[#This Row],[Date]])&gt;=4,1,0)</f>
        <v>2026</v>
      </c>
      <c r="B146" s="234">
        <v>4</v>
      </c>
      <c r="C146" s="234">
        <f>YEAR(Inv_SY_D[[#This Row],[Month Year]])</f>
        <v>2025</v>
      </c>
      <c r="D146" s="234" t="s">
        <v>4</v>
      </c>
      <c r="E146" s="234" t="s">
        <v>4</v>
      </c>
      <c r="F146" s="235" t="str">
        <f>TEXT(Inv_SY_D[[#This Row],[Date]],"mmm-yy")</f>
        <v>Aug-25</v>
      </c>
      <c r="G146" s="236">
        <f>DAY(EOMONTH(Inv_SY_D[[#This Row],[Month Year]],0))</f>
        <v>31</v>
      </c>
      <c r="H146" s="237">
        <f t="shared" si="3"/>
        <v>45889</v>
      </c>
      <c r="I146" s="238">
        <v>7.0991999999999997</v>
      </c>
      <c r="J146" s="239" t="str">
        <f>IFERROR(Inv_SY!J148/Inv_SY!$Y148-1,"")</f>
        <v/>
      </c>
      <c r="K146" s="239" t="str">
        <f>IFERROR(Inv_SY!K148/Inv_SY!$Y148-1,"")</f>
        <v/>
      </c>
      <c r="L146" s="239" t="str">
        <f>IFERROR(Inv_SY!L148/Inv_SY!$Y148-1,"")</f>
        <v/>
      </c>
      <c r="M146" s="239" t="str">
        <f>IFERROR(Inv_SY!M148/Inv_SY!$Y148-1,"")</f>
        <v/>
      </c>
      <c r="N146" s="239" t="str">
        <f>IFERROR(Inv_SY!N148/Inv_SY!$Y148-1,"")</f>
        <v/>
      </c>
      <c r="O146" s="239" t="str">
        <f>IFERROR(Inv_SY!O148/Inv_SY!$Y148-1,"")</f>
        <v/>
      </c>
      <c r="P146" s="239" t="str">
        <f>IFERROR(Inv_SY!P148/Inv_SY!$Y148-1,"")</f>
        <v/>
      </c>
      <c r="Q146" s="239" t="str">
        <f>IFERROR(Inv_SY!Q148/Inv_SY!$Y148-1,"")</f>
        <v/>
      </c>
      <c r="R146" s="239" t="str">
        <f>IFERROR(Inv_SY!R148/Inv_SY!$Y148-1,"")</f>
        <v/>
      </c>
      <c r="S146" s="239" t="str">
        <f>IFERROR(Inv_SY!S148/Inv_SY!$Y148-1,"")</f>
        <v/>
      </c>
      <c r="T146" s="239" t="str">
        <f>IFERROR(Inv_SY!T148/Inv_SY!$Y148-1,"")</f>
        <v/>
      </c>
      <c r="U146" s="239" t="str">
        <f>IFERROR(Inv_SY!U148/Inv_SY!$Y148-1,"")</f>
        <v/>
      </c>
      <c r="V146" s="239" t="str">
        <f>IFERROR(Inv_SY!J148/Inv_SY!$Z148-1,"")</f>
        <v/>
      </c>
      <c r="W146" s="239" t="str">
        <f>IFERROR(Inv_SY!K148/Inv_SY!$Z148-1,"")</f>
        <v/>
      </c>
      <c r="X146" s="239" t="str">
        <f>IFERROR(Inv_SY!L148/Inv_SY!$Z148-1,"")</f>
        <v/>
      </c>
      <c r="Y146" s="239" t="str">
        <f>IFERROR(Inv_SY!M148/Inv_SY!$Z148-1,"")</f>
        <v/>
      </c>
      <c r="Z146" s="239" t="str">
        <f>IFERROR(Inv_SY!N148/Inv_SY!$Z148-1,"")</f>
        <v/>
      </c>
      <c r="AA146" s="239" t="str">
        <f>IFERROR(Inv_SY!O148/Inv_SY!$Z148-1,"")</f>
        <v/>
      </c>
      <c r="AB146" s="239" t="str">
        <f>IFERROR(Inv_SY!P148/Inv_SY!$Z148-1,"")</f>
        <v/>
      </c>
      <c r="AC146" s="239" t="str">
        <f>IFERROR(Inv_SY!Q148/Inv_SY!$Z148-1,"")</f>
        <v/>
      </c>
      <c r="AD146" s="239" t="str">
        <f>IFERROR(Inv_SY!R148/Inv_SY!$Z148-1,"")</f>
        <v/>
      </c>
      <c r="AE146" s="239" t="str">
        <f>IFERROR(Inv_SY!S148/Inv_SY!$Z148-1,"")</f>
        <v/>
      </c>
      <c r="AF146" s="239" t="str">
        <f>IFERROR(Inv_SY!T148/Inv_SY!$Z148-1,"")</f>
        <v/>
      </c>
      <c r="AG146" s="239" t="str">
        <f>IFERROR(Inv_SY!U148/Inv_SY!$Z148-1,"")</f>
        <v/>
      </c>
      <c r="AH146" s="239" t="str">
        <f>IFERROR(Inv_SY!V148/Inv_SY!$Y148-1,"")</f>
        <v/>
      </c>
      <c r="AI146" s="239" t="str">
        <f>IFERROR(Inv_SY!W148/Inv_SY!$Y148-1,"")</f>
        <v/>
      </c>
      <c r="AJ146" s="239" t="str">
        <f>IFERROR(Inv_SY!X148/Inv_SY!$Y148-1,"")</f>
        <v/>
      </c>
      <c r="AK146" s="239" t="str">
        <f>IFERROR(Inv_SY!V148/Inv_SY!$Z148-1,"")</f>
        <v/>
      </c>
      <c r="AL146" s="239" t="str">
        <f>IFERROR(Inv_SY!W148/Inv_SY!$Z148-1,"")</f>
        <v/>
      </c>
      <c r="AM146" s="239" t="str">
        <f>IFERROR(Inv_SY!X148/Inv_SY!$Z148-1,"")</f>
        <v/>
      </c>
    </row>
    <row r="147" spans="1:39" x14ac:dyDescent="0.25">
      <c r="A147" s="234">
        <f>YEAR(Inv_SY_D[[#This Row],[Date]])+IF(MONTH(Inv_SY_D[[#This Row],[Date]])&gt;=4,1,0)</f>
        <v>2026</v>
      </c>
      <c r="B147" s="234">
        <v>4</v>
      </c>
      <c r="C147" s="234">
        <f>YEAR(Inv_SY_D[[#This Row],[Month Year]])</f>
        <v>2025</v>
      </c>
      <c r="D147" s="234" t="s">
        <v>4</v>
      </c>
      <c r="E147" s="234" t="s">
        <v>4</v>
      </c>
      <c r="F147" s="235" t="str">
        <f>TEXT(Inv_SY_D[[#This Row],[Date]],"mmm-yy")</f>
        <v>Aug-25</v>
      </c>
      <c r="G147" s="236">
        <f>DAY(EOMONTH(Inv_SY_D[[#This Row],[Month Year]],0))</f>
        <v>31</v>
      </c>
      <c r="H147" s="237">
        <f t="shared" si="3"/>
        <v>45890</v>
      </c>
      <c r="I147" s="238">
        <v>7.0991999999999997</v>
      </c>
      <c r="J147" s="239" t="str">
        <f>IFERROR(Inv_SY!J149/Inv_SY!$Y149-1,"")</f>
        <v/>
      </c>
      <c r="K147" s="239" t="str">
        <f>IFERROR(Inv_SY!K149/Inv_SY!$Y149-1,"")</f>
        <v/>
      </c>
      <c r="L147" s="239" t="str">
        <f>IFERROR(Inv_SY!L149/Inv_SY!$Y149-1,"")</f>
        <v/>
      </c>
      <c r="M147" s="239" t="str">
        <f>IFERROR(Inv_SY!M149/Inv_SY!$Y149-1,"")</f>
        <v/>
      </c>
      <c r="N147" s="239" t="str">
        <f>IFERROR(Inv_SY!N149/Inv_SY!$Y149-1,"")</f>
        <v/>
      </c>
      <c r="O147" s="239" t="str">
        <f>IFERROR(Inv_SY!O149/Inv_SY!$Y149-1,"")</f>
        <v/>
      </c>
      <c r="P147" s="239" t="str">
        <f>IFERROR(Inv_SY!P149/Inv_SY!$Y149-1,"")</f>
        <v/>
      </c>
      <c r="Q147" s="239" t="str">
        <f>IFERROR(Inv_SY!Q149/Inv_SY!$Y149-1,"")</f>
        <v/>
      </c>
      <c r="R147" s="239" t="str">
        <f>IFERROR(Inv_SY!R149/Inv_SY!$Y149-1,"")</f>
        <v/>
      </c>
      <c r="S147" s="239" t="str">
        <f>IFERROR(Inv_SY!S149/Inv_SY!$Y149-1,"")</f>
        <v/>
      </c>
      <c r="T147" s="239" t="str">
        <f>IFERROR(Inv_SY!T149/Inv_SY!$Y149-1,"")</f>
        <v/>
      </c>
      <c r="U147" s="239" t="str">
        <f>IFERROR(Inv_SY!U149/Inv_SY!$Y149-1,"")</f>
        <v/>
      </c>
      <c r="V147" s="239" t="str">
        <f>IFERROR(Inv_SY!J149/Inv_SY!$Z149-1,"")</f>
        <v/>
      </c>
      <c r="W147" s="239" t="str">
        <f>IFERROR(Inv_SY!K149/Inv_SY!$Z149-1,"")</f>
        <v/>
      </c>
      <c r="X147" s="239" t="str">
        <f>IFERROR(Inv_SY!L149/Inv_SY!$Z149-1,"")</f>
        <v/>
      </c>
      <c r="Y147" s="239" t="str">
        <f>IFERROR(Inv_SY!M149/Inv_SY!$Z149-1,"")</f>
        <v/>
      </c>
      <c r="Z147" s="239" t="str">
        <f>IFERROR(Inv_SY!N149/Inv_SY!$Z149-1,"")</f>
        <v/>
      </c>
      <c r="AA147" s="239" t="str">
        <f>IFERROR(Inv_SY!O149/Inv_SY!$Z149-1,"")</f>
        <v/>
      </c>
      <c r="AB147" s="239" t="str">
        <f>IFERROR(Inv_SY!P149/Inv_SY!$Z149-1,"")</f>
        <v/>
      </c>
      <c r="AC147" s="239" t="str">
        <f>IFERROR(Inv_SY!Q149/Inv_SY!$Z149-1,"")</f>
        <v/>
      </c>
      <c r="AD147" s="239" t="str">
        <f>IFERROR(Inv_SY!R149/Inv_SY!$Z149-1,"")</f>
        <v/>
      </c>
      <c r="AE147" s="239" t="str">
        <f>IFERROR(Inv_SY!S149/Inv_SY!$Z149-1,"")</f>
        <v/>
      </c>
      <c r="AF147" s="239" t="str">
        <f>IFERROR(Inv_SY!T149/Inv_SY!$Z149-1,"")</f>
        <v/>
      </c>
      <c r="AG147" s="239" t="str">
        <f>IFERROR(Inv_SY!U149/Inv_SY!$Z149-1,"")</f>
        <v/>
      </c>
      <c r="AH147" s="239" t="str">
        <f>IFERROR(Inv_SY!V149/Inv_SY!$Y149-1,"")</f>
        <v/>
      </c>
      <c r="AI147" s="239" t="str">
        <f>IFERROR(Inv_SY!W149/Inv_SY!$Y149-1,"")</f>
        <v/>
      </c>
      <c r="AJ147" s="239" t="str">
        <f>IFERROR(Inv_SY!X149/Inv_SY!$Y149-1,"")</f>
        <v/>
      </c>
      <c r="AK147" s="239" t="str">
        <f>IFERROR(Inv_SY!V149/Inv_SY!$Z149-1,"")</f>
        <v/>
      </c>
      <c r="AL147" s="239" t="str">
        <f>IFERROR(Inv_SY!W149/Inv_SY!$Z149-1,"")</f>
        <v/>
      </c>
      <c r="AM147" s="239" t="str">
        <f>IFERROR(Inv_SY!X149/Inv_SY!$Z149-1,"")</f>
        <v/>
      </c>
    </row>
    <row r="148" spans="1:39" x14ac:dyDescent="0.25">
      <c r="A148" s="234">
        <f>YEAR(Inv_SY_D[[#This Row],[Date]])+IF(MONTH(Inv_SY_D[[#This Row],[Date]])&gt;=4,1,0)</f>
        <v>2026</v>
      </c>
      <c r="B148" s="234">
        <v>4</v>
      </c>
      <c r="C148" s="234">
        <f>YEAR(Inv_SY_D[[#This Row],[Month Year]])</f>
        <v>2025</v>
      </c>
      <c r="D148" s="234" t="s">
        <v>4</v>
      </c>
      <c r="E148" s="234" t="s">
        <v>4</v>
      </c>
      <c r="F148" s="235" t="str">
        <f>TEXT(Inv_SY_D[[#This Row],[Date]],"mmm-yy")</f>
        <v>Aug-25</v>
      </c>
      <c r="G148" s="236">
        <f>DAY(EOMONTH(Inv_SY_D[[#This Row],[Month Year]],0))</f>
        <v>31</v>
      </c>
      <c r="H148" s="237">
        <f t="shared" si="3"/>
        <v>45891</v>
      </c>
      <c r="I148" s="238">
        <v>7.0991999999999997</v>
      </c>
      <c r="J148" s="239" t="str">
        <f>IFERROR(Inv_SY!J150/Inv_SY!$Y150-1,"")</f>
        <v/>
      </c>
      <c r="K148" s="239" t="str">
        <f>IFERROR(Inv_SY!K150/Inv_SY!$Y150-1,"")</f>
        <v/>
      </c>
      <c r="L148" s="239" t="str">
        <f>IFERROR(Inv_SY!L150/Inv_SY!$Y150-1,"")</f>
        <v/>
      </c>
      <c r="M148" s="239" t="str">
        <f>IFERROR(Inv_SY!M150/Inv_SY!$Y150-1,"")</f>
        <v/>
      </c>
      <c r="N148" s="239" t="str">
        <f>IFERROR(Inv_SY!N150/Inv_SY!$Y150-1,"")</f>
        <v/>
      </c>
      <c r="O148" s="239" t="str">
        <f>IFERROR(Inv_SY!O150/Inv_SY!$Y150-1,"")</f>
        <v/>
      </c>
      <c r="P148" s="239" t="str">
        <f>IFERROR(Inv_SY!P150/Inv_SY!$Y150-1,"")</f>
        <v/>
      </c>
      <c r="Q148" s="239" t="str">
        <f>IFERROR(Inv_SY!Q150/Inv_SY!$Y150-1,"")</f>
        <v/>
      </c>
      <c r="R148" s="239" t="str">
        <f>IFERROR(Inv_SY!R150/Inv_SY!$Y150-1,"")</f>
        <v/>
      </c>
      <c r="S148" s="239" t="str">
        <f>IFERROR(Inv_SY!S150/Inv_SY!$Y150-1,"")</f>
        <v/>
      </c>
      <c r="T148" s="239" t="str">
        <f>IFERROR(Inv_SY!T150/Inv_SY!$Y150-1,"")</f>
        <v/>
      </c>
      <c r="U148" s="239" t="str">
        <f>IFERROR(Inv_SY!U150/Inv_SY!$Y150-1,"")</f>
        <v/>
      </c>
      <c r="V148" s="239" t="str">
        <f>IFERROR(Inv_SY!J150/Inv_SY!$Z150-1,"")</f>
        <v/>
      </c>
      <c r="W148" s="239" t="str">
        <f>IFERROR(Inv_SY!K150/Inv_SY!$Z150-1,"")</f>
        <v/>
      </c>
      <c r="X148" s="239" t="str">
        <f>IFERROR(Inv_SY!L150/Inv_SY!$Z150-1,"")</f>
        <v/>
      </c>
      <c r="Y148" s="239" t="str">
        <f>IFERROR(Inv_SY!M150/Inv_SY!$Z150-1,"")</f>
        <v/>
      </c>
      <c r="Z148" s="239" t="str">
        <f>IFERROR(Inv_SY!N150/Inv_SY!$Z150-1,"")</f>
        <v/>
      </c>
      <c r="AA148" s="239" t="str">
        <f>IFERROR(Inv_SY!O150/Inv_SY!$Z150-1,"")</f>
        <v/>
      </c>
      <c r="AB148" s="239" t="str">
        <f>IFERROR(Inv_SY!P150/Inv_SY!$Z150-1,"")</f>
        <v/>
      </c>
      <c r="AC148" s="239" t="str">
        <f>IFERROR(Inv_SY!Q150/Inv_SY!$Z150-1,"")</f>
        <v/>
      </c>
      <c r="AD148" s="239" t="str">
        <f>IFERROR(Inv_SY!R150/Inv_SY!$Z150-1,"")</f>
        <v/>
      </c>
      <c r="AE148" s="239" t="str">
        <f>IFERROR(Inv_SY!S150/Inv_SY!$Z150-1,"")</f>
        <v/>
      </c>
      <c r="AF148" s="239" t="str">
        <f>IFERROR(Inv_SY!T150/Inv_SY!$Z150-1,"")</f>
        <v/>
      </c>
      <c r="AG148" s="239" t="str">
        <f>IFERROR(Inv_SY!U150/Inv_SY!$Z150-1,"")</f>
        <v/>
      </c>
      <c r="AH148" s="239" t="str">
        <f>IFERROR(Inv_SY!V150/Inv_SY!$Y150-1,"")</f>
        <v/>
      </c>
      <c r="AI148" s="239" t="str">
        <f>IFERROR(Inv_SY!W150/Inv_SY!$Y150-1,"")</f>
        <v/>
      </c>
      <c r="AJ148" s="239" t="str">
        <f>IFERROR(Inv_SY!X150/Inv_SY!$Y150-1,"")</f>
        <v/>
      </c>
      <c r="AK148" s="239" t="str">
        <f>IFERROR(Inv_SY!V150/Inv_SY!$Z150-1,"")</f>
        <v/>
      </c>
      <c r="AL148" s="239" t="str">
        <f>IFERROR(Inv_SY!W150/Inv_SY!$Z150-1,"")</f>
        <v/>
      </c>
      <c r="AM148" s="239" t="str">
        <f>IFERROR(Inv_SY!X150/Inv_SY!$Z150-1,"")</f>
        <v/>
      </c>
    </row>
    <row r="149" spans="1:39" x14ac:dyDescent="0.25">
      <c r="A149" s="234">
        <f>YEAR(Inv_SY_D[[#This Row],[Date]])+IF(MONTH(Inv_SY_D[[#This Row],[Date]])&gt;=4,1,0)</f>
        <v>2026</v>
      </c>
      <c r="B149" s="234">
        <v>4</v>
      </c>
      <c r="C149" s="234">
        <f>YEAR(Inv_SY_D[[#This Row],[Month Year]])</f>
        <v>2025</v>
      </c>
      <c r="D149" s="234" t="s">
        <v>4</v>
      </c>
      <c r="E149" s="234" t="s">
        <v>4</v>
      </c>
      <c r="F149" s="235" t="str">
        <f>TEXT(Inv_SY_D[[#This Row],[Date]],"mmm-yy")</f>
        <v>Aug-25</v>
      </c>
      <c r="G149" s="236">
        <f>DAY(EOMONTH(Inv_SY_D[[#This Row],[Month Year]],0))</f>
        <v>31</v>
      </c>
      <c r="H149" s="237">
        <f t="shared" si="3"/>
        <v>45892</v>
      </c>
      <c r="I149" s="238">
        <v>7.0991999999999997</v>
      </c>
      <c r="J149" s="239" t="str">
        <f>IFERROR(Inv_SY!J151/Inv_SY!$Y151-1,"")</f>
        <v/>
      </c>
      <c r="K149" s="239" t="str">
        <f>IFERROR(Inv_SY!K151/Inv_SY!$Y151-1,"")</f>
        <v/>
      </c>
      <c r="L149" s="239" t="str">
        <f>IFERROR(Inv_SY!L151/Inv_SY!$Y151-1,"")</f>
        <v/>
      </c>
      <c r="M149" s="239" t="str">
        <f>IFERROR(Inv_SY!M151/Inv_SY!$Y151-1,"")</f>
        <v/>
      </c>
      <c r="N149" s="239" t="str">
        <f>IFERROR(Inv_SY!N151/Inv_SY!$Y151-1,"")</f>
        <v/>
      </c>
      <c r="O149" s="239" t="str">
        <f>IFERROR(Inv_SY!O151/Inv_SY!$Y151-1,"")</f>
        <v/>
      </c>
      <c r="P149" s="239" t="str">
        <f>IFERROR(Inv_SY!P151/Inv_SY!$Y151-1,"")</f>
        <v/>
      </c>
      <c r="Q149" s="239" t="str">
        <f>IFERROR(Inv_SY!Q151/Inv_SY!$Y151-1,"")</f>
        <v/>
      </c>
      <c r="R149" s="239" t="str">
        <f>IFERROR(Inv_SY!R151/Inv_SY!$Y151-1,"")</f>
        <v/>
      </c>
      <c r="S149" s="239" t="str">
        <f>IFERROR(Inv_SY!S151/Inv_SY!$Y151-1,"")</f>
        <v/>
      </c>
      <c r="T149" s="239" t="str">
        <f>IFERROR(Inv_SY!T151/Inv_SY!$Y151-1,"")</f>
        <v/>
      </c>
      <c r="U149" s="239" t="str">
        <f>IFERROR(Inv_SY!U151/Inv_SY!$Y151-1,"")</f>
        <v/>
      </c>
      <c r="V149" s="239" t="str">
        <f>IFERROR(Inv_SY!J151/Inv_SY!$Z151-1,"")</f>
        <v/>
      </c>
      <c r="W149" s="239" t="str">
        <f>IFERROR(Inv_SY!K151/Inv_SY!$Z151-1,"")</f>
        <v/>
      </c>
      <c r="X149" s="239" t="str">
        <f>IFERROR(Inv_SY!L151/Inv_SY!$Z151-1,"")</f>
        <v/>
      </c>
      <c r="Y149" s="239" t="str">
        <f>IFERROR(Inv_SY!M151/Inv_SY!$Z151-1,"")</f>
        <v/>
      </c>
      <c r="Z149" s="239" t="str">
        <f>IFERROR(Inv_SY!N151/Inv_SY!$Z151-1,"")</f>
        <v/>
      </c>
      <c r="AA149" s="239" t="str">
        <f>IFERROR(Inv_SY!O151/Inv_SY!$Z151-1,"")</f>
        <v/>
      </c>
      <c r="AB149" s="239" t="str">
        <f>IFERROR(Inv_SY!P151/Inv_SY!$Z151-1,"")</f>
        <v/>
      </c>
      <c r="AC149" s="239" t="str">
        <f>IFERROR(Inv_SY!Q151/Inv_SY!$Z151-1,"")</f>
        <v/>
      </c>
      <c r="AD149" s="239" t="str">
        <f>IFERROR(Inv_SY!R151/Inv_SY!$Z151-1,"")</f>
        <v/>
      </c>
      <c r="AE149" s="239" t="str">
        <f>IFERROR(Inv_SY!S151/Inv_SY!$Z151-1,"")</f>
        <v/>
      </c>
      <c r="AF149" s="239" t="str">
        <f>IFERROR(Inv_SY!T151/Inv_SY!$Z151-1,"")</f>
        <v/>
      </c>
      <c r="AG149" s="239" t="str">
        <f>IFERROR(Inv_SY!U151/Inv_SY!$Z151-1,"")</f>
        <v/>
      </c>
      <c r="AH149" s="239" t="str">
        <f>IFERROR(Inv_SY!V151/Inv_SY!$Y151-1,"")</f>
        <v/>
      </c>
      <c r="AI149" s="239" t="str">
        <f>IFERROR(Inv_SY!W151/Inv_SY!$Y151-1,"")</f>
        <v/>
      </c>
      <c r="AJ149" s="239" t="str">
        <f>IFERROR(Inv_SY!X151/Inv_SY!$Y151-1,"")</f>
        <v/>
      </c>
      <c r="AK149" s="239" t="str">
        <f>IFERROR(Inv_SY!V151/Inv_SY!$Z151-1,"")</f>
        <v/>
      </c>
      <c r="AL149" s="239" t="str">
        <f>IFERROR(Inv_SY!W151/Inv_SY!$Z151-1,"")</f>
        <v/>
      </c>
      <c r="AM149" s="239" t="str">
        <f>IFERROR(Inv_SY!X151/Inv_SY!$Z151-1,"")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AA25" activePane="bottomRight" state="frozen"/>
      <selection pane="topRight" activeCell="I2" sqref="I2"/>
      <selection pane="bottomLeft" activeCell="A3" sqref="A3"/>
      <selection pane="bottomRight" activeCell="AF44" sqref="AF44"/>
    </sheetView>
  </sheetViews>
  <sheetFormatPr defaultRowHeight="15" x14ac:dyDescent="0.25"/>
  <cols>
    <col min="1" max="1" width="11.85546875" bestFit="1" customWidth="1"/>
    <col min="2" max="2" width="13.42578125" customWidth="1"/>
    <col min="3" max="3" width="13.85546875" style="2" customWidth="1"/>
    <col min="4" max="4" width="14.42578125" customWidth="1"/>
    <col min="5" max="5" width="13.5703125" customWidth="1"/>
    <col min="6" max="6" width="11.28515625" customWidth="1"/>
    <col min="7" max="7" width="9.5703125" style="2" customWidth="1"/>
    <col min="8" max="8" width="11.42578125" customWidth="1"/>
    <col min="9" max="9" width="16.42578125" customWidth="1"/>
    <col min="10" max="10" width="12.85546875" customWidth="1"/>
    <col min="11" max="11" width="13.7109375" style="3" customWidth="1"/>
    <col min="12" max="12" width="11.5703125" customWidth="1"/>
    <col min="13" max="13" width="14.5703125" style="2" customWidth="1"/>
    <col min="14" max="14" width="11.5703125" customWidth="1"/>
    <col min="15" max="15" width="11.28515625" customWidth="1"/>
    <col min="16" max="16" width="14.5703125" style="2" customWidth="1"/>
    <col min="17" max="17" width="20" customWidth="1"/>
    <col min="18" max="18" width="48.5703125" hidden="1" customWidth="1"/>
    <col min="19" max="20" width="9" customWidth="1"/>
    <col min="21" max="21" width="9.28515625" customWidth="1"/>
    <col min="22" max="22" width="13.28515625" customWidth="1"/>
    <col min="23" max="23" width="13.85546875" bestFit="1" customWidth="1"/>
    <col min="24" max="24" width="12.5703125" customWidth="1"/>
    <col min="25" max="25" width="17.140625" customWidth="1"/>
    <col min="26" max="26" width="51" bestFit="1" customWidth="1"/>
    <col min="27" max="27" width="13" customWidth="1"/>
    <col min="28" max="28" width="22.42578125" customWidth="1"/>
    <col min="29" max="29" width="11.42578125" customWidth="1"/>
    <col min="30" max="30" width="15.42578125" customWidth="1"/>
  </cols>
  <sheetData>
    <row r="1" spans="1:31" hidden="1" x14ac:dyDescent="0.25"/>
    <row r="2" spans="1:3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25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25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25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25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25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25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25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25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25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25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25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25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25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25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25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25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25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25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25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25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25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25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25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25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25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25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25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25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25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25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25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25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25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25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25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25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25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25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25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25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/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25">
      <c r="A43" s="70">
        <f t="shared" si="0"/>
        <v>41</v>
      </c>
      <c r="B43" s="53">
        <f>YEAR(Grid_BD[[#This Row],[Date]])+IF(MONTH(Grid_BD[[#This Row],[Date]])&gt;=4,1,0)</f>
        <v>2026</v>
      </c>
      <c r="C43" s="54">
        <f>YEAR(Grid_BD[[#This Row],[Month Year]])</f>
        <v>2025</v>
      </c>
      <c r="D43" s="54" t="s">
        <v>4</v>
      </c>
      <c r="E43" s="70" t="s">
        <v>4</v>
      </c>
      <c r="F43" s="105">
        <f>Grid_BD[[#This Row],[Date]]-DAY(Grid_BD[[#This Row],[Date]])+1</f>
        <v>45839</v>
      </c>
      <c r="G43" s="46">
        <f>DAY(EOMONTH(Grid_BD[[#This Row],[Month Year]],0))</f>
        <v>31</v>
      </c>
      <c r="H43" s="57">
        <v>45863</v>
      </c>
      <c r="I43" s="48">
        <f>IFERROR(VLOOKUP(Grid_BD[[#This Row],[Date]],'Raw Data'!$G$4:$J$1048576,3,0),"")</f>
        <v>0.2361111111111111</v>
      </c>
      <c r="J43" s="72">
        <f>IFERROR(VLOOKUP(Grid_BD[[#This Row],[Date]],'Raw Data'!$G$4:$J$1048576,4,0),"")</f>
        <v>0.77083333333333337</v>
      </c>
      <c r="K43" s="47">
        <f>IFERROR((Grid_BD[[#This Row],[Sunset Time (POA&lt;20 W/m2)]]-Grid_BD[[#This Row],[Sunrise Time (POA&gt;20 W/m2)]])*24," ")</f>
        <v>12.833333333333336</v>
      </c>
      <c r="L43" s="54" t="s">
        <v>283</v>
      </c>
      <c r="M43" s="46">
        <f>IFERROR(VLOOKUP(Grid_BD[[#This Row],[Affceted Equipment]],'Basic Data'!$A$2:$B$108,2,0),"")</f>
        <v>7099.2000000000007</v>
      </c>
      <c r="N43" s="54" t="s">
        <v>1025</v>
      </c>
      <c r="O43" s="54" t="s">
        <v>200</v>
      </c>
      <c r="P43" s="49">
        <f>IFERROR(VLOOKUP(Grid_BD[[#This Row],[Affceted Equipment]],'Basic Data'!$A$2:$C$118,3,0),"")</f>
        <v>1</v>
      </c>
      <c r="Q43" s="54" t="s">
        <v>1026</v>
      </c>
      <c r="R43" s="54"/>
      <c r="S43" s="60">
        <v>0.2722222222222222</v>
      </c>
      <c r="T43" s="60" t="s">
        <v>1022</v>
      </c>
      <c r="U43" s="60" t="s">
        <v>1022</v>
      </c>
      <c r="V43" s="60">
        <v>0.29444444444444445</v>
      </c>
      <c r="W43" s="46"/>
      <c r="X43" s="46"/>
      <c r="Y43" s="59">
        <f>(Grid_BD[[#This Row],[Work Completiuon time on fualt]]-Grid_BD[[#This Row],[Fault Time]])*24</f>
        <v>0.5333333333333341</v>
      </c>
      <c r="Z43" s="59" t="s">
        <v>1027</v>
      </c>
      <c r="AA43" s="54" t="s">
        <v>185</v>
      </c>
      <c r="AB43" s="86">
        <f>IFERROR(Grid_BD[[#This Row],[Plant Equivalent Weightage]]*Grid_BD[[#This Row],[Resolution Time]],"")</f>
        <v>0.5333333333333341</v>
      </c>
      <c r="AC43" s="47">
        <v>0.01</v>
      </c>
      <c r="AD43" s="79">
        <f>IFERROR(_xlfn.XLOOKUP($F43,'Modelling New'!$D:$D,'Modelling New'!$O:$O)*Grid_BD[[#This Row],[Lost POA (kWh/m2)]]*Grid_BD[[#This Row],[DC Capacity Affceted (kW)]],"")</f>
        <v>51.99549588528469</v>
      </c>
    </row>
    <row r="44" spans="1:30" x14ac:dyDescent="0.25">
      <c r="A44" s="70">
        <f t="shared" si="0"/>
        <v>42</v>
      </c>
      <c r="B44" s="53">
        <f>YEAR(Grid_BD[[#This Row],[Date]])+IF(MONTH(Grid_BD[[#This Row],[Date]])&gt;=4,1,0)</f>
        <v>2026</v>
      </c>
      <c r="C44" s="54">
        <f>YEAR(Grid_BD[[#This Row],[Month Year]])</f>
        <v>2025</v>
      </c>
      <c r="D44" s="54" t="s">
        <v>4</v>
      </c>
      <c r="E44" s="70" t="s">
        <v>4</v>
      </c>
      <c r="F44" s="105">
        <f>Grid_BD[[#This Row],[Date]]-DAY(Grid_BD[[#This Row],[Date]])+1</f>
        <v>45839</v>
      </c>
      <c r="G44" s="46">
        <f>DAY(EOMONTH(Grid_BD[[#This Row],[Month Year]],0))</f>
        <v>31</v>
      </c>
      <c r="H44" s="57">
        <v>45865</v>
      </c>
      <c r="I44" s="48">
        <f>IFERROR(VLOOKUP(Grid_BD[[#This Row],[Date]],'Raw Data'!$G$4:$J$1048576,3,0),"")</f>
        <v>0.23402777777777778</v>
      </c>
      <c r="J44" s="72">
        <f>IFERROR(VLOOKUP(Grid_BD[[#This Row],[Date]],'Raw Data'!$G$4:$J$1048576,4,0),"")</f>
        <v>0.77083333333333337</v>
      </c>
      <c r="K44" s="47">
        <f>IFERROR((Grid_BD[[#This Row],[Sunset Time (POA&lt;20 W/m2)]]-Grid_BD[[#This Row],[Sunrise Time (POA&gt;20 W/m2)]])*24," ")</f>
        <v>12.883333333333333</v>
      </c>
      <c r="L44" s="54" t="s">
        <v>283</v>
      </c>
      <c r="M44" s="46">
        <f>IFERROR(VLOOKUP(Grid_BD[[#This Row],[Affceted Equipment]],'Basic Data'!$A$2:$B$108,2,0),"")</f>
        <v>7099.2000000000007</v>
      </c>
      <c r="N44" s="54" t="s">
        <v>1025</v>
      </c>
      <c r="O44" s="54" t="s">
        <v>200</v>
      </c>
      <c r="P44" s="49">
        <f>IFERROR(VLOOKUP(Grid_BD[[#This Row],[Affceted Equipment]],'Basic Data'!$A$2:$C$118,3,0),"")</f>
        <v>1</v>
      </c>
      <c r="Q44" s="54" t="s">
        <v>1026</v>
      </c>
      <c r="R44" s="54"/>
      <c r="S44" s="60">
        <v>0.40555555555555556</v>
      </c>
      <c r="T44" s="60" t="s">
        <v>1022</v>
      </c>
      <c r="U44" s="60" t="s">
        <v>1022</v>
      </c>
      <c r="V44" s="60">
        <v>0.46458333333333335</v>
      </c>
      <c r="W44" s="46"/>
      <c r="X44" s="46"/>
      <c r="Y44" s="59">
        <f>(Grid_BD[[#This Row],[Work Completiuon time on fualt]]-Grid_BD[[#This Row],[Fault Time]])*24</f>
        <v>1.416666666666667</v>
      </c>
      <c r="Z44" s="59" t="s">
        <v>1027</v>
      </c>
      <c r="AA44" s="54" t="s">
        <v>185</v>
      </c>
      <c r="AB44" s="86">
        <f>IFERROR(Grid_BD[[#This Row],[Plant Equivalent Weightage]]*Grid_BD[[#This Row],[Resolution Time]],"")</f>
        <v>1.416666666666667</v>
      </c>
      <c r="AC44" s="47">
        <v>0.75</v>
      </c>
      <c r="AD44" s="79">
        <f>IFERROR(_xlfn.XLOOKUP($F44,'Modelling New'!$D:$D,'Modelling New'!$O:$O)*Grid_BD[[#This Row],[Lost POA (kWh/m2)]]*Grid_BD[[#This Row],[DC Capacity Affceted (kW)]],"")</f>
        <v>3899.6621913963518</v>
      </c>
    </row>
    <row r="45" spans="1:30" x14ac:dyDescent="0.25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25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25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25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25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25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25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25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25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25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25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25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25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25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25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25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25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25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25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25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25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25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25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25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25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25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25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25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25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25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25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25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25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25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25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25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25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25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25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25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25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25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25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25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25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25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25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25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25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25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25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25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25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25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25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25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25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25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25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25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25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25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25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25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25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25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25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25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25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25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25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25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25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25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25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25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25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25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25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25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25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25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25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25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25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25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25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25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25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25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25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25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25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25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25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25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25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25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25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25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25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25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25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25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25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25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25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25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25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25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25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25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25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25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25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25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25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25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25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25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25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25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25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25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25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25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25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25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25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25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25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25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25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25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25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25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25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25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25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25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25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25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25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25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25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25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25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25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25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25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25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25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25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25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25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25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25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25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25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25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25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25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25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25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25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25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25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25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25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25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25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25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25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25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25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25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25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25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25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25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25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25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25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25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25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25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25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25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25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25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25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25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25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25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25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25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25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25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25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25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25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25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25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25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25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25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25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25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25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25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25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25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25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25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25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25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25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25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25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25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25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25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25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25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25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25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25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25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25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25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25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25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25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25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25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25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25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25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25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25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25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25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25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25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25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25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25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25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25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25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25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25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25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25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25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25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25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25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25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25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25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25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25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25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25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25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25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25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25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25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25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25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25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25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25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25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25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25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25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25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25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25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25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25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25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25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25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25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25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25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25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25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25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25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25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25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25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25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25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25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25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25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25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25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25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25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25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25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25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25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25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25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25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25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25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25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25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25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25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25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25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25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25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25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25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25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25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25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25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25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25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25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25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25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25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25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25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25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25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25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25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25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25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25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25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25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25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25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25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25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25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25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25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25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25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25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25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25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25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25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25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25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25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25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25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25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25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25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25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25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25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25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25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25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25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25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25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25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25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25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25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25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25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25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25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25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25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25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25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25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25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25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25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25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25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25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25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25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25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25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25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25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25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25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25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25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25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25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25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25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25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25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25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25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25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25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25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25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25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25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25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25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25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25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25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25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25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25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25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25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25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25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25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25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25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25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25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25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25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25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25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25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25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25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25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25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25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25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25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25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25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25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25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25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25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25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25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25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25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25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25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25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25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25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25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25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25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25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25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25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25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25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25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25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25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25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25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25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25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25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25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25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25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25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25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25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25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25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25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25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25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25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25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25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25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25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25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25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25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25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25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25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25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25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25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25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25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25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25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25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25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25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25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25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25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25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25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25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25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25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25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25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25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25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25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25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25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25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25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25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25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25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25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25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25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25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25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25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25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25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25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25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25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25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25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25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25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25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25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25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25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25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25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25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25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25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25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25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25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25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25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25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25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25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25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25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25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25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25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25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25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25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25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25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25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25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25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25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25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25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25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25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25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25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25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25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25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25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25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25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25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25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25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25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25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25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25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25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25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25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25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25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25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25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25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25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25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25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25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25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25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25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25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25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25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25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25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25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25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25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25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25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25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25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25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25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25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25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25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25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25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25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25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25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25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25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25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25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25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25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25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25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25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25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25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25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25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25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25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25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25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25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25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25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25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25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25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25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25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25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25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25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25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25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25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25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25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25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25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25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25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25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25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25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25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25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25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25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25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25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25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25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25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25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25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25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25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25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25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25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25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25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25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25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25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25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25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25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25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25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25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25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25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25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25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25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25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25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25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25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25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25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25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25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25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25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25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25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25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25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25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25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25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25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25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25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25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25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25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25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54"/>
  <sheetViews>
    <sheetView tabSelected="1" topLeftCell="A3" zoomScale="85" zoomScaleNormal="85" workbookViewId="0">
      <pane xSplit="8" ySplit="1" topLeftCell="I36" activePane="bottomRight" state="frozen"/>
      <selection pane="topRight" activeCell="I3" sqref="I3"/>
      <selection pane="bottomLeft" activeCell="A4" sqref="A4"/>
      <selection pane="bottomRight" activeCell="C54" sqref="C54"/>
    </sheetView>
  </sheetViews>
  <sheetFormatPr defaultRowHeight="15" x14ac:dyDescent="0.25"/>
  <cols>
    <col min="1" max="1" width="9" style="2" customWidth="1"/>
    <col min="2" max="2" width="12.140625" style="2" bestFit="1" customWidth="1"/>
    <col min="3" max="7" width="9" style="2" customWidth="1"/>
    <col min="8" max="8" width="10.140625" bestFit="1" customWidth="1"/>
    <col min="9" max="11" width="10.140625" customWidth="1"/>
    <col min="12" max="12" width="13.5703125" bestFit="1" customWidth="1"/>
    <col min="13" max="13" width="14.85546875" style="2" customWidth="1"/>
    <col min="14" max="14" width="11.140625" customWidth="1"/>
    <col min="15" max="15" width="28.42578125" bestFit="1" customWidth="1"/>
    <col min="16" max="16" width="13" customWidth="1"/>
    <col min="17" max="17" width="26.42578125" bestFit="1" customWidth="1"/>
    <col min="18" max="18" width="36.5703125" bestFit="1" customWidth="1"/>
    <col min="19" max="19" width="12.5703125" bestFit="1" customWidth="1"/>
    <col min="20" max="21" width="11" customWidth="1"/>
    <col min="22" max="22" width="12.5703125" bestFit="1" customWidth="1"/>
    <col min="23" max="23" width="9.85546875" style="2" customWidth="1"/>
    <col min="24" max="26" width="10.140625" style="2" customWidth="1"/>
    <col min="27" max="27" width="99.140625" bestFit="1" customWidth="1"/>
    <col min="28" max="28" width="17.140625" customWidth="1"/>
    <col min="29" max="29" width="9.140625" style="2" customWidth="1"/>
    <col min="30" max="30" width="17.140625" customWidth="1"/>
    <col min="31" max="31" width="13.28515625" style="2" customWidth="1"/>
    <col min="32" max="34" width="8.5703125" style="64"/>
  </cols>
  <sheetData>
    <row r="1" spans="1:33" hidden="1" x14ac:dyDescent="0.25"/>
    <row r="2" spans="1:33" hidden="1" x14ac:dyDescent="0.25"/>
    <row r="3" spans="1:33" ht="51" x14ac:dyDescent="0.25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25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25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25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25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25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25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25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25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25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25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25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25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25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25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25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25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25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25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25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25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25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25">
      <c r="A25" s="54">
        <f t="shared" ref="A25:A54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25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25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25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25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25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25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25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25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25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25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25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25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25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25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25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25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25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25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25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  <row r="45" spans="1:33" x14ac:dyDescent="0.25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56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13">
        <f>IFERROR((_xlfn.XLOOKUP($F45,'Modelling New'!$D:$D,'Modelling New'!$O:$O)*Plant_BD[[#This Row],[Lost PoA(kWh/m2)]]*Plant_BD[[#This Row],[DC Capacity Affceted (kW)]]),"")</f>
        <v>34.301998160223683</v>
      </c>
      <c r="AF45" s="215"/>
      <c r="AG45" s="215"/>
    </row>
    <row r="46" spans="1:33" x14ac:dyDescent="0.25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56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13">
        <f>IFERROR((_xlfn.XLOOKUP($F46,'Modelling New'!$D:$D,'Modelling New'!$O:$O)*Plant_BD[[#This Row],[Lost PoA(kWh/m2)]]*Plant_BD[[#This Row],[DC Capacity Affceted (kW)]]),"")</f>
        <v>33.757521998950295</v>
      </c>
      <c r="AF46" s="215"/>
      <c r="AG46" s="215"/>
    </row>
    <row r="47" spans="1:33" x14ac:dyDescent="0.25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56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13">
        <f>IFERROR((_xlfn.XLOOKUP($F47,'Modelling New'!$D:$D,'Modelling New'!$O:$O)*Plant_BD[[#This Row],[Lost PoA(kWh/m2)]]*Plant_BD[[#This Row],[DC Capacity Affceted (kW)]]),"")</f>
        <v>38.454782441122433</v>
      </c>
      <c r="AF47" s="215"/>
      <c r="AG47" s="215"/>
    </row>
    <row r="48" spans="1:33" x14ac:dyDescent="0.25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56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13">
        <f>IFERROR((_xlfn.XLOOKUP($F48,'Modelling New'!$D:$D,'Modelling New'!$O:$O)*Plant_BD[[#This Row],[Lost PoA(kWh/m2)]]*Plant_BD[[#This Row],[DC Capacity Affceted (kW)]]),"")</f>
        <v>37.844389069041128</v>
      </c>
      <c r="AF48" s="215"/>
      <c r="AG48" s="215"/>
    </row>
    <row r="49" spans="1:33" x14ac:dyDescent="0.25">
      <c r="A49" s="54">
        <f t="shared" si="1"/>
        <v>46</v>
      </c>
      <c r="B49" s="53">
        <f>YEAR(Plant_BD[[#This Row],[Date]])+IF(MONTH(Plant_BD[[#This Row],[Date]])&gt;=4,1,0)</f>
        <v>2026</v>
      </c>
      <c r="C49" s="54">
        <f>YEAR(Plant_BD[[#This Row],[Date]])</f>
        <v>2025</v>
      </c>
      <c r="D49" s="56" t="s">
        <v>4</v>
      </c>
      <c r="E49" s="56" t="s">
        <v>4</v>
      </c>
      <c r="F49" s="50">
        <f>Plant_BD[[#This Row],[Date]]-DAY(Plant_BD[[#This Row],[Date]])+1</f>
        <v>45839</v>
      </c>
      <c r="G49" s="46">
        <f>DAY(EOMONTH(Plant_BD[[#This Row],[Month Year]],0))</f>
        <v>31</v>
      </c>
      <c r="H49" s="156">
        <v>45862</v>
      </c>
      <c r="I49" s="48">
        <f>IFERROR(VLOOKUP(Plant_BD[[#This Row],[Date]],Raw_Data[[Date]:[Sunset Time (POA&lt;20 W/m2)]],3,0),"")</f>
        <v>0.2361111111111111</v>
      </c>
      <c r="J49" s="48">
        <f>IFERROR(VLOOKUP(Plant_BD[[#This Row],[Date]],Raw_Data[[Date]:[Sunset Time (POA&lt;20 W/m2)]],4,0),"")</f>
        <v>0.77916666666666667</v>
      </c>
      <c r="K49" s="59">
        <f>IFERROR((Plant_BD[[#This Row],[Sunset Time (POA&lt;20 W/m2)]]-Plant_BD[[#This Row],[Sunrise Time (POA&gt;20 W/m2)]])*24,"")</f>
        <v>13.033333333333335</v>
      </c>
      <c r="L49" s="79" t="s">
        <v>100</v>
      </c>
      <c r="M49" s="46">
        <f>VLOOKUP(Plant_BD[[#This Row],[Affceted Equipment]],'Basic Data'!$A$2:$C$724,2,0)</f>
        <v>2379.6000000000008</v>
      </c>
      <c r="N49" s="106">
        <f>IFERROR(VLOOKUP(Plant_BD[[#This Row],[Affceted Equipment]],'Basic Data'!$A$1:$C$724,3,0),"")</f>
        <v>0.33519269776876276</v>
      </c>
      <c r="O49" s="54" t="s">
        <v>1029</v>
      </c>
      <c r="P49" s="54" t="s">
        <v>1029</v>
      </c>
      <c r="Q49" s="54" t="s">
        <v>1029</v>
      </c>
      <c r="R49" s="54" t="s">
        <v>1029</v>
      </c>
      <c r="S49" s="60">
        <v>0.54861111111111116</v>
      </c>
      <c r="T49" s="69" t="s">
        <v>1022</v>
      </c>
      <c r="U49" s="69" t="s">
        <v>1022</v>
      </c>
      <c r="V49" s="60">
        <v>0.58958333333333335</v>
      </c>
      <c r="W49" s="47" t="str">
        <f>IF(Plant_BD[[#This Row],[Acknowledgemnet Time ]]="NA","",(Plant_BD[[#This Row],[Acknowledgemnet Time ]]-Plant_BD[[#This Row],[Fault Time]])*24)</f>
        <v/>
      </c>
      <c r="X49" s="47" t="str">
        <f>IF(Plant_BD[[#This Row],[Work Start time on Fault]]="NA","",(Plant_BD[[#This Row],[Work Start time on Fault]]-Plant_BD[[#This Row],[Fault Time]])*24)</f>
        <v/>
      </c>
      <c r="Y49" s="59">
        <f>(Plant_BD[[#This Row],[Work Completiuon time on fualt]]-Plant_BD[[#This Row],[Fault Time]])*24</f>
        <v>0.9833333333333325</v>
      </c>
      <c r="Z49" s="59">
        <f>IFERROR((Plant_BD[[#This Row],[Work Completiuon time on fualt]]-Plant_BD[[#This Row],[Fault Time]])*24,"")</f>
        <v>0.9833333333333325</v>
      </c>
      <c r="AA49" s="54" t="s">
        <v>1023</v>
      </c>
      <c r="AB49" s="56" t="s">
        <v>185</v>
      </c>
      <c r="AC49" s="47">
        <f>IFERROR(Plant_BD[[#This Row],[Breakdown Time]]*Plant_BD[[#This Row],[Plant Equivalent Weightage]],"")</f>
        <v>0.32960615280594979</v>
      </c>
      <c r="AD49" s="54">
        <v>0.24</v>
      </c>
      <c r="AE49" s="213">
        <f>IFERROR((_xlfn.XLOOKUP($F49,'Modelling New'!$D:$D,'Modelling New'!$O:$O)*Plant_BD[[#This Row],[Lost PoA(kWh/m2)]]*Plant_BD[[#This Row],[DC Capacity Affceted (kW)]]),"")</f>
        <v>418.28425290271628</v>
      </c>
      <c r="AF49" s="215"/>
      <c r="AG49" s="215"/>
    </row>
    <row r="50" spans="1:33" x14ac:dyDescent="0.25">
      <c r="A50" s="54">
        <f t="shared" si="1"/>
        <v>47</v>
      </c>
      <c r="B50" s="53">
        <f>YEAR(Plant_BD[[#This Row],[Date]])+IF(MONTH(Plant_BD[[#This Row],[Date]])&gt;=4,1,0)</f>
        <v>2026</v>
      </c>
      <c r="C50" s="54">
        <f>YEAR(Plant_BD[[#This Row],[Date]])</f>
        <v>2025</v>
      </c>
      <c r="D50" s="56" t="s">
        <v>4</v>
      </c>
      <c r="E50" s="56" t="s">
        <v>4</v>
      </c>
      <c r="F50" s="50">
        <f>Plant_BD[[#This Row],[Date]]-DAY(Plant_BD[[#This Row],[Date]])+1</f>
        <v>45839</v>
      </c>
      <c r="G50" s="46">
        <f>DAY(EOMONTH(Plant_BD[[#This Row],[Month Year]],0))</f>
        <v>31</v>
      </c>
      <c r="H50" s="156">
        <v>45862</v>
      </c>
      <c r="I50" s="48">
        <f>IFERROR(VLOOKUP(Plant_BD[[#This Row],[Date]],Raw_Data[[Date]:[Sunset Time (POA&lt;20 W/m2)]],3,0),"")</f>
        <v>0.2361111111111111</v>
      </c>
      <c r="J50" s="48">
        <f>IFERROR(VLOOKUP(Plant_BD[[#This Row],[Date]],Raw_Data[[Date]:[Sunset Time (POA&lt;20 W/m2)]],4,0),"")</f>
        <v>0.77916666666666667</v>
      </c>
      <c r="K50" s="59">
        <f>IFERROR((Plant_BD[[#This Row],[Sunset Time (POA&lt;20 W/m2)]]-Plant_BD[[#This Row],[Sunrise Time (POA&gt;20 W/m2)]])*24,"")</f>
        <v>13.033333333333335</v>
      </c>
      <c r="L50" s="79" t="s">
        <v>100</v>
      </c>
      <c r="M50" s="46">
        <f>VLOOKUP(Plant_BD[[#This Row],[Affceted Equipment]],'Basic Data'!$A$2:$C$724,2,0)</f>
        <v>2379.6000000000008</v>
      </c>
      <c r="N50" s="106">
        <f>IFERROR(VLOOKUP(Plant_BD[[#This Row],[Affceted Equipment]],'Basic Data'!$A$1:$C$724,3,0),"")</f>
        <v>0.33519269776876276</v>
      </c>
      <c r="O50" s="54" t="s">
        <v>1029</v>
      </c>
      <c r="P50" s="54" t="s">
        <v>1029</v>
      </c>
      <c r="Q50" s="54" t="s">
        <v>1029</v>
      </c>
      <c r="R50" s="54" t="s">
        <v>1029</v>
      </c>
      <c r="S50" s="60">
        <v>0.6166666666666667</v>
      </c>
      <c r="T50" s="69" t="s">
        <v>1022</v>
      </c>
      <c r="U50" s="69" t="s">
        <v>1022</v>
      </c>
      <c r="V50" s="60">
        <v>0.62708333333333333</v>
      </c>
      <c r="W50" s="47" t="str">
        <f>IF(Plant_BD[[#This Row],[Acknowledgemnet Time ]]="NA","",(Plant_BD[[#This Row],[Acknowledgemnet Time ]]-Plant_BD[[#This Row],[Fault Time]])*24)</f>
        <v/>
      </c>
      <c r="X50" s="47" t="str">
        <f>IF(Plant_BD[[#This Row],[Work Start time on Fault]]="NA","",(Plant_BD[[#This Row],[Work Start time on Fault]]-Plant_BD[[#This Row],[Fault Time]])*24)</f>
        <v/>
      </c>
      <c r="Y50" s="59">
        <f>(Plant_BD[[#This Row],[Work Completiuon time on fualt]]-Plant_BD[[#This Row],[Fault Time]])*24</f>
        <v>0.24999999999999911</v>
      </c>
      <c r="Z50" s="59">
        <f>IFERROR((Plant_BD[[#This Row],[Work Completiuon time on fualt]]-Plant_BD[[#This Row],[Fault Time]])*24,"")</f>
        <v>0.24999999999999911</v>
      </c>
      <c r="AA50" s="54" t="s">
        <v>1023</v>
      </c>
      <c r="AB50" s="56" t="s">
        <v>185</v>
      </c>
      <c r="AC50" s="47">
        <f>IFERROR(Plant_BD[[#This Row],[Breakdown Time]]*Plant_BD[[#This Row],[Plant Equivalent Weightage]],"")</f>
        <v>8.3798174442190398E-2</v>
      </c>
      <c r="AD50" s="54">
        <v>0.06</v>
      </c>
      <c r="AE50" s="213">
        <f>IFERROR((_xlfn.XLOOKUP($F50,'Modelling New'!$D:$D,'Modelling New'!$O:$O)*Plant_BD[[#This Row],[Lost PoA(kWh/m2)]]*Plant_BD[[#This Row],[DC Capacity Affceted (kW)]]),"")</f>
        <v>104.57106322567907</v>
      </c>
      <c r="AF50" s="215"/>
      <c r="AG50" s="215"/>
    </row>
    <row r="51" spans="1:33" x14ac:dyDescent="0.25">
      <c r="A51" s="54">
        <f t="shared" si="1"/>
        <v>48</v>
      </c>
      <c r="B51" s="53">
        <f>YEAR(Plant_BD[[#This Row],[Date]])+IF(MONTH(Plant_BD[[#This Row],[Date]])&gt;=4,1,0)</f>
        <v>2026</v>
      </c>
      <c r="C51" s="54">
        <f>YEAR(Plant_BD[[#This Row],[Date]])</f>
        <v>2025</v>
      </c>
      <c r="D51" s="56" t="s">
        <v>4</v>
      </c>
      <c r="E51" s="56" t="s">
        <v>4</v>
      </c>
      <c r="F51" s="50">
        <f>Plant_BD[[#This Row],[Date]]-DAY(Plant_BD[[#This Row],[Date]])+1</f>
        <v>45839</v>
      </c>
      <c r="G51" s="46">
        <f>DAY(EOMONTH(Plant_BD[[#This Row],[Month Year]],0))</f>
        <v>31</v>
      </c>
      <c r="H51" s="156">
        <v>45865</v>
      </c>
      <c r="I51" s="48">
        <f>IFERROR(VLOOKUP(Plant_BD[[#This Row],[Date]],Raw_Data[[Date]:[Sunset Time (POA&lt;20 W/m2)]],3,0),"")</f>
        <v>0.23402777777777778</v>
      </c>
      <c r="J51" s="48">
        <f>IFERROR(VLOOKUP(Plant_BD[[#This Row],[Date]],Raw_Data[[Date]:[Sunset Time (POA&lt;20 W/m2)]],4,0),"")</f>
        <v>0.77083333333333337</v>
      </c>
      <c r="K51" s="59">
        <f>IFERROR((Plant_BD[[#This Row],[Sunset Time (POA&lt;20 W/m2)]]-Plant_BD[[#This Row],[Sunrise Time (POA&gt;20 W/m2)]])*24,"")</f>
        <v>12.883333333333333</v>
      </c>
      <c r="L51" s="79" t="s">
        <v>100</v>
      </c>
      <c r="M51" s="46">
        <f>VLOOKUP(Plant_BD[[#This Row],[Affceted Equipment]],'Basic Data'!$A$2:$C$724,2,0)</f>
        <v>2379.6000000000008</v>
      </c>
      <c r="N51" s="106">
        <f>IFERROR(VLOOKUP(Plant_BD[[#This Row],[Affceted Equipment]],'Basic Data'!$A$1:$C$724,3,0),"")</f>
        <v>0.33519269776876276</v>
      </c>
      <c r="O51" s="54" t="s">
        <v>1029</v>
      </c>
      <c r="P51" s="54" t="s">
        <v>1029</v>
      </c>
      <c r="Q51" s="54" t="s">
        <v>1029</v>
      </c>
      <c r="R51" s="54" t="s">
        <v>1029</v>
      </c>
      <c r="S51" s="60">
        <v>0.56805555555555554</v>
      </c>
      <c r="T51" s="69" t="s">
        <v>1022</v>
      </c>
      <c r="U51" s="69" t="s">
        <v>1022</v>
      </c>
      <c r="V51" s="60">
        <v>0.57847222222222228</v>
      </c>
      <c r="W51" s="47" t="str">
        <f>IF(Plant_BD[[#This Row],[Acknowledgemnet Time ]]="NA","",(Plant_BD[[#This Row],[Acknowledgemnet Time ]]-Plant_BD[[#This Row],[Fault Time]])*24)</f>
        <v/>
      </c>
      <c r="X51" s="47" t="str">
        <f>IF(Plant_BD[[#This Row],[Work Start time on Fault]]="NA","",(Plant_BD[[#This Row],[Work Start time on Fault]]-Plant_BD[[#This Row],[Fault Time]])*24)</f>
        <v/>
      </c>
      <c r="Y51" s="59">
        <f>(Plant_BD[[#This Row],[Work Completiuon time on fualt]]-Plant_BD[[#This Row],[Fault Time]])*24</f>
        <v>0.25000000000000178</v>
      </c>
      <c r="Z51" s="59">
        <f>IFERROR((Plant_BD[[#This Row],[Work Completiuon time on fualt]]-Plant_BD[[#This Row],[Fault Time]])*24,"")</f>
        <v>0.25000000000000178</v>
      </c>
      <c r="AA51" s="54" t="s">
        <v>1023</v>
      </c>
      <c r="AB51" s="56" t="s">
        <v>185</v>
      </c>
      <c r="AC51" s="47">
        <f>IFERROR(Plant_BD[[#This Row],[Breakdown Time]]*Plant_BD[[#This Row],[Plant Equivalent Weightage]],"")</f>
        <v>8.3798174442191287E-2</v>
      </c>
      <c r="AD51" s="54">
        <v>0.09</v>
      </c>
      <c r="AE51" s="213">
        <f>IFERROR((_xlfn.XLOOKUP($F51,'Modelling New'!$D:$D,'Modelling New'!$O:$O)*Plant_BD[[#This Row],[Lost PoA(kWh/m2)]]*Plant_BD[[#This Row],[DC Capacity Affceted (kW)]]),"")</f>
        <v>156.85659483851859</v>
      </c>
      <c r="AF51" s="215"/>
      <c r="AG51" s="215"/>
    </row>
    <row r="52" spans="1:33" x14ac:dyDescent="0.25">
      <c r="A52" s="54">
        <f t="shared" si="1"/>
        <v>49</v>
      </c>
      <c r="B52" s="258">
        <f>YEAR(Plant_BD[[#This Row],[Date]])+IF(MONTH(Plant_BD[[#This Row],[Date]])&gt;=4,1,0)</f>
        <v>1900</v>
      </c>
      <c r="C52" s="258"/>
      <c r="D52" s="258"/>
      <c r="E52" s="258"/>
      <c r="F52" s="50">
        <f>Plant_BD[[#This Row],[Date]]-DAY(Plant_BD[[#This Row],[Date]])+1</f>
        <v>1</v>
      </c>
      <c r="G52" s="259">
        <f>DAY(EOMONTH(Plant_BD[[#This Row],[Month Year]],0))</f>
        <v>31</v>
      </c>
      <c r="H52" s="156"/>
      <c r="I52" s="48" t="str">
        <f>IFERROR(VLOOKUP(Plant_BD[[#This Row],[Date]],Raw_Data[[Date]:[Sunset Time (POA&lt;20 W/m2)]],3,0),"")</f>
        <v/>
      </c>
      <c r="J52" s="48" t="str">
        <f>IFERROR(VLOOKUP(Plant_BD[[#This Row],[Date]],Raw_Data[[Date]:[Sunset Time (POA&lt;20 W/m2)]],4,0),"")</f>
        <v/>
      </c>
      <c r="K52" s="59" t="str">
        <f>IFERROR((Plant_BD[[#This Row],[Sunset Time (POA&lt;20 W/m2)]]-Plant_BD[[#This Row],[Sunrise Time (POA&gt;20 W/m2)]])*24,"")</f>
        <v/>
      </c>
      <c r="L52" s="79"/>
      <c r="M52" s="259" t="e">
        <f>VLOOKUP(Plant_BD[[#This Row],[Affceted Equipment]],'Basic Data'!$A$2:$C$724,2,0)</f>
        <v>#N/A</v>
      </c>
      <c r="N52" s="106" t="str">
        <f>IFERROR(VLOOKUP(Plant_BD[[#This Row],[Affceted Equipment]],'Basic Data'!$A$1:$C$724,3,0),"")</f>
        <v/>
      </c>
      <c r="O52" s="54"/>
      <c r="P52" s="54"/>
      <c r="Q52" s="54"/>
      <c r="R52" s="54"/>
      <c r="S52" s="60"/>
      <c r="T52" s="60"/>
      <c r="U52" s="60"/>
      <c r="V52" s="60"/>
      <c r="W52" s="47">
        <f>IF(Plant_BD[[#This Row],[Acknowledgemnet Time ]]="NA","",(Plant_BD[[#This Row],[Acknowledgemnet Time ]]-Plant_BD[[#This Row],[Fault Time]])*24)</f>
        <v>0</v>
      </c>
      <c r="X52" s="47">
        <f>IF(Plant_BD[[#This Row],[Work Start time on Fault]]="NA","",(Plant_BD[[#This Row],[Work Start time on Fault]]-Plant_BD[[#This Row],[Fault Time]])*24)</f>
        <v>0</v>
      </c>
      <c r="Y52" s="59">
        <f>(Plant_BD[[#This Row],[Work Completiuon time on fualt]]-Plant_BD[[#This Row],[Fault Time]])*24</f>
        <v>0</v>
      </c>
      <c r="Z52" s="59">
        <f>IFERROR((Plant_BD[[#This Row],[Work Completiuon time on fualt]]-Plant_BD[[#This Row],[Fault Time]])*24,"")</f>
        <v>0</v>
      </c>
      <c r="AA52" s="54"/>
      <c r="AB52" s="54"/>
      <c r="AC52" s="47" t="str">
        <f>IFERROR(Plant_BD[[#This Row],[Breakdown Time]]*Plant_BD[[#This Row],[Plant Equivalent Weightage]],"")</f>
        <v/>
      </c>
      <c r="AD52" s="54"/>
      <c r="AE52" s="260" t="str">
        <f>IFERROR(((VLOOKUP(Plant_BD[[#This Row],[Date]],#REF!,16,0))*Plant_BD[[#This Row],[Lost PoA(kWh/m2)]]*Plant_BD[[#This Row],[DC Capacity Affceted (kW)]]),"")</f>
        <v/>
      </c>
      <c r="AF52" s="215"/>
      <c r="AG52" s="215"/>
    </row>
    <row r="53" spans="1:33" x14ac:dyDescent="0.25">
      <c r="A53" s="54">
        <f t="shared" si="1"/>
        <v>50</v>
      </c>
      <c r="B53" s="258">
        <f>YEAR(Plant_BD[[#This Row],[Date]])+IF(MONTH(Plant_BD[[#This Row],[Date]])&gt;=4,1,0)</f>
        <v>1900</v>
      </c>
      <c r="C53" s="258"/>
      <c r="D53" s="258"/>
      <c r="E53" s="258"/>
      <c r="F53" s="50">
        <f>Plant_BD[[#This Row],[Date]]-DAY(Plant_BD[[#This Row],[Date]])+1</f>
        <v>1</v>
      </c>
      <c r="G53" s="259">
        <f>DAY(EOMONTH(Plant_BD[[#This Row],[Month Year]],0))</f>
        <v>31</v>
      </c>
      <c r="H53" s="156"/>
      <c r="I53" s="48" t="str">
        <f>IFERROR(VLOOKUP(Plant_BD[[#This Row],[Date]],Raw_Data[[Date]:[Sunset Time (POA&lt;20 W/m2)]],3,0),"")</f>
        <v/>
      </c>
      <c r="J53" s="48" t="str">
        <f>IFERROR(VLOOKUP(Plant_BD[[#This Row],[Date]],Raw_Data[[Date]:[Sunset Time (POA&lt;20 W/m2)]],4,0),"")</f>
        <v/>
      </c>
      <c r="K53" s="59" t="str">
        <f>IFERROR((Plant_BD[[#This Row],[Sunset Time (POA&lt;20 W/m2)]]-Plant_BD[[#This Row],[Sunrise Time (POA&gt;20 W/m2)]])*24,"")</f>
        <v/>
      </c>
      <c r="L53" s="79"/>
      <c r="M53" s="259" t="e">
        <f>VLOOKUP(Plant_BD[[#This Row],[Affceted Equipment]],'Basic Data'!$A$2:$C$724,2,0)</f>
        <v>#N/A</v>
      </c>
      <c r="N53" s="106" t="str">
        <f>IFERROR(VLOOKUP(Plant_BD[[#This Row],[Affceted Equipment]],'Basic Data'!$A$1:$C$724,3,0),"")</f>
        <v/>
      </c>
      <c r="O53" s="54"/>
      <c r="P53" s="54"/>
      <c r="Q53" s="54"/>
      <c r="R53" s="54"/>
      <c r="S53" s="60"/>
      <c r="T53" s="60"/>
      <c r="U53" s="60"/>
      <c r="V53" s="60"/>
      <c r="W53" s="47">
        <f>IF(Plant_BD[[#This Row],[Acknowledgemnet Time ]]="NA","",(Plant_BD[[#This Row],[Acknowledgemnet Time ]]-Plant_BD[[#This Row],[Fault Time]])*24)</f>
        <v>0</v>
      </c>
      <c r="X53" s="47">
        <f>IF(Plant_BD[[#This Row],[Work Start time on Fault]]="NA","",(Plant_BD[[#This Row],[Work Start time on Fault]]-Plant_BD[[#This Row],[Fault Time]])*24)</f>
        <v>0</v>
      </c>
      <c r="Y53" s="59">
        <f>(Plant_BD[[#This Row],[Work Completiuon time on fualt]]-Plant_BD[[#This Row],[Fault Time]])*24</f>
        <v>0</v>
      </c>
      <c r="Z53" s="59">
        <f>IFERROR((Plant_BD[[#This Row],[Work Completiuon time on fualt]]-Plant_BD[[#This Row],[Fault Time]])*24,"")</f>
        <v>0</v>
      </c>
      <c r="AA53" s="54"/>
      <c r="AB53" s="54"/>
      <c r="AC53" s="47" t="str">
        <f>IFERROR(Plant_BD[[#This Row],[Breakdown Time]]*Plant_BD[[#This Row],[Plant Equivalent Weightage]],"")</f>
        <v/>
      </c>
      <c r="AD53" s="54"/>
      <c r="AE53" s="260" t="str">
        <f>IFERROR(((VLOOKUP(Plant_BD[[#This Row],[Date]],#REF!,16,0))*Plant_BD[[#This Row],[Lost PoA(kWh/m2)]]*Plant_BD[[#This Row],[DC Capacity Affceted (kW)]]),"")</f>
        <v/>
      </c>
      <c r="AF53" s="215"/>
      <c r="AG53" s="215"/>
    </row>
    <row r="54" spans="1:33" x14ac:dyDescent="0.25">
      <c r="A54" s="54">
        <f t="shared" si="1"/>
        <v>51</v>
      </c>
      <c r="B54" s="258">
        <f>YEAR(Plant_BD[[#This Row],[Date]])+IF(MONTH(Plant_BD[[#This Row],[Date]])&gt;=4,1,0)</f>
        <v>1900</v>
      </c>
      <c r="C54" s="258"/>
      <c r="D54" s="258"/>
      <c r="E54" s="258"/>
      <c r="F54" s="50">
        <f>Plant_BD[[#This Row],[Date]]-DAY(Plant_BD[[#This Row],[Date]])+1</f>
        <v>1</v>
      </c>
      <c r="G54" s="259">
        <f>DAY(EOMONTH(Plant_BD[[#This Row],[Month Year]],0))</f>
        <v>31</v>
      </c>
      <c r="H54" s="156"/>
      <c r="I54" s="48" t="str">
        <f>IFERROR(VLOOKUP(Plant_BD[[#This Row],[Date]],Raw_Data[[Date]:[Sunset Time (POA&lt;20 W/m2)]],3,0),"")</f>
        <v/>
      </c>
      <c r="J54" s="48" t="str">
        <f>IFERROR(VLOOKUP(Plant_BD[[#This Row],[Date]],Raw_Data[[Date]:[Sunset Time (POA&lt;20 W/m2)]],4,0),"")</f>
        <v/>
      </c>
      <c r="K54" s="59" t="str">
        <f>IFERROR((Plant_BD[[#This Row],[Sunset Time (POA&lt;20 W/m2)]]-Plant_BD[[#This Row],[Sunrise Time (POA&gt;20 W/m2)]])*24,"")</f>
        <v/>
      </c>
      <c r="L54" s="79"/>
      <c r="M54" s="259" t="e">
        <f>VLOOKUP(Plant_BD[[#This Row],[Affceted Equipment]],'Basic Data'!$A$2:$C$724,2,0)</f>
        <v>#N/A</v>
      </c>
      <c r="N54" s="106" t="str">
        <f>IFERROR(VLOOKUP(Plant_BD[[#This Row],[Affceted Equipment]],'Basic Data'!$A$1:$C$724,3,0),"")</f>
        <v/>
      </c>
      <c r="O54" s="54"/>
      <c r="P54" s="54"/>
      <c r="Q54" s="54"/>
      <c r="R54" s="54"/>
      <c r="S54" s="60"/>
      <c r="T54" s="60"/>
      <c r="U54" s="60"/>
      <c r="V54" s="60"/>
      <c r="W54" s="47">
        <f>IF(Plant_BD[[#This Row],[Acknowledgemnet Time ]]="NA","",(Plant_BD[[#This Row],[Acknowledgemnet Time ]]-Plant_BD[[#This Row],[Fault Time]])*24)</f>
        <v>0</v>
      </c>
      <c r="X54" s="47">
        <f>IF(Plant_BD[[#This Row],[Work Start time on Fault]]="NA","",(Plant_BD[[#This Row],[Work Start time on Fault]]-Plant_BD[[#This Row],[Fault Time]])*24)</f>
        <v>0</v>
      </c>
      <c r="Y54" s="59">
        <f>(Plant_BD[[#This Row],[Work Completiuon time on fualt]]-Plant_BD[[#This Row],[Fault Time]])*24</f>
        <v>0</v>
      </c>
      <c r="Z54" s="59">
        <f>IFERROR((Plant_BD[[#This Row],[Work Completiuon time on fualt]]-Plant_BD[[#This Row],[Fault Time]])*24,"")</f>
        <v>0</v>
      </c>
      <c r="AA54" s="54"/>
      <c r="AB54" s="54"/>
      <c r="AC54" s="47" t="str">
        <f>IFERROR(Plant_BD[[#This Row],[Breakdown Time]]*Plant_BD[[#This Row],[Plant Equivalent Weightage]],"")</f>
        <v/>
      </c>
      <c r="AD54" s="54"/>
      <c r="AE54" s="260" t="str">
        <f>IFERROR(((VLOOKUP(Plant_BD[[#This Row],[Date]],#REF!,16,0))*Plant_BD[[#This Row],[Lost PoA(kWh/m2)]]*Plant_BD[[#This Row],[DC Capacity Affceted (kW)]]),"")</f>
        <v/>
      </c>
      <c r="AF54" s="215"/>
      <c r="AG54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L4:L54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AA111" activePane="bottomRight" state="frozen"/>
      <selection pane="topRight" activeCell="I2" sqref="I2"/>
      <selection pane="bottomLeft" activeCell="A3" sqref="A3"/>
      <selection pane="bottomRight" activeCell="AB126" sqref="AB126"/>
    </sheetView>
  </sheetViews>
  <sheetFormatPr defaultRowHeight="15" x14ac:dyDescent="0.25"/>
  <cols>
    <col min="1" max="5" width="13.42578125" customWidth="1"/>
    <col min="6" max="6" width="10.85546875" style="105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10" customFormat="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25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25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25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25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25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25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25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25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25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25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25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25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25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25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25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25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25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25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25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25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25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25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25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25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25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25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25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25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25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25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25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25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25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25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25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25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25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25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25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25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25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25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25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25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25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25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25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25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25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25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25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25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25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25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25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25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25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25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25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25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25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25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25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25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25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25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25">
      <c r="A69" s="53">
        <f t="shared" ref="A69:A126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25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25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25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25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25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25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25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25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25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25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25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25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25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25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25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25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25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25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25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25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25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25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25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25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25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25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25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25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25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25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25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25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25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25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25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25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25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25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25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25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25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25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25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25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25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25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25">
      <c r="A116" s="53">
        <f t="shared" si="1"/>
        <v>114</v>
      </c>
      <c r="B116" s="53" t="s">
        <v>108</v>
      </c>
      <c r="C116" s="53">
        <v>2025</v>
      </c>
      <c r="D116" s="53" t="s">
        <v>4</v>
      </c>
      <c r="E116" s="53" t="s">
        <v>4</v>
      </c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4">
        <v>0</v>
      </c>
      <c r="Y116" s="53">
        <v>0</v>
      </c>
      <c r="Z116" s="53">
        <v>0</v>
      </c>
      <c r="AA116" s="114">
        <v>0</v>
      </c>
      <c r="AB116" s="53">
        <v>0</v>
      </c>
      <c r="AC116" s="53">
        <v>0</v>
      </c>
      <c r="AD116" s="53" t="s">
        <v>1049</v>
      </c>
    </row>
    <row r="117" spans="1:30" x14ac:dyDescent="0.25">
      <c r="A117" s="53">
        <f t="shared" si="1"/>
        <v>115</v>
      </c>
      <c r="B117" s="53" t="s">
        <v>108</v>
      </c>
      <c r="C117" s="53">
        <v>2025</v>
      </c>
      <c r="D117" s="53" t="s">
        <v>4</v>
      </c>
      <c r="E117" s="53" t="s">
        <v>4</v>
      </c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0</v>
      </c>
      <c r="T117" s="53">
        <v>0</v>
      </c>
      <c r="U117" s="53">
        <v>0</v>
      </c>
      <c r="V117" s="53">
        <v>0</v>
      </c>
      <c r="W117" s="2">
        <f>SUM(Mod_CL[[#This Row],[Inv 1 (630kw) unit 1]:[Inv 3 (630kw) unit 4]])</f>
        <v>0</v>
      </c>
      <c r="X117" s="114">
        <v>0</v>
      </c>
      <c r="Y117" s="53">
        <v>0</v>
      </c>
      <c r="Z117" s="53">
        <v>0</v>
      </c>
      <c r="AA117" s="114">
        <v>0</v>
      </c>
      <c r="AB117" s="53">
        <v>0</v>
      </c>
      <c r="AC117" s="53">
        <v>0</v>
      </c>
      <c r="AD117" s="53" t="s">
        <v>1024</v>
      </c>
    </row>
    <row r="118" spans="1:30" x14ac:dyDescent="0.25">
      <c r="A118" s="53">
        <f t="shared" si="1"/>
        <v>116</v>
      </c>
      <c r="B118" s="53" t="s">
        <v>108</v>
      </c>
      <c r="C118" s="53">
        <v>2025</v>
      </c>
      <c r="D118" s="53" t="s">
        <v>4</v>
      </c>
      <c r="E118" s="53" t="s">
        <v>4</v>
      </c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0</v>
      </c>
      <c r="T118" s="53">
        <v>0</v>
      </c>
      <c r="U118" s="53">
        <v>0</v>
      </c>
      <c r="V118" s="53">
        <v>0</v>
      </c>
      <c r="W118" s="2">
        <f>SUM(Mod_CL[[#This Row],[Inv 1 (630kw) unit 1]:[Inv 3 (630kw) unit 4]])</f>
        <v>0</v>
      </c>
      <c r="X118" s="114">
        <v>0</v>
      </c>
      <c r="Y118" s="53">
        <v>0</v>
      </c>
      <c r="Z118" s="53">
        <v>0</v>
      </c>
      <c r="AA118" s="114">
        <v>0</v>
      </c>
      <c r="AB118" s="53">
        <v>0</v>
      </c>
      <c r="AC118" s="53">
        <v>0</v>
      </c>
      <c r="AD118" s="53" t="s">
        <v>1024</v>
      </c>
    </row>
    <row r="119" spans="1:30" x14ac:dyDescent="0.25">
      <c r="A119" s="53">
        <f t="shared" si="1"/>
        <v>117</v>
      </c>
      <c r="B119" s="53" t="s">
        <v>108</v>
      </c>
      <c r="C119" s="53">
        <v>2025</v>
      </c>
      <c r="D119" s="53" t="s">
        <v>4</v>
      </c>
      <c r="E119" s="53" t="s">
        <v>4</v>
      </c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>
        <v>0</v>
      </c>
      <c r="J119" s="53">
        <v>0</v>
      </c>
      <c r="K119" s="53">
        <v>0</v>
      </c>
      <c r="L119" s="53">
        <v>0</v>
      </c>
      <c r="M119" s="53">
        <v>0</v>
      </c>
      <c r="N119" s="53">
        <v>0</v>
      </c>
      <c r="O119" s="53">
        <v>0</v>
      </c>
      <c r="P119" s="53"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2">
        <f>SUM(Mod_CL[[#This Row],[Inv 1 (630kw) unit 1]:[Inv 3 (630kw) unit 4]])</f>
        <v>0</v>
      </c>
      <c r="X119" s="114">
        <v>0</v>
      </c>
      <c r="Y119" s="53">
        <v>0</v>
      </c>
      <c r="Z119" s="53">
        <v>0</v>
      </c>
      <c r="AA119" s="114">
        <v>0</v>
      </c>
      <c r="AB119" s="53">
        <v>0</v>
      </c>
      <c r="AC119" s="53">
        <v>0</v>
      </c>
      <c r="AD119" s="53" t="s">
        <v>1024</v>
      </c>
    </row>
    <row r="120" spans="1:30" x14ac:dyDescent="0.25">
      <c r="A120" s="53">
        <f t="shared" si="1"/>
        <v>118</v>
      </c>
      <c r="B120" s="53" t="s">
        <v>108</v>
      </c>
      <c r="C120" s="53">
        <v>2025</v>
      </c>
      <c r="D120" s="53" t="s">
        <v>4</v>
      </c>
      <c r="E120" s="53" t="s">
        <v>4</v>
      </c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>
        <v>0</v>
      </c>
      <c r="J120" s="53">
        <v>0</v>
      </c>
      <c r="K120" s="53">
        <v>0</v>
      </c>
      <c r="L120" s="53">
        <v>0</v>
      </c>
      <c r="M120" s="53">
        <v>0</v>
      </c>
      <c r="N120" s="53">
        <v>0</v>
      </c>
      <c r="O120" s="53">
        <v>0</v>
      </c>
      <c r="P120" s="53">
        <v>0</v>
      </c>
      <c r="Q120" s="53">
        <v>0</v>
      </c>
      <c r="R120" s="53">
        <v>0</v>
      </c>
      <c r="S120" s="53">
        <v>0</v>
      </c>
      <c r="T120" s="53">
        <v>0</v>
      </c>
      <c r="U120" s="53">
        <v>0</v>
      </c>
      <c r="V120" s="53">
        <v>0</v>
      </c>
      <c r="W120" s="2">
        <f>SUM(Mod_CL[[#This Row],[Inv 1 (630kw) unit 1]:[Inv 3 (630kw) unit 4]])</f>
        <v>0</v>
      </c>
      <c r="X120" s="114">
        <v>0</v>
      </c>
      <c r="Y120" s="53">
        <v>0</v>
      </c>
      <c r="Z120" s="53">
        <v>0</v>
      </c>
      <c r="AA120" s="114">
        <v>0</v>
      </c>
      <c r="AB120" s="53">
        <v>0</v>
      </c>
      <c r="AC120" s="53">
        <v>0</v>
      </c>
      <c r="AD120" s="53" t="s">
        <v>1024</v>
      </c>
    </row>
    <row r="121" spans="1:30" x14ac:dyDescent="0.25">
      <c r="A121" s="53">
        <f t="shared" si="1"/>
        <v>119</v>
      </c>
      <c r="B121" s="53" t="s">
        <v>108</v>
      </c>
      <c r="C121" s="53">
        <v>2025</v>
      </c>
      <c r="D121" s="53" t="s">
        <v>4</v>
      </c>
      <c r="E121" s="53" t="s">
        <v>4</v>
      </c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/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53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2">
        <f>SUM(Mod_CL[[#This Row],[Inv 1 (630kw) unit 1]:[Inv 3 (630kw) unit 4]])</f>
        <v>0</v>
      </c>
      <c r="X121" s="114">
        <v>0</v>
      </c>
      <c r="Y121" s="53">
        <v>0</v>
      </c>
      <c r="Z121" s="53">
        <v>0</v>
      </c>
      <c r="AA121" s="114">
        <v>0</v>
      </c>
      <c r="AB121" s="53">
        <v>0</v>
      </c>
      <c r="AC121" s="53">
        <v>0</v>
      </c>
      <c r="AD121" s="53" t="s">
        <v>1024</v>
      </c>
    </row>
    <row r="122" spans="1:30" x14ac:dyDescent="0.25">
      <c r="A122" s="53">
        <f t="shared" si="1"/>
        <v>120</v>
      </c>
      <c r="B122" s="53" t="s">
        <v>108</v>
      </c>
      <c r="C122" s="53">
        <v>2025</v>
      </c>
      <c r="D122" s="53" t="s">
        <v>4</v>
      </c>
      <c r="E122" s="53" t="s">
        <v>4</v>
      </c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2">
        <f>SUM(Mod_CL[[#This Row],[Inv 1 (630kw) unit 1]:[Inv 3 (630kw) unit 4]])</f>
        <v>0</v>
      </c>
      <c r="X122" s="114">
        <v>0</v>
      </c>
      <c r="Y122" s="53">
        <v>0</v>
      </c>
      <c r="Z122" s="53">
        <v>0</v>
      </c>
      <c r="AA122" s="114">
        <v>0</v>
      </c>
      <c r="AB122" s="53">
        <v>0</v>
      </c>
      <c r="AC122" s="53">
        <v>0</v>
      </c>
      <c r="AD122" s="53" t="s">
        <v>1024</v>
      </c>
    </row>
    <row r="123" spans="1:30" x14ac:dyDescent="0.25">
      <c r="A123" s="53">
        <f t="shared" si="1"/>
        <v>121</v>
      </c>
      <c r="B123" s="53" t="s">
        <v>108</v>
      </c>
      <c r="C123" s="53">
        <v>2025</v>
      </c>
      <c r="D123" s="53" t="s">
        <v>4</v>
      </c>
      <c r="E123" s="53" t="s">
        <v>4</v>
      </c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53">
        <v>0</v>
      </c>
      <c r="O123" s="53">
        <v>0</v>
      </c>
      <c r="P123" s="53">
        <v>0</v>
      </c>
      <c r="Q123" s="53">
        <v>0</v>
      </c>
      <c r="R123" s="53">
        <v>0</v>
      </c>
      <c r="S123" s="53">
        <v>0</v>
      </c>
      <c r="T123" s="53">
        <v>0</v>
      </c>
      <c r="U123" s="53">
        <v>0</v>
      </c>
      <c r="V123" s="53">
        <v>0</v>
      </c>
      <c r="W123" s="2">
        <f>SUM(Mod_CL[[#This Row],[Inv 1 (630kw) unit 1]:[Inv 3 (630kw) unit 4]])</f>
        <v>0</v>
      </c>
      <c r="X123" s="114">
        <v>0</v>
      </c>
      <c r="Y123" s="53">
        <v>0</v>
      </c>
      <c r="Z123" s="53">
        <v>0</v>
      </c>
      <c r="AA123" s="114">
        <v>0</v>
      </c>
      <c r="AB123" s="53">
        <v>0</v>
      </c>
      <c r="AC123" s="53">
        <v>0</v>
      </c>
      <c r="AD123" s="53" t="s">
        <v>1024</v>
      </c>
    </row>
    <row r="124" spans="1:30" x14ac:dyDescent="0.25">
      <c r="A124" s="53">
        <f t="shared" si="1"/>
        <v>122</v>
      </c>
      <c r="B124" s="53" t="s">
        <v>108</v>
      </c>
      <c r="C124" s="53">
        <v>2025</v>
      </c>
      <c r="D124" s="53" t="s">
        <v>4</v>
      </c>
      <c r="E124" s="53" t="s">
        <v>4</v>
      </c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>
        <v>0</v>
      </c>
      <c r="J124" s="53">
        <v>0</v>
      </c>
      <c r="K124" s="53">
        <v>0</v>
      </c>
      <c r="L124" s="53">
        <v>0</v>
      </c>
      <c r="M124" s="53">
        <v>0</v>
      </c>
      <c r="N124" s="53">
        <v>0</v>
      </c>
      <c r="O124" s="53">
        <v>0</v>
      </c>
      <c r="P124" s="53">
        <v>0</v>
      </c>
      <c r="Q124" s="53">
        <v>0</v>
      </c>
      <c r="R124" s="53">
        <v>0</v>
      </c>
      <c r="S124" s="53">
        <v>0</v>
      </c>
      <c r="T124" s="53">
        <v>0</v>
      </c>
      <c r="U124" s="53">
        <v>0</v>
      </c>
      <c r="V124" s="53">
        <v>0</v>
      </c>
      <c r="W124" s="2">
        <f>SUM(Mod_CL[[#This Row],[Inv 1 (630kw) unit 1]:[Inv 3 (630kw) unit 4]])</f>
        <v>0</v>
      </c>
      <c r="X124" s="114">
        <v>0</v>
      </c>
      <c r="Y124" s="53">
        <v>0</v>
      </c>
      <c r="Z124" s="53">
        <v>0</v>
      </c>
      <c r="AA124" s="114">
        <v>0</v>
      </c>
      <c r="AB124" s="53">
        <v>0</v>
      </c>
      <c r="AC124" s="53">
        <v>0</v>
      </c>
      <c r="AD124" s="53" t="s">
        <v>1024</v>
      </c>
    </row>
    <row r="125" spans="1:30" x14ac:dyDescent="0.25">
      <c r="A125" s="53">
        <f t="shared" si="1"/>
        <v>123</v>
      </c>
      <c r="B125" s="53" t="s">
        <v>108</v>
      </c>
      <c r="C125" s="53">
        <v>2025</v>
      </c>
      <c r="D125" s="53" t="s">
        <v>4</v>
      </c>
      <c r="E125" s="53" t="s">
        <v>4</v>
      </c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2">
        <f>SUM(Mod_CL[[#This Row],[Inv 1 (630kw) unit 1]:[Inv 3 (630kw) unit 4]])</f>
        <v>0</v>
      </c>
      <c r="X125" s="53"/>
      <c r="Y125" s="53"/>
      <c r="Z125" s="53"/>
      <c r="AA125" s="53"/>
      <c r="AB125" s="53"/>
      <c r="AC125" s="53"/>
      <c r="AD125" s="53"/>
    </row>
    <row r="126" spans="1:30" x14ac:dyDescent="0.25">
      <c r="A126" s="53">
        <f t="shared" si="1"/>
        <v>124</v>
      </c>
      <c r="B126" s="53" t="s">
        <v>108</v>
      </c>
      <c r="C126" s="53">
        <v>2025</v>
      </c>
      <c r="D126" s="53" t="s">
        <v>4</v>
      </c>
      <c r="E126" s="53" t="s">
        <v>4</v>
      </c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25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25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25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25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25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25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25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25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25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25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25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25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25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25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25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25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25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25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25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25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25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25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25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25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25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25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25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25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25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25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25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25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25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25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25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25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25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25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25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25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25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25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25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25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25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25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25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25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25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25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25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25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25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25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25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25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25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25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25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25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25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25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25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25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25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25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25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25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25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25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25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25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25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25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25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25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25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25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25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25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25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25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25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25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25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25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25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25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25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25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25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25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25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25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25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25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25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25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25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25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25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25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25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25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25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25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25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25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25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25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25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25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25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25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25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25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25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25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25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25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25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25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25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25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25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25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25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25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25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25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25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25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25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25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25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25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25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25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25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25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25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25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25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25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25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25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25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25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25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25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25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25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25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25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25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25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25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25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25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25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25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25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25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25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25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25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25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25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25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25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25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25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25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25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25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25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25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25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25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25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25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25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25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25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25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25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25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25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25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25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25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25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25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25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25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25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25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25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25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25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25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25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25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25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25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25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25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25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25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25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25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25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25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25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25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25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25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25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25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25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25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25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25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25">
      <c r="AE810" s="55"/>
    </row>
    <row r="811" spans="31:31" x14ac:dyDescent="0.25">
      <c r="AE811" s="53"/>
    </row>
    <row r="812" spans="31:31" x14ac:dyDescent="0.25">
      <c r="AE812" s="53"/>
    </row>
    <row r="813" spans="31:31" x14ac:dyDescent="0.25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05" activePane="bottomRight" state="frozen"/>
      <selection pane="topRight" activeCell="I2" sqref="I2"/>
      <selection pane="bottomLeft" activeCell="A3" sqref="A3"/>
      <selection pane="bottomRight" activeCell="O124" sqref="O124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25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25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25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25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25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25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25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25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25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25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25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25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25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25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25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25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25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25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25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25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25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25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25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25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25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25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25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25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25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25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25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25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25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25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25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25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25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25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25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25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25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25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25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25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25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25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25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25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25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25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25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25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25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25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25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25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25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25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25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25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25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25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25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25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25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25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25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25">
      <c r="A70" s="55">
        <f t="shared" ref="A70:A124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25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25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25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25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25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25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25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25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25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25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25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25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25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25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25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25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25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25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25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25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25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25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25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25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25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25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25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25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25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25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25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25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25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25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25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25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25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25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25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25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25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25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25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25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25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20</v>
      </c>
      <c r="L115" s="53">
        <v>0</v>
      </c>
      <c r="M115" s="53">
        <v>0</v>
      </c>
      <c r="N115" s="2">
        <f>SUM(GC[[#This Row],[Inv1]:[Inv3]])</f>
        <v>20</v>
      </c>
      <c r="O115" t="s">
        <v>1109</v>
      </c>
    </row>
    <row r="116" spans="1:15" x14ac:dyDescent="0.25">
      <c r="A116" s="53">
        <f t="shared" si="6"/>
        <v>114</v>
      </c>
      <c r="B116" s="53" t="s">
        <v>1054</v>
      </c>
      <c r="C116" s="53">
        <f>YEAR(GC[[#This Row],[Date]])</f>
        <v>2025</v>
      </c>
      <c r="D116" s="53" t="s">
        <v>4</v>
      </c>
      <c r="E116" s="53" t="s">
        <v>4</v>
      </c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1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25">
      <c r="A117" s="53">
        <f t="shared" si="6"/>
        <v>115</v>
      </c>
      <c r="B117" s="53" t="s">
        <v>1054</v>
      </c>
      <c r="C117" s="53">
        <f>YEAR(GC[[#This Row],[Date]])</f>
        <v>2025</v>
      </c>
      <c r="D117" s="53" t="s">
        <v>4</v>
      </c>
      <c r="E117" s="53" t="s">
        <v>4</v>
      </c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>
        <v>1</v>
      </c>
      <c r="J117" s="53">
        <v>0</v>
      </c>
      <c r="K117" s="53">
        <v>19</v>
      </c>
      <c r="L117" s="53">
        <v>8</v>
      </c>
      <c r="M117" s="53">
        <v>0</v>
      </c>
      <c r="N117" s="2">
        <f>SUM(GC[[#This Row],[Inv1]:[Inv3]])</f>
        <v>27</v>
      </c>
      <c r="O117" t="s">
        <v>1109</v>
      </c>
    </row>
    <row r="118" spans="1:15" x14ac:dyDescent="0.25">
      <c r="A118" s="53">
        <f t="shared" si="6"/>
        <v>116</v>
      </c>
      <c r="B118" s="53" t="s">
        <v>1054</v>
      </c>
      <c r="C118" s="53">
        <f>YEAR(GC[[#This Row],[Date]])</f>
        <v>2025</v>
      </c>
      <c r="D118" s="53" t="s">
        <v>4</v>
      </c>
      <c r="E118" s="53" t="s">
        <v>4</v>
      </c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>
        <v>1</v>
      </c>
      <c r="J118" s="53">
        <v>0</v>
      </c>
      <c r="K118" s="53">
        <v>0</v>
      </c>
      <c r="L118" s="53">
        <v>16</v>
      </c>
      <c r="M118" s="53">
        <v>0</v>
      </c>
      <c r="N118" s="2">
        <f>SUM(GC[[#This Row],[Inv1]:[Inv3]])</f>
        <v>16</v>
      </c>
      <c r="O118" t="s">
        <v>1109</v>
      </c>
    </row>
    <row r="119" spans="1:15" x14ac:dyDescent="0.25">
      <c r="A119" s="53">
        <f t="shared" si="6"/>
        <v>117</v>
      </c>
      <c r="B119" s="53" t="s">
        <v>1054</v>
      </c>
      <c r="C119" s="53">
        <f>YEAR(GC[[#This Row],[Date]])</f>
        <v>2025</v>
      </c>
      <c r="D119" s="53" t="s">
        <v>4</v>
      </c>
      <c r="E119" s="53" t="s">
        <v>4</v>
      </c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>
        <v>1</v>
      </c>
      <c r="J119" s="53">
        <v>0</v>
      </c>
      <c r="K119" s="53">
        <v>0</v>
      </c>
      <c r="L119" s="53">
        <v>8</v>
      </c>
      <c r="M119" s="53">
        <v>0</v>
      </c>
      <c r="N119" s="2">
        <f>SUM(GC[[#This Row],[Inv1]:[Inv3]])</f>
        <v>8</v>
      </c>
      <c r="O119" t="s">
        <v>1109</v>
      </c>
    </row>
    <row r="120" spans="1:15" x14ac:dyDescent="0.25">
      <c r="A120" s="53">
        <f t="shared" si="6"/>
        <v>118</v>
      </c>
      <c r="B120" s="53" t="s">
        <v>1054</v>
      </c>
      <c r="C120" s="53">
        <f>YEAR(GC[[#This Row],[Date]])</f>
        <v>2025</v>
      </c>
      <c r="D120" s="53" t="s">
        <v>4</v>
      </c>
      <c r="E120" s="53" t="s">
        <v>4</v>
      </c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>
        <v>1</v>
      </c>
      <c r="J120" s="53">
        <v>0</v>
      </c>
      <c r="K120" s="53">
        <v>0</v>
      </c>
      <c r="L120" s="53">
        <v>8</v>
      </c>
      <c r="M120" s="53">
        <v>0</v>
      </c>
      <c r="N120" s="2">
        <f>SUM(GC[[#This Row],[Inv1]:[Inv3]])</f>
        <v>8</v>
      </c>
      <c r="O120" t="s">
        <v>1109</v>
      </c>
    </row>
    <row r="121" spans="1:15" x14ac:dyDescent="0.25">
      <c r="A121" s="53">
        <f t="shared" si="6"/>
        <v>119</v>
      </c>
      <c r="B121" s="53" t="s">
        <v>1054</v>
      </c>
      <c r="C121" s="53">
        <f>YEAR(GC[[#This Row],[Date]])</f>
        <v>2025</v>
      </c>
      <c r="D121" s="53" t="s">
        <v>4</v>
      </c>
      <c r="E121" s="53" t="s">
        <v>4</v>
      </c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>
        <v>1</v>
      </c>
      <c r="J121" s="53">
        <v>0</v>
      </c>
      <c r="K121" s="53">
        <v>0</v>
      </c>
      <c r="L121" s="53">
        <v>8</v>
      </c>
      <c r="M121" s="53">
        <v>0</v>
      </c>
      <c r="N121" s="2">
        <f>SUM(GC[[#This Row],[Inv1]:[Inv3]])</f>
        <v>8</v>
      </c>
      <c r="O121" t="s">
        <v>1109</v>
      </c>
    </row>
    <row r="122" spans="1:15" x14ac:dyDescent="0.25">
      <c r="A122" s="53">
        <f t="shared" si="6"/>
        <v>120</v>
      </c>
      <c r="B122" s="53" t="s">
        <v>1054</v>
      </c>
      <c r="C122" s="53">
        <f>YEAR(GC[[#This Row],[Date]])</f>
        <v>2025</v>
      </c>
      <c r="D122" s="53" t="s">
        <v>4</v>
      </c>
      <c r="E122" s="53" t="s">
        <v>4</v>
      </c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>
        <v>1</v>
      </c>
      <c r="J122" s="53">
        <v>0</v>
      </c>
      <c r="K122" s="53">
        <v>0</v>
      </c>
      <c r="L122" s="53">
        <v>0</v>
      </c>
      <c r="M122" s="53">
        <v>0</v>
      </c>
      <c r="N122" s="2">
        <f>SUM(GC[[#This Row],[Inv1]:[Inv3]])</f>
        <v>0</v>
      </c>
      <c r="O122" t="s">
        <v>1024</v>
      </c>
    </row>
    <row r="123" spans="1:15" x14ac:dyDescent="0.25">
      <c r="A123" s="53">
        <f t="shared" si="6"/>
        <v>121</v>
      </c>
      <c r="B123" s="53" t="s">
        <v>1054</v>
      </c>
      <c r="C123" s="53">
        <f>YEAR(GC[[#This Row],[Date]])</f>
        <v>2025</v>
      </c>
      <c r="D123" s="53" t="s">
        <v>4</v>
      </c>
      <c r="E123" s="53" t="s">
        <v>4</v>
      </c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>
        <v>1</v>
      </c>
      <c r="J123" s="53">
        <v>0</v>
      </c>
      <c r="K123" s="53">
        <v>0</v>
      </c>
      <c r="L123" s="53">
        <v>0</v>
      </c>
      <c r="M123" s="53">
        <v>0</v>
      </c>
      <c r="N123" s="2">
        <f>SUM(GC[[#This Row],[Inv1]:[Inv3]])</f>
        <v>0</v>
      </c>
      <c r="O123" t="s">
        <v>1049</v>
      </c>
    </row>
    <row r="124" spans="1:15" x14ac:dyDescent="0.25">
      <c r="A124" s="53">
        <f t="shared" si="6"/>
        <v>122</v>
      </c>
      <c r="B124" s="53" t="s">
        <v>1054</v>
      </c>
      <c r="C124" s="53">
        <f>YEAR(GC[[#This Row],[Date]])</f>
        <v>2025</v>
      </c>
      <c r="D124" s="53" t="s">
        <v>4</v>
      </c>
      <c r="E124" s="53" t="s">
        <v>4</v>
      </c>
      <c r="F124" s="105">
        <f>GC[[#This Row],[Date]]-DAY(GC[[#This Row],[Date]])+1</f>
        <v>45839</v>
      </c>
      <c r="G124" s="257">
        <f>DAY(EOMONTH(GC[[#This Row],[Month Year]],0))</f>
        <v>31</v>
      </c>
      <c r="H124" s="57">
        <f>H123+1</f>
        <v>45866</v>
      </c>
      <c r="I124" s="53">
        <v>1</v>
      </c>
      <c r="J124" s="53">
        <v>0</v>
      </c>
      <c r="K124" s="53">
        <v>0</v>
      </c>
      <c r="L124" s="53">
        <v>18</v>
      </c>
      <c r="M124" s="53">
        <v>0</v>
      </c>
      <c r="N124" s="257">
        <f>SUM(GC[[#This Row],[Inv1]:[Inv3]])</f>
        <v>18</v>
      </c>
      <c r="O124" t="s">
        <v>1109</v>
      </c>
    </row>
    <row r="125" spans="1:15" x14ac:dyDescent="0.25">
      <c r="A125" s="53"/>
      <c r="B125" s="53"/>
      <c r="C125" s="53"/>
      <c r="D125" s="53"/>
      <c r="E125" s="53"/>
      <c r="H125" s="57"/>
      <c r="I125" s="53"/>
      <c r="J125" s="53"/>
      <c r="K125" s="53"/>
      <c r="L125" s="53"/>
      <c r="M125" s="53"/>
    </row>
    <row r="126" spans="1:15" x14ac:dyDescent="0.25">
      <c r="A126" s="53"/>
      <c r="B126" s="53"/>
      <c r="C126" s="53"/>
      <c r="D126" s="53"/>
      <c r="E126" s="53"/>
      <c r="H126" s="57"/>
      <c r="I126" s="53"/>
      <c r="J126" s="53"/>
      <c r="K126" s="53"/>
      <c r="L126" s="53"/>
      <c r="M126" s="53"/>
    </row>
    <row r="127" spans="1:15" x14ac:dyDescent="0.25">
      <c r="A127" s="53"/>
      <c r="B127" s="53"/>
      <c r="C127" s="53"/>
      <c r="D127" s="53"/>
      <c r="E127" s="53"/>
      <c r="H127" s="57"/>
      <c r="I127" s="53"/>
      <c r="J127" s="53"/>
      <c r="K127" s="53"/>
      <c r="L127" s="53"/>
      <c r="M127" s="53"/>
    </row>
    <row r="128" spans="1:15" x14ac:dyDescent="0.25">
      <c r="A128" s="53"/>
      <c r="B128" s="53"/>
      <c r="C128" s="53"/>
      <c r="D128" s="53"/>
      <c r="E128" s="53"/>
      <c r="H128" s="57"/>
      <c r="I128" s="53"/>
      <c r="J128" s="53"/>
      <c r="K128" s="53"/>
      <c r="L128" s="53"/>
      <c r="M128" s="53"/>
    </row>
    <row r="129" spans="1:13" x14ac:dyDescent="0.25">
      <c r="A129" s="53"/>
      <c r="B129" s="53"/>
      <c r="C129" s="53"/>
      <c r="D129" s="53"/>
      <c r="E129" s="53"/>
      <c r="H129" s="57"/>
      <c r="I129" s="53"/>
      <c r="J129" s="53"/>
      <c r="K129" s="53"/>
      <c r="L129" s="53"/>
      <c r="M129" s="53"/>
    </row>
    <row r="130" spans="1:13" x14ac:dyDescent="0.25">
      <c r="A130" s="53"/>
      <c r="B130" s="53"/>
      <c r="C130" s="53"/>
      <c r="D130" s="53"/>
      <c r="E130" s="53"/>
      <c r="H130" s="57"/>
      <c r="I130" s="53"/>
      <c r="J130" s="53"/>
      <c r="K130" s="53"/>
      <c r="L130" s="53"/>
      <c r="M130" s="53"/>
    </row>
    <row r="131" spans="1:13" x14ac:dyDescent="0.25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3" x14ac:dyDescent="0.25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3" x14ac:dyDescent="0.25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3" x14ac:dyDescent="0.25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3" x14ac:dyDescent="0.25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3" x14ac:dyDescent="0.25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3" x14ac:dyDescent="0.25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3" x14ac:dyDescent="0.25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3" x14ac:dyDescent="0.25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3" x14ac:dyDescent="0.25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3" x14ac:dyDescent="0.25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3" x14ac:dyDescent="0.25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3" x14ac:dyDescent="0.25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3" x14ac:dyDescent="0.25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25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25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7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B37" sqref="B37"/>
    </sheetView>
  </sheetViews>
  <sheetFormatPr defaultColWidth="9.140625" defaultRowHeight="15" x14ac:dyDescent="0.25"/>
  <cols>
    <col min="1" max="1" width="9.140625" style="8"/>
    <col min="2" max="2" width="11.140625" style="8" bestFit="1" customWidth="1"/>
    <col min="3" max="3" width="12.5703125" style="8" bestFit="1" customWidth="1"/>
    <col min="4" max="4" width="14.85546875" style="8" bestFit="1" customWidth="1"/>
    <col min="5" max="5" width="13.42578125" style="8" bestFit="1" customWidth="1"/>
    <col min="6" max="6" width="10.140625" style="8" bestFit="1" customWidth="1"/>
    <col min="7" max="7" width="8.42578125" style="8" bestFit="1" customWidth="1"/>
    <col min="8" max="8" width="10.140625" style="8" bestFit="1" customWidth="1"/>
    <col min="9" max="9" width="23.85546875" style="8" customWidth="1"/>
    <col min="10" max="10" width="10.140625" style="8" customWidth="1"/>
    <col min="11" max="11" width="15.42578125" style="8" bestFit="1" customWidth="1"/>
    <col min="12" max="12" width="17.42578125" style="8" customWidth="1"/>
    <col min="13" max="13" width="39.42578125" style="8" bestFit="1" customWidth="1"/>
    <col min="14" max="16384" width="9.140625" style="8"/>
  </cols>
  <sheetData>
    <row r="1" spans="1:13" ht="45" x14ac:dyDescent="0.25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25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25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25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25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25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25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25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25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25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25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25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25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25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25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25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25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25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25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25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25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25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25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25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25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25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25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25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25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25">
      <c r="A30" s="8">
        <v>548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25">
      <c r="A31" s="8">
        <v>549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25">
      <c r="A32" s="8">
        <v>550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260</v>
      </c>
      <c r="L32" s="8" t="s">
        <v>1063</v>
      </c>
      <c r="M32" s="8" t="s">
        <v>1061</v>
      </c>
    </row>
    <row r="33" spans="1:13" x14ac:dyDescent="0.25">
      <c r="A33" s="8">
        <v>551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26</v>
      </c>
      <c r="K33" s="8" t="s">
        <v>260</v>
      </c>
      <c r="L33" s="8" t="s">
        <v>1063</v>
      </c>
      <c r="M33" s="8" t="s">
        <v>1061</v>
      </c>
    </row>
    <row r="34" spans="1:13" x14ac:dyDescent="0.25">
      <c r="A34" s="8">
        <v>552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6" si="3">H33</f>
        <v>45858</v>
      </c>
      <c r="I34" s="8" t="s">
        <v>1064</v>
      </c>
      <c r="J34" s="8">
        <v>8</v>
      </c>
      <c r="K34" s="8" t="s">
        <v>263</v>
      </c>
      <c r="L34" s="8" t="s">
        <v>1063</v>
      </c>
      <c r="M34" s="8" t="s">
        <v>1061</v>
      </c>
    </row>
    <row r="35" spans="1:13" x14ac:dyDescent="0.25">
      <c r="A35" s="8">
        <v>553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263</v>
      </c>
      <c r="L35" s="8" t="s">
        <v>1063</v>
      </c>
      <c r="M35" s="8" t="s">
        <v>1061</v>
      </c>
    </row>
    <row r="36" spans="1:13" x14ac:dyDescent="0.25">
      <c r="A36" s="8">
        <v>554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263</v>
      </c>
      <c r="L36" s="8" t="s">
        <v>1063</v>
      </c>
      <c r="M36" s="8" t="s">
        <v>1061</v>
      </c>
    </row>
    <row r="37" spans="1:13" x14ac:dyDescent="0.25">
      <c r="A37" s="8">
        <v>555</v>
      </c>
      <c r="B37" s="8">
        <f>YEAR(Spare[[#This Row],[Date]])+IF(MONTH(Spare[[#This Row],[Date]])&gt;=4,1,0)</f>
        <v>2026</v>
      </c>
      <c r="C37" s="8">
        <f>YEAR(Spare[[#This Row],[Date]])</f>
        <v>2025</v>
      </c>
      <c r="D37" s="8" t="s">
        <v>1062</v>
      </c>
      <c r="E37" s="8">
        <v>2025</v>
      </c>
      <c r="F37" s="96">
        <f>Spare[[#This Row],[Date]]-DAY(Spare[[#This Row],[Date]])+1</f>
        <v>45839</v>
      </c>
      <c r="G37" s="8">
        <f>DAY(EOMONTH(Spare[[#This Row],[Month Year]],0))</f>
        <v>31</v>
      </c>
      <c r="H37" s="97">
        <f>H36+4</f>
        <v>45862</v>
      </c>
      <c r="I37" s="8" t="s">
        <v>1064</v>
      </c>
      <c r="J37" s="8">
        <v>4</v>
      </c>
      <c r="K37" s="8" t="s">
        <v>226</v>
      </c>
      <c r="L37" s="8" t="s">
        <v>1063</v>
      </c>
      <c r="M37" s="8" t="s">
        <v>1061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2025-07-29T02:32:57Z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