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2" documentId="13_ncr:1_{86D87D93-5215-4ECF-BEED-ABEB889E1C61}" xr6:coauthVersionLast="47" xr6:coauthVersionMax="47" xr10:uidLastSave="{DE0C79DB-BB49-40BB-A675-7A30A7924E6B}"/>
  <bookViews>
    <workbookView xWindow="-110" yWindow="-110" windowWidth="19420" windowHeight="11500" tabRatio="835" firstSheet="4" activeTab="11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R1114" i="27"/>
  <c r="R1115" i="27"/>
  <c r="T1115" i="27" s="1"/>
  <c r="R1116" i="27"/>
  <c r="S1113" i="27"/>
  <c r="S1114" i="27"/>
  <c r="S1115" i="27"/>
  <c r="S1116" i="27"/>
  <c r="T1113" i="27"/>
  <c r="U1113" i="27" s="1"/>
  <c r="AL1113" i="27" s="1"/>
  <c r="T1114" i="27"/>
  <c r="U1114" i="27" s="1"/>
  <c r="AL1114" i="27" s="1"/>
  <c r="T1116" i="27"/>
  <c r="U1116" i="27" s="1"/>
  <c r="AL1116" i="27" s="1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A1110" i="27"/>
  <c r="A1111" i="27" s="1"/>
  <c r="A1112" i="27" s="1"/>
  <c r="C1111" i="27"/>
  <c r="C1112" i="27"/>
  <c r="H1111" i="27"/>
  <c r="H1112" i="27"/>
  <c r="R1111" i="27"/>
  <c r="T1111" i="27" s="1"/>
  <c r="R1112" i="27"/>
  <c r="S1111" i="27"/>
  <c r="S1112" i="27"/>
  <c r="T1112" i="27"/>
  <c r="U1112" i="27" s="1"/>
  <c r="AL1112" i="27" s="1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W31" i="24" s="1"/>
  <c r="H31" i="24"/>
  <c r="I31" i="24"/>
  <c r="J31" i="24"/>
  <c r="P31" i="24"/>
  <c r="Q31" i="24"/>
  <c r="R31" i="24"/>
  <c r="Y31" i="24"/>
  <c r="U1115" i="27" l="1"/>
  <c r="AL1115" i="27" s="1"/>
  <c r="T1110" i="27"/>
  <c r="U1110" i="27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R1104" i="27"/>
  <c r="T1104" i="27" s="1"/>
  <c r="R1105" i="27"/>
  <c r="T1105" i="27" s="1"/>
  <c r="S1101" i="27"/>
  <c r="S1102" i="27"/>
  <c r="S1103" i="27"/>
  <c r="S1104" i="27"/>
  <c r="S1105" i="27"/>
  <c r="T1103" i="27"/>
  <c r="U1103" i="27" s="1"/>
  <c r="AL1103" i="27" s="1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T1099" i="27" s="1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T1092" i="27"/>
  <c r="U1092" i="27" s="1"/>
  <c r="AL1092" i="27" s="1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U1109" i="27" l="1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T1063" i="27"/>
  <c r="T1068" i="27"/>
  <c r="U1068" i="27" s="1"/>
  <c r="AL1068" i="27" s="1"/>
  <c r="T1066" i="27"/>
  <c r="U1066" i="27" s="1"/>
  <c r="AL1066" i="27" s="1"/>
  <c r="U1067" i="27"/>
  <c r="AL1067" i="27" s="1"/>
  <c r="U1071" i="27"/>
  <c r="AL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T1047" i="27" s="1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6" i="27" l="1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T1021" i="27"/>
  <c r="U1021" i="27" s="1"/>
  <c r="AL1021" i="27" s="1"/>
  <c r="U1024" i="27"/>
  <c r="AL1024" i="27" s="1"/>
  <c r="U1022" i="27"/>
  <c r="AL1022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6" i="27"/>
  <c r="AL1016" i="27" s="1"/>
  <c r="U1014" i="27"/>
  <c r="AL1014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8" i="20"/>
  <c r="GI129" i="20"/>
  <c r="GH115" i="20"/>
  <c r="GH127" i="20"/>
  <c r="GI127" i="20" s="1"/>
  <c r="GH128" i="20"/>
  <c r="GH129" i="20"/>
  <c r="GF115" i="20"/>
  <c r="GF128" i="20"/>
  <c r="GF129" i="20"/>
  <c r="GE115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8" i="20"/>
  <c r="GC129" i="20"/>
  <c r="GB115" i="20"/>
  <c r="GB116" i="20"/>
  <c r="GB127" i="20"/>
  <c r="GB128" i="20"/>
  <c r="GB129" i="20"/>
  <c r="GA115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FR126" i="20"/>
  <c r="FR127" i="20"/>
  <c r="GA127" i="20" s="1"/>
  <c r="GC127" i="20" s="1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FL127" i="20"/>
  <c r="GF127" i="20" s="1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GH126" i="20" s="1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E127" i="20" l="1"/>
  <c r="GB126" i="20"/>
  <c r="GF126" i="20"/>
  <c r="GA126" i="20"/>
  <c r="GC126" i="20"/>
  <c r="GE126" i="20" s="1"/>
  <c r="GF125" i="20"/>
  <c r="GC125" i="20"/>
  <c r="GE125" i="20" s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5" i="20" l="1"/>
  <c r="GI126" i="20"/>
  <c r="GE123" i="20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6" i="41"/>
  <c r="R6" i="41" s="1"/>
  <c r="O6" i="41"/>
  <c r="J6" i="41"/>
  <c r="K6" i="41" s="1"/>
  <c r="B6" i="4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AJ115" i="36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CG153" i="36"/>
  <c r="DA157" i="35"/>
  <c r="I157" i="36" s="1"/>
  <c r="DA111" i="35"/>
  <c r="I111" i="36" s="1"/>
  <c r="Z132" i="36"/>
  <c r="H153" i="36"/>
  <c r="M148" i="36"/>
  <c r="DC78" i="35"/>
  <c r="AY78" i="36" s="1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CE153" i="36"/>
  <c r="BG91" i="36"/>
  <c r="BL91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AW153" i="36" l="1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14" i="9" l="1"/>
  <c r="E14" i="9" s="1"/>
  <c r="D10" i="7"/>
  <c r="D4" i="8"/>
  <c r="D16" i="9" s="1"/>
  <c r="DC44" i="35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DC23" i="35"/>
  <c r="BP23" i="36" s="1"/>
  <c r="D175" i="36"/>
  <c r="DA173" i="35"/>
  <c r="M173" i="36" s="1"/>
  <c r="DB177" i="35"/>
  <c r="CV177" i="36" s="1"/>
  <c r="DC37" i="35"/>
  <c r="BS37" i="36" s="1"/>
  <c r="J175" i="36"/>
  <c r="DB180" i="35"/>
  <c r="CT180" i="36" s="1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DB34" i="35"/>
  <c r="CO34" i="36" s="1"/>
  <c r="DC26" i="35"/>
  <c r="BZ26" i="36" s="1"/>
  <c r="DA46" i="35"/>
  <c r="D46" i="36" s="1"/>
  <c r="BN11" i="36"/>
  <c r="AB175" i="36"/>
  <c r="DA8" i="35"/>
  <c r="V8" i="36" s="1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CW13" i="36"/>
  <c r="AO11" i="36"/>
  <c r="DC5" i="35"/>
  <c r="CC5" i="36" s="1"/>
  <c r="AL11" i="36"/>
  <c r="DA10" i="35"/>
  <c r="U10" i="36" s="1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DC28" i="35"/>
  <c r="AZ28" i="36" s="1"/>
  <c r="DB51" i="35"/>
  <c r="CP51" i="36" s="1"/>
  <c r="DB48" i="35"/>
  <c r="CY48" i="36" s="1"/>
  <c r="AN11" i="36"/>
  <c r="DA37" i="35"/>
  <c r="V37" i="36" s="1"/>
  <c r="DC39" i="35"/>
  <c r="BX39" i="36" s="1"/>
  <c r="BM11" i="36"/>
  <c r="DC42" i="35"/>
  <c r="CA42" i="36" s="1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DA50" i="35"/>
  <c r="Y50" i="36" s="1"/>
  <c r="DB42" i="35"/>
  <c r="CM42" i="36" s="1"/>
  <c r="BS11" i="36"/>
  <c r="Z175" i="36"/>
  <c r="BP44" i="36"/>
  <c r="DB20" i="35"/>
  <c r="CO20" i="36" s="1"/>
  <c r="I175" i="36"/>
  <c r="DA38" i="35"/>
  <c r="Y38" i="36" s="1"/>
  <c r="DC17" i="35"/>
  <c r="BY17" i="36" s="1"/>
  <c r="DB49" i="35"/>
  <c r="CN49" i="36" s="1"/>
  <c r="DB46" i="35"/>
  <c r="CT46" i="36" s="1"/>
  <c r="R175" i="36"/>
  <c r="DB29" i="35"/>
  <c r="CP29" i="36" s="1"/>
  <c r="CP13" i="36"/>
  <c r="BK11" i="36"/>
  <c r="DA20" i="35"/>
  <c r="Q20" i="36" s="1"/>
  <c r="BO11" i="36"/>
  <c r="DB10" i="35"/>
  <c r="CM10" i="36" s="1"/>
  <c r="BD11" i="36"/>
  <c r="DC10" i="35"/>
  <c r="BA10" i="36" s="1"/>
  <c r="DA13" i="35"/>
  <c r="AB13" i="36" s="1"/>
  <c r="BZ16" i="36"/>
  <c r="DA11" i="35"/>
  <c r="T11" i="36" s="1"/>
  <c r="DB11" i="35"/>
  <c r="CW11" i="36" s="1"/>
  <c r="CO13" i="36"/>
  <c r="DA34" i="35"/>
  <c r="C34" i="36" s="1"/>
  <c r="DA23" i="35"/>
  <c r="L23" i="36" s="1"/>
  <c r="DA42" i="35"/>
  <c r="G42" i="36" s="1"/>
  <c r="DB15" i="35"/>
  <c r="CM15" i="36" s="1"/>
  <c r="DA41" i="35"/>
  <c r="AC41" i="36" s="1"/>
  <c r="W175" i="36"/>
  <c r="AA175" i="36"/>
  <c r="CC11" i="36"/>
  <c r="DB179" i="35"/>
  <c r="CR179" i="36" s="1"/>
  <c r="AP11" i="36"/>
  <c r="DC35" i="35"/>
  <c r="BW35" i="36" s="1"/>
  <c r="DA15" i="35"/>
  <c r="L15" i="36" s="1"/>
  <c r="DC15" i="35"/>
  <c r="CI15" i="36" s="1"/>
  <c r="DC6" i="35"/>
  <c r="BU6" i="36" s="1"/>
  <c r="BT11" i="36"/>
  <c r="CX13" i="36"/>
  <c r="CQ32" i="36"/>
  <c r="CD11" i="36"/>
  <c r="AT11" i="36"/>
  <c r="DC49" i="35"/>
  <c r="BI49" i="36" s="1"/>
  <c r="DB40" i="35"/>
  <c r="CR40" i="36" s="1"/>
  <c r="DA16" i="35"/>
  <c r="T16" i="36" s="1"/>
  <c r="BC44" i="36"/>
  <c r="DC19" i="35"/>
  <c r="CC19" i="36" s="1"/>
  <c r="DB17" i="35"/>
  <c r="CU17" i="36" s="1"/>
  <c r="DA33" i="35"/>
  <c r="M33" i="36" s="1"/>
  <c r="DC30" i="35"/>
  <c r="AL30" i="36" s="1"/>
  <c r="CC16" i="36"/>
  <c r="AG175" i="36"/>
  <c r="BT16" i="36"/>
  <c r="CF44" i="36"/>
  <c r="BZ11" i="36"/>
  <c r="CV13" i="36"/>
  <c r="DC52" i="35"/>
  <c r="BI52" i="36" s="1"/>
  <c r="DA48" i="35"/>
  <c r="O48" i="36" s="1"/>
  <c r="DA36" i="35"/>
  <c r="I36" i="36" s="1"/>
  <c r="BO16" i="36"/>
  <c r="BX11" i="36"/>
  <c r="DA25" i="35"/>
  <c r="C25" i="36" s="1"/>
  <c r="DA17" i="35"/>
  <c r="J17" i="36" s="1"/>
  <c r="DB36" i="35"/>
  <c r="CX36" i="36" s="1"/>
  <c r="E175" i="36"/>
  <c r="DA6" i="35"/>
  <c r="O6" i="36" s="1"/>
  <c r="J19" i="36"/>
  <c r="BG11" i="36"/>
  <c r="DB50" i="35"/>
  <c r="CS50" i="36" s="1"/>
  <c r="DB6" i="35"/>
  <c r="CT6" i="36" s="1"/>
  <c r="DC29" i="35"/>
  <c r="AK29" i="36" s="1"/>
  <c r="CX4" i="36"/>
  <c r="DA174" i="35"/>
  <c r="G174" i="36" s="1"/>
  <c r="DC18" i="35"/>
  <c r="AY18" i="36" s="1"/>
  <c r="U175" i="36"/>
  <c r="DC21" i="35"/>
  <c r="AS21" i="36" s="1"/>
  <c r="BE11" i="36"/>
  <c r="DB9" i="35"/>
  <c r="CW9" i="36" s="1"/>
  <c r="DC4" i="35"/>
  <c r="BT4" i="36" s="1"/>
  <c r="AC175" i="36"/>
  <c r="DB16" i="35"/>
  <c r="CM16" i="36" s="1"/>
  <c r="X9" i="36"/>
  <c r="DA47" i="35"/>
  <c r="Q47" i="36" s="1"/>
  <c r="N175" i="36"/>
  <c r="DB175" i="35"/>
  <c r="CN175" i="36" s="1"/>
  <c r="DB30" i="35"/>
  <c r="CR30" i="36" s="1"/>
  <c r="DA31" i="35"/>
  <c r="H31" i="36" s="1"/>
  <c r="AG19" i="36"/>
  <c r="DA21" i="35"/>
  <c r="AG21" i="36" s="1"/>
  <c r="DB38" i="35"/>
  <c r="CO38" i="36" s="1"/>
  <c r="BU13" i="35"/>
  <c r="BD175" i="35"/>
  <c r="DC175" i="35" s="1"/>
  <c r="CL175" i="36" s="1"/>
  <c r="AV50" i="35"/>
  <c r="DC50" i="35" s="1"/>
  <c r="CI50" i="36" s="1"/>
  <c r="DB176" i="35"/>
  <c r="CU176" i="36" s="1"/>
  <c r="AD175" i="36"/>
  <c r="AM11" i="36"/>
  <c r="DB12" i="35"/>
  <c r="CP12" i="36" s="1"/>
  <c r="Q175" i="36"/>
  <c r="DA180" i="35"/>
  <c r="U180" i="36" s="1"/>
  <c r="AF175" i="36"/>
  <c r="DA45" i="35"/>
  <c r="W45" i="36" s="1"/>
  <c r="AJ11" i="36"/>
  <c r="S175" i="36"/>
  <c r="BI11" i="36"/>
  <c r="AW11" i="36"/>
  <c r="AQ11" i="36"/>
  <c r="AU11" i="36"/>
  <c r="CR13" i="36"/>
  <c r="DB35" i="35"/>
  <c r="CQ35" i="36" s="1"/>
  <c r="DA7" i="35"/>
  <c r="S7" i="36" s="1"/>
  <c r="DC9" i="35"/>
  <c r="BY9" i="36" s="1"/>
  <c r="DC31" i="35"/>
  <c r="BJ31" i="36" s="1"/>
  <c r="AV11" i="36"/>
  <c r="DB19" i="35"/>
  <c r="CT19" i="36" s="1"/>
  <c r="AE175" i="36"/>
  <c r="CY4" i="36"/>
  <c r="DB5" i="35"/>
  <c r="CZ5" i="36" s="1"/>
  <c r="DA176" i="35"/>
  <c r="D176" i="36" s="1"/>
  <c r="DA18" i="35"/>
  <c r="O18" i="36" s="1"/>
  <c r="DB33" i="35"/>
  <c r="CZ33" i="36" s="1"/>
  <c r="DA32" i="35"/>
  <c r="AA32" i="36" s="1"/>
  <c r="DA39" i="35"/>
  <c r="T39" i="36" s="1"/>
  <c r="DB14" i="35"/>
  <c r="CT14" i="36" s="1"/>
  <c r="BU11" i="36"/>
  <c r="DC181" i="35"/>
  <c r="BC181" i="36" s="1"/>
  <c r="CY13" i="36"/>
  <c r="BO27" i="36"/>
  <c r="CF11" i="36"/>
  <c r="AH175" i="36"/>
  <c r="CO28" i="36"/>
  <c r="DB39" i="35"/>
  <c r="CM39" i="36" s="1"/>
  <c r="CE11" i="36"/>
  <c r="W9" i="36"/>
  <c r="DB178" i="35"/>
  <c r="CS178" i="36" s="1"/>
  <c r="DB173" i="35"/>
  <c r="CU173" i="36" s="1"/>
  <c r="DC177" i="35"/>
  <c r="CI177" i="36" s="1"/>
  <c r="DB174" i="35"/>
  <c r="CZ174" i="36" s="1"/>
  <c r="DC43" i="35"/>
  <c r="AV43" i="36" s="1"/>
  <c r="BL34" i="36"/>
  <c r="DC173" i="35"/>
  <c r="AY173" i="36" s="1"/>
  <c r="K175" i="36"/>
  <c r="AS34" i="36"/>
  <c r="BB11" i="36"/>
  <c r="DA40" i="35"/>
  <c r="C40" i="36" s="1"/>
  <c r="CA11" i="36"/>
  <c r="L9" i="36"/>
  <c r="CB34" i="36"/>
  <c r="DB47" i="35"/>
  <c r="CU47" i="36" s="1"/>
  <c r="DC41" i="35"/>
  <c r="BG41" i="36" s="1"/>
  <c r="DC48" i="35"/>
  <c r="BT48" i="36" s="1"/>
  <c r="O175" i="36"/>
  <c r="DC32" i="35"/>
  <c r="CC32" i="36" s="1"/>
  <c r="BW8" i="36"/>
  <c r="DC47" i="35"/>
  <c r="CF47" i="36" s="1"/>
  <c r="F9" i="36"/>
  <c r="BV11" i="36"/>
  <c r="CN13" i="36"/>
  <c r="DC176" i="35"/>
  <c r="AV176" i="36" s="1"/>
  <c r="DB18" i="35"/>
  <c r="CM18" i="36" s="1"/>
  <c r="DB41" i="35"/>
  <c r="CX41" i="36" s="1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C9" i="36" l="1"/>
  <c r="CP32" i="36"/>
  <c r="CD27" i="36"/>
  <c r="F4" i="8"/>
  <c r="D17" i="9"/>
  <c r="E17" i="9" s="1"/>
  <c r="F4" i="7"/>
  <c r="H4" i="7" s="1"/>
  <c r="D27" i="9" s="1"/>
  <c r="F10" i="7"/>
  <c r="H10" i="7" s="1"/>
  <c r="D11" i="9"/>
  <c r="E11" i="9" s="1"/>
  <c r="BU44" i="36"/>
  <c r="CW4" i="36"/>
  <c r="AZ34" i="36"/>
  <c r="AX44" i="36"/>
  <c r="AN44" i="36"/>
  <c r="BY44" i="36"/>
  <c r="AQ44" i="36"/>
  <c r="BE34" i="36"/>
  <c r="BA44" i="36"/>
  <c r="BS44" i="36"/>
  <c r="AK34" i="36"/>
  <c r="BB44" i="36"/>
  <c r="BY34" i="36"/>
  <c r="BI34" i="36"/>
  <c r="BO44" i="36"/>
  <c r="AT34" i="36"/>
  <c r="BN44" i="36"/>
  <c r="BV44" i="36"/>
  <c r="AY44" i="36"/>
  <c r="CS4" i="36"/>
  <c r="BW34" i="36"/>
  <c r="BN34" i="36"/>
  <c r="AT44" i="36"/>
  <c r="AJ44" i="36"/>
  <c r="AM44" i="36"/>
  <c r="BK44" i="36"/>
  <c r="BH44" i="36"/>
  <c r="BL44" i="36"/>
  <c r="CN4" i="36"/>
  <c r="CR4" i="36"/>
  <c r="BV34" i="36"/>
  <c r="AP34" i="36"/>
  <c r="AZ44" i="36"/>
  <c r="AW44" i="36"/>
  <c r="AR44" i="36"/>
  <c r="BR34" i="36"/>
  <c r="BT44" i="36"/>
  <c r="CQ27" i="36"/>
  <c r="AW34" i="36"/>
  <c r="BG34" i="36"/>
  <c r="AV34" i="36"/>
  <c r="CE44" i="36"/>
  <c r="CU4" i="36"/>
  <c r="BX34" i="36"/>
  <c r="CT4" i="36"/>
  <c r="CH44" i="36"/>
  <c r="BR44" i="36"/>
  <c r="BF44" i="36"/>
  <c r="CQ4" i="36"/>
  <c r="CB44" i="36"/>
  <c r="BG44" i="36"/>
  <c r="BT34" i="36"/>
  <c r="CD34" i="36"/>
  <c r="BD44" i="36"/>
  <c r="BE44" i="36"/>
  <c r="BM34" i="36"/>
  <c r="CC44" i="36"/>
  <c r="BJ44" i="36"/>
  <c r="AL44" i="36"/>
  <c r="AN34" i="36"/>
  <c r="BQ44" i="36"/>
  <c r="CE34" i="36"/>
  <c r="CV4" i="36"/>
  <c r="CG44" i="36"/>
  <c r="BX44" i="36"/>
  <c r="AQ33" i="36"/>
  <c r="D13" i="9"/>
  <c r="H4" i="8"/>
  <c r="D28" i="9" s="1"/>
  <c r="AS27" i="36"/>
  <c r="BP27" i="36"/>
  <c r="CW32" i="36"/>
  <c r="CC27" i="36"/>
  <c r="BV27" i="36"/>
  <c r="AE19" i="36"/>
  <c r="BH27" i="36"/>
  <c r="AW16" i="36"/>
  <c r="W19" i="36"/>
  <c r="N19" i="36"/>
  <c r="CN32" i="36"/>
  <c r="AM27" i="36"/>
  <c r="AW27" i="36"/>
  <c r="BG16" i="36"/>
  <c r="BS27" i="36"/>
  <c r="AZ27" i="36"/>
  <c r="H19" i="36"/>
  <c r="BD27" i="36"/>
  <c r="BC27" i="36"/>
  <c r="D19" i="36"/>
  <c r="I19" i="36"/>
  <c r="BK27" i="36"/>
  <c r="CR32" i="36"/>
  <c r="AO27" i="36"/>
  <c r="N177" i="36"/>
  <c r="K177" i="36"/>
  <c r="AT27" i="36"/>
  <c r="AQ27" i="36"/>
  <c r="CF27" i="36"/>
  <c r="CO32" i="36"/>
  <c r="BA27" i="36"/>
  <c r="P19" i="36"/>
  <c r="CV32" i="36"/>
  <c r="AX27" i="36"/>
  <c r="U19" i="36"/>
  <c r="CZ32" i="36"/>
  <c r="AB19" i="36"/>
  <c r="R19" i="36"/>
  <c r="AE177" i="36"/>
  <c r="AU27" i="36"/>
  <c r="CE27" i="36"/>
  <c r="BQ27" i="36"/>
  <c r="BN27" i="36"/>
  <c r="AK27" i="36"/>
  <c r="BU16" i="36"/>
  <c r="AH177" i="36"/>
  <c r="CN28" i="36"/>
  <c r="O9" i="36"/>
  <c r="AH9" i="36"/>
  <c r="S9" i="36"/>
  <c r="R9" i="36"/>
  <c r="CV28" i="36"/>
  <c r="Z9" i="36"/>
  <c r="K9" i="36"/>
  <c r="CY28" i="36"/>
  <c r="CX28" i="36"/>
  <c r="AJ8" i="36"/>
  <c r="CR28" i="36"/>
  <c r="J9" i="36"/>
  <c r="BU42" i="36"/>
  <c r="AV42" i="36"/>
  <c r="BM42" i="36"/>
  <c r="AP33" i="36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D23" i="9" s="1"/>
  <c r="E23" i="9" s="1"/>
  <c r="W123" i="38"/>
  <c r="D26" i="9" s="1"/>
  <c r="E26" i="9" s="1"/>
  <c r="O123" i="38"/>
  <c r="D20" i="9" s="1"/>
  <c r="E20" i="9" s="1"/>
  <c r="D12" i="9" l="1"/>
  <c r="J4" i="8"/>
  <c r="D25" i="9" s="1"/>
  <c r="E25" i="9" s="1"/>
  <c r="L4" i="8"/>
  <c r="D22" i="9" s="1"/>
  <c r="E22" i="9" s="1"/>
  <c r="J10" i="7"/>
  <c r="L10" i="7"/>
  <c r="N10" i="7"/>
  <c r="CI13" i="36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 l="1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V1114" i="27" s="1"/>
  <c r="AJ1114" i="27" s="1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V1116" i="27" s="1"/>
  <c r="AJ1116" i="27" s="1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V1113" i="27" s="1"/>
  <c r="AJ1113" i="27" s="1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V1115" i="27" s="1"/>
  <c r="AJ1115" i="27" s="1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V1083" i="27" s="1"/>
  <c r="AJ1083" i="27" s="1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V1099" i="27" s="1"/>
  <c r="AJ1099" i="27" s="1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098" i="27" s="1"/>
  <c r="AJ1098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V1085" i="27" s="1"/>
  <c r="AJ1085" i="27" s="1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72" i="27" s="1"/>
  <c r="AJ1072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V1112" i="27" s="1"/>
  <c r="AJ1112" i="27" s="1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V1095" i="27" s="1"/>
  <c r="AJ1095" i="27" s="1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108" i="27" l="1"/>
  <c r="AJ1108" i="27" s="1"/>
  <c r="V1111" i="27"/>
  <c r="AJ1111" i="27" s="1"/>
  <c r="V1110" i="27"/>
  <c r="AJ1110" i="27" s="1"/>
  <c r="V1074" i="27"/>
  <c r="AJ1074" i="27" s="1"/>
  <c r="V1109" i="27"/>
  <c r="AJ1109" i="27" s="1"/>
  <c r="V1086" i="27"/>
  <c r="AJ1086" i="27" s="1"/>
  <c r="V1087" i="27"/>
  <c r="AJ1087" i="27" s="1"/>
  <c r="V1105" i="27"/>
  <c r="AJ1105" i="27" s="1"/>
  <c r="V1107" i="27"/>
  <c r="AJ1107" i="27" s="1"/>
  <c r="V1104" i="27"/>
  <c r="AJ1104" i="27" s="1"/>
  <c r="V867" i="27"/>
  <c r="AJ867" i="27" s="1"/>
  <c r="V1106" i="27"/>
  <c r="AJ1106" i="27" s="1"/>
  <c r="V1102" i="27"/>
  <c r="AJ1102" i="27" s="1"/>
  <c r="V1103" i="27"/>
  <c r="AJ1103" i="27" s="1"/>
  <c r="V1101" i="27"/>
  <c r="AJ1101" i="27" s="1"/>
  <c r="V536" i="27"/>
  <c r="AJ536" i="27" s="1"/>
  <c r="V1100" i="27"/>
  <c r="AJ1100" i="27" s="1"/>
  <c r="V1094" i="27"/>
  <c r="AJ1094" i="27" s="1"/>
  <c r="V190" i="27"/>
  <c r="AJ190" i="27" s="1"/>
  <c r="V1097" i="27"/>
  <c r="AJ1097" i="27" s="1"/>
  <c r="V1096" i="27"/>
  <c r="AJ1096" i="27" s="1"/>
  <c r="V1084" i="27"/>
  <c r="AJ1084" i="27" s="1"/>
  <c r="V1092" i="27"/>
  <c r="AJ1092" i="27" s="1"/>
  <c r="V1093" i="27"/>
  <c r="AJ1093" i="27" s="1"/>
  <c r="V1091" i="27"/>
  <c r="AJ1091" i="27" s="1"/>
  <c r="V1090" i="27"/>
  <c r="AJ1090" i="27" s="1"/>
  <c r="V130" i="27"/>
  <c r="AJ130" i="27" s="1"/>
  <c r="V1089" i="27"/>
  <c r="AJ1089" i="27" s="1"/>
  <c r="V131" i="27"/>
  <c r="AJ131" i="27" s="1"/>
  <c r="V1088" i="27"/>
  <c r="AJ1088" i="27" s="1"/>
  <c r="V1081" i="27"/>
  <c r="AJ1081" i="27" s="1"/>
  <c r="V1080" i="27"/>
  <c r="AJ1080" i="27" s="1"/>
  <c r="V1082" i="27"/>
  <c r="AJ1082" i="27" s="1"/>
  <c r="V1078" i="27"/>
  <c r="AJ1078" i="27" s="1"/>
  <c r="V1079" i="27"/>
  <c r="AJ1079" i="27" s="1"/>
  <c r="V1077" i="27"/>
  <c r="AJ1077" i="27" s="1"/>
  <c r="V1076" i="27"/>
  <c r="AJ1076" i="27" s="1"/>
  <c r="V1075" i="27"/>
  <c r="AJ1075" i="27" s="1"/>
  <c r="V1069" i="27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<sst xmlns="http://schemas.openxmlformats.org/spreadsheetml/2006/main" count="18290" uniqueCount="1959">
  <si>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</si>
  <si>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</si>
  <si>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</si>
  <si>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</si>
  <si>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</si>
  <si>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</si>
  <si>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</si>
  <si>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</si>
  <si>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</si>
  <si>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</si>
  <si>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</si>
  <si>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</si>
  <si>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</si>
  <si>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</si>
  <si>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</si>
  <si>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</si>
  <si>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</si>
  <si>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</si>
  <si>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</si>
  <si>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</si>
  <si>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</si>
  <si>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</si>
  <si>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</si>
  <si>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</si>
  <si>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</si>
  <si>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</si>
  <si>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</si>
  <si>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</si>
  <si>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</si>
  <si>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</si>
  <si>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</si>
  <si>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</si>
  <si>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</si>
  <si>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</si>
  <si>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</si>
  <si>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</si>
  <si>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</si>
  <si>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</si>
  <si>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</si>
  <si>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</si>
  <si>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</si>
  <si>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</si>
  <si>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</si>
  <si>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</si>
  <si>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</si>
  <si>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</si>
  <si>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</si>
  <si>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</si>
  <si>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</si>
  <si>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</si>
  <si>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</si>
  <si>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</si>
  <si>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</si>
  <si>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</si>
  <si>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</si>
  <si>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</si>
  <si>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</si>
  <si>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</si>
  <si>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</si>
  <si>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</si>
  <si>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</si>
  <si>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</si>
  <si>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</si>
  <si>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</si>
  <si>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</si>
  <si>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</si>
  <si>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</si>
  <si>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</si>
  <si>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</si>
  <si>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</si>
  <si>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</si>
  <si>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</si>
  <si>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</si>
  <si>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</si>
  <si>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</si>
  <si>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</si>
  <si>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</si>
  <si>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</si>
  <si>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</si>
  <si>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</si>
  <si>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</si>
  <si>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</si>
  <si>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</si>
  <si>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</si>
  <si>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</si>
  <si>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</si>
  <si>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</si>
  <si>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</si>
  <si>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</si>
  <si>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</si>
  <si>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</si>
  <si>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</si>
  <si>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</si>
  <si>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</si>
  <si>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</si>
  <si>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</si>
  <si>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</si>
  <si>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</si>
  <si>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</si>
  <si>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</si>
  <si>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</si>
  <si>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</si>
  <si>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</si>
  <si>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</si>
  <si>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</si>
  <si>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</si>
  <si>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</si>
  <si>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</si>
  <si>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</si>
  <si>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</si>
  <si>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</si>
  <si>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</si>
  <si>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</si>
  <si>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</si>
  <si>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</si>
  <si>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</si>
  <si>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</si>
  <si>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</si>
  <si>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</si>
  <si>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</si>
  <si>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</si>
  <si>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</si>
  <si>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</si>
  <si>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</si>
  <si>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</si>
  <si>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</si>
  <si>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</si>
  <si>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</si>
  <si>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</si>
  <si>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</si>
  <si>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</si>
  <si>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</si>
  <si>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</si>
  <si>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</si>
  <si>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</si>
  <si>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</si>
  <si>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</si>
  <si>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</si>
  <si>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</si>
  <si>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</si>
  <si>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</si>
  <si>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</si>
  <si>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</si>
  <si>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</si>
  <si>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</si>
  <si>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</si>
  <si>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</si>
  <si>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</si>
  <si>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</si>
  <si>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</si>
  <si>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</si>
  <si>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</si>
  <si>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</si>
  <si>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</si>
  <si>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</si>
  <si>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</si>
  <si>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</si>
  <si>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</si>
  <si>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</si>
  <si>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</si>
  <si>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</si>
  <si>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</si>
  <si>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</si>
  <si>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</si>
  <si>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</si>
  <si>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</si>
  <si>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</si>
  <si>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</si>
  <si>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</si>
  <si>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</si>
  <si>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</si>
  <si>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</si>
  <si>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</si>
  <si>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</si>
  <si>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</si>
  <si>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</si>
  <si>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</si>
  <si>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</si>
  <si>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</si>
  <si>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</si>
  <si>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</si>
  <si>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</si>
  <si>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</si>
  <si>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</si>
  <si>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</si>
  <si>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</si>
  <si>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</si>
  <si>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</si>
  <si>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</si>
  <si>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</si>
  <si>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</si>
  <si>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</si>
  <si>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</si>
  <si>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</si>
  <si>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</si>
  <si>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</si>
  <si>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</si>
  <si>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</si>
  <si>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</si>
  <si>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</si>
  <si>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</si>
  <si>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</si>
  <si>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</si>
  <si>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</si>
  <si>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</si>
  <si>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</si>
  <si>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</si>
  <si>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</si>
  <si>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</si>
  <si>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</si>
  <si>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</si>
  <si>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</si>
  <si>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</si>
  <si>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</si>
  <si>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</si>
  <si>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</si>
  <si>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</si>
  <si>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</si>
  <si>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</si>
  <si>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</si>
  <si>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</si>
  <si>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</si>
  <si>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</si>
  <si>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</si>
  <si>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</si>
  <si>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</si>
  <si>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</si>
  <si>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</si>
  <si>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</si>
  <si>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</si>
  <si>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</si>
  <si>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</si>
  <si>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</si>
  <si>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</si>
  <si>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</si>
  <si>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</si>
  <si>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</si>
  <si>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</si>
  <si>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</si>
  <si>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</si>
  <si>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</si>
  <si>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</si>
  <si>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</si>
  <si>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</si>
  <si>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</si>
  <si>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</si>
  <si>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</si>
  <si>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</si>
  <si>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</si>
  <si>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</si>
  <si>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</si>
  <si>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</si>
  <si>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</si>
  <si>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</si>
  <si>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</si>
  <si>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</si>
  <si>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</si>
  <si>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</si>
  <si>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</si>
  <si>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</si>
  <si>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</si>
  <si>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</si>
  <si>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</si>
  <si>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</si>
  <si>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</si>
  <si>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</si>
  <si>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</si>
  <si>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</si>
  <si>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</si>
  <si>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</si>
  <si>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</si>
  <si>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</si>
  <si>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</si>
  <si>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</si>
  <si>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</si>
  <si>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</si>
  <si>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</si>
  <si>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</si>
  <si>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</si>
  <si>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</si>
  <si>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</si>
  <si>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</si>
  <si>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</si>
  <si>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</si>
  <si>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</si>
  <si>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</si>
  <si>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</si>
  <si>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</si>
  <si>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</si>
  <si>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</si>
  <si>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</si>
  <si>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</si>
  <si>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</si>
  <si>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</si>
  <si>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</si>
  <si>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</si>
  <si>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</si>
  <si>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</si>
  <si>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</si>
  <si>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</si>
  <si>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</si>
  <si>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</si>
  <si>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</si>
  <si>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</si>
  <si>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</si>
  <si>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</si>
  <si>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</si>
  <si>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</si>
  <si>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</si>
  <si>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</si>
  <si>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</si>
  <si>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</si>
  <si>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</si>
  <si>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</si>
  <si>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</si>
  <si>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</si>
  <si>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</si>
  <si>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</si>
  <si>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</si>
  <si>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</si>
  <si>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</si>
  <si>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</si>
  <si>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</si>
  <si>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</si>
  <si>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</si>
  <si>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</si>
  <si>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</si>
  <si>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</si>
  <si>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</si>
  <si>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</si>
  <si>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</si>
  <si>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</si>
  <si>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</si>
  <si>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</si>
  <si>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</si>
  <si>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</si>
  <si>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</si>
  <si>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</si>
  <si>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</si>
  <si>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</si>
  <si>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</si>
  <si>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</si>
  <si>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</si>
  <si>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</si>
  <si>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</si>
  <si>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</si>
  <si>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</si>
  <si>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</si>
  <si>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</si>
  <si>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</si>
  <si>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</si>
  <si>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</si>
  <si>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</si>
  <si>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</si>
  <si>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</si>
  <si>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</si>
  <si>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</si>
  <si>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</si>
  <si>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</si>
  <si>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</si>
  <si>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</si>
  <si>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</si>
  <si>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</si>
  <si>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</si>
  <si>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</si>
  <si>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</si>
  <si>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</si>
  <si>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</si>
  <si>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</si>
  <si>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</si>
  <si>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</si>
  <si>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</si>
  <si>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</si>
  <si>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</si>
  <si>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</si>
  <si>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</si>
  <si>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</si>
  <si>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</si>
  <si>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</si>
  <si>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</si>
  <si>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</si>
  <si>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</si>
  <si>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</si>
  <si>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</si>
  <si>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</si>
  <si>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</si>
  <si>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</si>
  <si>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</si>
  <si>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</si>
  <si>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</si>
  <si>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</si>
  <si>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</si>
  <si>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</si>
  <si>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</si>
  <si>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</si>
  <si>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</si>
  <si>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</si>
  <si>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</si>
  <si>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</si>
  <si>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</si>
  <si>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</si>
  <si>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</si>
  <si>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</si>
  <si>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</si>
  <si>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</si>
  <si>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</si>
  <si>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</si>
  <si>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</si>
  <si>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</si>
  <si>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</si>
  <si>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</si>
  <si>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</si>
  <si>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</si>
  <si>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</si>
  <si>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</si>
  <si>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</si>
  <si>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</si>
  <si>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</si>
  <si>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</si>
  <si>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</si>
  <si>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</si>
  <si>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</si>
  <si>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</si>
  <si>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</si>
  <si>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</si>
  <si>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</si>
  <si>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</si>
  <si>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</si>
  <si>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</si>
  <si>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</si>
  <si>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</si>
  <si>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</si>
  <si>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</si>
  <si>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</si>
  <si>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</si>
  <si>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</si>
  <si>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</si>
  <si>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</si>
  <si>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</si>
  <si>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</si>
  <si>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</si>
  <si>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</si>
  <si>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</si>
  <si>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</si>
  <si>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</si>
  <si>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</si>
  <si>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</si>
  <si>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</si>
  <si>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</si>
  <si>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</si>
  <si>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</si>
  <si>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</si>
  <si>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</si>
  <si>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</si>
  <si>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</si>
  <si>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</si>
  <si>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</si>
  <si>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</si>
  <si>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</si>
  <si>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</si>
  <si>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</si>
  <si>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</si>
  <si>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</si>
  <si>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</si>
  <si>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</si>
  <si>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</si>
  <si>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</si>
  <si>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</si>
  <si>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</si>
  <si>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</si>
  <si>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</si>
  <si>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</si>
  <si>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</si>
  <si>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</si>
  <si>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</si>
  <si>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</si>
  <si>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</si>
  <si>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</si>
  <si>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</si>
  <si>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</si>
  <si>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</si>
  <si>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</si>
  <si>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</si>
  <si>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</si>
  <si>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</si>
  <si>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</si>
  <si>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</si>
  <si>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</si>
  <si>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</si>
  <si>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</si>
  <si>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</si>
  <si>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</si>
  <si>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</si>
  <si>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</si>
  <si>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</si>
  <si>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</si>
  <si>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</si>
  <si>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</si>
  <si>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</si>
  <si>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</si>
  <si>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</si>
  <si>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</si>
  <si>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</si>
  <si>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</si>
  <si>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</si>
  <si>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</si>
  <si>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</si>
  <si>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</si>
  <si>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</si>
  <si>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</si>
  <si>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</si>
  <si>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</si>
  <si>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</si>
  <si>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</si>
  <si>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</si>
  <si>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</si>
  <si>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</si>
  <si>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</si>
  <si>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</si>
  <si>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</si>
  <si>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</si>
  <si>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</si>
  <si>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</si>
  <si>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</si>
  <si>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</si>
  <si>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</si>
  <si>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</si>
  <si>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</si>
  <si>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</si>
  <si>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</si>
  <si>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</si>
  <si>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</si>
  <si>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</si>
  <si>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</si>
  <si>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</si>
  <si>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</si>
  <si>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</si>
  <si>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</si>
  <si>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</si>
  <si>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</si>
  <si>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</si>
  <si>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</si>
  <si>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</si>
  <si>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</si>
  <si>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</si>
  <si>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</si>
  <si>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</si>
  <si>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</si>
  <si>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</si>
  <si>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</si>
  <si>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</si>
  <si>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</si>
  <si>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</si>
  <si>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</si>
  <si>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</si>
  <si>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</si>
  <si>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</si>
  <si>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</si>
  <si>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</si>
  <si>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</si>
  <si>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</si>
  <si>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</si>
  <si>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</si>
  <si>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</si>
  <si>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</si>
  <si>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</si>
  <si>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</si>
  <si>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</si>
  <si>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</si>
  <si>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</si>
  <si>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</si>
  <si>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</si>
  <si>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</si>
  <si>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</si>
  <si>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</si>
  <si>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</si>
  <si>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</si>
  <si>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</si>
  <si>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</si>
  <si>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</si>
  <si>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</si>
  <si>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</si>
  <si>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</si>
  <si>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</si>
  <si>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</si>
  <si>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</si>
  <si>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</si>
  <si>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</si>
  <si>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</si>
  <si>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</si>
  <si>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</si>
  <si>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</si>
  <si>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</si>
  <si>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</si>
  <si>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</si>
  <si>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</si>
  <si>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</si>
  <si>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</si>
  <si>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</si>
  <si>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</si>
  <si>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</si>
  <si>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</si>
  <si>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</si>
  <si>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</si>
  <si>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</si>
  <si>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</si>
  <si>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</si>
  <si>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</si>
  <si>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</si>
  <si>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</si>
  <si>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</si>
  <si>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</si>
  <si>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</si>
  <si>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</si>
  <si>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</si>
  <si>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</si>
  <si>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</si>
  <si>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</si>
  <si>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</si>
  <si>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</si>
  <si>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</si>
  <si>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</si>
  <si>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</si>
  <si>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</si>
  <si>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</si>
  <si>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</si>
  <si>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</si>
  <si>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</si>
  <si>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</si>
  <si>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</si>
  <si>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</si>
  <si>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</si>
  <si>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</si>
  <si>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</si>
  <si>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</si>
  <si>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</si>
  <si>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</si>
  <si>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</si>
  <si>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</si>
  <si>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</si>
  <si>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</si>
  <si>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</si>
  <si>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</si>
  <si>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</si>
  <si>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</si>
  <si>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</si>
  <si>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</si>
  <si>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</si>
  <si>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</si>
  <si>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</si>
  <si>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</si>
  <si>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</si>
  <si>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</si>
  <si>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</si>
  <si>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</si>
  <si>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</si>
  <si>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</si>
  <si>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</si>
  <si>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</si>
  <si>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</si>
  <si>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</si>
  <si>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</si>
  <si>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</si>
  <si>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</si>
  <si>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</si>
  <si>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</si>
  <si>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</si>
  <si>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</si>
  <si>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</si>
  <si>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</si>
  <si>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</si>
  <si>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</si>
  <si>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</si>
  <si>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</si>
  <si>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</si>
  <si>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</si>
  <si>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</si>
  <si>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</si>
  <si>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</si>
  <si>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</si>
  <si>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</si>
  <si>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</si>
  <si>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</si>
  <si>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</si>
  <si>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</si>
  <si>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</si>
  <si>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</si>
  <si>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</si>
  <si>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</si>
  <si>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</si>
  <si>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</si>
  <si>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</si>
  <si>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</si>
  <si>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</si>
  <si>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</si>
  <si>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</si>
  <si>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</si>
  <si>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</si>
  <si>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</si>
  <si>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</si>
  <si>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</si>
  <si>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</si>
  <si>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</si>
  <si>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</si>
  <si>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</si>
  <si>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</si>
  <si>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</si>
  <si>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</si>
  <si>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</si>
  <si>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</si>
  <si>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</si>
  <si>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</si>
  <si>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</si>
  <si>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</si>
  <si>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</si>
  <si>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</si>
  <si>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</si>
  <si>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</si>
  <si>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</si>
  <si>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</si>
  <si>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</si>
  <si>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</si>
  <si>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</si>
  <si>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</si>
  <si>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</si>
  <si>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</si>
  <si>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</si>
  <si>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</si>
  <si>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</si>
  <si>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</si>
  <si>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</si>
  <si>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</si>
  <si>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</si>
  <si>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</si>
  <si>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</si>
  <si>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</si>
  <si>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</si>
  <si>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</si>
  <si>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</si>
  <si>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</si>
  <si>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</si>
  <si>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</si>
  <si>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</si>
  <si>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</si>
  <si>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</si>
  <si>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</si>
  <si>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</si>
  <si>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</si>
  <si>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</si>
  <si>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</si>
  <si>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</si>
  <si>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</si>
  <si>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</si>
  <si>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</si>
  <si>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</si>
  <si>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</si>
  <si>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</si>
  <si>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</si>
  <si>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</si>
  <si>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</si>
  <si>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</si>
  <si>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</si>
  <si>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</si>
  <si>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</si>
  <si>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</si>
  <si>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</si>
  <si>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</si>
  <si>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</si>
  <si>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</si>
  <si>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</si>
  <si>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</si>
  <si>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</si>
  <si>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</si>
  <si>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</si>
  <si>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</si>
  <si>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</si>
  <si>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</si>
  <si>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</si>
  <si>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</si>
  <si>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</si>
  <si>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</si>
  <si>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</si>
  <si>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</si>
  <si>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</si>
  <si>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</si>
  <si>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</si>
  <si>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</si>
  <si>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</si>
  <si>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</si>
  <si>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</si>
  <si>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</si>
  <si>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</si>
  <si>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</si>
  <si>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</si>
  <si>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</si>
  <si>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</si>
  <si>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</si>
  <si>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</si>
  <si>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</si>
  <si>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</si>
  <si>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</si>
  <si>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</si>
  <si>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</si>
  <si>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</si>
  <si>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</si>
  <si>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</si>
  <si>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</si>
  <si>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</si>
  <si>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</si>
  <si>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</si>
  <si>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</si>
  <si>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</si>
  <si>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</si>
  <si>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</si>
  <si>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</si>
  <si>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</si>
  <si>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</si>
  <si>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</si>
  <si>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</si>
  <si>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</si>
  <si>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</si>
  <si>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</si>
  <si>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</si>
  <si>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</si>
  <si>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</si>
  <si>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</si>
  <si>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</si>
  <si>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</si>
  <si>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</si>
  <si>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</si>
  <si>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</si>
  <si>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</si>
  <si>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</si>
  <si>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</si>
  <si>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</si>
  <si>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</si>
  <si>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</si>
  <si>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</si>
  <si>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</si>
  <si>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</si>
  <si>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</si>
  <si>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</si>
  <si>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</si>
  <si>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</si>
  <si>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</si>
  <si>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</si>
  <si>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</si>
  <si>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</si>
  <si>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</si>
  <si>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</si>
  <si>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</si>
  <si>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</si>
  <si>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</si>
  <si>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</si>
  <si>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</si>
  <si>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</si>
  <si>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</si>
  <si>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</si>
  <si>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</si>
  <si>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</si>
  <si>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</si>
  <si>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</si>
  <si>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</si>
  <si>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</si>
  <si>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</si>
  <si>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</si>
  <si>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</si>
  <si>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</si>
  <si>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</si>
  <si>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</si>
  <si>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</si>
  <si>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</si>
  <si>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</si>
  <si>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</si>
  <si>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</si>
  <si>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</si>
  <si>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</si>
  <si>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</si>
  <si>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</si>
  <si>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</si>
  <si>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</si>
  <si>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</si>
  <si>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</si>
  <si>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</si>
  <si>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</si>
  <si>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</si>
  <si>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</si>
  <si>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</si>
  <si>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</si>
  <si>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</si>
  <si>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</si>
  <si>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</si>
  <si>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</si>
  <si>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</si>
  <si>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</si>
  <si>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</si>
  <si>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</si>
  <si>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</si>
  <si>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</si>
  <si>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</si>
  <si>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</si>
  <si>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</si>
  <si>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</si>
  <si>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</si>
  <si>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</si>
  <si>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</si>
  <si>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</si>
  <si>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</si>
  <si>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</si>
  <si>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</si>
  <si>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</si>
  <si>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</si>
  <si>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</si>
  <si>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</si>
  <si>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</si>
  <si>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</si>
  <si>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</si>
  <si>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</si>
  <si>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</si>
  <si>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</si>
  <si>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</si>
  <si>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</si>
  <si>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</si>
  <si>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</si>
  <si>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</si>
  <si>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</si>
  <si>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</si>
  <si>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</si>
  <si>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</si>
  <si>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</si>
  <si>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</si>
  <si>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</si>
  <si>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</si>
  <si>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</si>
  <si>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</si>
  <si>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</si>
  <si>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</si>
  <si>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</si>
  <si>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</si>
  <si>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</si>
  <si>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</si>
  <si>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</si>
  <si>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</si>
  <si>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</si>
  <si>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</si>
  <si>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</si>
  <si>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</si>
  <si>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</si>
  <si>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</si>
  <si>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</si>
  <si>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</si>
  <si>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</si>
  <si>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</si>
  <si>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</si>
  <si>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</si>
  <si>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</si>
  <si>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</si>
  <si>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</si>
  <si>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</si>
  <si>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</si>
  <si>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</si>
  <si>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</si>
  <si>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</si>
  <si>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</si>
  <si>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</si>
  <si>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</si>
  <si>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</si>
  <si>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</si>
  <si>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</si>
  <si>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</si>
  <si>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</si>
  <si>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</si>
  <si>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</si>
  <si>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</si>
  <si>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</si>
  <si>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</si>
  <si>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</si>
  <si>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</si>
  <si>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</si>
  <si>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</si>
  <si>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</si>
  <si>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</si>
  <si>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</si>
  <si>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</si>
  <si>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</si>
  <si>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</si>
  <si>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</si>
  <si>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</si>
  <si>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</si>
  <si>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</si>
  <si>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</si>
  <si>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</si>
  <si>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</si>
  <si>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</si>
  <si>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</si>
  <si>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</si>
  <si>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</si>
  <si>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</si>
  <si>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</si>
  <si>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</si>
  <si>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</si>
  <si>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</si>
  <si>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</si>
  <si>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</si>
  <si>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</si>
  <si>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</si>
  <si>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</si>
  <si>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</si>
  <si>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</si>
  <si>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</si>
  <si>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</si>
  <si>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</si>
  <si>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</si>
  <si>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</si>
  <si>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</si>
  <si>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</si>
  <si>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</si>
  <si>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</si>
  <si>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</si>
  <si>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</si>
  <si>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</si>
  <si>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</si>
  <si>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</si>
  <si>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</si>
  <si>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</si>
  <si>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</si>
  <si>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</si>
  <si>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</si>
  <si>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</si>
  <si>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</si>
  <si>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</si>
  <si>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</si>
  <si>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</si>
  <si>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</si>
  <si>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</si>
  <si>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</si>
  <si>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</si>
  <si>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</si>
  <si>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</si>
  <si>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</si>
  <si>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</si>
  <si>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</si>
  <si>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</si>
  <si>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</si>
  <si>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</si>
  <si>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</si>
  <si>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</si>
  <si>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</si>
  <si>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</si>
  <si>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</si>
  <si>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</si>
  <si>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</si>
  <si>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</si>
  <si>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</si>
  <si>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</si>
  <si>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</si>
  <si>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</si>
  <si>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</si>
  <si>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</si>
  <si>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</si>
  <si>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</si>
  <si>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</si>
  <si>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</si>
  <si>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</si>
  <si>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</si>
  <si>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</si>
  <si>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</si>
  <si>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</si>
  <si>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</si>
  <si>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</si>
  <si>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</si>
  <si>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</si>
  <si>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</si>
  <si>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</si>
  <si>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</si>
  <si>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</si>
  <si>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</si>
  <si>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</si>
  <si>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</si>
  <si>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</si>
  <si>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</si>
  <si>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</si>
  <si>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</si>
  <si>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</si>
  <si>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</si>
  <si>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</si>
  <si>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</si>
  <si>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</si>
  <si>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</si>
  <si>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</si>
  <si>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</si>
  <si>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</si>
  <si>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</si>
  <si>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</si>
  <si>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</si>
  <si>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</si>
  <si>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</si>
  <si>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</si>
  <si>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</si>
  <si>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</si>
  <si>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</si>
  <si>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</si>
  <si>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</si>
  <si>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</si>
  <si>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</si>
  <si>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</si>
  <si>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</si>
  <si>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</si>
  <si>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</si>
  <si>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</si>
  <si>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</si>
  <si>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</si>
  <si>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</si>
  <si>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</si>
  <si>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</si>
  <si>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</si>
  <si>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</si>
  <si>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</si>
  <si>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</si>
  <si>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</si>
  <si>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</si>
  <si>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</si>
  <si>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</si>
  <si>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</si>
  <si>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</si>
  <si>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</si>
  <si>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</si>
  <si>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</si>
  <si>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</si>
  <si>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</si>
  <si>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</si>
  <si>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</si>
  <si>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</si>
  <si>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</si>
  <si>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</si>
  <si>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</si>
  <si>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</si>
  <si>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</si>
  <si>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</si>
  <si>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</si>
  <si>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</si>
  <si>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</si>
  <si>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</si>
  <si>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</si>
  <si>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</si>
  <si>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</si>
  <si>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</si>
  <si>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</si>
  <si>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</si>
  <si>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</si>
  <si>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</si>
  <si>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</si>
  <si>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</si>
  <si>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</si>
  <si>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</si>
  <si>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</si>
  <si>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</si>
  <si>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</si>
  <si>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</si>
  <si>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</si>
  <si>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</si>
  <si>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</si>
  <si>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</si>
  <si>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</si>
  <si>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</si>
  <si>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</si>
  <si>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</si>
  <si>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</si>
  <si>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</si>
  <si>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</si>
  <si>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</si>
  <si>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</si>
  <si>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</si>
  <si>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</si>
  <si>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</si>
  <si>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</si>
  <si>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</si>
  <si>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</si>
  <si>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</si>
  <si>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</si>
  <si>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</si>
  <si>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</si>
  <si>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</si>
  <si>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</si>
  <si>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</si>
  <si>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</si>
  <si>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</si>
  <si>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</si>
  <si>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</si>
  <si>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</si>
  <si>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</si>
  <si>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</si>
  <si>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</si>
  <si>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</si>
  <si>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</si>
  <si>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</si>
  <si>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</si>
  <si>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</si>
  <si>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</si>
  <si>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</si>
  <si>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</si>
  <si>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</si>
  <si>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</si>
  <si>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</si>
  <si>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</si>
  <si>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</si>
  <si>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</si>
  <si>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</si>
  <si>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</si>
  <si>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</si>
  <si>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</si>
  <si>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</si>
  <si>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</si>
  <si>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</si>
  <si>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</si>
  <si>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</si>
  <si>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</si>
  <si>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</si>
  <si>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</si>
  <si>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</si>
  <si>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</si>
  <si>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</si>
  <si>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</si>
  <si>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</si>
  <si>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</si>
  <si>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</si>
  <si>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</si>
  <si>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</si>
  <si>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</si>
  <si>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</si>
  <si>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</si>
  <si>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</si>
  <si>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</si>
  <si>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</si>
  <si>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</si>
  <si>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</si>
  <si>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</si>
  <si>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</si>
  <si>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</si>
  <si>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</si>
  <si>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</si>
  <si>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</si>
  <si>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</si>
  <si>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</si>
  <si>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</si>
  <si>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</si>
  <si>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</si>
  <si>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</si>
  <si>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</si>
  <si>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</si>
  <si>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</si>
  <si>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</si>
  <si>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</si>
  <si>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</si>
  <si>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</si>
  <si>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</si>
  <si>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</si>
  <si>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</si>
  <si>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</si>
  <si>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</si>
  <si>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</si>
  <si>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</si>
  <si>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</si>
  <si>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</si>
  <si>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</si>
  <si>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</si>
  <si>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</si>
  <si>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</si>
  <si>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</si>
  <si>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</si>
  <si>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</si>
  <si>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</si>
  <si>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</si>
  <si>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</si>
  <si>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</si>
  <si>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</si>
  <si>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</si>
  <si>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</si>
  <si>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</si>
  <si>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</si>
  <si>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</si>
  <si>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</si>
  <si>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</si>
  <si>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</si>
  <si>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</si>
  <si>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</si>
  <si>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</si>
  <si>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</si>
  <si>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</si>
  <si>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</si>
  <si>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</si>
  <si>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</si>
  <si>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</si>
  <si>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</si>
  <si>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</si>
  <si>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</si>
  <si>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</si>
  <si>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</si>
  <si>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</si>
  <si>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</si>
  <si>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</si>
  <si>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</si>
  <si>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</si>
  <si>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</si>
  <si>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</si>
  <si>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</si>
  <si>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</si>
  <si>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</si>
  <si>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</si>
  <si>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</si>
  <si>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</si>
  <si>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</si>
  <si>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</si>
  <si>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</si>
  <si>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</si>
  <si>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</si>
  <si>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</si>
  <si>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</si>
  <si>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</si>
  <si>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</si>
  <si>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</si>
  <si>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</si>
  <si>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</si>
  <si>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</si>
  <si>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</si>
  <si>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</si>
  <si>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</si>
  <si>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</si>
  <si>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</si>
  <si>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</si>
  <si>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</si>
  <si>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</si>
  <si>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</si>
  <si>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</si>
  <si>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</si>
  <si>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</si>
  <si>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</si>
  <si>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</si>
  <si>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</si>
  <si>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</si>
  <si>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</si>
  <si>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</si>
  <si>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</si>
  <si>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</si>
  <si>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</si>
  <si>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</si>
  <si>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</si>
  <si>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</si>
  <si>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</si>
  <si>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</si>
  <si>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</si>
  <si>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</si>
  <si>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</si>
  <si>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</si>
  <si>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</si>
  <si>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</si>
  <si>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</si>
  <si>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</si>
  <si>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</si>
  <si>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</si>
  <si>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</si>
  <si>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</si>
  <si>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</si>
  <si>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</si>
  <si>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</si>
  <si>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</si>
  <si>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</si>
  <si>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</si>
  <si>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</si>
  <si>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</si>
  <si>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</si>
  <si>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</si>
  <si>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</si>
  <si>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</si>
  <si>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</si>
  <si>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</si>
  <si>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</si>
  <si>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</si>
  <si>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</si>
  <si>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</si>
  <si>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</si>
  <si>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</si>
  <si>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</si>
  <si>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</si>
  <si>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</si>
  <si>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</si>
  <si>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</si>
  <si>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</si>
  <si>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</si>
  <si>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</si>
  <si>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</si>
  <si>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</si>
  <si>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</si>
  <si>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</si>
  <si>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</si>
  <si>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</si>
  <si>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</si>
  <si>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</si>
  <si>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</si>
  <si>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</si>
  <si>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</si>
  <si>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</si>
  <si>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</si>
  <si>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</si>
  <si>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</si>
  <si>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</si>
  <si>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</si>
  <si>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</si>
  <si>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</si>
  <si>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</si>
  <si>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</si>
  <si>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</si>
  <si>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</si>
  <si>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</si>
  <si>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</si>
  <si>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</si>
  <si>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</si>
  <si>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</si>
  <si>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</si>
  <si>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</si>
  <si>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</si>
  <si>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</si>
  <si>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</si>
  <si>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</si>
  <si>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</si>
  <si>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</si>
  <si>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</si>
  <si>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</si>
  <si>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</si>
  <si>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</si>
  <si>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</si>
  <si>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</si>
  <si>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</si>
  <si>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</si>
  <si>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</si>
  <si>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</si>
  <si>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</si>
  <si>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</si>
  <si>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</si>
  <si>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</si>
  <si>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</si>
  <si>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</si>
  <si>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</si>
  <si>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</si>
  <si>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</si>
  <si>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</si>
  <si>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</si>
  <si>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</si>
  <si>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</si>
  <si>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</si>
  <si>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</si>
  <si>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</si>
  <si>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</si>
  <si>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</si>
  <si>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</si>
  <si>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</si>
  <si>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</si>
  <si>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</si>
  <si>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</si>
  <si>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</si>
  <si>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</si>
  <si>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</si>
  <si>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</si>
  <si>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</si>
  <si>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</si>
  <si>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</si>
  <si>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</si>
  <si>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</si>
  <si>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</si>
  <si>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</si>
  <si>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</si>
  <si>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</si>
  <si>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</si>
  <si>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</si>
  <si>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</si>
  <si>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</si>
  <si>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</si>
  <si>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</si>
  <si>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</si>
  <si>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</si>
  <si>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</si>
  <si>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</si>
  <si>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</si>
  <si>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</si>
  <si>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</si>
  <si>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</si>
  <si>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</si>
  <si>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</si>
  <si>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</si>
  <si>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</si>
  <si>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</si>
  <si>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</si>
  <si>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</si>
  <si>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</si>
  <si>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</si>
  <si>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</si>
  <si>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</si>
  <si>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</si>
  <si>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</si>
  <si>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</si>
  <si>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</si>
  <si>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</si>
  <si>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</si>
  <si>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</si>
  <si>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</si>
  <si>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</si>
  <si>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</si>
  <si>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</si>
  <si>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</si>
  <si>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</si>
  <si>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</si>
  <si>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</si>
  <si>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</si>
  <si>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</si>
  <si>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</si>
  <si>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</si>
  <si>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</si>
  <si>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</si>
  <si>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</si>
  <si>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</si>
  <si>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</si>
  <si>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</si>
  <si>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</si>
  <si>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</si>
  <si>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</si>
  <si>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</si>
  <si>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</si>
  <si>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</si>
  <si>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</si>
  <si>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</si>
  <si>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</si>
  <si>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</si>
  <si>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</si>
  <si>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</si>
  <si>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</si>
  <si>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</si>
  <si>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</si>
  <si>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</si>
  <si>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</si>
  <si>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</si>
  <si>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</si>
  <si>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</si>
  <si>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</si>
  <si>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</si>
  <si>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</si>
  <si>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</si>
  <si>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</si>
  <si>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</si>
  <si>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</si>
  <si>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</si>
  <si>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</si>
  <si>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</si>
  <si>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</si>
  <si>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</si>
  <si>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</si>
  <si>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</si>
  <si>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</si>
  <si>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</si>
  <si>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</si>
  <si>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</si>
  <si>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</si>
  <si>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</si>
  <si>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</si>
  <si>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</si>
  <si>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</si>
  <si>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</si>
  <si>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</si>
  <si>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</si>
  <si>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</si>
  <si>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</si>
  <si>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</si>
  <si>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</si>
  <si>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</si>
  <si>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</si>
  <si>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</si>
  <si>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</si>
  <si>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</si>
  <si>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</si>
  <si>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</si>
  <si>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</si>
  <si>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</si>
  <si>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</si>
  <si>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</si>
  <si>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</si>
  <si>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</si>
  <si>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</si>
  <si>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</si>
  <si>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</si>
  <si>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</si>
  <si>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</si>
  <si>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</si>
  <si>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</si>
  <si>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</si>
  <si>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</si>
  <si>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</si>
  <si>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</si>
  <si>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</si>
  <si>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</si>
  <si>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</si>
  <si>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</si>
  <si>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</si>
  <si>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</si>
  <si>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</si>
  <si>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</si>
  <si>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</si>
  <si>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</si>
  <si>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</si>
  <si>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</si>
  <si>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</si>
  <si>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</si>
  <si>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</si>
  <si>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</si>
  <si>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</si>
  <si>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</si>
  <si>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</si>
  <si>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</si>
  <si>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</si>
  <si>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</si>
  <si>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</si>
  <si>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</si>
  <si>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</si>
  <si>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</si>
  <si>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</si>
  <si>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</si>
  <si>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</si>
  <si>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</si>
  <si>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</si>
  <si>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</si>
  <si>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</si>
  <si>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</si>
  <si>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</si>
  <si>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</si>
  <si>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</si>
  <si>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</si>
  <si>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</si>
  <si>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</si>
  <si>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</si>
  <si>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</si>
  <si>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</si>
  <si>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</si>
  <si>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</si>
  <si>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</si>
  <si>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</si>
  <si>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</si>
  <si>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</si>
  <si>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</si>
  <si>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</si>
  <si>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</si>
  <si>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</si>
  <si>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</si>
  <si>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</si>
  <si>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</si>
  <si>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</si>
  <si>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</si>
  <si>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</si>
  <si>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</si>
  <si>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</si>
  <si>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</si>
  <si>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</si>
  <si>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</si>
  <si>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</si>
  <si>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</si>
  <si>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</si>
  <si>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</si>
  <si>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</si>
  <si>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</si>
  <si>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</si>
  <si>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</si>
  <si>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</si>
  <si>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</si>
  <si>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</si>
  <si>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</si>
  <si>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</si>
  <si>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</si>
  <si>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</si>
  <si>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</si>
  <si>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</si>
  <si>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</si>
  <si>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</si>
  <si>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</si>
  <si>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</si>
  <si>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</si>
  <si>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</si>
  <si>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</si>
  <si>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</si>
  <si>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</si>
  <si>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</si>
  <si>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</si>
  <si>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</si>
  <si>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</si>
  <si>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</si>
  <si>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</si>
  <si>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</si>
  <si>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</si>
  <si>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</si>
  <si>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</si>
  <si>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</si>
  <si>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</si>
  <si>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</si>
  <si>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</si>
  <si>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</si>
  <si>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</si>
  <si>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</si>
  <si>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</si>
  <si>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</si>
  <si>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</si>
  <si>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</si>
  <si>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</si>
  <si>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</si>
  <si>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</si>
  <si>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</si>
  <si>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</si>
  <si>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</si>
  <si>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</si>
  <si>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</si>
  <si>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</si>
  <si>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</si>
  <si>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</si>
  <si>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</si>
  <si>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</si>
  <si>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</si>
  <si>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</si>
  <si>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</si>
  <si>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</si>
  <si>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</si>
  <si>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</si>
  <si>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</si>
  <si>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</si>
  <si>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</si>
  <si>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</si>
  <si>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</si>
  <si>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</si>
  <si>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</si>
  <si>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</si>
  <si>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</si>
  <si>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</si>
  <si>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</si>
  <si>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</si>
  <si>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</si>
  <si>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</si>
  <si>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</si>
  <si>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</si>
  <si>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</si>
  <si>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</si>
  <si>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</si>
  <si>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</si>
  <si>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</si>
  <si>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</si>
  <si>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</si>
  <si>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</si>
  <si>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</si>
  <si>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</si>
  <si>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</si>
  <si>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</si>
  <si>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</si>
  <si>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</si>
  <si>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</si>
  <si>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</si>
  <si>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</si>
  <si>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</si>
  <si>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</si>
  <si>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</si>
  <si>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</si>
  <si>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</si>
  <si>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</si>
  <si>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</si>
  <si>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</si>
  <si>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</si>
  <si>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</si>
  <si>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</si>
  <si>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</si>
  <si>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</si>
  <si>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</si>
  <si>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</si>
  <si>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</si>
  <si>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</si>
  <si>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</si>
  <si>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</si>
  <si>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</si>
  <si>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</si>
  <si>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</si>
  <si>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</si>
  <si>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</si>
  <si>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</si>
  <si>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</si>
  <si>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</si>
  <si>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</si>
  <si>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</si>
  <si>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</si>
  <si>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</si>
  <si>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</si>
  <si>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</si>
  <si>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</si>
  <si>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</si>
  <si>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</si>
  <si>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</si>
  <si>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</si>
  <si>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</si>
  <si>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</si>
  <si>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</si>
  <si>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</si>
  <si>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</si>
  <si>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</si>
  <si>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</si>
  <si>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</si>
  <si>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</si>
  <si>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</si>
  <si>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</si>
  <si>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</si>
  <si>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</si>
  <si>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</si>
  <si>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</si>
  <si>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</si>
  <si>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</si>
  <si>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</si>
  <si>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</si>
  <si>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</si>
  <si>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</si>
  <si>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</si>
  <si>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</si>
  <si>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</si>
  <si>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</si>
  <si>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</si>
  <si>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</si>
  <si>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</si>
  <si>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</si>
  <si>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</si>
  <si>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</si>
  <si>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</si>
  <si>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</si>
  <si>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</si>
  <si>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</si>
  <si>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</si>
  <si>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</si>
  <si>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</si>
  <si>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</si>
  <si>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</si>
  <si>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</si>
  <si>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</si>
  <si>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</si>
  <si>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</si>
  <si>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</si>
  <si>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</si>
  <si>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</si>
  <si>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</si>
  <si>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</si>
  <si>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</si>
  <si>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</si>
  <si>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</si>
  <si>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</si>
  <si>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</si>
  <si>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</si>
  <si>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</si>
  <si>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</si>
  <si>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</si>
  <si>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</si>
  <si>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</si>
  <si>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</si>
  <si>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</si>
  <si>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</si>
  <si>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</si>
  <si>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</si>
  <si>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</si>
  <si>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</si>
  <si>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</si>
  <si>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</si>
  <si>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</si>
  <si>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</si>
  <si>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</si>
  <si>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</si>
  <si>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</si>
  <si>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</si>
  <si>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</si>
  <si>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</si>
  <si>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</si>
  <si>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</si>
  <si>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</si>
  <si>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</si>
  <si>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</si>
  <si>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</si>
  <si>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</si>
  <si>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</si>
  <si>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</si>
  <si>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</si>
  <si>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</si>
  <si>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</si>
  <si>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</si>
  <si>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</si>
  <si>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</si>
  <si>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</si>
  <si>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</si>
  <si>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</si>
  <si>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</si>
  <si>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</si>
  <si>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</si>
  <si>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</si>
  <si>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</si>
  <si>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</si>
  <si>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</si>
  <si>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</si>
  <si>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</si>
  <si>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</si>
  <si>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</si>
  <si>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</si>
  <si>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</si>
  <si>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</si>
  <si>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</si>
  <si>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</si>
  <si>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</si>
  <si>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</si>
  <si>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</si>
  <si>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</si>
  <si>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</si>
  <si>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</si>
  <si>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</si>
  <si>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</si>
  <si>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</si>
  <si>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</si>
  <si>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</si>
  <si>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</si>
  <si>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</si>
  <si>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</si>
  <si>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</si>
  <si>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</si>
  <si>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</si>
  <si>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</si>
  <si>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</si>
  <si>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</si>
  <si>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</si>
  <si>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</si>
  <si>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</si>
  <si>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</si>
  <si>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</si>
  <si>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</si>
  <si>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</si>
  <si>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</si>
  <si>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</si>
  <si>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</si>
  <si>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</si>
  <si>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</si>
  <si>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</si>
  <si>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</si>
  <si>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</si>
  <si>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</si>
  <si>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</si>
  <si>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</si>
  <si>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</si>
  <si>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</si>
  <si>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</si>
  <si>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</si>
  <si>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</si>
  <si>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</si>
  <si>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</si>
  <si>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</si>
  <si>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11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</si>
  <si>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</si>
  <si>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</si>
  <si>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</si>
  <si>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PPC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</si>
</sst>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27" fillId="0" borderId="0" applyNumberForma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39" fillId="0" borderId="0"/>
    <xf numFmtId="0" fontId="43" fillId="0" borderId="0"/>
    <xf numFmtId="0" fontId="43" fillId="0" borderId="0"/>
    <xf numFmtId="0" fontId="43" fillId="0" borderId="0"/>
    <xf numFmtId="0" fontId="40" fillId="0" borderId="0">
      <alignment vertical="center"/>
    </xf>
    <xf numFmtId="0" fontId="29" fillId="0" borderId="0"/>
    <xf numFmtId="0" fontId="43" fillId="0" borderId="0"/>
    <xf numFmtId="9" fontId="40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0" fillId="0" borderId="0" applyFont="0" applyFill="0" applyBorder="0" applyAlignment="0" applyProtection="0">
      <alignment vertical="center"/>
    </xf>
    <xf numFmtId="0" fontId="24" fillId="0" borderId="0"/>
    <xf numFmtId="0" fontId="45" fillId="0" borderId="0">
      <alignment vertical="center"/>
    </xf>
    <xf numFmtId="9" fontId="45" fillId="0" borderId="0" applyFont="0" applyFill="0" applyBorder="0" applyAlignment="0" applyProtection="0">
      <alignment vertical="center"/>
    </xf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47" fillId="0" borderId="0" applyNumberFormat="0" applyFill="0" applyBorder="0" applyAlignment="0" applyProtection="0"/>
    <xf numFmtId="0" fontId="48" fillId="0" borderId="44" applyNumberFormat="0" applyFill="0" applyAlignment="0" applyProtection="0"/>
    <xf numFmtId="0" fontId="49" fillId="0" borderId="45" applyNumberFormat="0" applyFill="0" applyAlignment="0" applyProtection="0"/>
    <xf numFmtId="0" fontId="50" fillId="0" borderId="46" applyNumberFormat="0" applyFill="0" applyAlignment="0" applyProtection="0"/>
    <xf numFmtId="0" fontId="50" fillId="0" borderId="0" applyNumberFormat="0" applyFill="0" applyBorder="0" applyAlignment="0" applyProtection="0"/>
    <xf numFmtId="0" fontId="51" fillId="17" borderId="0" applyNumberFormat="0" applyBorder="0" applyAlignment="0" applyProtection="0"/>
    <xf numFmtId="0" fontId="52" fillId="18" borderId="0" applyNumberFormat="0" applyBorder="0" applyAlignment="0" applyProtection="0"/>
    <xf numFmtId="0" fontId="53" fillId="19" borderId="0" applyNumberFormat="0" applyBorder="0" applyAlignment="0" applyProtection="0"/>
    <xf numFmtId="0" fontId="54" fillId="20" borderId="47" applyNumberFormat="0" applyAlignment="0" applyProtection="0"/>
    <xf numFmtId="0" fontId="55" fillId="21" borderId="48" applyNumberFormat="0" applyAlignment="0" applyProtection="0"/>
    <xf numFmtId="0" fontId="56" fillId="21" borderId="47" applyNumberFormat="0" applyAlignment="0" applyProtection="0"/>
    <xf numFmtId="0" fontId="57" fillId="0" borderId="49" applyNumberFormat="0" applyFill="0" applyAlignment="0" applyProtection="0"/>
    <xf numFmtId="0" fontId="33" fillId="22" borderId="50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2" applyNumberFormat="0" applyFill="0" applyAlignment="0" applyProtection="0"/>
    <xf numFmtId="0" fontId="3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3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3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31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31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31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6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0" fontId="74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40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7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5" fillId="2" borderId="0" xfId="8" applyFont="1" applyFill="1" applyAlignment="1">
      <alignment horizontal="center" vertical="center" wrapText="1"/>
    </xf>
    <xf numFmtId="167" fontId="25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5" fillId="2" borderId="0" xfId="1" applyFont="1" applyFill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/>
    </xf>
    <xf numFmtId="10" fontId="0" fillId="0" borderId="0" xfId="2" applyNumberFormat="1" applyFont="1"/>
    <xf numFmtId="0" fontId="25" fillId="2" borderId="7" xfId="9" applyFont="1" applyFill="1" applyBorder="1" applyAlignment="1">
      <alignment horizontal="center" vertical="center" wrapText="1"/>
    </xf>
    <xf numFmtId="167" fontId="25" fillId="2" borderId="8" xfId="9" applyNumberFormat="1" applyFont="1" applyFill="1" applyBorder="1" applyAlignment="1">
      <alignment horizontal="center" vertical="center" wrapText="1"/>
    </xf>
    <xf numFmtId="0" fontId="25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5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5" fillId="2" borderId="14" xfId="8" applyFont="1" applyFill="1" applyBorder="1" applyAlignment="1">
      <alignment horizontal="center" vertical="center" wrapText="1"/>
    </xf>
    <xf numFmtId="0" fontId="25" fillId="2" borderId="15" xfId="8" applyFont="1" applyFill="1" applyBorder="1" applyAlignment="1">
      <alignment horizontal="center" vertical="center" wrapText="1"/>
    </xf>
    <xf numFmtId="167" fontId="25" fillId="2" borderId="15" xfId="8" applyNumberFormat="1" applyFont="1" applyFill="1" applyBorder="1" applyAlignment="1">
      <alignment horizontal="center" vertical="center" wrapText="1"/>
    </xf>
    <xf numFmtId="10" fontId="25" fillId="2" borderId="15" xfId="13" applyNumberFormat="1" applyFont="1" applyFill="1" applyBorder="1" applyAlignment="1">
      <alignment horizontal="center" vertical="center" wrapText="1"/>
    </xf>
    <xf numFmtId="10" fontId="25" fillId="2" borderId="16" xfId="13" applyNumberFormat="1" applyFont="1" applyFill="1" applyBorder="1" applyAlignment="1">
      <alignment horizontal="center" vertical="center" wrapText="1"/>
    </xf>
    <xf numFmtId="10" fontId="25" fillId="2" borderId="15" xfId="0" applyNumberFormat="1" applyFont="1" applyFill="1" applyBorder="1" applyAlignment="1">
      <alignment horizontal="center" vertical="center" wrapText="1"/>
    </xf>
    <xf numFmtId="43" fontId="26" fillId="0" borderId="0" xfId="1" applyFont="1" applyFill="1" applyAlignment="1">
      <alignment horizontal="center"/>
    </xf>
    <xf numFmtId="2" fontId="26" fillId="0" borderId="17" xfId="13" applyNumberFormat="1" applyFont="1" applyFill="1" applyBorder="1" applyAlignment="1">
      <alignment horizontal="center"/>
    </xf>
    <xf numFmtId="1" fontId="26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1" fillId="0" borderId="0" xfId="0" applyFont="1"/>
    <xf numFmtId="0" fontId="33" fillId="14" borderId="1" xfId="0" applyFont="1" applyFill="1" applyBorder="1" applyAlignment="1">
      <alignment vertical="center"/>
    </xf>
    <xf numFmtId="0" fontId="33" fillId="14" borderId="1" xfId="0" applyFont="1" applyFill="1" applyBorder="1" applyAlignment="1">
      <alignment horizontal="center" vertical="center" wrapText="1"/>
    </xf>
    <xf numFmtId="17" fontId="31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center" vertical="center"/>
    </xf>
    <xf numFmtId="0" fontId="35" fillId="15" borderId="24" xfId="0" applyFont="1" applyFill="1" applyBorder="1"/>
    <xf numFmtId="170" fontId="36" fillId="8" borderId="25" xfId="6" applyNumberFormat="1" applyFont="1" applyFill="1" applyBorder="1" applyAlignment="1">
      <alignment horizontal="left" vertical="center"/>
    </xf>
    <xf numFmtId="170" fontId="36" fillId="8" borderId="25" xfId="6" applyNumberFormat="1" applyFont="1" applyFill="1" applyBorder="1" applyAlignment="1">
      <alignment vertical="center"/>
    </xf>
    <xf numFmtId="170" fontId="36" fillId="8" borderId="26" xfId="6" applyNumberFormat="1" applyFont="1" applyFill="1" applyBorder="1" applyAlignment="1">
      <alignment vertical="center"/>
    </xf>
    <xf numFmtId="167" fontId="36" fillId="8" borderId="25" xfId="6" applyNumberFormat="1" applyFont="1" applyFill="1" applyBorder="1" applyAlignment="1">
      <alignment horizontal="left" vertical="center"/>
    </xf>
    <xf numFmtId="0" fontId="35" fillId="15" borderId="27" xfId="0" applyFont="1" applyFill="1" applyBorder="1"/>
    <xf numFmtId="167" fontId="36" fillId="8" borderId="28" xfId="6" applyNumberFormat="1" applyFont="1" applyFill="1" applyBorder="1" applyAlignment="1">
      <alignment horizontal="left" vertical="center"/>
    </xf>
    <xf numFmtId="170" fontId="36" fillId="8" borderId="29" xfId="6" applyNumberFormat="1" applyFont="1" applyFill="1" applyBorder="1" applyAlignment="1">
      <alignment vertical="center"/>
    </xf>
    <xf numFmtId="170" fontId="36" fillId="8" borderId="30" xfId="6" applyNumberFormat="1" applyFont="1" applyFill="1" applyBorder="1" applyAlignment="1">
      <alignment vertical="center"/>
    </xf>
    <xf numFmtId="0" fontId="37" fillId="8" borderId="31" xfId="0" applyFont="1" applyFill="1" applyBorder="1"/>
    <xf numFmtId="167" fontId="38" fillId="8" borderId="31" xfId="6" applyNumberFormat="1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center" vertical="center" wrapText="1"/>
    </xf>
    <xf numFmtId="0" fontId="35" fillId="15" borderId="33" xfId="0" applyFont="1" applyFill="1" applyBorder="1" applyAlignment="1">
      <alignment horizontal="center" vertical="center" wrapText="1"/>
    </xf>
    <xf numFmtId="0" fontId="35" fillId="15" borderId="34" xfId="0" applyFont="1" applyFill="1" applyBorder="1" applyAlignment="1">
      <alignment horizontal="center" vertical="center" wrapText="1"/>
    </xf>
    <xf numFmtId="0" fontId="37" fillId="8" borderId="36" xfId="0" applyFont="1" applyFill="1" applyBorder="1"/>
    <xf numFmtId="1" fontId="36" fillId="8" borderId="36" xfId="2" applyNumberFormat="1" applyFont="1" applyFill="1" applyBorder="1" applyAlignment="1">
      <alignment horizontal="center" vertical="center"/>
    </xf>
    <xf numFmtId="10" fontId="37" fillId="8" borderId="36" xfId="15" applyNumberFormat="1" applyFont="1" applyFill="1" applyBorder="1" applyAlignment="1">
      <alignment horizontal="center"/>
    </xf>
    <xf numFmtId="0" fontId="37" fillId="8" borderId="39" xfId="0" applyFont="1" applyFill="1" applyBorder="1"/>
    <xf numFmtId="1" fontId="36" fillId="8" borderId="39" xfId="2" applyNumberFormat="1" applyFont="1" applyFill="1" applyBorder="1" applyAlignment="1">
      <alignment horizontal="center" vertical="center"/>
    </xf>
    <xf numFmtId="1" fontId="37" fillId="8" borderId="39" xfId="2" applyNumberFormat="1" applyFont="1" applyFill="1" applyBorder="1" applyAlignment="1">
      <alignment horizontal="center"/>
    </xf>
    <xf numFmtId="10" fontId="37" fillId="8" borderId="39" xfId="15" applyNumberFormat="1" applyFont="1" applyFill="1" applyBorder="1" applyAlignment="1">
      <alignment horizontal="center"/>
    </xf>
    <xf numFmtId="0" fontId="37" fillId="8" borderId="40" xfId="0" applyFont="1" applyFill="1" applyBorder="1"/>
    <xf numFmtId="0" fontId="37" fillId="8" borderId="42" xfId="0" applyFont="1" applyFill="1" applyBorder="1"/>
    <xf numFmtId="1" fontId="36" fillId="8" borderId="42" xfId="2" applyNumberFormat="1" applyFont="1" applyFill="1" applyBorder="1" applyAlignment="1">
      <alignment horizontal="center" vertical="center"/>
    </xf>
    <xf numFmtId="1" fontId="37" fillId="8" borderId="42" xfId="2" applyNumberFormat="1" applyFont="1" applyFill="1" applyBorder="1" applyAlignment="1">
      <alignment horizontal="center"/>
    </xf>
    <xf numFmtId="10" fontId="37" fillId="8" borderId="42" xfId="15" applyNumberFormat="1" applyFont="1" applyFill="1" applyBorder="1" applyAlignment="1">
      <alignment horizontal="center"/>
    </xf>
    <xf numFmtId="165" fontId="36" fillId="8" borderId="36" xfId="2" applyNumberFormat="1" applyFont="1" applyFill="1" applyBorder="1" applyAlignment="1">
      <alignment horizontal="center" vertical="center"/>
    </xf>
    <xf numFmtId="165" fontId="37" fillId="8" borderId="36" xfId="2" applyNumberFormat="1" applyFont="1" applyFill="1" applyBorder="1" applyAlignment="1">
      <alignment horizontal="center"/>
    </xf>
    <xf numFmtId="165" fontId="36" fillId="8" borderId="39" xfId="2" applyNumberFormat="1" applyFont="1" applyFill="1" applyBorder="1" applyAlignment="1">
      <alignment horizontal="center" vertical="center"/>
    </xf>
    <xf numFmtId="165" fontId="37" fillId="8" borderId="39" xfId="2" applyNumberFormat="1" applyFont="1" applyFill="1" applyBorder="1" applyAlignment="1">
      <alignment horizontal="center"/>
    </xf>
    <xf numFmtId="165" fontId="36" fillId="8" borderId="42" xfId="2" applyNumberFormat="1" applyFont="1" applyFill="1" applyBorder="1" applyAlignment="1">
      <alignment horizontal="center" vertical="center"/>
    </xf>
    <xf numFmtId="165" fontId="37" fillId="8" borderId="42" xfId="2" applyNumberFormat="1" applyFont="1" applyFill="1" applyBorder="1" applyAlignment="1">
      <alignment horizontal="center"/>
    </xf>
    <xf numFmtId="0" fontId="61" fillId="2" borderId="10" xfId="8" applyFont="1" applyFill="1" applyBorder="1" applyAlignment="1">
      <alignment horizontal="center" vertical="center" wrapText="1"/>
    </xf>
    <xf numFmtId="167" fontId="61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2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5" fillId="2" borderId="0" xfId="8" applyFont="1" applyFill="1" applyAlignment="1">
      <alignment vertical="center" wrapText="1"/>
    </xf>
    <xf numFmtId="2" fontId="0" fillId="0" borderId="0" xfId="0" applyNumberFormat="1"/>
    <xf numFmtId="1" fontId="36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1" fillId="14" borderId="1" xfId="0" applyNumberFormat="1" applyFont="1" applyFill="1" applyBorder="1" applyAlignment="1">
      <alignment horizontal="center" vertical="center"/>
    </xf>
    <xf numFmtId="0" fontId="43" fillId="8" borderId="0" xfId="5" applyFill="1" applyAlignment="1">
      <alignment horizontal="center"/>
    </xf>
    <xf numFmtId="0" fontId="43" fillId="8" borderId="0" xfId="5" applyFill="1"/>
    <xf numFmtId="0" fontId="43" fillId="8" borderId="0" xfId="5" applyFill="1" applyAlignment="1">
      <alignment horizontal="right"/>
    </xf>
    <xf numFmtId="171" fontId="30" fillId="10" borderId="19" xfId="10" applyNumberFormat="1" applyFont="1" applyFill="1" applyBorder="1" applyAlignment="1">
      <alignment horizontal="center" vertical="center"/>
    </xf>
    <xf numFmtId="172" fontId="44" fillId="10" borderId="19" xfId="0" applyNumberFormat="1" applyFont="1" applyFill="1" applyBorder="1" applyAlignment="1">
      <alignment horizontal="center" vertical="center"/>
    </xf>
    <xf numFmtId="1" fontId="66" fillId="7" borderId="19" xfId="0" applyNumberFormat="1" applyFont="1" applyFill="1" applyBorder="1" applyAlignment="1">
      <alignment horizontal="center"/>
    </xf>
    <xf numFmtId="166" fontId="66" fillId="8" borderId="18" xfId="0" applyNumberFormat="1" applyFont="1" applyFill="1" applyBorder="1" applyAlignment="1">
      <alignment horizontal="center"/>
    </xf>
    <xf numFmtId="169" fontId="26" fillId="10" borderId="19" xfId="0" applyNumberFormat="1" applyFont="1" applyFill="1" applyBorder="1" applyAlignment="1">
      <alignment horizontal="center"/>
    </xf>
    <xf numFmtId="0" fontId="26" fillId="8" borderId="19" xfId="0" applyFont="1" applyFill="1" applyBorder="1" applyAlignment="1">
      <alignment horizontal="center"/>
    </xf>
    <xf numFmtId="170" fontId="26" fillId="8" borderId="19" xfId="0" applyNumberFormat="1" applyFont="1" applyFill="1" applyBorder="1" applyAlignment="1">
      <alignment horizontal="center"/>
    </xf>
    <xf numFmtId="1" fontId="26" fillId="0" borderId="19" xfId="13" applyNumberFormat="1" applyFont="1" applyFill="1" applyBorder="1" applyAlignment="1">
      <alignment horizontal="center"/>
    </xf>
    <xf numFmtId="1" fontId="26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6" fillId="7" borderId="15" xfId="0" applyNumberFormat="1" applyFont="1" applyFill="1" applyBorder="1" applyAlignment="1">
      <alignment horizontal="center"/>
    </xf>
    <xf numFmtId="172" fontId="30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7" fillId="8" borderId="38" xfId="0" applyFont="1" applyFill="1" applyBorder="1" applyAlignment="1">
      <alignment horizontal="center" vertical="center"/>
    </xf>
    <xf numFmtId="2" fontId="44" fillId="10" borderId="19" xfId="0" applyNumberFormat="1" applyFont="1" applyFill="1" applyBorder="1" applyAlignment="1">
      <alignment horizontal="center" vertical="center"/>
    </xf>
    <xf numFmtId="2" fontId="30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1" fillId="8" borderId="0" xfId="0" applyFont="1" applyFill="1" applyAlignment="1">
      <alignment horizontal="center"/>
    </xf>
    <xf numFmtId="0" fontId="25" fillId="2" borderId="7" xfId="8" applyFont="1" applyFill="1" applyBorder="1" applyAlignment="1">
      <alignment horizontal="center" vertical="center" wrapText="1"/>
    </xf>
    <xf numFmtId="0" fontId="25" fillId="2" borderId="8" xfId="8" applyFont="1" applyFill="1" applyBorder="1" applyAlignment="1">
      <alignment horizontal="center" vertical="center" wrapText="1"/>
    </xf>
    <xf numFmtId="0" fontId="25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8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8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5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5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4" fillId="0" borderId="10" xfId="0" applyNumberFormat="1" applyFont="1" applyBorder="1" applyAlignment="1">
      <alignment horizontal="center"/>
    </xf>
    <xf numFmtId="165" fontId="64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2" fillId="0" borderId="0" xfId="4491" applyFont="1"/>
    <xf numFmtId="0" fontId="13" fillId="0" borderId="0" xfId="4491"/>
    <xf numFmtId="0" fontId="60" fillId="53" borderId="1" xfId="4491" applyFont="1" applyFill="1" applyBorder="1" applyAlignment="1">
      <alignment horizontal="center" vertical="center" wrapText="1"/>
    </xf>
    <xf numFmtId="0" fontId="60" fillId="0" borderId="0" xfId="4491" applyFont="1" applyAlignment="1">
      <alignment vertical="center"/>
    </xf>
    <xf numFmtId="171" fontId="13" fillId="8" borderId="1" xfId="4491" applyNumberFormat="1" applyFill="1" applyBorder="1" applyAlignment="1">
      <alignment horizontal="center" vertical="center"/>
    </xf>
    <xf numFmtId="0" fontId="13" fillId="8" borderId="1" xfId="4491" applyFill="1" applyBorder="1" applyAlignment="1">
      <alignment horizontal="center" vertical="center"/>
    </xf>
    <xf numFmtId="164" fontId="13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3" fillId="8" borderId="1" xfId="4491" applyNumberFormat="1" applyFill="1" applyBorder="1" applyAlignment="1">
      <alignment horizontal="center" vertical="center"/>
    </xf>
    <xf numFmtId="1" fontId="13" fillId="54" borderId="1" xfId="4491" applyNumberFormat="1" applyFill="1" applyBorder="1" applyAlignment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/>
    </xf>
    <xf numFmtId="10" fontId="26" fillId="8" borderId="1" xfId="4492" applyNumberFormat="1" applyFont="1" applyFill="1" applyBorder="1" applyAlignment="1" applyProtection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 wrapText="1"/>
    </xf>
    <xf numFmtId="173" fontId="13" fillId="0" borderId="1" xfId="4491" applyNumberFormat="1" applyBorder="1" applyAlignment="1">
      <alignment horizontal="center" vertical="center"/>
    </xf>
    <xf numFmtId="2" fontId="13" fillId="8" borderId="1" xfId="4491" applyNumberFormat="1" applyFill="1" applyBorder="1" applyAlignment="1">
      <alignment horizontal="center" vertical="center"/>
    </xf>
    <xf numFmtId="1" fontId="60" fillId="0" borderId="0" xfId="4491" applyNumberFormat="1" applyFont="1"/>
    <xf numFmtId="1" fontId="26" fillId="8" borderId="1" xfId="4491" applyNumberFormat="1" applyFont="1" applyFill="1" applyBorder="1" applyAlignment="1">
      <alignment horizontal="center"/>
    </xf>
    <xf numFmtId="0" fontId="13" fillId="0" borderId="0" xfId="4491" applyAlignment="1">
      <alignment horizontal="center" vertical="center"/>
    </xf>
    <xf numFmtId="0" fontId="60" fillId="0" borderId="4" xfId="4491" applyFont="1" applyBorder="1" applyAlignment="1">
      <alignment horizontal="left" vertical="center" wrapText="1"/>
    </xf>
    <xf numFmtId="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1" applyNumberFormat="1" applyFont="1" applyFill="1" applyBorder="1" applyAlignment="1">
      <alignment horizontal="center" vertical="center"/>
    </xf>
    <xf numFmtId="1" fontId="60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3" fillId="55" borderId="1" xfId="4491" applyNumberFormat="1" applyFill="1" applyBorder="1" applyAlignment="1">
      <alignment horizontal="center" vertical="center"/>
    </xf>
    <xf numFmtId="10" fontId="60" fillId="55" borderId="1" xfId="4492" applyNumberFormat="1" applyFont="1" applyFill="1" applyBorder="1" applyAlignment="1">
      <alignment horizontal="center" vertical="center"/>
    </xf>
    <xf numFmtId="0" fontId="60" fillId="55" borderId="1" xfId="4491" applyFont="1" applyFill="1" applyBorder="1" applyAlignment="1">
      <alignment horizontal="center" vertical="center"/>
    </xf>
    <xf numFmtId="1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2" applyNumberFormat="1" applyFont="1" applyFill="1" applyBorder="1" applyAlignment="1" applyProtection="1">
      <alignment horizontal="center" vertical="center"/>
    </xf>
    <xf numFmtId="0" fontId="60" fillId="0" borderId="0" xfId="4491" applyFont="1"/>
    <xf numFmtId="1" fontId="13" fillId="0" borderId="0" xfId="4491" applyNumberFormat="1"/>
    <xf numFmtId="9" fontId="0" fillId="0" borderId="0" xfId="4492" applyFont="1" applyProtection="1"/>
    <xf numFmtId="2" fontId="13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6" fillId="8" borderId="36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/>
    </xf>
    <xf numFmtId="2" fontId="36" fillId="8" borderId="42" xfId="2" applyNumberFormat="1" applyFont="1" applyFill="1" applyBorder="1" applyAlignment="1">
      <alignment horizontal="center" vertical="center"/>
    </xf>
    <xf numFmtId="2" fontId="37" fillId="8" borderId="42" xfId="2" applyNumberFormat="1" applyFont="1" applyFill="1" applyBorder="1" applyAlignment="1">
      <alignment horizontal="center"/>
    </xf>
    <xf numFmtId="1" fontId="66" fillId="0" borderId="19" xfId="0" applyNumberFormat="1" applyFont="1" applyBorder="1" applyAlignment="1">
      <alignment horizontal="center"/>
    </xf>
    <xf numFmtId="10" fontId="66" fillId="0" borderId="19" xfId="0" applyNumberFormat="1" applyFont="1" applyBorder="1" applyAlignment="1">
      <alignment horizontal="center"/>
    </xf>
    <xf numFmtId="2" fontId="66" fillId="0" borderId="0" xfId="0" applyNumberFormat="1" applyFont="1" applyAlignment="1">
      <alignment horizontal="center"/>
    </xf>
    <xf numFmtId="43" fontId="66" fillId="0" borderId="0" xfId="0" applyNumberFormat="1" applyFont="1" applyAlignment="1">
      <alignment horizontal="center"/>
    </xf>
    <xf numFmtId="1" fontId="43" fillId="8" borderId="0" xfId="5" applyNumberFormat="1" applyFill="1"/>
    <xf numFmtId="0" fontId="0" fillId="16" borderId="55" xfId="0" applyFill="1" applyBorder="1" applyAlignment="1">
      <alignment horizontal="center"/>
    </xf>
    <xf numFmtId="167" fontId="25" fillId="0" borderId="66" xfId="4493" applyNumberFormat="1" applyFont="1" applyBorder="1" applyAlignment="1">
      <alignment horizontal="center" vertical="center" wrapText="1"/>
    </xf>
    <xf numFmtId="0" fontId="25" fillId="0" borderId="66" xfId="4493" applyFont="1" applyBorder="1" applyAlignment="1">
      <alignment horizontal="center" vertical="center" wrapText="1"/>
    </xf>
    <xf numFmtId="0" fontId="33" fillId="0" borderId="66" xfId="4494" applyFont="1" applyBorder="1" applyAlignment="1">
      <alignment horizontal="center" vertical="center" wrapText="1"/>
    </xf>
    <xf numFmtId="9" fontId="33" fillId="0" borderId="66" xfId="4495" applyFont="1" applyFill="1" applyBorder="1" applyAlignment="1">
      <alignment horizontal="center" vertical="center" wrapText="1"/>
    </xf>
    <xf numFmtId="0" fontId="74" fillId="0" borderId="0" xfId="4494"/>
    <xf numFmtId="15" fontId="74" fillId="0" borderId="0" xfId="4494" applyNumberFormat="1" applyAlignment="1">
      <alignment horizontal="center" vertical="center"/>
    </xf>
    <xf numFmtId="1" fontId="74" fillId="0" borderId="0" xfId="4494" applyNumberFormat="1" applyAlignment="1">
      <alignment horizontal="center" vertical="center"/>
    </xf>
    <xf numFmtId="0" fontId="74" fillId="0" borderId="0" xfId="4494" applyAlignment="1">
      <alignment horizontal="center" vertical="center"/>
    </xf>
    <xf numFmtId="17" fontId="74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4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4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3" fillId="0" borderId="63" xfId="4494" applyFont="1" applyBorder="1" applyAlignment="1">
      <alignment horizontal="center" vertical="center" wrapText="1"/>
    </xf>
    <xf numFmtId="2" fontId="74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4" fillId="0" borderId="67" xfId="4494" applyBorder="1" applyAlignment="1">
      <alignment horizontal="center" vertical="center"/>
    </xf>
    <xf numFmtId="2" fontId="74" fillId="0" borderId="68" xfId="4494" applyNumberFormat="1" applyBorder="1" applyAlignment="1">
      <alignment horizontal="center" vertical="center"/>
    </xf>
    <xf numFmtId="164" fontId="74" fillId="0" borderId="67" xfId="4494" applyNumberFormat="1" applyBorder="1" applyAlignment="1">
      <alignment horizontal="center" vertical="center"/>
    </xf>
    <xf numFmtId="1" fontId="74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4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4" fillId="0" borderId="68" xfId="4494" applyBorder="1" applyAlignment="1">
      <alignment horizontal="center" vertical="center"/>
    </xf>
    <xf numFmtId="164" fontId="74" fillId="0" borderId="68" xfId="4494" applyNumberFormat="1" applyBorder="1" applyAlignment="1">
      <alignment horizontal="center" vertical="center"/>
    </xf>
    <xf numFmtId="1" fontId="74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3" fillId="0" borderId="63" xfId="0" applyFont="1" applyBorder="1" applyAlignment="1">
      <alignment horizontal="center" vertical="center" wrapText="1"/>
    </xf>
    <xf numFmtId="0" fontId="26" fillId="0" borderId="63" xfId="2" applyNumberFormat="1" applyFont="1" applyFill="1" applyBorder="1" applyAlignment="1">
      <alignment horizontal="center" vertical="center"/>
    </xf>
    <xf numFmtId="164" fontId="26" fillId="0" borderId="63" xfId="2" applyNumberFormat="1" applyFont="1" applyFill="1" applyBorder="1" applyAlignment="1">
      <alignment horizontal="center" vertical="center"/>
    </xf>
    <xf numFmtId="1" fontId="26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6" fillId="8" borderId="25" xfId="6" applyNumberFormat="1" applyFont="1" applyFill="1" applyBorder="1" applyAlignment="1" applyProtection="1">
      <alignment horizontal="left" vertical="center"/>
      <protection locked="0"/>
    </xf>
    <xf numFmtId="167" fontId="36" fillId="8" borderId="25" xfId="6" applyNumberFormat="1" applyFont="1" applyFill="1" applyBorder="1" applyAlignment="1" applyProtection="1">
      <alignment horizontal="left" vertical="center"/>
      <protection locked="0"/>
    </xf>
    <xf numFmtId="1" fontId="37" fillId="8" borderId="37" xfId="0" applyNumberFormat="1" applyFont="1" applyFill="1" applyBorder="1" applyProtection="1">
      <protection locked="0"/>
    </xf>
    <xf numFmtId="0" fontId="37" fillId="8" borderId="40" xfId="0" applyFont="1" applyFill="1" applyBorder="1" applyProtection="1">
      <protection locked="0"/>
    </xf>
    <xf numFmtId="0" fontId="37" fillId="8" borderId="43" xfId="0" applyFont="1" applyFill="1" applyBorder="1" applyProtection="1">
      <protection locked="0"/>
    </xf>
    <xf numFmtId="0" fontId="33" fillId="56" borderId="64" xfId="0" applyFont="1" applyFill="1" applyBorder="1" applyAlignment="1">
      <alignment horizontal="center" vertical="center" wrapText="1"/>
    </xf>
    <xf numFmtId="0" fontId="33" fillId="56" borderId="65" xfId="0" applyFont="1" applyFill="1" applyBorder="1" applyAlignment="1">
      <alignment horizontal="center" vertical="center" wrapText="1"/>
    </xf>
    <xf numFmtId="1" fontId="66" fillId="9" borderId="15" xfId="13" applyNumberFormat="1" applyFont="1" applyFill="1" applyBorder="1" applyAlignment="1">
      <alignment horizontal="center"/>
    </xf>
    <xf numFmtId="166" fontId="66" fillId="8" borderId="14" xfId="0" applyNumberFormat="1" applyFont="1" applyFill="1" applyBorder="1" applyAlignment="1">
      <alignment horizontal="center"/>
    </xf>
    <xf numFmtId="2" fontId="66" fillId="0" borderId="19" xfId="13" applyNumberFormat="1" applyFont="1" applyFill="1" applyBorder="1" applyAlignment="1">
      <alignment horizontal="center"/>
    </xf>
    <xf numFmtId="1" fontId="66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2" fillId="16" borderId="73" xfId="0" applyNumberFormat="1" applyFont="1" applyFill="1" applyBorder="1" applyAlignment="1">
      <alignment horizontal="center"/>
    </xf>
    <xf numFmtId="165" fontId="76" fillId="0" borderId="10" xfId="0" applyNumberFormat="1" applyFont="1" applyBorder="1" applyAlignment="1">
      <alignment horizontal="center"/>
    </xf>
    <xf numFmtId="165" fontId="76" fillId="0" borderId="11" xfId="0" applyNumberFormat="1" applyFont="1" applyBorder="1" applyAlignment="1">
      <alignment horizontal="center"/>
    </xf>
    <xf numFmtId="169" fontId="77" fillId="50" borderId="10" xfId="0" applyNumberFormat="1" applyFont="1" applyFill="1" applyBorder="1" applyAlignment="1">
      <alignment horizontal="center"/>
    </xf>
    <xf numFmtId="166" fontId="77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7" fillId="50" borderId="11" xfId="0" applyNumberFormat="1" applyFont="1" applyFill="1" applyBorder="1" applyAlignment="1">
      <alignment horizontal="center"/>
    </xf>
    <xf numFmtId="166" fontId="77" fillId="8" borderId="60" xfId="0" applyNumberFormat="1" applyFont="1" applyFill="1" applyBorder="1" applyAlignment="1">
      <alignment horizontal="center"/>
    </xf>
    <xf numFmtId="0" fontId="78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1" fillId="0" borderId="0" xfId="1" applyFont="1" applyBorder="1" applyAlignment="1">
      <alignment horizontal="center"/>
    </xf>
    <xf numFmtId="0" fontId="11" fillId="5" borderId="10" xfId="0" applyFont="1" applyFill="1" applyBorder="1" applyAlignment="1">
      <alignment horizontal="left"/>
    </xf>
    <xf numFmtId="0" fontId="11" fillId="5" borderId="10" xfId="0" applyFont="1" applyFill="1" applyBorder="1"/>
    <xf numFmtId="172" fontId="79" fillId="10" borderId="19" xfId="0" applyNumberFormat="1" applyFont="1" applyFill="1" applyBorder="1" applyAlignment="1">
      <alignment horizontal="center" vertical="center"/>
    </xf>
    <xf numFmtId="166" fontId="80" fillId="8" borderId="18" xfId="0" applyNumberFormat="1" applyFont="1" applyFill="1" applyBorder="1" applyAlignment="1">
      <alignment horizontal="center"/>
    </xf>
    <xf numFmtId="166" fontId="80" fillId="8" borderId="14" xfId="0" applyNumberFormat="1" applyFont="1" applyFill="1" applyBorder="1" applyAlignment="1">
      <alignment horizontal="center"/>
    </xf>
    <xf numFmtId="1" fontId="80" fillId="0" borderId="19" xfId="13" applyNumberFormat="1" applyFont="1" applyFill="1" applyBorder="1" applyAlignment="1">
      <alignment horizontal="center"/>
    </xf>
    <xf numFmtId="2" fontId="79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1" fillId="8" borderId="1" xfId="4492" applyNumberFormat="1" applyFont="1" applyFill="1" applyBorder="1" applyAlignment="1" applyProtection="1">
      <alignment horizontal="center" vertical="center"/>
    </xf>
    <xf numFmtId="15" fontId="11" fillId="5" borderId="10" xfId="0" applyNumberFormat="1" applyFont="1" applyFill="1" applyBorder="1"/>
    <xf numFmtId="169" fontId="28" fillId="50" borderId="11" xfId="0" applyNumberFormat="1" applyFont="1" applyFill="1" applyBorder="1" applyAlignment="1">
      <alignment horizontal="center"/>
    </xf>
    <xf numFmtId="166" fontId="28" fillId="8" borderId="60" xfId="0" applyNumberFormat="1" applyFont="1" applyFill="1" applyBorder="1" applyAlignment="1">
      <alignment horizontal="center"/>
    </xf>
    <xf numFmtId="0" fontId="11" fillId="5" borderId="11" xfId="0" applyFont="1" applyFill="1" applyBorder="1" applyAlignment="1">
      <alignment horizontal="left"/>
    </xf>
    <xf numFmtId="0" fontId="11" fillId="5" borderId="0" xfId="0" applyFont="1" applyFill="1"/>
    <xf numFmtId="0" fontId="11" fillId="5" borderId="11" xfId="0" applyFont="1" applyFill="1" applyBorder="1"/>
    <xf numFmtId="43" fontId="11" fillId="49" borderId="0" xfId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0" xfId="1" applyFont="1" applyAlignment="1">
      <alignment horizontal="center"/>
    </xf>
    <xf numFmtId="0" fontId="11" fillId="16" borderId="53" xfId="0" applyFont="1" applyFill="1" applyBorder="1" applyAlignment="1">
      <alignment horizontal="center"/>
    </xf>
    <xf numFmtId="0" fontId="11" fillId="16" borderId="56" xfId="0" applyFont="1" applyFill="1" applyBorder="1" applyAlignment="1">
      <alignment horizontal="center"/>
    </xf>
    <xf numFmtId="0" fontId="11" fillId="4" borderId="1" xfId="0" applyFont="1" applyFill="1" applyBorder="1"/>
    <xf numFmtId="0" fontId="11" fillId="0" borderId="0" xfId="0" applyFont="1"/>
    <xf numFmtId="0" fontId="60" fillId="0" borderId="74" xfId="0" applyFont="1" applyBorder="1" applyAlignment="1">
      <alignment horizontal="center" vertical="center" wrapText="1"/>
    </xf>
    <xf numFmtId="0" fontId="60" fillId="0" borderId="2" xfId="0" applyFont="1" applyBorder="1" applyAlignment="1">
      <alignment horizontal="center" vertical="center" wrapText="1"/>
    </xf>
    <xf numFmtId="0" fontId="60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8" fillId="5" borderId="10" xfId="0" applyFont="1" applyFill="1" applyBorder="1"/>
    <xf numFmtId="0" fontId="7" fillId="5" borderId="10" xfId="0" applyFont="1" applyFill="1" applyBorder="1"/>
    <xf numFmtId="0" fontId="7" fillId="5" borderId="10" xfId="0" applyFont="1" applyFill="1" applyBorder="1" applyAlignment="1">
      <alignment horizontal="left"/>
    </xf>
    <xf numFmtId="0" fontId="6" fillId="5" borderId="10" xfId="0" applyFont="1" applyFill="1" applyBorder="1"/>
    <xf numFmtId="0" fontId="6" fillId="0" borderId="1" xfId="0" applyFont="1" applyBorder="1"/>
    <xf numFmtId="0" fontId="5" fillId="0" borderId="1" xfId="0" applyFont="1" applyBorder="1"/>
    <xf numFmtId="0" fontId="5" fillId="5" borderId="10" xfId="0" applyFont="1" applyFill="1" applyBorder="1"/>
    <xf numFmtId="0" fontId="5" fillId="5" borderId="1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1" xfId="0" applyFont="1" applyFill="1" applyBorder="1" applyAlignment="1">
      <alignment horizontal="left"/>
    </xf>
    <xf numFmtId="0" fontId="5" fillId="5" borderId="11" xfId="0" applyFont="1" applyFill="1" applyBorder="1"/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165" fontId="81" fillId="0" borderId="10" xfId="0" applyNumberFormat="1" applyFont="1" applyBorder="1" applyAlignment="1">
      <alignment horizontal="center"/>
    </xf>
    <xf numFmtId="165" fontId="81" fillId="0" borderId="11" xfId="0" applyNumberFormat="1" applyFon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2" fillId="10" borderId="19" xfId="0" applyNumberFormat="1" applyFont="1" applyFill="1" applyBorder="1" applyAlignment="1">
      <alignment horizontal="center" vertical="center"/>
    </xf>
    <xf numFmtId="1" fontId="83" fillId="7" borderId="19" xfId="0" applyNumberFormat="1" applyFont="1" applyFill="1" applyBorder="1" applyAlignment="1">
      <alignment horizontal="center"/>
    </xf>
    <xf numFmtId="1" fontId="83" fillId="7" borderId="15" xfId="0" applyNumberFormat="1" applyFont="1" applyFill="1" applyBorder="1" applyAlignment="1">
      <alignment horizontal="center"/>
    </xf>
    <xf numFmtId="166" fontId="83" fillId="8" borderId="18" xfId="0" applyNumberFormat="1" applyFont="1" applyFill="1" applyBorder="1" applyAlignment="1">
      <alignment horizontal="center"/>
    </xf>
    <xf numFmtId="166" fontId="83" fillId="8" borderId="14" xfId="0" applyNumberFormat="1" applyFont="1" applyFill="1" applyBorder="1" applyAlignment="1">
      <alignment horizontal="center"/>
    </xf>
    <xf numFmtId="1" fontId="83" fillId="0" borderId="19" xfId="13" applyNumberFormat="1" applyFont="1" applyFill="1" applyBorder="1" applyAlignment="1">
      <alignment horizontal="center"/>
    </xf>
    <xf numFmtId="2" fontId="82" fillId="10" borderId="19" xfId="0" applyNumberFormat="1" applyFont="1" applyFill="1" applyBorder="1" applyAlignment="1">
      <alignment horizontal="center" vertical="center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/>
    <xf numFmtId="0" fontId="1" fillId="5" borderId="11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43" fontId="84" fillId="0" borderId="0" xfId="1" applyFont="1" applyBorder="1" applyAlignment="1">
      <alignment horizontal="center"/>
    </xf>
    <xf numFmtId="165" fontId="85" fillId="0" borderId="10" xfId="0" applyNumberFormat="1" applyFont="1" applyBorder="1" applyAlignment="1">
      <alignment horizontal="center"/>
    </xf>
    <xf numFmtId="165" fontId="85" fillId="0" borderId="11" xfId="0" applyNumberFormat="1" applyFont="1" applyBorder="1" applyAlignment="1">
      <alignment horizontal="center"/>
    </xf>
    <xf numFmtId="0" fontId="34" fillId="15" borderId="21" xfId="0" applyFont="1" applyFill="1" applyBorder="1" applyAlignment="1">
      <alignment horizontal="center" vertical="center"/>
    </xf>
    <xf numFmtId="0" fontId="34" fillId="15" borderId="22" xfId="0" applyFont="1" applyFill="1" applyBorder="1" applyAlignment="1">
      <alignment horizontal="center" vertical="center"/>
    </xf>
    <xf numFmtId="0" fontId="34" fillId="15" borderId="23" xfId="0" applyFont="1" applyFill="1" applyBorder="1" applyAlignment="1">
      <alignment horizontal="center" vertical="center"/>
    </xf>
    <xf numFmtId="0" fontId="37" fillId="8" borderId="35" xfId="0" applyFont="1" applyFill="1" applyBorder="1" applyAlignment="1">
      <alignment horizontal="center" vertical="center"/>
    </xf>
    <xf numFmtId="0" fontId="37" fillId="8" borderId="38" xfId="0" applyFont="1" applyFill="1" applyBorder="1" applyAlignment="1">
      <alignment horizontal="center" vertical="center"/>
    </xf>
    <xf numFmtId="0" fontId="37" fillId="8" borderId="41" xfId="0" applyFont="1" applyFill="1" applyBorder="1" applyAlignment="1">
      <alignment horizontal="center" vertical="center"/>
    </xf>
    <xf numFmtId="0" fontId="71" fillId="51" borderId="62" xfId="4491" applyFont="1" applyFill="1" applyBorder="1" applyAlignment="1">
      <alignment horizontal="center" wrapText="1"/>
    </xf>
    <xf numFmtId="0" fontId="71" fillId="51" borderId="3" xfId="4491" applyFont="1" applyFill="1" applyBorder="1" applyAlignment="1">
      <alignment horizontal="center" wrapText="1"/>
    </xf>
    <xf numFmtId="0" fontId="71" fillId="51" borderId="1" xfId="4491" applyFont="1" applyFill="1" applyBorder="1" applyAlignment="1">
      <alignment horizontal="center" wrapText="1"/>
    </xf>
    <xf numFmtId="0" fontId="60" fillId="3" borderId="1" xfId="4491" applyFont="1" applyFill="1" applyBorder="1" applyAlignment="1">
      <alignment horizontal="center" vertical="center" wrapText="1"/>
    </xf>
    <xf numFmtId="0" fontId="60" fillId="52" borderId="1" xfId="4491" applyFont="1" applyFill="1" applyBorder="1" applyAlignment="1">
      <alignment horizontal="center" vertical="center" wrapText="1"/>
    </xf>
    <xf numFmtId="0" fontId="60" fillId="53" borderId="1" xfId="4491" applyFont="1" applyFill="1" applyBorder="1" applyAlignment="1">
      <alignment horizontal="center" vertical="center"/>
    </xf>
    <xf numFmtId="0" fontId="60" fillId="53" borderId="1" xfId="4491" applyFont="1" applyFill="1" applyBorder="1" applyAlignment="1">
      <alignment horizontal="center" vertical="center" wrapText="1"/>
    </xf>
    <xf numFmtId="0" fontId="60" fillId="53" borderId="5" xfId="4491" applyFont="1" applyFill="1" applyBorder="1" applyAlignment="1">
      <alignment horizontal="center" vertical="center" wrapText="1"/>
    </xf>
    <xf numFmtId="0" fontId="60" fillId="53" borderId="2" xfId="4491" applyFont="1" applyFill="1" applyBorder="1" applyAlignment="1">
      <alignment horizontal="center" vertical="center" wrapText="1"/>
    </xf>
    <xf numFmtId="0" fontId="32" fillId="13" borderId="3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7.349237731483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076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6460"/>
    </cacheField>
    <cacheField name="IS20_Inv1_M1" numFmtId="1">
      <sharedItems containsString="0" containsBlank="1" containsNumber="1" containsInteger="1" minValue="0" maxValue="8010"/>
    </cacheField>
    <cacheField name="IS20_Inv1_M2" numFmtId="1">
      <sharedItems containsString="0" containsBlank="1" containsNumber="1" containsInteger="1" minValue="0" maxValue="3682"/>
    </cacheField>
    <cacheField name="IS20_Inv2_M1" numFmtId="1">
      <sharedItems containsString="0" containsBlank="1" containsNumber="1" containsInteger="1" minValue="0" maxValue="2697"/>
    </cacheField>
    <cacheField name="IS20_Inv2_M2" numFmtId="1">
      <sharedItems containsString="0" containsBlank="1" containsNumber="1" containsInteger="1" minValue="0" maxValue="8093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2482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14.35500000000002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8.13999999999999"/>
    </cacheField>
    <cacheField name="33 kV_Wind_F4_Ex" numFmtId="169">
      <sharedItems containsString="0" containsBlank="1" containsNumber="1" minValue="204.91200000000001" maxValue="395.01900000000001"/>
    </cacheField>
    <cacheField name="33 kV_Solar_F1_Ex" numFmtId="169">
      <sharedItems containsString="0" containsBlank="1" containsNumber="1" minValue="151.25700000000001" maxValue="237.63"/>
    </cacheField>
    <cacheField name="33kV_Solar_F2_Ex" numFmtId="169">
      <sharedItems containsString="0" containsBlank="1" containsNumber="1" minValue="261.38499999999999" maxValue="338.007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9.36699999999999"/>
    </cacheField>
    <cacheField name="33kV_OG1_Ex" numFmtId="169">
      <sharedItems containsString="0" containsBlank="1" containsNumber="1" containsInteger="1" minValue="172960" maxValue="227002"/>
    </cacheField>
    <cacheField name="33kV_OG2_Ex" numFmtId="169">
      <sharedItems containsString="0" containsBlank="1" containsNumber="1" containsInteger="1" minValue="237651" maxValue="322492"/>
    </cacheField>
    <cacheField name="220kV_TX1_Ex" numFmtId="169">
      <sharedItems containsString="0" containsBlank="1" containsNumber="1" minValue="101.821" maxValue="168.625"/>
    </cacheField>
    <cacheField name="220kV_Tx2_Ex" numFmtId="169">
      <sharedItems containsString="0" containsBlank="1" containsNumber="1" minValue="56.494" maxValue="161.279"/>
    </cacheField>
    <cacheField name="220kV_TL_TVM_Ex" numFmtId="169">
      <sharedItems containsString="0" containsBlank="1" containsNumber="1" minValue="254.61799999999999" maxValue="340.79"/>
    </cacheField>
    <cacheField name="220kV_C&amp;R_PQM_Ex" numFmtId="169">
      <sharedItems containsString="0" containsBlank="1" containsNumber="1" minValue="79.673000000000002" maxValue="165.938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3.53899999999999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m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m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16" totalsRowShown="0">
  <autoFilter ref="A1:AN1116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83" t="s">
        <v>0</v>
      </c>
      <c r="B3" s="384"/>
      <c r="C3" s="384"/>
      <c r="D3" s="384"/>
      <c r="E3" s="384"/>
      <c r="F3" s="38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45866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8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639.44999999999652</v>
      </c>
      <c r="E11" s="92">
        <f>D11/C11-1</f>
        <v>-0.12752696942386166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87"/>
      <c r="B12" s="93" t="s">
        <v>16</v>
      </c>
      <c r="C12" s="94">
        <f>MonthlyKPI!E4</f>
        <v>20521.665853873539</v>
      </c>
      <c r="D12" s="95">
        <f>MonthlyKPI!F4</f>
        <v>14780.474999999997</v>
      </c>
      <c r="E12" s="96">
        <f>D12/C12-1</f>
        <v>-0.27976241766892773</v>
      </c>
      <c r="F12" s="284"/>
    </row>
    <row r="13" spans="1:9" ht="15" thickBot="1">
      <c r="A13" s="388"/>
      <c r="B13" s="98" t="s">
        <v>17</v>
      </c>
      <c r="C13" s="99">
        <f>AnnualKPI!E4</f>
        <v>101606.31141659626</v>
      </c>
      <c r="D13" s="100">
        <f>AnnualKPI!F4</f>
        <v>74630.699999999968</v>
      </c>
      <c r="E13" s="101">
        <f>D13/C13-1</f>
        <v>-0.26549149398794258</v>
      </c>
      <c r="F13" s="285"/>
    </row>
    <row r="14" spans="1:9">
      <c r="A14" s="38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4.9806934494983359</v>
      </c>
      <c r="E14" s="92">
        <f t="shared" ref="E14:E25" si="0">(D14-C14)/(C14)</f>
        <v>9.3495020782212598E-2</v>
      </c>
      <c r="F14" s="283"/>
    </row>
    <row r="15" spans="1:9">
      <c r="A15" s="387"/>
      <c r="B15" s="93" t="s">
        <v>19</v>
      </c>
      <c r="C15" s="223">
        <f>MonthlyKPI!C4</f>
        <v>127.53548387096774</v>
      </c>
      <c r="D15" s="224">
        <f>MonthlyKPI!D4</f>
        <v>106.1832723607867</v>
      </c>
      <c r="E15" s="96">
        <f t="shared" si="0"/>
        <v>-0.16742173128683027</v>
      </c>
      <c r="F15" s="284"/>
    </row>
    <row r="16" spans="1:9" ht="15" thickBot="1">
      <c r="A16" s="388"/>
      <c r="B16" s="98" t="s">
        <v>20</v>
      </c>
      <c r="C16" s="225">
        <f>AnnualKPI!C4</f>
        <v>679.83548387096778</v>
      </c>
      <c r="D16" s="226">
        <f>AnnualKPI!D4</f>
        <v>595.19015060208278</v>
      </c>
      <c r="E16" s="101">
        <f t="shared" si="0"/>
        <v>-0.12450855431510635</v>
      </c>
      <c r="F16" s="285"/>
    </row>
    <row r="17" spans="1:6">
      <c r="A17" s="38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0.74422199955695578</v>
      </c>
      <c r="E17" s="92">
        <f t="shared" si="0"/>
        <v>-0.1008809760488719</v>
      </c>
      <c r="F17" s="283"/>
    </row>
    <row r="18" spans="1:6">
      <c r="A18" s="387"/>
      <c r="B18" s="93" t="s">
        <v>22</v>
      </c>
      <c r="C18" s="104">
        <f>MonthlyKPI!M4</f>
        <v>0.82772356020954141</v>
      </c>
      <c r="D18" s="105">
        <f>MonthlyKPI!N4</f>
        <v>0.80689683264734691</v>
      </c>
      <c r="E18" s="96">
        <f t="shared" si="0"/>
        <v>-2.5161453126841208E-2</v>
      </c>
      <c r="F18" s="284"/>
    </row>
    <row r="19" spans="1:6" ht="15" thickBot="1">
      <c r="A19" s="388"/>
      <c r="B19" s="98" t="s">
        <v>23</v>
      </c>
      <c r="C19" s="106">
        <f>AnnualKPI!M4</f>
        <v>0.82772356020954152</v>
      </c>
      <c r="D19" s="107">
        <f>AnnualKPI!N4</f>
        <v>0.78496764229028626</v>
      </c>
      <c r="E19" s="101">
        <f t="shared" si="0"/>
        <v>-5.165482774035262E-2</v>
      </c>
      <c r="F19" s="285"/>
    </row>
    <row r="20" spans="1:6">
      <c r="A20" s="38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0.99719617324535081</v>
      </c>
      <c r="E20" s="92">
        <f>(D20-C20)/(C20)</f>
        <v>2.2072092918098678E-3</v>
      </c>
      <c r="F20" s="283"/>
    </row>
    <row r="21" spans="1:6">
      <c r="A21" s="387"/>
      <c r="B21" s="93" t="s">
        <v>25</v>
      </c>
      <c r="C21" s="104">
        <f>_xlfn.XLOOKUP($B$4,'Modelling New'!$D:$D,'Modelling New'!AE:AE)</f>
        <v>0.995</v>
      </c>
      <c r="D21" s="105">
        <f>MonthlyKPI!L4</f>
        <v>0.97481005827052969</v>
      </c>
      <c r="E21" s="96">
        <f>(D21-C21)/(C21)</f>
        <v>-2.0291398723085736E-2</v>
      </c>
      <c r="F21" s="284"/>
    </row>
    <row r="22" spans="1:6" ht="15" thickBot="1">
      <c r="A22" s="388"/>
      <c r="B22" s="98" t="s">
        <v>26</v>
      </c>
      <c r="C22" s="104">
        <f>_xlfn.XLOOKUP($B$4,'Modelling New'!$D:$D,'Modelling New'!AE:AE)</f>
        <v>0.995</v>
      </c>
      <c r="D22" s="107">
        <f>AnnualKPI!L4</f>
        <v>0.97841315752479308</v>
      </c>
      <c r="E22" s="101">
        <f t="shared" si="0"/>
        <v>-1.6670193442419014E-2</v>
      </c>
      <c r="F22" s="285"/>
    </row>
    <row r="23" spans="1:6">
      <c r="A23" s="38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0.9431367803209797</v>
      </c>
      <c r="E23" s="92">
        <f t="shared" si="0"/>
        <v>-5.2123838873387236E-2</v>
      </c>
      <c r="F23" s="283"/>
    </row>
    <row r="24" spans="1:6">
      <c r="A24" s="387"/>
      <c r="B24" s="93" t="s">
        <v>28</v>
      </c>
      <c r="C24" s="104">
        <f>_xlfn.XLOOKUP($B$4,'Modelling New'!$D:$D,'Modelling New'!AF:AF)</f>
        <v>0.995</v>
      </c>
      <c r="D24" s="105">
        <f>MonthlyKPI!J4</f>
        <v>0.99796917072574931</v>
      </c>
      <c r="E24" s="96">
        <f t="shared" si="0"/>
        <v>2.9840911816576029E-3</v>
      </c>
      <c r="F24" s="284"/>
    </row>
    <row r="25" spans="1:6" ht="15" thickBot="1">
      <c r="A25" s="388"/>
      <c r="B25" s="98" t="s">
        <v>29</v>
      </c>
      <c r="C25" s="104">
        <f>_xlfn.XLOOKUP($B$4,'Modelling New'!$D:$D,'Modelling New'!AF:AF)</f>
        <v>0.995</v>
      </c>
      <c r="D25" s="107">
        <f>AnnualKPI!J4</f>
        <v>0.98223533132214369</v>
      </c>
      <c r="E25" s="101">
        <f t="shared" si="0"/>
        <v>-1.2828812741564126E-2</v>
      </c>
      <c r="F25" s="285"/>
    </row>
    <row r="26" spans="1:6">
      <c r="A26" s="38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0.13705632716049307</v>
      </c>
      <c r="E26" s="92">
        <f t="shared" ref="E26:E28" si="1">(D26-C26)/(C26)</f>
        <v>-0.12752696942386174</v>
      </c>
      <c r="F26" s="283"/>
    </row>
    <row r="27" spans="1:6">
      <c r="A27" s="387"/>
      <c r="B27" s="93" t="s">
        <v>31</v>
      </c>
      <c r="C27" s="104">
        <f>MonthlyKPI!G4</f>
        <v>0.15708947137310114</v>
      </c>
      <c r="D27" s="105">
        <f>MonthlyKPI!H4</f>
        <v>0.11314174107142853</v>
      </c>
      <c r="E27" s="96">
        <f t="shared" si="1"/>
        <v>-0.27976241766892784</v>
      </c>
      <c r="F27" s="284"/>
    </row>
    <row r="28" spans="1:6" ht="15" thickBot="1">
      <c r="A28" s="388"/>
      <c r="B28" s="98" t="s">
        <v>32</v>
      </c>
      <c r="C28" s="106">
        <f>AnnualKPI!G4</f>
        <v>0.18300637639731146</v>
      </c>
      <c r="D28" s="107">
        <f>AnnualKPI!H4</f>
        <v>0.13441974011826946</v>
      </c>
      <c r="E28" s="101">
        <f t="shared" si="1"/>
        <v>-0.26549149398794275</v>
      </c>
      <c r="F28" s="285"/>
    </row>
    <row r="30" spans="1:6" ht="15" thickBot="1"/>
    <row r="31" spans="1:6" ht="15.5">
      <c r="A31" s="383" t="s">
        <v>0</v>
      </c>
      <c r="B31" s="384"/>
      <c r="C31" s="384"/>
      <c r="D31" s="384"/>
      <c r="E31" s="384"/>
      <c r="F31" s="38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45866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441846.03368311457</v>
      </c>
      <c r="D39" s="94">
        <f>SUMIFS(RD[O2R4_P1],RD[Month Year],$B$32)</f>
        <v>396402</v>
      </c>
      <c r="E39" s="96">
        <f>D39/C39-1</f>
        <v>-0.10285038275506253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3276251.7565128589</v>
      </c>
      <c r="D40" s="94">
        <f>SUMIFS(RD[O2R8],RD[Month Year],$B$32)</f>
        <v>2865257</v>
      </c>
      <c r="E40" s="96">
        <f t="shared" ref="E40:E44" si="2">D40/C40-1</f>
        <v>-0.12544663446447379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2482548.3551212368</v>
      </c>
      <c r="D41" s="94">
        <f>SUMIFS(RD[O2R16],RD[Month Year],$B$32)</f>
        <v>2284072</v>
      </c>
      <c r="E41" s="96">
        <f t="shared" si="2"/>
        <v>-7.9948636131014661E-2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447876.9121308091</v>
      </c>
      <c r="D42" s="94">
        <f>SUMIFS(RD[O2R4_P2],RD[Month Year],$B$32)</f>
        <v>399892</v>
      </c>
      <c r="E42" s="96">
        <f t="shared" si="2"/>
        <v>-0.10713861516664736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5016407.2087246431</v>
      </c>
      <c r="D43" s="94">
        <f>SUMIFS(RD[O2R22],RD[Month Year],$B$32)</f>
        <v>4305921</v>
      </c>
      <c r="E43" s="96">
        <f t="shared" si="2"/>
        <v>-0.14163248300276543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2408973.3270853614</v>
      </c>
      <c r="D44" s="94">
        <f>SUMIFS(RD[O2R23],RD[Month Year],$B$32)</f>
        <v>2047184</v>
      </c>
      <c r="E44" s="96">
        <f t="shared" si="2"/>
        <v>-0.15018403193492125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186690.15464287734</v>
      </c>
      <c r="D45" s="94">
        <f>SUMIFS(RD[O2R4_P3],RD[Month Year],$B$32)</f>
        <v>158558</v>
      </c>
      <c r="E45" s="96">
        <f t="shared" ref="E45:E46" si="3">D45/C45-1</f>
        <v>-0.15068901033743209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1336019.5629970348</v>
      </c>
      <c r="D46" s="94">
        <f>SUMIFS(RD[O2R13],RD[Month Year],$B$32)</f>
        <v>1154814</v>
      </c>
      <c r="E46" s="96">
        <f t="shared" si="3"/>
        <v>-0.13563092039651292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1959534.0659080637</v>
      </c>
      <c r="D47" s="94">
        <f>SUMIFS(RD[O2R22_P2],RD[Month Year],$B$32)</f>
        <v>1267785</v>
      </c>
      <c r="E47" s="96">
        <f t="shared" ref="E47" si="4">D47/C47-1</f>
        <v>-0.35301711664170621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6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3" sqref="A33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9"/>
      <c r="B1" s="391" t="s">
        <v>43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Z1" s="391"/>
      <c r="AA1" s="391"/>
    </row>
    <row r="2" spans="1:29" s="184" customFormat="1" ht="19.5" customHeight="1">
      <c r="A2" s="390"/>
      <c r="B2" s="391" t="s">
        <v>44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</row>
    <row r="3" spans="1:29" ht="24" customHeight="1">
      <c r="A3" s="392" t="s">
        <v>45</v>
      </c>
      <c r="B3" s="392" t="s">
        <v>46</v>
      </c>
      <c r="C3" s="392" t="s">
        <v>47</v>
      </c>
      <c r="D3" s="392" t="s">
        <v>48</v>
      </c>
      <c r="E3" s="392" t="s">
        <v>49</v>
      </c>
      <c r="F3" s="392" t="s">
        <v>50</v>
      </c>
      <c r="G3" s="393" t="s">
        <v>51</v>
      </c>
      <c r="H3" s="393" t="s">
        <v>52</v>
      </c>
      <c r="I3" s="393" t="s">
        <v>53</v>
      </c>
      <c r="J3" s="393" t="s">
        <v>54</v>
      </c>
      <c r="K3" s="393" t="s">
        <v>55</v>
      </c>
      <c r="L3" s="393" t="s">
        <v>56</v>
      </c>
      <c r="M3" s="393" t="s">
        <v>57</v>
      </c>
      <c r="N3" s="393" t="s">
        <v>58</v>
      </c>
      <c r="O3" s="393" t="s">
        <v>59</v>
      </c>
      <c r="P3" s="393" t="s">
        <v>60</v>
      </c>
      <c r="Q3" s="393" t="s">
        <v>61</v>
      </c>
      <c r="R3" s="393" t="s">
        <v>62</v>
      </c>
      <c r="S3" s="393" t="s">
        <v>63</v>
      </c>
      <c r="T3" s="394" t="s">
        <v>64</v>
      </c>
      <c r="U3" s="394"/>
      <c r="V3" s="394"/>
      <c r="W3" s="394"/>
      <c r="X3" s="394"/>
      <c r="Y3" s="394"/>
      <c r="Z3" s="394"/>
      <c r="AA3" s="394"/>
    </row>
    <row r="4" spans="1:29" s="187" customFormat="1" ht="27.75" customHeight="1">
      <c r="A4" s="392"/>
      <c r="B4" s="392"/>
      <c r="C4" s="392"/>
      <c r="D4" s="392"/>
      <c r="E4" s="392"/>
      <c r="F4" s="392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5" t="s">
        <v>65</v>
      </c>
      <c r="U4" s="395"/>
      <c r="V4" s="396" t="s">
        <v>66</v>
      </c>
      <c r="W4" s="396" t="s">
        <v>67</v>
      </c>
      <c r="X4" s="396" t="s">
        <v>68</v>
      </c>
      <c r="Y4" s="396" t="s">
        <v>69</v>
      </c>
      <c r="Z4" s="396" t="s">
        <v>70</v>
      </c>
      <c r="AA4" s="396" t="s">
        <v>71</v>
      </c>
    </row>
    <row r="5" spans="1:29" s="187" customFormat="1" ht="14.25" customHeight="1">
      <c r="A5" s="392"/>
      <c r="B5" s="392"/>
      <c r="C5" s="392"/>
      <c r="D5" s="392"/>
      <c r="E5" s="392"/>
      <c r="F5" s="392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393"/>
      <c r="R5" s="393"/>
      <c r="S5" s="393"/>
      <c r="T5" s="186" t="s">
        <v>72</v>
      </c>
      <c r="U5" s="186" t="s">
        <v>73</v>
      </c>
      <c r="V5" s="397"/>
      <c r="W5" s="397"/>
      <c r="X5" s="397"/>
      <c r="Y5" s="397"/>
      <c r="Z5" s="397"/>
      <c r="AA5" s="397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4.0719956968011157</v>
      </c>
      <c r="H32" s="192">
        <f t="shared" si="12"/>
        <v>160165.53156292849</v>
      </c>
      <c r="I32" s="190">
        <v>149400.00000000032</v>
      </c>
      <c r="J32" s="193">
        <v>450</v>
      </c>
      <c r="K32" s="192">
        <f t="shared" si="2"/>
        <v>148950.00000000032</v>
      </c>
      <c r="L32" s="192">
        <f t="shared" si="3"/>
        <v>1281</v>
      </c>
      <c r="M32" s="191">
        <f t="shared" ref="M32:M34" si="13">IFERROR(I32/(B32*G32),0)</f>
        <v>0.77208809341552631</v>
      </c>
      <c r="N32" s="191">
        <f t="shared" ref="N32:N34" si="14">IFERROR((I32+L32)/(B32*G32),0)</f>
        <v>0.7787082061843702</v>
      </c>
      <c r="O32" s="191">
        <f t="shared" ref="O32:O34" si="15">IFERROR(I32/(24*1*B32),0)</f>
        <v>0.13099747474747503</v>
      </c>
      <c r="P32" s="191">
        <f t="shared" ref="P32:P34" si="16">IFERROR((I32+L32)/(24*1*B32),0)</f>
        <v>0.1321206860269363</v>
      </c>
      <c r="Q32" s="194">
        <f t="shared" ref="Q32:Q34" si="17">(I32+L32)-H32</f>
        <v>-9484.5315629281686</v>
      </c>
      <c r="R32" s="195">
        <f t="shared" ref="R32:R34" si="18">N32-E32</f>
        <v>-4.9015354025171209E-2</v>
      </c>
      <c r="S32" s="196"/>
      <c r="T32" s="197">
        <v>0.57291666666666663</v>
      </c>
      <c r="U32" s="197">
        <v>0.57777777777777772</v>
      </c>
      <c r="V32" s="192">
        <f t="shared" si="10"/>
        <v>6.9999999999999751</v>
      </c>
      <c r="W32" s="198">
        <v>0.11</v>
      </c>
      <c r="X32" s="321">
        <f t="shared" si="11"/>
        <v>0.82772356020954141</v>
      </c>
      <c r="Y32" s="198"/>
      <c r="Z32" s="192">
        <v>1281</v>
      </c>
      <c r="AA32" s="196" t="s">
        <v>1940</v>
      </c>
      <c r="AC32" s="199"/>
    </row>
    <row r="33" spans="1:29" ht="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4.7087515002327711</v>
      </c>
      <c r="H33" s="192">
        <f t="shared" si="12"/>
        <v>185211.31729706601</v>
      </c>
      <c r="I33" s="190">
        <v>178874.99999999718</v>
      </c>
      <c r="J33" s="193">
        <v>225</v>
      </c>
      <c r="K33" s="192">
        <f t="shared" si="2"/>
        <v>178649.99999999718</v>
      </c>
      <c r="L33" s="192">
        <f t="shared" si="3"/>
        <v>9063</v>
      </c>
      <c r="M33" s="191">
        <f t="shared" si="13"/>
        <v>0.79940607298312671</v>
      </c>
      <c r="N33" s="191">
        <f t="shared" si="14"/>
        <v>0.83990931401427249</v>
      </c>
      <c r="O33" s="191">
        <f t="shared" si="15"/>
        <v>0.15684185606060358</v>
      </c>
      <c r="P33" s="191">
        <f t="shared" si="16"/>
        <v>0.16478851010100762</v>
      </c>
      <c r="Q33" s="194">
        <f t="shared" si="17"/>
        <v>2726.682702931168</v>
      </c>
      <c r="R33" s="195">
        <f t="shared" si="18"/>
        <v>1.2185753804731081E-2</v>
      </c>
      <c r="S33" s="196"/>
      <c r="T33" s="197">
        <v>0.43402777777777773</v>
      </c>
      <c r="U33" s="197">
        <v>0.44722222222222219</v>
      </c>
      <c r="V33" s="192">
        <f t="shared" si="10"/>
        <v>19.000000000000014</v>
      </c>
      <c r="W33" s="198">
        <v>0.27</v>
      </c>
      <c r="X33" s="321">
        <f t="shared" si="11"/>
        <v>0.82772356020954141</v>
      </c>
      <c r="Y33" s="198"/>
      <c r="Z33" s="192">
        <v>9063</v>
      </c>
      <c r="AA33" s="196" t="s">
        <v>1956</v>
      </c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103.43424303094123</v>
      </c>
      <c r="H37" s="207">
        <f>IFERROR(D37*(G37/C37),0)</f>
        <v>4068422.8939323896</v>
      </c>
      <c r="I37" s="205">
        <f>SUM(I6:I36)</f>
        <v>4160699.9999999981</v>
      </c>
      <c r="J37" s="205">
        <f>SUM(J6:J36)</f>
        <v>9675</v>
      </c>
      <c r="K37" s="205">
        <f>SUM(K6:K36)</f>
        <v>4151024.9999999981</v>
      </c>
      <c r="L37" s="205">
        <f>SUM(L6:L36)</f>
        <v>10344</v>
      </c>
      <c r="M37" s="206">
        <f>IFERROR(I37/(B37*G37),0)</f>
        <v>0.84649740372370175</v>
      </c>
      <c r="N37" s="206">
        <f>IFERROR((I37+L37)/(B37*G37),0)</f>
        <v>0.84860189795402785</v>
      </c>
      <c r="O37" s="206">
        <f>IFERROR(AVERAGEIF(O6:O36,"&lt;&gt;0"),0)</f>
        <v>0.13029288419913412</v>
      </c>
      <c r="P37" s="206">
        <f>IFERROR(AVERAGEIF(P6:P36,"&lt;&gt;0"),0)</f>
        <v>0.13061680796055788</v>
      </c>
      <c r="Q37" s="205">
        <f>(I37+L37)-H37</f>
        <v>102621.10606760858</v>
      </c>
      <c r="R37" s="208">
        <f>N37-E37</f>
        <v>2.0878337744486553E-2</v>
      </c>
      <c r="S37" s="209"/>
      <c r="T37" s="209"/>
      <c r="U37" s="209"/>
      <c r="V37" s="205">
        <f>SUM(V6:V36)</f>
        <v>25.999999999999989</v>
      </c>
      <c r="W37" s="204"/>
      <c r="X37" s="210"/>
      <c r="Y37" s="211"/>
      <c r="Z37" s="205">
        <f>SUM(Z6:Z36)</f>
        <v>10344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3" sqref="A33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9"/>
      <c r="B1" s="391" t="s">
        <v>43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Z1" s="391"/>
      <c r="AA1" s="391"/>
    </row>
    <row r="2" spans="1:29" s="184" customFormat="1" ht="19.5" customHeight="1">
      <c r="A2" s="390"/>
      <c r="B2" s="391" t="s">
        <v>1827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</row>
    <row r="3" spans="1:29" ht="24" customHeight="1">
      <c r="A3" s="392" t="s">
        <v>45</v>
      </c>
      <c r="B3" s="392" t="s">
        <v>46</v>
      </c>
      <c r="C3" s="392" t="s">
        <v>47</v>
      </c>
      <c r="D3" s="392" t="s">
        <v>48</v>
      </c>
      <c r="E3" s="392" t="s">
        <v>49</v>
      </c>
      <c r="F3" s="392" t="s">
        <v>50</v>
      </c>
      <c r="G3" s="393" t="s">
        <v>51</v>
      </c>
      <c r="H3" s="393" t="s">
        <v>52</v>
      </c>
      <c r="I3" s="393" t="s">
        <v>53</v>
      </c>
      <c r="J3" s="393" t="s">
        <v>54</v>
      </c>
      <c r="K3" s="393" t="s">
        <v>55</v>
      </c>
      <c r="L3" s="393" t="s">
        <v>56</v>
      </c>
      <c r="M3" s="393" t="s">
        <v>57</v>
      </c>
      <c r="N3" s="393" t="s">
        <v>58</v>
      </c>
      <c r="O3" s="393" t="s">
        <v>59</v>
      </c>
      <c r="P3" s="393" t="s">
        <v>60</v>
      </c>
      <c r="Q3" s="393" t="s">
        <v>61</v>
      </c>
      <c r="R3" s="393" t="s">
        <v>62</v>
      </c>
      <c r="S3" s="393" t="s">
        <v>63</v>
      </c>
      <c r="T3" s="394" t="s">
        <v>64</v>
      </c>
      <c r="U3" s="394"/>
      <c r="V3" s="394"/>
      <c r="W3" s="394"/>
      <c r="X3" s="394"/>
      <c r="Y3" s="394"/>
      <c r="Z3" s="394"/>
      <c r="AA3" s="394"/>
    </row>
    <row r="4" spans="1:29" s="187" customFormat="1" ht="27.75" customHeight="1">
      <c r="A4" s="392"/>
      <c r="B4" s="392"/>
      <c r="C4" s="392"/>
      <c r="D4" s="392"/>
      <c r="E4" s="392"/>
      <c r="F4" s="392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5" t="s">
        <v>65</v>
      </c>
      <c r="U4" s="395"/>
      <c r="V4" s="396" t="s">
        <v>66</v>
      </c>
      <c r="W4" s="396" t="s">
        <v>67</v>
      </c>
      <c r="X4" s="396" t="s">
        <v>68</v>
      </c>
      <c r="Y4" s="396" t="s">
        <v>69</v>
      </c>
      <c r="Z4" s="396" t="s">
        <v>70</v>
      </c>
      <c r="AA4" s="396" t="s">
        <v>71</v>
      </c>
    </row>
    <row r="5" spans="1:29" s="187" customFormat="1" ht="14.25" customHeight="1">
      <c r="A5" s="392"/>
      <c r="B5" s="392"/>
      <c r="C5" s="392"/>
      <c r="D5" s="392"/>
      <c r="E5" s="392"/>
      <c r="F5" s="392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393"/>
      <c r="R5" s="393"/>
      <c r="S5" s="393"/>
      <c r="T5" s="186" t="s">
        <v>72</v>
      </c>
      <c r="U5" s="186" t="s">
        <v>73</v>
      </c>
      <c r="V5" s="397"/>
      <c r="W5" s="397"/>
      <c r="X5" s="397"/>
      <c r="Y5" s="397"/>
      <c r="Z5" s="397"/>
      <c r="AA5" s="397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1910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1910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1914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1914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1914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1914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1931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1932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1932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1932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1932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1932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1932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1932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1932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4.0719956968011157</v>
      </c>
      <c r="H32" s="192">
        <f t="shared" si="13"/>
        <v>62556.234549830668</v>
      </c>
      <c r="I32" s="190">
        <f>SUM(Input_Raw!CN125:CZ125)</f>
        <v>61814</v>
      </c>
      <c r="J32" s="193">
        <f t="shared" si="2"/>
        <v>185.44200000000001</v>
      </c>
      <c r="K32" s="192">
        <f t="shared" si="3"/>
        <v>61628.557999999997</v>
      </c>
      <c r="L32" s="192">
        <f t="shared" si="4"/>
        <v>4139</v>
      </c>
      <c r="M32" s="191">
        <f t="shared" si="5"/>
        <v>0.81790255629973974</v>
      </c>
      <c r="N32" s="191">
        <f t="shared" si="6"/>
        <v>0.87266844558897227</v>
      </c>
      <c r="O32" s="191">
        <f t="shared" si="7"/>
        <v>0.13877065373563219</v>
      </c>
      <c r="P32" s="191">
        <f t="shared" si="8"/>
        <v>0.14806258979885056</v>
      </c>
      <c r="Q32" s="194">
        <f t="shared" si="9"/>
        <v>3396.7654501693323</v>
      </c>
      <c r="R32" s="195">
        <f t="shared" si="10"/>
        <v>4.4944885379430644E-2</v>
      </c>
      <c r="S32" s="196"/>
      <c r="T32" s="197">
        <v>0.28402777777777777</v>
      </c>
      <c r="U32" s="197">
        <v>0.7729166666666667</v>
      </c>
      <c r="V32" s="192">
        <f t="shared" si="11"/>
        <v>704</v>
      </c>
      <c r="W32" s="198">
        <v>4.08</v>
      </c>
      <c r="X32" s="321">
        <f t="shared" si="12"/>
        <v>0.82772356020954163</v>
      </c>
      <c r="Y32" s="198"/>
      <c r="Z32" s="192">
        <v>4139</v>
      </c>
      <c r="AA32" s="196" t="s">
        <v>1932</v>
      </c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4.7087515002327711</v>
      </c>
      <c r="H33" s="192">
        <f t="shared" si="13"/>
        <v>72338.426957776624</v>
      </c>
      <c r="I33" s="190">
        <f>SUM(Input_Raw!CN126:CZ126)</f>
        <v>71107</v>
      </c>
      <c r="J33" s="193">
        <f t="shared" si="2"/>
        <v>213.321</v>
      </c>
      <c r="K33" s="192">
        <f t="shared" si="3"/>
        <v>70893.679000000004</v>
      </c>
      <c r="L33" s="192">
        <f t="shared" si="4"/>
        <v>2665</v>
      </c>
      <c r="M33" s="191">
        <f t="shared" si="5"/>
        <v>0.81363310858520876</v>
      </c>
      <c r="N33" s="191">
        <f t="shared" si="6"/>
        <v>0.84412704356178747</v>
      </c>
      <c r="O33" s="191">
        <f t="shared" si="7"/>
        <v>0.15963317169540231</v>
      </c>
      <c r="P33" s="191">
        <f t="shared" si="8"/>
        <v>0.16561602011494253</v>
      </c>
      <c r="Q33" s="194">
        <f t="shared" si="9"/>
        <v>1433.5730422233755</v>
      </c>
      <c r="R33" s="195">
        <f t="shared" si="10"/>
        <v>1.640348335224584E-2</v>
      </c>
      <c r="S33" s="196"/>
      <c r="T33" s="197">
        <v>0.26805555555555555</v>
      </c>
      <c r="U33" s="197">
        <v>0.76597222222222217</v>
      </c>
      <c r="V33" s="192">
        <f t="shared" si="11"/>
        <v>716.99999999999989</v>
      </c>
      <c r="W33" s="198">
        <v>4.71</v>
      </c>
      <c r="X33" s="321">
        <f t="shared" si="12"/>
        <v>0.82772356020954163</v>
      </c>
      <c r="Y33" s="198"/>
      <c r="Z33" s="192">
        <v>2665</v>
      </c>
      <c r="AA33" s="196" t="s">
        <v>1932</v>
      </c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103.43424303094123</v>
      </c>
      <c r="H37" s="207">
        <f>IFERROR(D37*(G37/C37),0)</f>
        <v>1589013.655542616</v>
      </c>
      <c r="I37" s="205">
        <f>SUM(I6:I36)</f>
        <v>1200827</v>
      </c>
      <c r="J37" s="205">
        <f>SUM(J6:J36)</f>
        <v>3602.4809999999993</v>
      </c>
      <c r="K37" s="205">
        <f>SUM(K6:K36)</f>
        <v>1197224.5190000003</v>
      </c>
      <c r="L37" s="205">
        <f>SUM(L6:L36)</f>
        <v>381630</v>
      </c>
      <c r="M37" s="206">
        <f>IFERROR(I37/(B37*G37),0)</f>
        <v>0.62551558079362612</v>
      </c>
      <c r="N37" s="206">
        <f>IFERROR((I37+L37)/(B37*G37),0)</f>
        <v>0.82430817214797725</v>
      </c>
      <c r="O37" s="206">
        <f>IFERROR(AVERAGEIF(O6:O36,"&lt;&gt;0"),0)</f>
        <v>9.6279361017036144E-2</v>
      </c>
      <c r="P37" s="206">
        <f>IFERROR(AVERAGEIF(P6:P36,"&lt;&gt;0"),0)</f>
        <v>0.12687751757491789</v>
      </c>
      <c r="Q37" s="205">
        <f>(I37+L37)-H37</f>
        <v>-6556.6555426160339</v>
      </c>
      <c r="R37" s="208">
        <f>N37-E37</f>
        <v>-3.4153880615637178E-3</v>
      </c>
      <c r="S37" s="209"/>
      <c r="T37" s="209"/>
      <c r="U37" s="209"/>
      <c r="V37" s="205">
        <f>SUM(V6:V36)</f>
        <v>20055</v>
      </c>
      <c r="W37" s="204"/>
      <c r="X37" s="210"/>
      <c r="Y37" s="211"/>
      <c r="Z37" s="205">
        <f>SUM(Z6:Z36)</f>
        <v>381630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45866</v>
      </c>
      <c r="C1" s="66">
        <f>O2Summary!$B$4</f>
        <v>45839</v>
      </c>
    </row>
    <row r="2" spans="1:14" ht="21">
      <c r="A2" s="398" t="s">
        <v>80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119</v>
      </c>
      <c r="C4" s="68">
        <f>_xlfn.XLOOKUP($C$1,'Modelling New'!$D:$D,'Modelling New'!$S:$S)</f>
        <v>679.83548387096778</v>
      </c>
      <c r="D4" s="69">
        <f>SUMIFS('Daily KPI'!$I:$I,'Daily KPI'!$A:$A,"&gt;="&amp;O2Summary!$B$7,'Daily KPI'!$A:$A,"&lt;="&amp;AnnualKPI!$B$1)</f>
        <v>595.19015060208278</v>
      </c>
      <c r="E4" s="68">
        <f>_xlfn.XLOOKUP($C$1,'Modelling New'!$D:$D,'Modelling New'!V:V)</f>
        <v>101606.31141659626</v>
      </c>
      <c r="F4" s="70">
        <f>SUMIFS('Daily KPI'!$AA:$AA,'Daily KPI'!$A:$A,"&gt;="&amp;O2Summary!$B$7,'Daily KPI'!$A:$A,"&lt;="&amp;AnnualKPI!$B$1)/1000</f>
        <v>74630.699999999968</v>
      </c>
      <c r="G4" s="71">
        <f>E4/_xlfn.XLOOKUP(C1,'Modelling New'!D:D,'Modelling New'!N:N)/(24*B4)</f>
        <v>0.18300637639731146</v>
      </c>
      <c r="H4" s="72">
        <f>F4/_xlfn.XLOOKUP(C1,'Modelling New'!D:D,'Modelling New'!N:N)/(24*B4)</f>
        <v>0.13441974011826946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0.98223533132214369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0.97841315752479308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0.78496764229028626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45866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8" t="s">
        <v>95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28</v>
      </c>
      <c r="C4" s="68">
        <f>_xlfn.XLOOKUP($A$4,'Modelling New'!$D:$D,'Modelling New'!$R:$R)</f>
        <v>127.53548387096774</v>
      </c>
      <c r="D4" s="69">
        <f>SUMIF('Daily KPI'!$D:$D,$A$4,'Daily KPI'!$I:$I)</f>
        <v>106.1832723607867</v>
      </c>
      <c r="E4" s="67">
        <f>_xlfn.XLOOKUP($A$4,'Modelling New'!$D:$D,'Modelling New'!$U:$U)</f>
        <v>20521.665853873539</v>
      </c>
      <c r="F4" s="70">
        <f>SUMIFS('Daily KPI'!$AA:$AA,'Daily KPI'!$D:$D,"&gt;="&amp;$A$4,'Daily KPI'!$A:$A,"&lt;="&amp;MonthlyKPI!$B$1)/1000</f>
        <v>14780.474999999997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0.11314174107142853</v>
      </c>
      <c r="I4" s="71">
        <f>_xlfn.XLOOKUP($A$4,'Modelling New'!$D:$D,'Modelling New'!AF:AF)</f>
        <v>0.995</v>
      </c>
      <c r="J4" s="72">
        <f>AVERAGEIF('Daily KPI'!$D:$D,$A$4,'Daily KPI'!$R:$R)</f>
        <v>0.99796917072574931</v>
      </c>
      <c r="K4" s="71">
        <f>_xlfn.XLOOKUP($A$4,'Modelling New'!$D:$D,'Modelling New'!AE:AE)</f>
        <v>0.995</v>
      </c>
      <c r="L4" s="72">
        <f>AVERAGEIF('Daily KPI'!$D:$D,$A$4,'Daily KPI'!$O:$O)</f>
        <v>0.97481005827052969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0.80689683264734691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45860</v>
      </c>
      <c r="D6" s="25"/>
      <c r="F6" s="25"/>
    </row>
    <row r="7" spans="1:15" ht="29.25" customHeight="1">
      <c r="A7" s="119" t="s">
        <v>103</v>
      </c>
      <c r="B7" s="62">
        <f>B1</f>
        <v>45866</v>
      </c>
    </row>
    <row r="8" spans="1:15" ht="29.25" customHeight="1">
      <c r="A8" s="398" t="s">
        <v>95</v>
      </c>
      <c r="B8" s="399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22.58612469557373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3316.7249999999935</v>
      </c>
      <c r="G10" s="71">
        <f>_xlfn.XLOOKUP($A$10,'Modelling New'!$D:$D,'Modelling New'!$Y:$Y)</f>
        <v>0.18300637639731143</v>
      </c>
      <c r="H10" s="72">
        <f>F10/(24*B10)/_xlfn.XLOOKUP(A10,'Modelling New'!D:D,'Modelling New'!N:N)</f>
        <v>0.10155561067019381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0.99187668290299702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0.99142886200602631</v>
      </c>
      <c r="M10" s="71">
        <f>E10/C10/AVERAGEIFS('Daily KPI'!$AB:$AB,'Daily KPI'!$A:$A,"&gt;="&amp;B6,'Daily KPI'!$A:$A,"&lt;="&amp;B7)</f>
        <v>0.93924902914656516</v>
      </c>
      <c r="N10" s="72">
        <f>F10/D10/AVERAGEIFS('Daily KPI'!$AB:$AB,'Daily KPI'!$A:$A,"&gt;="&amp;B6,'Daily KPI'!$A:$A,"&lt;="&amp;B7)</f>
        <v>0.85716991543400811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23" workbookViewId="0">
      <selection activeCell="B36" sqref="B36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2178161</v>
      </c>
      <c r="C2" s="60">
        <v>15554816</v>
      </c>
      <c r="D2" s="60">
        <v>12682612</v>
      </c>
      <c r="E2" s="60">
        <v>2158333</v>
      </c>
      <c r="F2" s="60">
        <v>23426072</v>
      </c>
      <c r="G2" s="60">
        <v>11164900</v>
      </c>
      <c r="H2" s="60">
        <v>617960</v>
      </c>
      <c r="I2" s="60">
        <v>6015281</v>
      </c>
      <c r="J2" s="60">
        <v>5157880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1838</v>
      </c>
      <c r="B7" s="60">
        <v>396402</v>
      </c>
      <c r="C7" s="60">
        <v>2865257</v>
      </c>
      <c r="D7" s="60">
        <v>2284072</v>
      </c>
      <c r="E7" s="60">
        <v>399892</v>
      </c>
      <c r="F7" s="60">
        <v>4305921</v>
      </c>
      <c r="G7" s="60">
        <v>2047184</v>
      </c>
      <c r="H7" s="60">
        <v>158558</v>
      </c>
      <c r="I7" s="60">
        <v>1154814</v>
      </c>
      <c r="J7" s="60">
        <v>1267785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2178161</v>
      </c>
      <c r="C39" s="60">
        <v>15554816</v>
      </c>
      <c r="D39" s="60">
        <v>12682612</v>
      </c>
      <c r="E39" s="60">
        <v>2158333</v>
      </c>
      <c r="F39" s="60">
        <v>23426072</v>
      </c>
      <c r="G39" s="60">
        <v>11164900</v>
      </c>
      <c r="H39" s="60">
        <v>617960</v>
      </c>
      <c r="I39" s="60">
        <v>6015281</v>
      </c>
      <c r="J39" s="60">
        <v>5157880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E110" activePane="bottomRight" state="frozen"/>
      <selection pane="topRight" activeCell="Z69" sqref="Z69"/>
      <selection pane="bottomLeft" activeCell="Z69" sqref="Z69"/>
      <selection pane="bottomRight" activeCell="CF126" sqref="CF126:CG126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400" t="s">
        <v>122</v>
      </c>
      <c r="FG3" s="400"/>
      <c r="FH3" s="400"/>
      <c r="FI3" s="400"/>
      <c r="FJ3" s="400"/>
      <c r="FK3" s="400"/>
      <c r="FL3" s="400"/>
      <c r="FM3" s="400"/>
      <c r="FN3" s="400"/>
      <c r="FO3" s="400"/>
      <c r="FP3" s="400"/>
      <c r="FQ3" s="400"/>
      <c r="FR3" s="400"/>
      <c r="FS3" s="400"/>
      <c r="FT3" s="400"/>
      <c r="FU3" s="400"/>
      <c r="FV3" s="400"/>
      <c r="FW3" s="400"/>
      <c r="FX3" s="400"/>
      <c r="FY3" s="40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1887</v>
      </c>
      <c r="CY4" s="55" t="s">
        <v>223</v>
      </c>
      <c r="CZ4" s="55" t="s">
        <v>224</v>
      </c>
      <c r="DA4" s="55" t="s">
        <v>1888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>
        <v>0.2673611111111111</v>
      </c>
      <c r="G124" s="364">
        <v>0.76875000000000004</v>
      </c>
      <c r="H124" s="365">
        <v>5669</v>
      </c>
      <c r="I124" s="365">
        <v>5718</v>
      </c>
      <c r="J124" s="365">
        <v>5683</v>
      </c>
      <c r="K124" s="365">
        <v>5422</v>
      </c>
      <c r="L124" s="365">
        <v>5636</v>
      </c>
      <c r="M124" s="365">
        <v>5570</v>
      </c>
      <c r="N124" s="365">
        <v>5821</v>
      </c>
      <c r="O124" s="365">
        <v>5706</v>
      </c>
      <c r="P124" s="365">
        <v>5649</v>
      </c>
      <c r="Q124" s="365">
        <v>5719</v>
      </c>
      <c r="R124" s="365">
        <v>5515</v>
      </c>
      <c r="S124" s="365">
        <v>5551</v>
      </c>
      <c r="T124" s="365">
        <v>5412</v>
      </c>
      <c r="U124" s="365">
        <v>5746</v>
      </c>
      <c r="V124" s="365">
        <v>3924</v>
      </c>
      <c r="W124" s="365">
        <v>3655</v>
      </c>
      <c r="X124" s="365">
        <v>3813</v>
      </c>
      <c r="Y124" s="365">
        <v>3641</v>
      </c>
      <c r="Z124" s="365">
        <v>5676</v>
      </c>
      <c r="AA124" s="365">
        <v>5561</v>
      </c>
      <c r="AB124" s="365">
        <v>4646</v>
      </c>
      <c r="AC124" s="365">
        <v>5095</v>
      </c>
      <c r="AD124" s="365">
        <v>5676</v>
      </c>
      <c r="AE124" s="365">
        <v>5869</v>
      </c>
      <c r="AF124" s="365">
        <v>5929</v>
      </c>
      <c r="AG124" s="365">
        <v>6109</v>
      </c>
      <c r="AH124" s="365">
        <v>5519</v>
      </c>
      <c r="AI124" s="365">
        <v>5938</v>
      </c>
      <c r="AJ124" s="365">
        <v>5481</v>
      </c>
      <c r="AK124" s="365">
        <v>5357</v>
      </c>
      <c r="AL124" s="365">
        <v>4925</v>
      </c>
      <c r="AM124" s="365">
        <v>5306</v>
      </c>
      <c r="AN124" s="365">
        <v>4099</v>
      </c>
      <c r="AO124" s="365">
        <v>4102</v>
      </c>
      <c r="AP124" s="365">
        <v>3654</v>
      </c>
      <c r="AQ124" s="365">
        <v>3709</v>
      </c>
      <c r="AR124" s="365">
        <v>3887</v>
      </c>
      <c r="AS124" s="365">
        <v>3993</v>
      </c>
      <c r="AT124" s="365">
        <v>3878</v>
      </c>
      <c r="AU124" s="365">
        <v>3918</v>
      </c>
      <c r="AV124" s="365">
        <v>4158</v>
      </c>
      <c r="AW124" s="365">
        <v>3946</v>
      </c>
      <c r="AX124" s="365">
        <v>3961</v>
      </c>
      <c r="AY124" s="365">
        <v>4074</v>
      </c>
      <c r="AZ124" s="365">
        <v>4301</v>
      </c>
      <c r="BA124" s="365">
        <v>1309</v>
      </c>
      <c r="BB124" s="365">
        <v>3882</v>
      </c>
      <c r="BC124" s="365">
        <v>3937</v>
      </c>
      <c r="BD124" s="365">
        <v>3562</v>
      </c>
      <c r="BE124" s="365">
        <v>3773</v>
      </c>
      <c r="BF124" s="365">
        <v>3860</v>
      </c>
      <c r="BG124" s="365">
        <v>3784</v>
      </c>
      <c r="BH124" s="365">
        <v>4094</v>
      </c>
      <c r="BI124" s="365">
        <v>3420</v>
      </c>
      <c r="BJ124" s="365">
        <v>3651</v>
      </c>
      <c r="BK124" s="365">
        <v>3674</v>
      </c>
      <c r="BL124" s="365">
        <v>3898</v>
      </c>
      <c r="BM124" s="365">
        <v>3800</v>
      </c>
      <c r="BN124" s="365">
        <v>3406</v>
      </c>
      <c r="BO124" s="365">
        <v>3757</v>
      </c>
      <c r="BP124" s="365">
        <v>3659</v>
      </c>
      <c r="BQ124" s="365">
        <v>3637</v>
      </c>
      <c r="BR124" s="365">
        <v>3758</v>
      </c>
      <c r="BS124" s="365">
        <v>4097</v>
      </c>
      <c r="BT124" s="365">
        <v>5703</v>
      </c>
      <c r="BU124" s="365">
        <v>5421</v>
      </c>
      <c r="BV124" s="365">
        <v>5611</v>
      </c>
      <c r="BW124" s="365">
        <v>5436</v>
      </c>
      <c r="BX124" s="365">
        <v>5272</v>
      </c>
      <c r="BY124" s="365">
        <v>4771</v>
      </c>
      <c r="BZ124" s="365">
        <v>5651</v>
      </c>
      <c r="CA124" s="365">
        <v>5454</v>
      </c>
      <c r="CB124" s="365">
        <v>4225</v>
      </c>
      <c r="CC124" s="365">
        <v>3376</v>
      </c>
      <c r="CD124" s="365">
        <v>4215</v>
      </c>
      <c r="CE124" s="365">
        <v>3093</v>
      </c>
      <c r="CF124" s="365">
        <v>2246</v>
      </c>
      <c r="CG124" s="365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7">
        <f>SUM(RD[[#This Row],[IS1_Inv1_M1]:[IS1_Inv1_M2]])</f>
        <v>11387</v>
      </c>
      <c r="EE124" s="367">
        <f>SUM(RD[[#This Row],[IS2_Inv1_M1]:[IS5_Inv1_M4]])</f>
        <v>82463</v>
      </c>
      <c r="EF124" s="367">
        <f>SUM(RD[[#This Row],[IS6_Inv1_M1]:[IS6_Inv2_M2]])+SUM(RD[[#This Row],[IS8_Inv1_M1]:[IS8_Inv4_M2]])</f>
        <v>65542</v>
      </c>
      <c r="EG124" s="367">
        <f>SUM(RD[[#This Row],[IS7_Inv1_M1]:[IS7_Inv1_M2]])</f>
        <v>11545</v>
      </c>
      <c r="EH124" s="367">
        <f>SUM(RD[[#This Row],[IS9_Inv1_M1]:[IS12_Inv2_M4]])</f>
        <v>120638</v>
      </c>
      <c r="EI124" s="367">
        <f>SUM(RD[[#This Row],[IS13_Inv1_M1]:[IS14_Inv1_M4]])</f>
        <v>58228</v>
      </c>
      <c r="EJ124" s="367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7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9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>
        <v>0.28402777777777777</v>
      </c>
      <c r="G125" s="364">
        <v>0.7729166666666667</v>
      </c>
      <c r="H125" s="365">
        <v>7719</v>
      </c>
      <c r="I125" s="365">
        <v>6966</v>
      </c>
      <c r="J125" s="365">
        <v>7733</v>
      </c>
      <c r="K125" s="365">
        <v>7410</v>
      </c>
      <c r="L125" s="365">
        <v>7636</v>
      </c>
      <c r="M125" s="365">
        <v>6926</v>
      </c>
      <c r="N125" s="365">
        <v>7811</v>
      </c>
      <c r="O125" s="365">
        <v>7741</v>
      </c>
      <c r="P125" s="365">
        <v>7363</v>
      </c>
      <c r="Q125" s="365">
        <v>7706</v>
      </c>
      <c r="R125" s="365">
        <v>6865</v>
      </c>
      <c r="S125" s="365">
        <v>6882</v>
      </c>
      <c r="T125" s="365">
        <v>6746</v>
      </c>
      <c r="U125" s="365">
        <v>7160</v>
      </c>
      <c r="V125" s="365">
        <v>5407</v>
      </c>
      <c r="W125" s="365">
        <v>5206</v>
      </c>
      <c r="X125" s="365">
        <v>5241</v>
      </c>
      <c r="Y125" s="365">
        <v>5014</v>
      </c>
      <c r="Z125" s="365">
        <v>7643</v>
      </c>
      <c r="AA125" s="365">
        <v>6666</v>
      </c>
      <c r="AB125" s="365">
        <v>5742</v>
      </c>
      <c r="AC125" s="365">
        <v>6250</v>
      </c>
      <c r="AD125" s="365">
        <v>7697</v>
      </c>
      <c r="AE125" s="365">
        <v>7940</v>
      </c>
      <c r="AF125" s="365">
        <v>7849</v>
      </c>
      <c r="AG125" s="365">
        <v>7761</v>
      </c>
      <c r="AH125" s="365">
        <v>7104</v>
      </c>
      <c r="AI125" s="365">
        <v>7880</v>
      </c>
      <c r="AJ125" s="365">
        <v>7034</v>
      </c>
      <c r="AK125" s="365">
        <v>7135</v>
      </c>
      <c r="AL125" s="365">
        <v>6594</v>
      </c>
      <c r="AM125" s="365">
        <v>6944</v>
      </c>
      <c r="AN125" s="365">
        <v>5802</v>
      </c>
      <c r="AO125" s="365">
        <v>5659</v>
      </c>
      <c r="AP125" s="365">
        <v>5038</v>
      </c>
      <c r="AQ125" s="365">
        <v>5198</v>
      </c>
      <c r="AR125" s="365">
        <v>5364</v>
      </c>
      <c r="AS125" s="365">
        <v>5610</v>
      </c>
      <c r="AT125" s="365">
        <v>5448</v>
      </c>
      <c r="AU125" s="365">
        <v>5562</v>
      </c>
      <c r="AV125" s="365">
        <v>5912</v>
      </c>
      <c r="AW125" s="365">
        <v>5653</v>
      </c>
      <c r="AX125" s="365">
        <v>5708</v>
      </c>
      <c r="AY125" s="365">
        <v>5823</v>
      </c>
      <c r="AZ125" s="365">
        <v>6110</v>
      </c>
      <c r="BA125" s="365">
        <v>1911</v>
      </c>
      <c r="BB125" s="365">
        <v>5617</v>
      </c>
      <c r="BC125" s="365">
        <v>5672</v>
      </c>
      <c r="BD125" s="365">
        <v>5078</v>
      </c>
      <c r="BE125" s="365">
        <v>5501</v>
      </c>
      <c r="BF125" s="365">
        <v>5649</v>
      </c>
      <c r="BG125" s="365">
        <v>5398</v>
      </c>
      <c r="BH125" s="365">
        <v>5847</v>
      </c>
      <c r="BI125" s="365">
        <v>4940</v>
      </c>
      <c r="BJ125" s="365">
        <v>5371</v>
      </c>
      <c r="BK125" s="365">
        <v>5330</v>
      </c>
      <c r="BL125" s="365">
        <v>5729</v>
      </c>
      <c r="BM125" s="365">
        <v>5517</v>
      </c>
      <c r="BN125" s="365">
        <v>5032</v>
      </c>
      <c r="BO125" s="365">
        <v>5583</v>
      </c>
      <c r="BP125" s="365">
        <v>5542</v>
      </c>
      <c r="BQ125" s="365">
        <v>5489</v>
      </c>
      <c r="BR125" s="365">
        <v>5657</v>
      </c>
      <c r="BS125" s="365">
        <v>6147</v>
      </c>
      <c r="BT125" s="365">
        <v>8330</v>
      </c>
      <c r="BU125" s="365">
        <v>7857</v>
      </c>
      <c r="BV125" s="365">
        <v>8113</v>
      </c>
      <c r="BW125" s="365">
        <v>7775</v>
      </c>
      <c r="BX125" s="365">
        <v>7461</v>
      </c>
      <c r="BY125" s="365">
        <v>6753</v>
      </c>
      <c r="BZ125" s="365">
        <v>7994</v>
      </c>
      <c r="CA125" s="365">
        <v>7068</v>
      </c>
      <c r="CB125" s="365">
        <v>5861</v>
      </c>
      <c r="CC125" s="365">
        <v>4803</v>
      </c>
      <c r="CD125" s="365">
        <v>5875</v>
      </c>
      <c r="CE125" s="365">
        <v>4765</v>
      </c>
      <c r="CF125" s="365">
        <v>3232</v>
      </c>
      <c r="CG125" s="365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8">
        <f>SUM(RD[[#This Row],[IS1_Inv1_M1]:[IS1_Inv1_M2]])</f>
        <v>14685</v>
      </c>
      <c r="EE125" s="368">
        <f>SUM(RD[[#This Row],[IS2_Inv1_M1]:[IS5_Inv1_M4]])</f>
        <v>108847</v>
      </c>
      <c r="EF125" s="368">
        <f>SUM(RD[[#This Row],[IS6_Inv1_M1]:[IS6_Inv2_M2]])+SUM(RD[[#This Row],[IS8_Inv1_M1]:[IS8_Inv4_M2]])</f>
        <v>84602</v>
      </c>
      <c r="EG125" s="368">
        <f>SUM(RD[[#This Row],[IS7_Inv1_M1]:[IS7_Inv1_M2]])</f>
        <v>15637</v>
      </c>
      <c r="EH125" s="367">
        <f>SUM(RD[[#This Row],[IS9_Inv1_M1]:[IS12_Inv2_M4]])</f>
        <v>173897</v>
      </c>
      <c r="EI125" s="367">
        <f>SUM(RD[[#This Row],[IS13_Inv1_M1]:[IS14_Inv1_M4]])</f>
        <v>82655</v>
      </c>
      <c r="EJ125" s="367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8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369"/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>
        <v>0.26805555555555555</v>
      </c>
      <c r="G126" s="364">
        <v>0.76597222222222217</v>
      </c>
      <c r="H126" s="365">
        <v>7833</v>
      </c>
      <c r="I126" s="365">
        <v>7821</v>
      </c>
      <c r="J126" s="365">
        <v>7779</v>
      </c>
      <c r="K126" s="365">
        <v>7548</v>
      </c>
      <c r="L126" s="365">
        <v>7692</v>
      </c>
      <c r="M126" s="365">
        <v>7625</v>
      </c>
      <c r="N126" s="365">
        <v>7876</v>
      </c>
      <c r="O126" s="365">
        <v>7852</v>
      </c>
      <c r="P126" s="365">
        <v>7773</v>
      </c>
      <c r="Q126" s="365">
        <v>7867</v>
      </c>
      <c r="R126" s="365">
        <v>7579</v>
      </c>
      <c r="S126" s="365">
        <v>7626</v>
      </c>
      <c r="T126" s="365">
        <v>7461</v>
      </c>
      <c r="U126" s="365">
        <v>7811</v>
      </c>
      <c r="V126" s="365">
        <v>5430</v>
      </c>
      <c r="W126" s="365">
        <v>5189</v>
      </c>
      <c r="X126" s="365">
        <v>5361</v>
      </c>
      <c r="Y126" s="365">
        <v>5113</v>
      </c>
      <c r="Z126" s="365">
        <v>7786</v>
      </c>
      <c r="AA126" s="365">
        <v>7656</v>
      </c>
      <c r="AB126" s="365">
        <v>6649</v>
      </c>
      <c r="AC126" s="365">
        <v>7185</v>
      </c>
      <c r="AD126" s="365">
        <v>7780</v>
      </c>
      <c r="AE126" s="366">
        <v>7965</v>
      </c>
      <c r="AF126" s="366">
        <v>8052</v>
      </c>
      <c r="AG126" s="366">
        <v>8148</v>
      </c>
      <c r="AH126" s="366">
        <v>8271</v>
      </c>
      <c r="AI126" s="366">
        <v>8711</v>
      </c>
      <c r="AJ126" s="366">
        <v>7527</v>
      </c>
      <c r="AK126" s="366">
        <v>7370</v>
      </c>
      <c r="AL126" s="366">
        <v>7353</v>
      </c>
      <c r="AM126" s="366">
        <v>7881</v>
      </c>
      <c r="AN126" s="366">
        <v>5583</v>
      </c>
      <c r="AO126" s="366">
        <v>5542</v>
      </c>
      <c r="AP126" s="366">
        <v>5034</v>
      </c>
      <c r="AQ126" s="366">
        <v>5054</v>
      </c>
      <c r="AR126" s="366">
        <v>5254</v>
      </c>
      <c r="AS126" s="366">
        <v>5379</v>
      </c>
      <c r="AT126" s="366">
        <v>5276</v>
      </c>
      <c r="AU126" s="366">
        <v>5368</v>
      </c>
      <c r="AV126" s="366">
        <v>5609</v>
      </c>
      <c r="AW126" s="366">
        <v>5411</v>
      </c>
      <c r="AX126" s="366">
        <v>5460</v>
      </c>
      <c r="AY126" s="366">
        <v>5570</v>
      </c>
      <c r="AZ126" s="366">
        <v>5808</v>
      </c>
      <c r="BA126" s="366">
        <v>2031</v>
      </c>
      <c r="BB126" s="366">
        <v>5364</v>
      </c>
      <c r="BC126" s="366">
        <v>5417</v>
      </c>
      <c r="BD126" s="366">
        <v>5010</v>
      </c>
      <c r="BE126" s="366">
        <v>5247</v>
      </c>
      <c r="BF126" s="366">
        <v>5367</v>
      </c>
      <c r="BG126" s="366">
        <v>5293</v>
      </c>
      <c r="BH126" s="366">
        <v>5640</v>
      </c>
      <c r="BI126" s="366">
        <v>4860</v>
      </c>
      <c r="BJ126" s="366">
        <v>5145</v>
      </c>
      <c r="BK126" s="366">
        <v>5179</v>
      </c>
      <c r="BL126" s="366">
        <v>5427</v>
      </c>
      <c r="BM126" s="366">
        <v>5338</v>
      </c>
      <c r="BN126" s="366">
        <v>4866</v>
      </c>
      <c r="BO126" s="366">
        <v>5278</v>
      </c>
      <c r="BP126" s="366">
        <v>5188</v>
      </c>
      <c r="BQ126" s="366">
        <v>5160</v>
      </c>
      <c r="BR126" s="366">
        <v>5281</v>
      </c>
      <c r="BS126" s="366">
        <v>5676</v>
      </c>
      <c r="BT126" s="366">
        <v>7772</v>
      </c>
      <c r="BU126" s="366">
        <v>7355</v>
      </c>
      <c r="BV126" s="366">
        <v>7590</v>
      </c>
      <c r="BW126" s="366">
        <v>7358</v>
      </c>
      <c r="BX126" s="366">
        <v>7206</v>
      </c>
      <c r="BY126" s="366">
        <v>6615</v>
      </c>
      <c r="BZ126" s="366">
        <v>7538</v>
      </c>
      <c r="CA126" s="366">
        <v>7418</v>
      </c>
      <c r="CB126" s="366">
        <v>5721</v>
      </c>
      <c r="CC126" s="366">
        <v>4758</v>
      </c>
      <c r="CD126" s="366">
        <v>5676</v>
      </c>
      <c r="CE126" s="366">
        <v>4713</v>
      </c>
      <c r="CF126" s="366">
        <v>3439</v>
      </c>
      <c r="CG126" s="366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7">
        <f>SUM(RD[[#This Row],[IS1_Inv1_M1]:[IS1_Inv1_M2]])</f>
        <v>15654</v>
      </c>
      <c r="EE126" s="367">
        <f>SUM(RD[[#This Row],[IS2_Inv1_M1]:[IS5_Inv1_M4]])</f>
        <v>113582</v>
      </c>
      <c r="EF126" s="367">
        <f>SUM(RD[[#This Row],[IS6_Inv1_M1]:[IS6_Inv2_M2]])+SUM(RD[[#This Row],[IS8_Inv1_M1]:[IS8_Inv4_M2]])</f>
        <v>92589</v>
      </c>
      <c r="EG126" s="367">
        <f>SUM(RD[[#This Row],[IS7_Inv1_M1]:[IS7_Inv1_M2]])</f>
        <v>15745</v>
      </c>
      <c r="EH126" s="367">
        <f>SUM(RD[[#This Row],[IS9_Inv1_M1]:[IS12_Inv2_M4]])</f>
        <v>167115</v>
      </c>
      <c r="EI126" s="367">
        <f>SUM(RD[[#This Row],[IS13_Inv1_M1]:[IS14_Inv1_M4]])</f>
        <v>79720</v>
      </c>
      <c r="EJ126" s="367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7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369"/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172.51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172.51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172.51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3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S1" sqref="CS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1887</v>
      </c>
      <c r="CX3" s="151" t="s">
        <v>223</v>
      </c>
      <c r="CY3" s="151" t="s">
        <v>224</v>
      </c>
      <c r="CZ3" s="151" t="s">
        <v>1888</v>
      </c>
      <c r="DA3" s="151" t="s">
        <v>1919</v>
      </c>
      <c r="DB3" s="151" t="s">
        <v>1920</v>
      </c>
      <c r="DC3" s="151" t="s">
        <v>1921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3.1857685348013356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3.4956327068357225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3.6623595076076154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3.7089583145117362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K159" activePane="bottomRight" state="frozen"/>
      <selection pane="topRight" activeCell="C3" sqref="C3"/>
      <selection pane="bottomLeft" activeCell="A4" sqref="A4"/>
      <selection pane="bottomRight" activeCell="D173" sqref="D173:CZ173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1887</v>
      </c>
      <c r="CX3" s="309" t="s">
        <v>223</v>
      </c>
      <c r="CY3" s="309" t="s">
        <v>224</v>
      </c>
      <c r="CZ3" s="309" t="s">
        <v>1888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6.4657071585944248E-2</v>
      </c>
      <c r="D173" s="169">
        <f>IFERROR(Inv_SY_B!D173/Inv_SY_B!$DA173-1,"")</f>
        <v>-5.6224613112429656E-2</v>
      </c>
      <c r="E173" s="169">
        <f>IFERROR(Inv_SY_B!E173/Inv_SY_B!$DA173-1,"")</f>
        <v>4.2821286663183411E-2</v>
      </c>
      <c r="F173" s="169">
        <f>IFERROR(Inv_SY_B!F173/Inv_SY_B!$DA173-1,"")</f>
        <v>3.8297376750985324E-2</v>
      </c>
      <c r="G173" s="169">
        <f>IFERROR(Inv_SY_B!G173/Inv_SY_B!$DA173-1,"")</f>
        <v>3.7541572011028368E-2</v>
      </c>
      <c r="H173" s="169">
        <f>IFERROR(Inv_SY_B!H173/Inv_SY_B!$DA173-1,"")</f>
        <v>-4.4451679833595437E-2</v>
      </c>
      <c r="I173" s="169">
        <f>IFERROR(Inv_SY_B!I173/Inv_SY_B!$DA173-1,"")</f>
        <v>6.1319698661359556E-2</v>
      </c>
      <c r="J173" s="169">
        <f>IFERROR(Inv_SY_B!J173/Inv_SY_B!$DA173-1,"")</f>
        <v>2.84349269345332E-2</v>
      </c>
      <c r="K173" s="169">
        <f>IFERROR(Inv_SY_B!K173/Inv_SY_B!$DA173-1,"")</f>
        <v>8.0846997375536578E-3</v>
      </c>
      <c r="L173" s="169">
        <f>IFERROR(Inv_SY_B!L173/Inv_SY_B!$DA173-1,"")</f>
        <v>4.7052822671160843E-2</v>
      </c>
      <c r="M173" s="169">
        <f>IFERROR(Inv_SY_B!M173/Inv_SY_B!$DA173-1,"")</f>
        <v>-3.6768809826695614E-2</v>
      </c>
      <c r="N173" s="169">
        <f>IFERROR(Inv_SY_B!N173/Inv_SY_B!$DA173-1,"")</f>
        <v>-4.1811351280547027E-2</v>
      </c>
      <c r="O173" s="169">
        <f>IFERROR(Inv_SY_B!O173/Inv_SY_B!$DA173-1,"")</f>
        <v>-4.6070953717594509E-2</v>
      </c>
      <c r="P173" s="169">
        <f>IFERROR(Inv_SY_B!P173/Inv_SY_B!$DA173-1,"")</f>
        <v>-7.4311875463873744E-2</v>
      </c>
      <c r="Q173" s="169">
        <f>IFERROR(Inv_SY_B!Q173/Inv_SY_B!$DA173-1,"")</f>
        <v>-1.357603877327751E-3</v>
      </c>
      <c r="R173" s="169">
        <f>IFERROR(Inv_SY_B!R173/Inv_SY_B!$DA173-1,"")</f>
        <v>1.3213390831546379E-2</v>
      </c>
      <c r="S173" s="169">
        <f>IFERROR(Inv_SY_B!S173/Inv_SY_B!$DA173-1,"")</f>
        <v>-1.4489789809802867E-3</v>
      </c>
      <c r="T173" s="169">
        <f>IFERROR(Inv_SY_B!T173/Inv_SY_B!$DA173-1,"")</f>
        <v>3.1291321577227027E-2</v>
      </c>
      <c r="U173" s="169">
        <f>IFERROR(Inv_SY_B!U173/Inv_SY_B!$DA173-1,"")</f>
        <v>9.7925874585600869E-2</v>
      </c>
      <c r="V173" s="169">
        <f>IFERROR(Inv_SY_B!V173/Inv_SY_B!$DA173-1,"")</f>
        <v>-1.1025293820296711E-2</v>
      </c>
      <c r="W173" s="169">
        <f>IFERROR(Inv_SY_B!W173/Inv_SY_B!$DA173-1,"")</f>
        <v>-2.8687190580978239E-2</v>
      </c>
      <c r="X173" s="169">
        <f>IFERROR(Inv_SY_B!X173/Inv_SY_B!$DA173-1,"")</f>
        <v>-8.8643229429810066E-2</v>
      </c>
      <c r="Y173" s="169">
        <f>IFERROR(Inv_SY_B!Y173/Inv_SY_B!$DA173-1,"")</f>
        <v>4.5829947586286446E-2</v>
      </c>
      <c r="Z173" s="169">
        <f>IFERROR(Inv_SY_B!Z173/Inv_SY_B!$DA173-1,"")</f>
        <v>6.2745372267771771E-2</v>
      </c>
      <c r="AA173" s="169">
        <f>IFERROR(Inv_SY_B!AA173/Inv_SY_B!$DA173-1,"")</f>
        <v>-3.5782539242447342E-2</v>
      </c>
      <c r="AB173" s="169">
        <f>IFERROR(Inv_SY_B!AB173/Inv_SY_B!$DA173-1,"")</f>
        <v>-4.0017757509942076E-2</v>
      </c>
      <c r="AC173" s="169">
        <f>IFERROR(Inv_SY_B!AC173/Inv_SY_B!$DA173-1,"")</f>
        <v>-2.7375566082360581E-2</v>
      </c>
      <c r="AD173" s="169">
        <f>IFERROR(Inv_SY_B!AD173/Inv_SY_B!$DA173-1,"")</f>
        <v>-1.8529515213943304E-2</v>
      </c>
      <c r="AE173" s="169">
        <f>IFERROR(Inv_SY_B!AE173/Inv_SY_B!$DA173-1,"")</f>
        <v>-3.5486882598828262E-2</v>
      </c>
      <c r="AF173" s="169">
        <f>IFERROR(Inv_SY_B!AF173/Inv_SY_B!$DA173-1,"")</f>
        <v>2.4951081403671527E-2</v>
      </c>
      <c r="AG173" s="169">
        <f>IFERROR(Inv_SY_B!AG173/Inv_SY_B!$DA173-1,"")</f>
        <v>1.0826454772238314E-2</v>
      </c>
      <c r="AH173" s="169">
        <f>IFERROR(Inv_SY_B!AH173/Inv_SY_B!$DA173-1,"")</f>
        <v>-2.6999057468442444E-2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1.8241212066805401E-2</v>
      </c>
      <c r="D174" s="169">
        <f>IFERROR(Inv_SY_B!D174/Inv_SY_B!$DA174-1,"")</f>
        <v>-1.3316078481535598E-3</v>
      </c>
      <c r="E174" s="169">
        <f>IFERROR(Inv_SY_B!E174/Inv_SY_B!$DA174-1,"")</f>
        <v>-1.1311481311976457E-2</v>
      </c>
      <c r="F174" s="169">
        <f>IFERROR(Inv_SY_B!F174/Inv_SY_B!$DA174-1,"")</f>
        <v>-3.1971243747109801E-3</v>
      </c>
      <c r="G174" s="169">
        <f>IFERROR(Inv_SY_B!G174/Inv_SY_B!$DA174-1,"")</f>
        <v>-1.4962635023079818E-2</v>
      </c>
      <c r="H174" s="169">
        <f>IFERROR(Inv_SY_B!H174/Inv_SY_B!$DA174-1,"")</f>
        <v>-8.5202329600483351E-3</v>
      </c>
      <c r="I174" s="169">
        <f>IFERROR(Inv_SY_B!I174/Inv_SY_B!$DA174-1,"")</f>
        <v>8.6004012686196063E-3</v>
      </c>
      <c r="J174" s="169">
        <f>IFERROR(Inv_SY_B!J174/Inv_SY_B!$DA174-1,"")</f>
        <v>-1.6818081842184918E-2</v>
      </c>
      <c r="K174" s="169">
        <f>IFERROR(Inv_SY_B!K174/Inv_SY_B!$DA174-1,"")</f>
        <v>3.0087746677018856E-3</v>
      </c>
      <c r="L174" s="169">
        <f>IFERROR(Inv_SY_B!L174/Inv_SY_B!$DA174-1,"")</f>
        <v>7.4478614500037565E-3</v>
      </c>
      <c r="M174" s="169">
        <f>IFERROR(Inv_SY_B!M174/Inv_SY_B!$DA174-1,"")</f>
        <v>2.2492601473891316E-3</v>
      </c>
      <c r="N174" s="169">
        <f>IFERROR(Inv_SY_B!N174/Inv_SY_B!$DA174-1,"")</f>
        <v>7.0713476207995285E-4</v>
      </c>
      <c r="O174" s="169">
        <f>IFERROR(Inv_SY_B!O174/Inv_SY_B!$DA174-1,"")</f>
        <v>-5.6469323492570611E-3</v>
      </c>
      <c r="P174" s="169">
        <f>IFERROR(Inv_SY_B!P174/Inv_SY_B!$DA174-1,"")</f>
        <v>-4.8229697415365647E-2</v>
      </c>
      <c r="Q174" s="169">
        <f>IFERROR(Inv_SY_B!Q174/Inv_SY_B!$DA174-1,"")</f>
        <v>-5.4792189945577996E-2</v>
      </c>
      <c r="R174" s="169">
        <f>IFERROR(Inv_SY_B!R174/Inv_SY_B!$DA174-1,"")</f>
        <v>-4.818121946079168E-2</v>
      </c>
      <c r="S174" s="169">
        <f>IFERROR(Inv_SY_B!S174/Inv_SY_B!$DA174-1,"")</f>
        <v>-3.7333742695023209E-2</v>
      </c>
      <c r="T174" s="169">
        <f>IFERROR(Inv_SY_B!T174/Inv_SY_B!$DA174-1,"")</f>
        <v>-8.8333789234690263E-3</v>
      </c>
      <c r="U174" s="169">
        <f>IFERROR(Inv_SY_B!U174/Inv_SY_B!$DA174-1,"")</f>
        <v>5.4137836373769455E-2</v>
      </c>
      <c r="V174" s="169">
        <f>IFERROR(Inv_SY_B!V174/Inv_SY_B!$DA174-1,"")</f>
        <v>7.0522110603073784E-2</v>
      </c>
      <c r="W174" s="169">
        <f>IFERROR(Inv_SY_B!W174/Inv_SY_B!$DA174-1,"")</f>
        <v>6.0049395788508875E-2</v>
      </c>
      <c r="X174" s="169">
        <f>IFERROR(Inv_SY_B!X174/Inv_SY_B!$DA174-1,"")</f>
        <v>-1.2563852961570809E-2</v>
      </c>
      <c r="Y174" s="169">
        <f>IFERROR(Inv_SY_B!Y174/Inv_SY_B!$DA174-1,"")</f>
        <v>-3.6933567966149772E-3</v>
      </c>
      <c r="Z174" s="169">
        <f>IFERROR(Inv_SY_B!Z174/Inv_SY_B!$DA174-1,"")</f>
        <v>4.7738926170959317E-3</v>
      </c>
      <c r="AA174" s="169">
        <f>IFERROR(Inv_SY_B!AA174/Inv_SY_B!$DA174-1,"")</f>
        <v>-6.7737380690105709E-2</v>
      </c>
      <c r="AB174" s="169">
        <f>IFERROR(Inv_SY_B!AB174/Inv_SY_B!$DA174-1,"")</f>
        <v>-5.0116424249272318E-2</v>
      </c>
      <c r="AC174" s="169">
        <f>IFERROR(Inv_SY_B!AC174/Inv_SY_B!$DA174-1,"")</f>
        <v>6.726946806594114E-2</v>
      </c>
      <c r="AD174" s="169">
        <f>IFERROR(Inv_SY_B!AD174/Inv_SY_B!$DA174-1,"")</f>
        <v>2.256961073684205E-2</v>
      </c>
      <c r="AE174" s="169">
        <f>IFERROR(Inv_SY_B!AE174/Inv_SY_B!$DA174-1,"")</f>
        <v>-2.7249343915112134E-2</v>
      </c>
      <c r="AF174" s="169">
        <f>IFERROR(Inv_SY_B!AF174/Inv_SY_B!$DA174-1,"")</f>
        <v>-2.1839385981659021E-3</v>
      </c>
      <c r="AG174" s="169">
        <f>IFERROR(Inv_SY_B!AG174/Inv_SY_B!$DA174-1,"")</f>
        <v>6.2346189733298862E-2</v>
      </c>
      <c r="AH174" s="169">
        <f>IFERROR(Inv_SY_B!AH174/Inv_SY_B!$DA174-1,"")</f>
        <v>4.0779473079345818E-2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0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0.29739555194867923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0.32836236643286393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1.1895822077947169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0.15351268767027995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8.424263810793578E-2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3.6175514945993338E-2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8.0699225648754591E-2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16"/>
  <sheetViews>
    <sheetView tabSelected="1" zoomScale="90" zoomScaleNormal="90" workbookViewId="0">
      <pane xSplit="2" ySplit="1" topLeftCell="AD1072" activePane="bottomRight" state="frozen"/>
      <selection pane="topRight" activeCell="Z69" sqref="Z69"/>
      <selection pane="bottomLeft" activeCell="Z69" sqref="Z69"/>
      <selection pane="bottomRight" activeCell="A1109" sqref="A1075:XFD1109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85.5429687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1826</v>
      </c>
      <c r="AI869" s="32" t="s">
        <v>367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1829</v>
      </c>
      <c r="AI872" s="32" t="s">
        <v>367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1828</v>
      </c>
      <c r="AI873" s="32" t="s">
        <v>367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1830</v>
      </c>
      <c r="AI874" s="32" t="s">
        <v>367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1831</v>
      </c>
      <c r="AI875" s="32" t="s">
        <v>367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474</v>
      </c>
      <c r="X876" s="38"/>
      <c r="Y876" s="38" t="s">
        <v>1832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1833</v>
      </c>
      <c r="AI876" s="32" t="s">
        <v>367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474</v>
      </c>
      <c r="X877" s="38"/>
      <c r="Y877" s="38" t="s">
        <v>1832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1833</v>
      </c>
      <c r="AI877" s="32" t="s">
        <v>367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1834</v>
      </c>
      <c r="AI878" s="32" t="s">
        <v>367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1835</v>
      </c>
      <c r="AI891" s="32" t="s">
        <v>367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1836</v>
      </c>
      <c r="AI892" s="32" t="s">
        <v>367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1837</v>
      </c>
      <c r="AI893" s="32" t="s">
        <v>367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1843</v>
      </c>
      <c r="AI899" s="32" t="s">
        <v>367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1844</v>
      </c>
      <c r="AI900" s="32" t="s">
        <v>367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1844</v>
      </c>
      <c r="AI901" s="32" t="s">
        <v>367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1845</v>
      </c>
      <c r="AI911" s="32" t="s">
        <v>367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1846</v>
      </c>
      <c r="AI913" s="32" t="s">
        <v>367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1893</v>
      </c>
      <c r="AI925" s="353" t="s">
        <v>367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413</v>
      </c>
      <c r="X928" s="39"/>
      <c r="Y928" s="355" t="s">
        <v>1889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1891</v>
      </c>
      <c r="AI928" s="353" t="s">
        <v>367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413</v>
      </c>
      <c r="X929" s="39"/>
      <c r="Y929" s="355" t="s">
        <v>1890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1892</v>
      </c>
      <c r="AI929" s="353" t="s">
        <v>367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1893</v>
      </c>
      <c r="AI930" s="353" t="s">
        <v>367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433</v>
      </c>
      <c r="X935" s="38"/>
      <c r="Y935" s="354" t="s">
        <v>1908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1909</v>
      </c>
      <c r="AI935" s="353" t="s">
        <v>552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433</v>
      </c>
      <c r="X936" s="38"/>
      <c r="Y936" s="354" t="s">
        <v>1908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1909</v>
      </c>
      <c r="AI936" s="353" t="s">
        <v>552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433</v>
      </c>
      <c r="X937" s="38"/>
      <c r="Y937" s="354" t="s">
        <v>1908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1909</v>
      </c>
      <c r="AI937" s="353" t="s">
        <v>552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433</v>
      </c>
      <c r="X938" s="38"/>
      <c r="Y938" s="354" t="s">
        <v>1908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1909</v>
      </c>
      <c r="AI938" s="353" t="s">
        <v>552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433</v>
      </c>
      <c r="X939" s="39"/>
      <c r="Y939" s="354" t="s">
        <v>1908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1909</v>
      </c>
      <c r="AI939" s="353" t="s">
        <v>552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433</v>
      </c>
      <c r="X940" s="38"/>
      <c r="Y940" s="354" t="s">
        <v>1908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1909</v>
      </c>
      <c r="AI940" s="353" t="s">
        <v>552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433</v>
      </c>
      <c r="X941" s="39"/>
      <c r="Y941" s="354" t="s">
        <v>1908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1909</v>
      </c>
      <c r="AI941" s="353" t="s">
        <v>552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433</v>
      </c>
      <c r="X942" s="39"/>
      <c r="Y942" s="354" t="s">
        <v>1908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1909</v>
      </c>
      <c r="AI942" s="353" t="s">
        <v>552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433</v>
      </c>
      <c r="X943" s="38"/>
      <c r="Y943" s="354" t="s">
        <v>1908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1909</v>
      </c>
      <c r="AI943" s="353" t="s">
        <v>552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433</v>
      </c>
      <c r="X944" s="38"/>
      <c r="Y944" s="354" t="s">
        <v>1908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1909</v>
      </c>
      <c r="AI944" s="353" t="s">
        <v>552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433</v>
      </c>
      <c r="X945" s="38"/>
      <c r="Y945" s="354" t="s">
        <v>1908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1909</v>
      </c>
      <c r="AI945" s="353" t="s">
        <v>552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433</v>
      </c>
      <c r="X946" s="38"/>
      <c r="Y946" s="354" t="s">
        <v>1908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1909</v>
      </c>
      <c r="AI946" s="353" t="s">
        <v>552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433</v>
      </c>
      <c r="X947" s="38"/>
      <c r="Y947" s="354" t="s">
        <v>1908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1909</v>
      </c>
      <c r="AI947" s="353" t="s">
        <v>552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433</v>
      </c>
      <c r="X948" s="38"/>
      <c r="Y948" s="354" t="s">
        <v>1908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1909</v>
      </c>
      <c r="AI948" s="353" t="s">
        <v>552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433</v>
      </c>
      <c r="X949" s="38"/>
      <c r="Y949" s="354" t="s">
        <v>1908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1909</v>
      </c>
      <c r="AI949" s="353" t="s">
        <v>552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433</v>
      </c>
      <c r="X950" s="38"/>
      <c r="Y950" s="354" t="s">
        <v>1908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1909</v>
      </c>
      <c r="AI950" s="353" t="s">
        <v>552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1911</v>
      </c>
      <c r="AI952" s="32" t="s">
        <v>367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474</v>
      </c>
      <c r="X953" s="38"/>
      <c r="Y953" s="354" t="s">
        <v>1912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1913</v>
      </c>
      <c r="AI953" s="353" t="s">
        <v>367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474</v>
      </c>
      <c r="X954" s="38"/>
      <c r="Y954" s="354" t="s">
        <v>1912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1913</v>
      </c>
      <c r="AI954" s="353" t="s">
        <v>367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433</v>
      </c>
      <c r="X955" s="38"/>
      <c r="Y955" s="354" t="s">
        <v>1908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1909</v>
      </c>
      <c r="AI955" s="353" t="s">
        <v>552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433</v>
      </c>
      <c r="X956" s="38"/>
      <c r="Y956" s="354" t="s">
        <v>1908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1909</v>
      </c>
      <c r="AI956" s="353" t="s">
        <v>552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433</v>
      </c>
      <c r="X957" s="38"/>
      <c r="Y957" s="354" t="s">
        <v>1908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1909</v>
      </c>
      <c r="AI957" s="353" t="s">
        <v>552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433</v>
      </c>
      <c r="X958" s="38"/>
      <c r="Y958" s="354" t="s">
        <v>1908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1909</v>
      </c>
      <c r="AI958" s="353" t="s">
        <v>552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433</v>
      </c>
      <c r="X959" s="38"/>
      <c r="Y959" s="354" t="s">
        <v>1908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1909</v>
      </c>
      <c r="AI959" s="353" t="s">
        <v>552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433</v>
      </c>
      <c r="X960" s="38"/>
      <c r="Y960" s="354" t="s">
        <v>1908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1909</v>
      </c>
      <c r="AI960" s="353" t="s">
        <v>552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433</v>
      </c>
      <c r="X961" s="38"/>
      <c r="Y961" s="354" t="s">
        <v>1908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1909</v>
      </c>
      <c r="AI961" s="353" t="s">
        <v>552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433</v>
      </c>
      <c r="X962" s="38"/>
      <c r="Y962" s="354" t="s">
        <v>1908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1909</v>
      </c>
      <c r="AI962" s="353" t="s">
        <v>552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433</v>
      </c>
      <c r="X963" s="38"/>
      <c r="Y963" s="354" t="s">
        <v>1908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1909</v>
      </c>
      <c r="AI963" s="353" t="s">
        <v>552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433</v>
      </c>
      <c r="X964" s="38"/>
      <c r="Y964" s="354" t="s">
        <v>1908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1909</v>
      </c>
      <c r="AI964" s="353" t="s">
        <v>552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1915</v>
      </c>
      <c r="AI965" s="32" t="s">
        <v>367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1916</v>
      </c>
      <c r="AI966" s="32" t="s">
        <v>367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433</v>
      </c>
      <c r="X970" s="38"/>
      <c r="Y970" s="354" t="s">
        <v>1908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1909</v>
      </c>
      <c r="AI970" s="353" t="s">
        <v>552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433</v>
      </c>
      <c r="X971" s="38"/>
      <c r="Y971" s="354" t="s">
        <v>1908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1909</v>
      </c>
      <c r="AI971" s="353" t="s">
        <v>552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433</v>
      </c>
      <c r="X972" s="38"/>
      <c r="Y972" s="354" t="s">
        <v>1908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1909</v>
      </c>
      <c r="AI972" s="353" t="s">
        <v>552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433</v>
      </c>
      <c r="X973" s="38"/>
      <c r="Y973" s="354" t="s">
        <v>1908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1909</v>
      </c>
      <c r="AI973" s="353" t="s">
        <v>552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433</v>
      </c>
      <c r="X974" s="38"/>
      <c r="Y974" s="354" t="s">
        <v>1908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1909</v>
      </c>
      <c r="AI974" s="353" t="s">
        <v>552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433</v>
      </c>
      <c r="X975" s="38"/>
      <c r="Y975" s="354" t="s">
        <v>1908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1909</v>
      </c>
      <c r="AI975" s="353" t="s">
        <v>552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433</v>
      </c>
      <c r="X976" s="38"/>
      <c r="Y976" s="354" t="s">
        <v>1908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1909</v>
      </c>
      <c r="AI976" s="353" t="s">
        <v>552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433</v>
      </c>
      <c r="X977" s="38"/>
      <c r="Y977" s="354" t="s">
        <v>1908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1909</v>
      </c>
      <c r="AI977" s="353" t="s">
        <v>552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433</v>
      </c>
      <c r="X978" s="38"/>
      <c r="Y978" s="354" t="s">
        <v>1908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1909</v>
      </c>
      <c r="AI978" s="353" t="s">
        <v>552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433</v>
      </c>
      <c r="X979" s="38"/>
      <c r="Y979" s="354" t="s">
        <v>1908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1909</v>
      </c>
      <c r="AI979" s="353" t="s">
        <v>552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9.2458408208219815E-3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1917</v>
      </c>
      <c r="AI980" s="32" t="s">
        <v>367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8.7835487797808826E-3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1917</v>
      </c>
      <c r="AI981" s="32" t="s">
        <v>367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8.5986319633644427E-3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1917</v>
      </c>
      <c r="AI982" s="32" t="s">
        <v>367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7.1461944235116804E-3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1917</v>
      </c>
      <c r="AI983" s="32" t="s">
        <v>367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7.5126659324097154E-3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1917</v>
      </c>
      <c r="AI984" s="32" t="s">
        <v>367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1.8323575444901746E-4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1918</v>
      </c>
      <c r="AI985" s="32" t="s">
        <v>367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1.4658860355921395E-3</v>
      </c>
      <c r="W986" s="35" t="s">
        <v>433</v>
      </c>
      <c r="X986" s="38"/>
      <c r="Y986" s="354" t="s">
        <v>1908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1909</v>
      </c>
      <c r="AI986" s="353" t="s">
        <v>552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1.649121790041157E-3</v>
      </c>
      <c r="W987" s="35" t="s">
        <v>433</v>
      </c>
      <c r="X987" s="38"/>
      <c r="Y987" s="354" t="s">
        <v>1908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1909</v>
      </c>
      <c r="AI987" s="353" t="s">
        <v>552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1.1910324039186135E-3</v>
      </c>
      <c r="W988" s="35" t="s">
        <v>433</v>
      </c>
      <c r="X988" s="38"/>
      <c r="Y988" s="354" t="s">
        <v>1908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1909</v>
      </c>
      <c r="AI988" s="353" t="s">
        <v>552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1.1910324039186135E-3</v>
      </c>
      <c r="W989" s="35" t="s">
        <v>433</v>
      </c>
      <c r="X989" s="38"/>
      <c r="Y989" s="354" t="s">
        <v>1908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1909</v>
      </c>
      <c r="AI989" s="353" t="s">
        <v>552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1.2826502811431222E-3</v>
      </c>
      <c r="W990" s="35" t="s">
        <v>433</v>
      </c>
      <c r="X990" s="38"/>
      <c r="Y990" s="354" t="s">
        <v>1908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1909</v>
      </c>
      <c r="AI990" s="353" t="s">
        <v>552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1.1910324039186135E-3</v>
      </c>
      <c r="W991" s="35" t="s">
        <v>433</v>
      </c>
      <c r="X991" s="38"/>
      <c r="Y991" s="354" t="s">
        <v>1908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1909</v>
      </c>
      <c r="AI991" s="353" t="s">
        <v>552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1.2826502811431222E-3</v>
      </c>
      <c r="W992" s="35" t="s">
        <v>433</v>
      </c>
      <c r="X992" s="38"/>
      <c r="Y992" s="354" t="s">
        <v>1908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1909</v>
      </c>
      <c r="AI992" s="353" t="s">
        <v>552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1.4658860355921395E-3</v>
      </c>
      <c r="W993" s="35" t="s">
        <v>433</v>
      </c>
      <c r="X993" s="38"/>
      <c r="Y993" s="354" t="s">
        <v>1908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1909</v>
      </c>
      <c r="AI993" s="353" t="s">
        <v>552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1.1910324039186135E-3</v>
      </c>
      <c r="W994" s="35" t="s">
        <v>433</v>
      </c>
      <c r="X994" s="38"/>
      <c r="Y994" s="354" t="s">
        <v>1908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1909</v>
      </c>
      <c r="AI994" s="353" t="s">
        <v>552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9.1617877224508734E-4</v>
      </c>
      <c r="W995" s="35" t="s">
        <v>433</v>
      </c>
      <c r="X995" s="38"/>
      <c r="Y995" s="354" t="s">
        <v>1908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1909</v>
      </c>
      <c r="AI995" s="353" t="s">
        <v>552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1.8491681641643964E-4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1922</v>
      </c>
      <c r="AI996" s="32" t="s">
        <v>367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1.8491681641643964E-4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1923</v>
      </c>
      <c r="AI997" s="32" t="s">
        <v>367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1.8491681641643964E-4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1924</v>
      </c>
      <c r="AI998" s="32" t="s">
        <v>367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1.8491681641643964E-4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1925</v>
      </c>
      <c r="AI999" s="32" t="s">
        <v>367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1.8323575444901746E-4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1.8323575444901746E-4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1926</v>
      </c>
      <c r="AI1001" s="32" t="s">
        <v>367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1.8323575444901746E-4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1927</v>
      </c>
      <c r="AI1002" s="32" t="s">
        <v>367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1.4658860355921395E-3</v>
      </c>
      <c r="W1003" s="35" t="s">
        <v>433</v>
      </c>
      <c r="X1003" s="38"/>
      <c r="Y1003" s="354" t="s">
        <v>1908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1909</v>
      </c>
      <c r="AI1003" s="353" t="s">
        <v>552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1.649121790041157E-3</v>
      </c>
      <c r="W1004" s="35" t="s">
        <v>433</v>
      </c>
      <c r="X1004" s="38"/>
      <c r="Y1004" s="354" t="s">
        <v>1908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1909</v>
      </c>
      <c r="AI1004" s="353" t="s">
        <v>552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1.1910324039186135E-3</v>
      </c>
      <c r="W1005" s="35" t="s">
        <v>433</v>
      </c>
      <c r="X1005" s="38"/>
      <c r="Y1005" s="354" t="s">
        <v>1908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1909</v>
      </c>
      <c r="AI1005" s="353" t="s">
        <v>552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1.1910324039186135E-3</v>
      </c>
      <c r="W1006" s="35" t="s">
        <v>433</v>
      </c>
      <c r="X1006" s="38"/>
      <c r="Y1006" s="354" t="s">
        <v>1908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1909</v>
      </c>
      <c r="AI1006" s="353" t="s">
        <v>552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1.2826502811431222E-3</v>
      </c>
      <c r="W1007" s="35" t="s">
        <v>433</v>
      </c>
      <c r="X1007" s="38"/>
      <c r="Y1007" s="354" t="s">
        <v>1908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1928</v>
      </c>
      <c r="AI1007" s="32" t="s">
        <v>367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1.1910324039186135E-3</v>
      </c>
      <c r="W1008" s="35" t="s">
        <v>433</v>
      </c>
      <c r="X1008" s="38"/>
      <c r="Y1008" s="354" t="s">
        <v>1908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1928</v>
      </c>
      <c r="AI1008" s="32" t="s">
        <v>367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1.2826502811431222E-3</v>
      </c>
      <c r="W1009" s="35" t="s">
        <v>433</v>
      </c>
      <c r="X1009" s="38"/>
      <c r="Y1009" s="354" t="s">
        <v>1908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1928</v>
      </c>
      <c r="AI1009" s="32" t="s">
        <v>367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1.4658860355921395E-3</v>
      </c>
      <c r="W1010" s="35" t="s">
        <v>433</v>
      </c>
      <c r="X1010" s="38"/>
      <c r="Y1010" s="354" t="s">
        <v>1908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1928</v>
      </c>
      <c r="AI1010" s="32" t="s">
        <v>367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1.1910324039186135E-3</v>
      </c>
      <c r="W1011" s="35" t="s">
        <v>433</v>
      </c>
      <c r="X1011" s="38"/>
      <c r="Y1011" s="354" t="s">
        <v>1908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1928</v>
      </c>
      <c r="AI1011" s="32" t="s">
        <v>367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9.1617877224508734E-4</v>
      </c>
      <c r="W1012" s="35" t="s">
        <v>433</v>
      </c>
      <c r="X1012" s="38"/>
      <c r="Y1012" s="354" t="s">
        <v>1908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1928</v>
      </c>
      <c r="AI1012" s="32" t="s">
        <v>367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1.8323575444901746E-4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1929</v>
      </c>
      <c r="AI1013" s="32" t="s">
        <v>367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1.8491681641643964E-4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1930</v>
      </c>
      <c r="AI1014" s="32" t="s">
        <v>367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1.8491681641643964E-4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1.4658860355921395E-3</v>
      </c>
      <c r="W1016" s="35" t="s">
        <v>433</v>
      </c>
      <c r="X1016" s="38"/>
      <c r="Y1016" s="354" t="s">
        <v>1908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1928</v>
      </c>
      <c r="AI1016" s="32" t="s">
        <v>367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1.649121790041157E-3</v>
      </c>
      <c r="W1017" s="35" t="s">
        <v>433</v>
      </c>
      <c r="X1017" s="38"/>
      <c r="Y1017" s="354" t="s">
        <v>1908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1928</v>
      </c>
      <c r="AI1017" s="32" t="s">
        <v>367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1.1910324039186135E-3</v>
      </c>
      <c r="W1018" s="35" t="s">
        <v>433</v>
      </c>
      <c r="X1018" s="38"/>
      <c r="Y1018" s="354" t="s">
        <v>1908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1909</v>
      </c>
      <c r="AI1018" s="353" t="s">
        <v>552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1.2826502811431222E-3</v>
      </c>
      <c r="W1019" s="35" t="s">
        <v>433</v>
      </c>
      <c r="X1019" s="38"/>
      <c r="Y1019" s="354" t="s">
        <v>1908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1909</v>
      </c>
      <c r="AI1019" s="353" t="s">
        <v>552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1.8323575444901746E-4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1.8323575444901746E-4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1.8323575444901746E-4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1.8323575444901746E-4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1.1910324039186135E-3</v>
      </c>
      <c r="W1024" s="35" t="s">
        <v>433</v>
      </c>
      <c r="X1024" s="38"/>
      <c r="Y1024" s="354" t="s">
        <v>1908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1909</v>
      </c>
      <c r="AI1024" s="353" t="s">
        <v>552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1.2826502811431222E-3</v>
      </c>
      <c r="W1025" s="35" t="s">
        <v>433</v>
      </c>
      <c r="X1025" s="38"/>
      <c r="Y1025" s="354" t="s">
        <v>1908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1909</v>
      </c>
      <c r="AI1025" s="353" t="s">
        <v>552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1.8491681641643964E-4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1.8491681641643964E-4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1.8323575444901746E-4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1.8323575444901746E-4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1.8323575444901746E-4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1.1910324039186135E-3</v>
      </c>
      <c r="W1031" s="35" t="s">
        <v>433</v>
      </c>
      <c r="X1031" s="38"/>
      <c r="Y1031" s="354" t="s">
        <v>1908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1909</v>
      </c>
      <c r="AI1031" s="353" t="s">
        <v>552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1.2826502811431222E-3</v>
      </c>
      <c r="W1032" s="35" t="s">
        <v>433</v>
      </c>
      <c r="X1032" s="38"/>
      <c r="Y1032" s="354" t="s">
        <v>1908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1909</v>
      </c>
      <c r="AI1032" s="353" t="s">
        <v>552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433</v>
      </c>
      <c r="X1034" s="38"/>
      <c r="Y1034" s="354" t="s">
        <v>1908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1909</v>
      </c>
      <c r="AI1034" s="353" t="s">
        <v>552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433</v>
      </c>
      <c r="X1035" s="38"/>
      <c r="Y1035" s="354" t="s">
        <v>1908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1909</v>
      </c>
      <c r="AI1035" s="353" t="s">
        <v>552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1.8323575444901746E-4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1.8323575444901746E-4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1.1910324039186135E-3</v>
      </c>
      <c r="W1041" s="35" t="s">
        <v>433</v>
      </c>
      <c r="X1041" s="38"/>
      <c r="Y1041" s="354" t="s">
        <v>1908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1909</v>
      </c>
      <c r="AI1041" s="353" t="s">
        <v>552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1.2826502811431222E-3</v>
      </c>
      <c r="W1042" s="35" t="s">
        <v>433</v>
      </c>
      <c r="X1042" s="38"/>
      <c r="Y1042" s="354" t="s">
        <v>1908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1909</v>
      </c>
      <c r="AI1042" s="353" t="s">
        <v>552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2.6905396788591964E-2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1934</v>
      </c>
      <c r="AI1043" s="374" t="s">
        <v>367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1.1635470407512609E-2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1.2093559793635153E-2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1935</v>
      </c>
      <c r="AI1045" s="32" t="s">
        <v>367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1.8323575444901746E-4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1.8323575444901746E-4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1.8323575444901746E-4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1.8323575444901746E-4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1.8323575444901746E-4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1.8323575444901746E-4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1.1910324039186135E-3</v>
      </c>
      <c r="W1052" s="35" t="s">
        <v>433</v>
      </c>
      <c r="X1052" s="38"/>
      <c r="Y1052" s="354" t="s">
        <v>1908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1909</v>
      </c>
      <c r="AI1052" s="353" t="s">
        <v>552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1.2826502811431222E-3</v>
      </c>
      <c r="W1053" s="35" t="s">
        <v>433</v>
      </c>
      <c r="X1053" s="38"/>
      <c r="Y1053" s="354" t="s">
        <v>1908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1909</v>
      </c>
      <c r="AI1053" s="353" t="s">
        <v>552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2.6905396788591964E-2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1935</v>
      </c>
      <c r="AI1054" s="32" t="s">
        <v>367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2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1.2093559793635153E-2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8.5986319633644427E-3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1.1635470407512609E-2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1.8323575444901746E-4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1.1910324039186135E-3</v>
      </c>
      <c r="W1059" s="35" t="s">
        <v>433</v>
      </c>
      <c r="X1059" s="38"/>
      <c r="Y1059" s="354" t="s">
        <v>1908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1909</v>
      </c>
      <c r="AI1059" s="353" t="s">
        <v>552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1.2826502811431222E-3</v>
      </c>
      <c r="W1060" s="35" t="s">
        <v>433</v>
      </c>
      <c r="X1060" s="38"/>
      <c r="Y1060" s="354" t="s">
        <v>1908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1909</v>
      </c>
      <c r="AI1060" s="353" t="s">
        <v>552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1.8491681641643964E-4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1936</v>
      </c>
      <c r="AI1061" s="32" t="s">
        <v>367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1.8491681641643964E-4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1936</v>
      </c>
      <c r="AI1062" s="32" t="s">
        <v>367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1.8323575444901746E-4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1.8491681641643964E-4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1.8491681641643964E-4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1.8323575444901746E-4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1926</v>
      </c>
      <c r="AI1066" s="32" t="s">
        <v>367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1.8323575444901746E-4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1926</v>
      </c>
      <c r="AI1067" s="32" t="s">
        <v>367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1.8323575444901746E-4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1.1910324039186135E-3</v>
      </c>
      <c r="W1069" s="35" t="s">
        <v>433</v>
      </c>
      <c r="X1069" s="38"/>
      <c r="Y1069" s="354" t="s">
        <v>1908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1909</v>
      </c>
      <c r="AI1069" s="353" t="s">
        <v>552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1.2826502811431222E-3</v>
      </c>
      <c r="W1070" s="35" t="s">
        <v>433</v>
      </c>
      <c r="X1070" s="38"/>
      <c r="Y1070" s="354" t="s">
        <v>1908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1909</v>
      </c>
      <c r="AI1070" s="353" t="s">
        <v>552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60">
        <f ca="1">IFERROR(_xlfn.XLOOKUP(PA[[#This Row],[Affected Equipment ]],'Basic Data'!N:N,'Basic Data'!R:R),"")</f>
        <v>1.8323575444901746E-4</v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1" t="s">
        <v>460</v>
      </c>
      <c r="AI1071" s="32" t="s">
        <v>367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1" t="s">
        <v>460</v>
      </c>
      <c r="AI1072" s="32" t="s">
        <v>367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433</v>
      </c>
      <c r="X1073" s="38"/>
      <c r="Y1073" s="354" t="s">
        <v>1908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2" t="s">
        <v>1909</v>
      </c>
      <c r="AI1073" s="353" t="s">
        <v>552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433</v>
      </c>
      <c r="X1074" s="38"/>
      <c r="Y1074" s="354" t="s">
        <v>1908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2" t="s">
        <v>1909</v>
      </c>
      <c r="AI1074" s="353" t="s">
        <v>552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424</v>
      </c>
      <c r="M1075" s="32" t="s">
        <v>436</v>
      </c>
      <c r="N1075" s="36" t="s">
        <v>412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413</v>
      </c>
      <c r="X1075" s="39"/>
      <c r="Y1075" s="376" t="s">
        <v>537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5" t="s">
        <v>1937</v>
      </c>
      <c r="AI1075" s="32" t="s">
        <v>367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363</v>
      </c>
      <c r="F1076" s="36" t="s">
        <v>363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674</v>
      </c>
      <c r="M1076" s="32" t="s">
        <v>410</v>
      </c>
      <c r="N1076" s="36" t="s">
        <v>416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413</v>
      </c>
      <c r="X1076" s="38"/>
      <c r="Y1076" s="377" t="s">
        <v>1938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8" t="s">
        <v>1939</v>
      </c>
      <c r="AI1076" s="32" t="s">
        <v>367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363</v>
      </c>
      <c r="F1077" s="36" t="s">
        <v>363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674</v>
      </c>
      <c r="M1077" s="32" t="s">
        <v>403</v>
      </c>
      <c r="N1077" s="36" t="s">
        <v>416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413</v>
      </c>
      <c r="X1077" s="38"/>
      <c r="Y1077" s="377" t="s">
        <v>1940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8" t="s">
        <v>655</v>
      </c>
      <c r="AI1077" s="32" t="s">
        <v>367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363</v>
      </c>
      <c r="F1078" s="36" t="s">
        <v>363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674</v>
      </c>
      <c r="M1078" s="32" t="s">
        <v>403</v>
      </c>
      <c r="N1078" s="36" t="s">
        <v>404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>
        <f ca="1">IFERROR(_xlfn.XLOOKUP(PA[[#This Row],[Affected Equipment ]],'Basic Data'!N:N,'Basic Data'!R:R),"")</f>
        <v>7.0545765462871708E-3</v>
      </c>
      <c r="W1078" s="37" t="s">
        <v>413</v>
      </c>
      <c r="X1078" s="38"/>
      <c r="Y1078" s="377" t="s">
        <v>1940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8" t="s">
        <v>655</v>
      </c>
      <c r="AI1078" s="32" t="s">
        <v>367</v>
      </c>
      <c r="AJ1078" s="34">
        <f ca="1">IFERROR(PA[[#This Row],[Breakdown Time]]*PA[[#This Row],[Plant Equivalent Weightage]],"")</f>
        <v>2.3515255154290672E-3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363</v>
      </c>
      <c r="F1079" s="36" t="s">
        <v>363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674</v>
      </c>
      <c r="M1079" s="32" t="s">
        <v>410</v>
      </c>
      <c r="N1079" s="36" t="s">
        <v>404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413</v>
      </c>
      <c r="X1079" s="38"/>
      <c r="Y1079" s="377" t="s">
        <v>1940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8" t="s">
        <v>655</v>
      </c>
      <c r="AI1079" s="32" t="s">
        <v>367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363</v>
      </c>
      <c r="F1080" s="36" t="s">
        <v>363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510</v>
      </c>
      <c r="M1080" s="32" t="s">
        <v>403</v>
      </c>
      <c r="N1080" s="36" t="s">
        <v>412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>
        <f ca="1">IFERROR(_xlfn.XLOOKUP(PA[[#This Row],[Affected Equipment ]],'Basic Data'!N:N,'Basic Data'!R:R),"")</f>
        <v>1.2001941916410642E-2</v>
      </c>
      <c r="W1080" s="37" t="s">
        <v>413</v>
      </c>
      <c r="X1080" s="38"/>
      <c r="Y1080" s="377" t="s">
        <v>1940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8" t="s">
        <v>655</v>
      </c>
      <c r="AI1080" s="32" t="s">
        <v>367</v>
      </c>
      <c r="AJ1080" s="34">
        <f ca="1">IFERROR(PA[[#This Row],[Breakdown Time]]*PA[[#This Row],[Plant Equivalent Weightage]],"")</f>
        <v>7.601229880393412E-3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363</v>
      </c>
      <c r="F1081" s="36" t="s">
        <v>363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510</v>
      </c>
      <c r="M1081" s="32" t="s">
        <v>410</v>
      </c>
      <c r="N1081" s="36" t="s">
        <v>416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>
        <f ca="1">IFERROR(_xlfn.XLOOKUP(PA[[#This Row],[Affected Equipment ]],'Basic Data'!N:N,'Basic Data'!R:R),"")</f>
        <v>1.1543852530288098E-2</v>
      </c>
      <c r="W1081" s="37" t="s">
        <v>413</v>
      </c>
      <c r="X1081" s="38"/>
      <c r="Y1081" s="377" t="s">
        <v>1940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8" t="s">
        <v>655</v>
      </c>
      <c r="AI1081" s="32" t="s">
        <v>367</v>
      </c>
      <c r="AJ1081" s="34">
        <f ca="1">IFERROR(PA[[#This Row],[Breakdown Time]]*PA[[#This Row],[Plant Equivalent Weightage]],"")</f>
        <v>7.3111066025158006E-3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363</v>
      </c>
      <c r="F1082" s="36" t="s">
        <v>363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510</v>
      </c>
      <c r="M1082" s="32" t="s">
        <v>410</v>
      </c>
      <c r="N1082" s="36" t="s">
        <v>443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413</v>
      </c>
      <c r="X1082" s="38"/>
      <c r="Y1082" s="377" t="s">
        <v>1940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8" t="s">
        <v>655</v>
      </c>
      <c r="AI1082" s="32" t="s">
        <v>367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363</v>
      </c>
      <c r="F1083" s="36" t="s">
        <v>363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424</v>
      </c>
      <c r="M1083" s="32" t="s">
        <v>483</v>
      </c>
      <c r="N1083" s="36" t="s">
        <v>412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413</v>
      </c>
      <c r="X1083" s="38"/>
      <c r="Y1083" s="377" t="s">
        <v>1940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8" t="s">
        <v>655</v>
      </c>
      <c r="AI1083" s="32" t="s">
        <v>367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363</v>
      </c>
      <c r="F1084" s="36" t="s">
        <v>363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473</v>
      </c>
      <c r="M1084" s="32" t="s">
        <v>410</v>
      </c>
      <c r="N1084" s="36" t="s">
        <v>412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413</v>
      </c>
      <c r="X1084" s="38"/>
      <c r="Y1084" s="377" t="s">
        <v>1940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8" t="s">
        <v>655</v>
      </c>
      <c r="AI1084" s="32" t="s">
        <v>367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363</v>
      </c>
      <c r="F1085" s="36" t="s">
        <v>363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946</v>
      </c>
      <c r="M1085" s="32" t="s">
        <v>403</v>
      </c>
      <c r="N1085" s="36" t="s">
        <v>412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413</v>
      </c>
      <c r="X1085" s="38"/>
      <c r="Y1085" s="377" t="s">
        <v>1940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8" t="s">
        <v>655</v>
      </c>
      <c r="AI1085" s="32" t="s">
        <v>367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363</v>
      </c>
      <c r="F1086" s="36" t="s">
        <v>363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450</v>
      </c>
      <c r="M1086" s="32" t="s">
        <v>403</v>
      </c>
      <c r="N1086" s="36" t="s">
        <v>412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413</v>
      </c>
      <c r="X1086" s="38"/>
      <c r="Y1086" s="377" t="s">
        <v>1940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8" t="s">
        <v>655</v>
      </c>
      <c r="AI1086" s="32" t="s">
        <v>367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363</v>
      </c>
      <c r="F1087" s="36" t="s">
        <v>363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450</v>
      </c>
      <c r="M1087" s="32" t="s">
        <v>403</v>
      </c>
      <c r="N1087" s="36" t="s">
        <v>443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413</v>
      </c>
      <c r="X1087" s="38"/>
      <c r="Y1087" s="377" t="s">
        <v>1940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8" t="s">
        <v>655</v>
      </c>
      <c r="AI1087" s="32" t="s">
        <v>367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363</v>
      </c>
      <c r="F1088" s="36" t="s">
        <v>363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450</v>
      </c>
      <c r="M1088" s="32" t="s">
        <v>410</v>
      </c>
      <c r="N1088" s="36" t="s">
        <v>416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413</v>
      </c>
      <c r="X1088" s="38"/>
      <c r="Y1088" s="377" t="s">
        <v>1940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8" t="s">
        <v>655</v>
      </c>
      <c r="AI1088" s="32" t="s">
        <v>367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363</v>
      </c>
      <c r="F1089" s="36" t="s">
        <v>363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418</v>
      </c>
      <c r="M1089" s="32" t="s">
        <v>403</v>
      </c>
      <c r="N1089" s="36" t="s">
        <v>416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413</v>
      </c>
      <c r="X1089" s="38"/>
      <c r="Y1089" s="377" t="s">
        <v>1940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8" t="s">
        <v>655</v>
      </c>
      <c r="AI1089" s="32" t="s">
        <v>367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363</v>
      </c>
      <c r="F1090" s="36" t="s">
        <v>363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418</v>
      </c>
      <c r="M1090" s="32" t="s">
        <v>403</v>
      </c>
      <c r="N1090" s="36" t="s">
        <v>404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413</v>
      </c>
      <c r="X1090" s="38"/>
      <c r="Y1090" s="377" t="s">
        <v>1940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8" t="s">
        <v>655</v>
      </c>
      <c r="AI1090" s="32" t="s">
        <v>367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363</v>
      </c>
      <c r="F1091" s="36" t="s">
        <v>363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418</v>
      </c>
      <c r="M1091" s="32" t="s">
        <v>410</v>
      </c>
      <c r="N1091" s="36" t="s">
        <v>416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413</v>
      </c>
      <c r="X1091" s="39"/>
      <c r="Y1091" s="377" t="s">
        <v>1940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8" t="s">
        <v>655</v>
      </c>
      <c r="AI1091" s="32" t="s">
        <v>367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363</v>
      </c>
      <c r="F1092" s="36" t="s">
        <v>363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418</v>
      </c>
      <c r="M1092" s="32" t="s">
        <v>410</v>
      </c>
      <c r="N1092" s="36" t="s">
        <v>412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413</v>
      </c>
      <c r="X1092" s="38"/>
      <c r="Y1092" s="377" t="s">
        <v>1940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8" t="s">
        <v>655</v>
      </c>
      <c r="AI1092" s="32" t="s">
        <v>367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363</v>
      </c>
      <c r="F1093" s="36" t="s">
        <v>363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418</v>
      </c>
      <c r="M1093" s="32" t="s">
        <v>410</v>
      </c>
      <c r="N1093" s="36" t="s">
        <v>404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413</v>
      </c>
      <c r="X1093" s="38"/>
      <c r="Y1093" s="377" t="s">
        <v>1940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8" t="s">
        <v>655</v>
      </c>
      <c r="AI1093" s="32" t="s">
        <v>367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363</v>
      </c>
      <c r="F1094" s="36" t="s">
        <v>363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423</v>
      </c>
      <c r="M1094" s="32" t="s">
        <v>403</v>
      </c>
      <c r="N1094" s="36" t="s">
        <v>416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413</v>
      </c>
      <c r="X1094" s="38"/>
      <c r="Y1094" s="377" t="s">
        <v>1940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8" t="s">
        <v>655</v>
      </c>
      <c r="AI1094" s="32" t="s">
        <v>367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363</v>
      </c>
      <c r="F1095" s="36" t="s">
        <v>363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423</v>
      </c>
      <c r="M1095" s="32" t="s">
        <v>403</v>
      </c>
      <c r="N1095" s="36" t="s">
        <v>412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413</v>
      </c>
      <c r="X1095" s="38"/>
      <c r="Y1095" s="377" t="s">
        <v>1940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8" t="s">
        <v>655</v>
      </c>
      <c r="AI1095" s="32" t="s">
        <v>367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363</v>
      </c>
      <c r="F1096" s="36" t="s">
        <v>363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876</v>
      </c>
      <c r="M1096" s="32" t="s">
        <v>403</v>
      </c>
      <c r="N1096" s="36" t="s">
        <v>412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413</v>
      </c>
      <c r="X1096" s="38"/>
      <c r="Y1096" s="377" t="s">
        <v>1940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8" t="s">
        <v>655</v>
      </c>
      <c r="AI1096" s="32" t="s">
        <v>367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363</v>
      </c>
      <c r="F1097" s="36" t="s">
        <v>363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514</v>
      </c>
      <c r="M1097" s="32" t="s">
        <v>410</v>
      </c>
      <c r="N1097" s="36" t="s">
        <v>412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413</v>
      </c>
      <c r="X1097" s="38"/>
      <c r="Y1097" s="377" t="s">
        <v>1940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8" t="s">
        <v>655</v>
      </c>
      <c r="AI1097" s="32" t="s">
        <v>367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363</v>
      </c>
      <c r="F1098" s="36" t="s">
        <v>363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478</v>
      </c>
      <c r="M1098" s="32" t="s">
        <v>410</v>
      </c>
      <c r="N1098" s="36" t="s">
        <v>416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413</v>
      </c>
      <c r="X1098" s="38"/>
      <c r="Y1098" s="377" t="s">
        <v>1940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8" t="s">
        <v>655</v>
      </c>
      <c r="AI1098" s="32" t="s">
        <v>367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363</v>
      </c>
      <c r="F1099" s="36" t="s">
        <v>363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524</v>
      </c>
      <c r="M1099" s="32"/>
      <c r="N1099" s="32"/>
      <c r="O1099" s="35"/>
      <c r="P1099" s="35"/>
      <c r="Q1099" s="32" t="s">
        <v>520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428</v>
      </c>
      <c r="X1099" s="38"/>
      <c r="Y1099" s="377" t="s">
        <v>429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8" t="s">
        <v>422</v>
      </c>
      <c r="AI1099" s="32" t="s">
        <v>367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363</v>
      </c>
      <c r="F1100" s="36" t="s">
        <v>363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427</v>
      </c>
      <c r="M1100" s="32" t="s">
        <v>403</v>
      </c>
      <c r="N1100" s="36" t="s">
        <v>412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413</v>
      </c>
      <c r="X1100" s="39"/>
      <c r="Y1100" s="377" t="s">
        <v>1940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8" t="s">
        <v>655</v>
      </c>
      <c r="AI1100" s="32" t="s">
        <v>367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363</v>
      </c>
      <c r="F1101" s="36" t="s">
        <v>363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427</v>
      </c>
      <c r="M1101" s="32" t="s">
        <v>410</v>
      </c>
      <c r="N1101" s="36" t="s">
        <v>412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413</v>
      </c>
      <c r="X1101" s="38"/>
      <c r="Y1101" s="377" t="s">
        <v>1940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8" t="s">
        <v>655</v>
      </c>
      <c r="AI1101" s="32" t="s">
        <v>367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363</v>
      </c>
      <c r="F1102" s="36" t="s">
        <v>363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411</v>
      </c>
      <c r="M1102" s="32" t="s">
        <v>403</v>
      </c>
      <c r="N1102" s="36" t="s">
        <v>416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413</v>
      </c>
      <c r="X1102" s="38"/>
      <c r="Y1102" s="377" t="s">
        <v>1940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8" t="s">
        <v>655</v>
      </c>
      <c r="AI1102" s="32" t="s">
        <v>367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363</v>
      </c>
      <c r="F1103" s="36" t="s">
        <v>363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411</v>
      </c>
      <c r="M1103" s="32" t="s">
        <v>403</v>
      </c>
      <c r="N1103" s="36" t="s">
        <v>412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413</v>
      </c>
      <c r="X1103" s="38"/>
      <c r="Y1103" s="377" t="s">
        <v>1940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8" t="s">
        <v>655</v>
      </c>
      <c r="AI1103" s="32" t="s">
        <v>367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363</v>
      </c>
      <c r="F1104" s="36" t="s">
        <v>363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411</v>
      </c>
      <c r="M1104" s="32" t="s">
        <v>410</v>
      </c>
      <c r="N1104" s="36" t="s">
        <v>416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413</v>
      </c>
      <c r="X1104" s="38"/>
      <c r="Y1104" s="377" t="s">
        <v>1940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8" t="s">
        <v>655</v>
      </c>
      <c r="AI1104" s="32" t="s">
        <v>367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363</v>
      </c>
      <c r="F1105" s="36" t="s">
        <v>363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411</v>
      </c>
      <c r="M1105" s="32" t="s">
        <v>410</v>
      </c>
      <c r="N1105" s="36" t="s">
        <v>412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413</v>
      </c>
      <c r="X1105" s="39"/>
      <c r="Y1105" s="377" t="s">
        <v>1940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8" t="s">
        <v>655</v>
      </c>
      <c r="AI1105" s="32" t="s">
        <v>367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363</v>
      </c>
      <c r="F1106" s="36" t="s">
        <v>363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411</v>
      </c>
      <c r="M1106" s="32" t="s">
        <v>436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474</v>
      </c>
      <c r="X1106" s="38"/>
      <c r="Y1106" s="377" t="s">
        <v>1940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8" t="s">
        <v>655</v>
      </c>
      <c r="AI1106" s="32" t="s">
        <v>367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363</v>
      </c>
      <c r="F1107" s="36" t="s">
        <v>363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411</v>
      </c>
      <c r="M1107" s="32" t="s">
        <v>483</v>
      </c>
      <c r="N1107" s="36" t="s">
        <v>412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413</v>
      </c>
      <c r="X1107" s="39"/>
      <c r="Y1107" s="377" t="s">
        <v>1940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8" t="s">
        <v>655</v>
      </c>
      <c r="AI1107" s="32" t="s">
        <v>367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363</v>
      </c>
      <c r="F1108" s="36" t="s">
        <v>363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510</v>
      </c>
      <c r="M1108" s="32" t="s">
        <v>403</v>
      </c>
      <c r="N1108" s="32" t="s">
        <v>412</v>
      </c>
      <c r="O1108" s="35" t="s">
        <v>472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433</v>
      </c>
      <c r="X1108" s="38"/>
      <c r="Y1108" s="354" t="s">
        <v>1908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2" t="s">
        <v>1909</v>
      </c>
      <c r="AI1108" s="353" t="s">
        <v>552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363</v>
      </c>
      <c r="F1109" s="36" t="s">
        <v>363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510</v>
      </c>
      <c r="M1109" s="36" t="s">
        <v>403</v>
      </c>
      <c r="N1109" s="36" t="s">
        <v>412</v>
      </c>
      <c r="O1109" s="37" t="s">
        <v>446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433</v>
      </c>
      <c r="X1109" s="38"/>
      <c r="Y1109" s="354" t="s">
        <v>1908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2" t="s">
        <v>1909</v>
      </c>
      <c r="AI1109" s="353" t="s">
        <v>552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363</v>
      </c>
      <c r="F1110" s="36" t="s">
        <v>363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608</v>
      </c>
      <c r="M1110" s="36" t="s">
        <v>403</v>
      </c>
      <c r="N1110" s="36" t="s">
        <v>443</v>
      </c>
      <c r="O1110" s="37" t="s">
        <v>458</v>
      </c>
      <c r="P1110" s="37" t="s">
        <v>471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81">
        <f ca="1">IFERROR(_xlfn.XLOOKUP(PA[[#This Row],[Affected Equipment ]],'Basic Data'!N:N,'Basic Data'!R:R),"")</f>
        <v>1.8323575444901746E-4</v>
      </c>
      <c r="W1110" s="35" t="s">
        <v>447</v>
      </c>
      <c r="X1110" s="38"/>
      <c r="Y1110" s="377" t="s">
        <v>469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71" t="s">
        <v>688</v>
      </c>
      <c r="AI1110" s="32" t="s">
        <v>367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363</v>
      </c>
      <c r="F1111" s="36" t="s">
        <v>363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510</v>
      </c>
      <c r="M1111" s="32" t="s">
        <v>403</v>
      </c>
      <c r="N1111" s="32" t="s">
        <v>412</v>
      </c>
      <c r="O1111" s="35" t="s">
        <v>472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81">
        <f ca="1">IFERROR(_xlfn.XLOOKUP(PA[[#This Row],[Affected Equipment ]],'Basic Data'!N:N,'Basic Data'!R:R),"")</f>
        <v>1.1910324039186135E-3</v>
      </c>
      <c r="W1111" s="35" t="s">
        <v>433</v>
      </c>
      <c r="X1111" s="38"/>
      <c r="Y1111" s="354" t="s">
        <v>1908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2" t="s">
        <v>1909</v>
      </c>
      <c r="AI1111" s="353" t="s">
        <v>552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363</v>
      </c>
      <c r="F1112" s="36" t="s">
        <v>363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510</v>
      </c>
      <c r="M1112" s="36" t="s">
        <v>403</v>
      </c>
      <c r="N1112" s="36" t="s">
        <v>412</v>
      </c>
      <c r="O1112" s="37" t="s">
        <v>446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82">
        <f ca="1">IFERROR(_xlfn.XLOOKUP(PA[[#This Row],[Affected Equipment ]],'Basic Data'!N:N,'Basic Data'!R:R),"")</f>
        <v>1.2826502811431222E-3</v>
      </c>
      <c r="W1112" s="35" t="s">
        <v>433</v>
      </c>
      <c r="X1112" s="38"/>
      <c r="Y1112" s="354" t="s">
        <v>1908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2" t="s">
        <v>1909</v>
      </c>
      <c r="AI1112" s="353" t="s">
        <v>552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29"/>
      <c r="B1113" s="30"/>
      <c r="C1113" s="183">
        <f>YEAR(PA[[#This Row],[Date]])+IF(MONTH(PA[[#This Row],[Date]])&gt;=4,1,0)</f>
        <v>1900</v>
      </c>
      <c r="D1113" s="32">
        <f>YEAR(PA[[#This Row],[Date]])</f>
        <v>1900</v>
      </c>
      <c r="E1113" s="36"/>
      <c r="F1113" s="36"/>
      <c r="G1113" s="216"/>
      <c r="H1113" s="31">
        <f>DAY(EOMONTH(PA[[#This Row],[Month Year]],0))</f>
        <v>31</v>
      </c>
      <c r="I1113" s="33"/>
      <c r="J1113" s="33"/>
      <c r="K1113" s="34"/>
      <c r="L1113" s="32"/>
      <c r="M1113" s="32"/>
      <c r="N1113" s="32"/>
      <c r="O1113" s="35"/>
      <c r="P1113" s="35"/>
      <c r="Q1113" s="32"/>
      <c r="R1113" s="31">
        <f>IF((PA[[#This Row],[String Type(If String BD)]]&amp;PA[[#This Row],[Equipment (If any BD other than PV  array and inv)]])="",1,0)</f>
        <v>1</v>
      </c>
      <c r="S1113" s="31">
        <f>IF(PA[[#This Row],[String Type(If String BD)]]="",1,0)</f>
        <v>1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113" s="34" t="str">
        <f>IFERROR(_xlfn.XLOOKUP(PA[[#This Row],[Affected Equipment ]],'Basic Data'!N:N,'Basic Data'!Q:Q),"")</f>
        <v/>
      </c>
      <c r="V1113" s="381" t="str">
        <f>IFERROR(_xlfn.XLOOKUP(PA[[#This Row],[Affected Equipment ]],'Basic Data'!N:N,'Basic Data'!R:R),"")</f>
        <v/>
      </c>
      <c r="W1113" s="35"/>
      <c r="X1113" s="38"/>
      <c r="Y1113" s="38"/>
      <c r="Z1113" s="44"/>
      <c r="AA1113" s="40"/>
      <c r="AB1113" s="41"/>
      <c r="AC1113" s="44"/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0</v>
      </c>
      <c r="AG1113" s="42">
        <f>IFERROR((PA[[#This Row],[Work Completion time on fault]]-PA[[#This Row],[Fault Time]])*24,"")</f>
        <v>0</v>
      </c>
      <c r="AH1113" s="35"/>
      <c r="AI1113" s="32"/>
      <c r="AJ1113" s="34" t="str">
        <f>IFERROR(PA[[#This Row],[Breakdown Time]]*PA[[#This Row],[Plant Equivalent Weightage]],"")</f>
        <v/>
      </c>
      <c r="AK1113" s="35"/>
      <c r="AL1113" s="49" t="str">
        <f>IFERROR((_xlfn.XLOOKUP($G1113,'Modelling New'!$D:$D,'Modelling New'!$O:$O)*PA[[#This Row],[Lost PoA(Wh/m2)]]*PA[[#This Row],[DC Capacity Affected (kW)]])/1000,"")</f>
        <v/>
      </c>
    </row>
    <row r="1114" spans="1:38">
      <c r="A1114" s="29"/>
      <c r="B1114" s="30"/>
      <c r="C1114" s="183">
        <f>YEAR(PA[[#This Row],[Date]])+IF(MONTH(PA[[#This Row],[Date]])&gt;=4,1,0)</f>
        <v>1900</v>
      </c>
      <c r="D1114" s="32">
        <f>YEAR(PA[[#This Row],[Date]])</f>
        <v>1900</v>
      </c>
      <c r="E1114" s="36"/>
      <c r="F1114" s="36"/>
      <c r="G1114" s="216"/>
      <c r="H1114" s="31">
        <f>DAY(EOMONTH(PA[[#This Row],[Month Year]],0))</f>
        <v>31</v>
      </c>
      <c r="I1114" s="33"/>
      <c r="J1114" s="33"/>
      <c r="K1114" s="34"/>
      <c r="L1114" s="32"/>
      <c r="M1114" s="32"/>
      <c r="N1114" s="32"/>
      <c r="O1114" s="35"/>
      <c r="P1114" s="35"/>
      <c r="Q1114" s="32"/>
      <c r="R1114" s="31">
        <f>IF((PA[[#This Row],[String Type(If String BD)]]&amp;PA[[#This Row],[Equipment (If any BD other than PV  array and inv)]])="",1,0)</f>
        <v>1</v>
      </c>
      <c r="S1114" s="31">
        <f>IF(PA[[#This Row],[String Type(If String BD)]]="",1,0)</f>
        <v>1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114" s="34" t="str">
        <f>IFERROR(_xlfn.XLOOKUP(PA[[#This Row],[Affected Equipment ]],'Basic Data'!N:N,'Basic Data'!Q:Q),"")</f>
        <v/>
      </c>
      <c r="V1114" s="381" t="str">
        <f>IFERROR(_xlfn.XLOOKUP(PA[[#This Row],[Affected Equipment ]],'Basic Data'!N:N,'Basic Data'!R:R),"")</f>
        <v/>
      </c>
      <c r="W1114" s="35"/>
      <c r="X1114" s="38"/>
      <c r="Y1114" s="38"/>
      <c r="Z1114" s="44"/>
      <c r="AA1114" s="40"/>
      <c r="AB1114" s="41"/>
      <c r="AC1114" s="44"/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0</v>
      </c>
      <c r="AG1114" s="42">
        <f>IFERROR((PA[[#This Row],[Work Completion time on fault]]-PA[[#This Row],[Fault Time]])*24,"")</f>
        <v>0</v>
      </c>
      <c r="AH1114" s="35"/>
      <c r="AI1114" s="32"/>
      <c r="AJ1114" s="34" t="str">
        <f>IFERROR(PA[[#This Row],[Breakdown Time]]*PA[[#This Row],[Plant Equivalent Weightage]],"")</f>
        <v/>
      </c>
      <c r="AK1114" s="35"/>
      <c r="AL1114" s="49" t="str">
        <f>IFERROR((_xlfn.XLOOKUP($G1114,'Modelling New'!$D:$D,'Modelling New'!$O:$O)*PA[[#This Row],[Lost PoA(Wh/m2)]]*PA[[#This Row],[DC Capacity Affected (kW)]])/1000,"")</f>
        <v/>
      </c>
    </row>
    <row r="1115" spans="1:38">
      <c r="A1115" s="29"/>
      <c r="B1115" s="30"/>
      <c r="C1115" s="183">
        <f>YEAR(PA[[#This Row],[Date]])+IF(MONTH(PA[[#This Row],[Date]])&gt;=4,1,0)</f>
        <v>1900</v>
      </c>
      <c r="D1115" s="32">
        <f>YEAR(PA[[#This Row],[Date]])</f>
        <v>1900</v>
      </c>
      <c r="E1115" s="36"/>
      <c r="F1115" s="36"/>
      <c r="G1115" s="216"/>
      <c r="H1115" s="31">
        <f>DAY(EOMONTH(PA[[#This Row],[Month Year]],0))</f>
        <v>31</v>
      </c>
      <c r="I1115" s="33"/>
      <c r="J1115" s="33"/>
      <c r="K1115" s="34"/>
      <c r="L1115" s="32"/>
      <c r="M1115" s="32"/>
      <c r="N1115" s="32"/>
      <c r="O1115" s="35"/>
      <c r="P1115" s="35"/>
      <c r="Q1115" s="32"/>
      <c r="R1115" s="31">
        <f>IF((PA[[#This Row],[String Type(If String BD)]]&amp;PA[[#This Row],[Equipment (If any BD other than PV  array and inv)]])="",1,0)</f>
        <v>1</v>
      </c>
      <c r="S1115" s="31">
        <f>IF(PA[[#This Row],[String Type(If String BD)]]="",1,0)</f>
        <v>1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115" s="34" t="str">
        <f>IFERROR(_xlfn.XLOOKUP(PA[[#This Row],[Affected Equipment ]],'Basic Data'!N:N,'Basic Data'!Q:Q),"")</f>
        <v/>
      </c>
      <c r="V1115" s="381" t="str">
        <f>IFERROR(_xlfn.XLOOKUP(PA[[#This Row],[Affected Equipment ]],'Basic Data'!N:N,'Basic Data'!R:R),"")</f>
        <v/>
      </c>
      <c r="W1115" s="35"/>
      <c r="X1115" s="38"/>
      <c r="Y1115" s="38"/>
      <c r="Z1115" s="44"/>
      <c r="AA1115" s="40"/>
      <c r="AB1115" s="41"/>
      <c r="AC1115" s="44"/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0</v>
      </c>
      <c r="AG1115" s="42">
        <f>IFERROR((PA[[#This Row],[Work Completion time on fault]]-PA[[#This Row],[Fault Time]])*24,"")</f>
        <v>0</v>
      </c>
      <c r="AH1115" s="35"/>
      <c r="AI1115" s="32"/>
      <c r="AJ1115" s="34" t="str">
        <f>IFERROR(PA[[#This Row],[Breakdown Time]]*PA[[#This Row],[Plant Equivalent Weightage]],"")</f>
        <v/>
      </c>
      <c r="AK1115" s="35"/>
      <c r="AL1115" s="49" t="str">
        <f>IFERROR((_xlfn.XLOOKUP($G1115,'Modelling New'!$D:$D,'Modelling New'!$O:$O)*PA[[#This Row],[Lost PoA(Wh/m2)]]*PA[[#This Row],[DC Capacity Affected (kW)]])/1000,"")</f>
        <v/>
      </c>
    </row>
    <row r="1116" spans="1:38">
      <c r="A1116" s="173"/>
      <c r="B1116" s="134"/>
      <c r="C1116" s="182">
        <f>YEAR(PA[[#This Row],[Date]])+IF(MONTH(PA[[#This Row],[Date]])&gt;=4,1,0)</f>
        <v>1900</v>
      </c>
      <c r="D1116" s="32">
        <f>YEAR(PA[[#This Row],[Date]])</f>
        <v>1900</v>
      </c>
      <c r="E1116" s="36"/>
      <c r="F1116" s="36"/>
      <c r="G1116" s="216"/>
      <c r="H1116" s="174">
        <f>DAY(EOMONTH(PA[[#This Row],[Month Year]],0))</f>
        <v>31</v>
      </c>
      <c r="I1116" s="33"/>
      <c r="J1116" s="33"/>
      <c r="K1116" s="34"/>
      <c r="L1116" s="36"/>
      <c r="M1116" s="36"/>
      <c r="N1116" s="36"/>
      <c r="O1116" s="37"/>
      <c r="P1116" s="37"/>
      <c r="Q1116" s="32"/>
      <c r="R1116" s="174">
        <f>IF((PA[[#This Row],[String Type(If String BD)]]&amp;PA[[#This Row],[Equipment (If any BD other than PV  array and inv)]])="",1,0)</f>
        <v>1</v>
      </c>
      <c r="S1116" s="174">
        <f>IF(PA[[#This Row],[String Type(If String BD)]]="",1,0)</f>
        <v>1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116" s="175" t="str">
        <f>IFERROR(_xlfn.XLOOKUP(PA[[#This Row],[Affected Equipment ]],'Basic Data'!N:N,'Basic Data'!Q:Q),"")</f>
        <v/>
      </c>
      <c r="V1116" s="382" t="str">
        <f>IFERROR(_xlfn.XLOOKUP(PA[[#This Row],[Affected Equipment ]],'Basic Data'!N:N,'Basic Data'!R:R),"")</f>
        <v/>
      </c>
      <c r="W1116" s="35"/>
      <c r="X1116" s="39"/>
      <c r="Y1116" s="39"/>
      <c r="Z1116" s="45"/>
      <c r="AA1116" s="46"/>
      <c r="AB1116" s="47"/>
      <c r="AC1116" s="45"/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0</v>
      </c>
      <c r="AG1116" s="176">
        <f>IFERROR((PA[[#This Row],[Work Completion time on fault]]-PA[[#This Row],[Fault Time]])*24,"")</f>
        <v>0</v>
      </c>
      <c r="AH1116" s="37"/>
      <c r="AI1116" s="36"/>
      <c r="AJ1116" s="175" t="str">
        <f>IFERROR(PA[[#This Row],[Breakdown Time]]*PA[[#This Row],[Plant Equivalent Weightage]],"")</f>
        <v/>
      </c>
      <c r="AK1116" s="35"/>
      <c r="AL1116" s="277" t="str">
        <f>IFERROR((_xlfn.XLOOKUP($G1116,'Modelling New'!$D:$D,'Modelling New'!$O:$O)*PA[[#This Row],[Lost PoA(Wh/m2)]]*PA[[#This Row],[DC Capacity Affected (kW)]])/1000,"")</f>
        <v/>
      </c>
    </row>
  </sheetData>
  <phoneticPr fontId="4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N1107:N1112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O1108:O1112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Q2:Q1116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W2:W1116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M1100:M1112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28</v>
      </c>
      <c r="R29" s="261">
        <f t="shared" si="15"/>
        <v>127.53548387096774</v>
      </c>
      <c r="S29" s="269">
        <f>SUMIF($F$2:F37,F29,$R$2:R37)</f>
        <v>679.83548387096778</v>
      </c>
      <c r="T29" s="260">
        <f t="shared" si="16"/>
        <v>732.91663763834072</v>
      </c>
      <c r="U29" s="261">
        <f t="shared" si="17"/>
        <v>20521.665853873539</v>
      </c>
      <c r="V29" s="269">
        <f>SUMIF($F$2:F37,F29,$U$2:U37)</f>
        <v>101606.31141659626</v>
      </c>
      <c r="W29" s="262">
        <f t="shared" si="18"/>
        <v>0.15708947137310114</v>
      </c>
      <c r="X29" s="262">
        <f t="shared" si="8"/>
        <v>0.15708947137310111</v>
      </c>
      <c r="Y29" s="262">
        <f t="shared" si="9"/>
        <v>0.18300637639731143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679.83548387096778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101606.31141659626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0.18300637639731143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679.83548387096778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101606.31141659626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0.18300637639731143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679.83548387096778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101606.31141659626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0.15058810400693054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679.83548387096778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101606.31141659626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0.15058810400693054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679.83548387096778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101606.31141659626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0.15058810400693054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679.83548387096778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101606.31141659626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0.15058810400693054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679.83548387096778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101606.31141659626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0.15058810400693054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679.83548387096778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101606.31141659626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0.15058810400693054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J25" activePane="bottomRight" state="frozen"/>
      <selection pane="topRight" activeCell="Z69" sqref="Z69"/>
      <selection pane="bottomLeft" activeCell="Z69" sqref="Z69"/>
      <selection pane="bottomRight" activeCell="K31" sqref="K31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363</v>
      </c>
      <c r="F31" s="276">
        <f>Grid_BD[[#This Row],[Date]]-DAY(Grid_BD[[#This Row],[Date]])+1</f>
        <v>45839</v>
      </c>
      <c r="G31" s="4" t="s">
        <v>783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1956</v>
      </c>
      <c r="L31" t="s">
        <v>785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1957</v>
      </c>
      <c r="T31" s="4" t="s">
        <v>367</v>
      </c>
      <c r="U31" s="139">
        <f>IFERROR(Grid_BD[[#This Row],[Breakdown Time]]*Grid_BD[[#This Row],[Plant Equivalent Weightage]],"")</f>
        <v>0.31666666666666687</v>
      </c>
      <c r="V31" s="380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8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N5" sqref="N5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1955</v>
      </c>
      <c r="U1" s="337" t="s">
        <v>1824</v>
      </c>
    </row>
    <row r="2" spans="1:21">
      <c r="A2" s="338">
        <v>1</v>
      </c>
      <c r="B2" s="339">
        <f>Table7[[#This Row],[Date]]-DAY(Table7[[#This Row],[Date]])+1</f>
        <v>45839</v>
      </c>
      <c r="C2" s="340">
        <v>45866</v>
      </c>
      <c r="D2" s="1" t="s">
        <v>1825</v>
      </c>
      <c r="E2" s="1" t="s">
        <v>1958</v>
      </c>
      <c r="F2" s="1" t="s">
        <v>1958</v>
      </c>
      <c r="G2" s="1" t="s">
        <v>1958</v>
      </c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>
        <f>IFERROR(_xlfn.XLOOKUP(Table7[[#This Row],[Month]],'Modelling New'!$D:$D,'Modelling New'!$O:$O),"")</f>
        <v>0.82772356020954152</v>
      </c>
      <c r="R2" s="343">
        <f>IFERROR(Table7[[#This Row],[Loss of Capacity in KWp]]*Table7[[#This Row],[Lost POA]]*Table7[[#This Row],[Estimated PR % (Pvsyst)]],"")</f>
        <v>0</v>
      </c>
      <c r="S2" s="1"/>
      <c r="T2" s="1">
        <v>153</v>
      </c>
      <c r="U2" s="344">
        <v>120</v>
      </c>
    </row>
    <row r="3" spans="1:21">
      <c r="A3" s="338">
        <v>2</v>
      </c>
      <c r="B3" s="339">
        <f>Table7[[#This Row],[Date]]-DAY(Table7[[#This Row],[Date]])+1</f>
        <v>45839</v>
      </c>
      <c r="C3" s="340">
        <v>45866</v>
      </c>
      <c r="D3" s="1" t="s">
        <v>1825</v>
      </c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>
        <f>IFERROR(_xlfn.XLOOKUP(Table7[[#This Row],[Month]],'Modelling New'!$D:$D,'Modelling New'!$O:$O),"")</f>
        <v>0.82772356020954152</v>
      </c>
      <c r="R3" s="343">
        <f>IFERROR(Table7[[#This Row],[Loss of Capacity in KWp]]*Table7[[#This Row],[Lost POA]]*Table7[[#This Row],[Estimated PR % (Pvsyst)]],"")</f>
        <v>0</v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45839</v>
      </c>
      <c r="C4" s="340">
        <v>45866</v>
      </c>
      <c r="D4" s="1" t="s">
        <v>1825</v>
      </c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>
        <f>IFERROR(_xlfn.XLOOKUP(Table7[[#This Row],[Month]],'Modelling New'!$D:$D,'Modelling New'!$O:$O),"")</f>
        <v>0.82772356020954152</v>
      </c>
      <c r="R4" s="343">
        <f>IFERROR(Table7[[#This Row],[Loss of Capacity in KWp]]*Table7[[#This Row],[Lost POA]]*Table7[[#This Row],[Estimated PR % (Pvsyst)]],"")</f>
        <v>0</v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45839</v>
      </c>
      <c r="C5" s="340">
        <v>45866</v>
      </c>
      <c r="D5" s="1" t="s">
        <v>1825</v>
      </c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>
        <f>IFERROR(_xlfn.XLOOKUP(Table7[[#This Row],[Month]],'Modelling New'!$D:$D,'Modelling New'!$O:$O),"")</f>
        <v>0.82772356020954152</v>
      </c>
      <c r="R5" s="343">
        <f>IFERROR(Table7[[#This Row],[Loss of Capacity in KWp]]*Table7[[#This Row],[Lost POA]]*Table7[[#This Row],[Estimated PR % (Pvsyst)]],"")</f>
        <v>0</v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6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C121" activePane="bottomRight" state="frozen"/>
      <selection pane="topRight" activeCell="Z69" sqref="Z69"/>
      <selection pane="bottomLeft" activeCell="Z69" sqref="Z69"/>
      <selection pane="bottomRight" activeCell="A125" sqref="A125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835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835</v>
      </c>
      <c r="AF87" s="379" t="s">
        <v>1941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835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835</v>
      </c>
      <c r="AF88" s="379" t="s">
        <v>1950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835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835</v>
      </c>
      <c r="AF89" s="379" t="s">
        <v>1951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835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835</v>
      </c>
      <c r="AF90" s="379" t="s">
        <v>1952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835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835</v>
      </c>
      <c r="AF91" s="379" t="s">
        <v>1953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835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835</v>
      </c>
      <c r="AF98" s="379" t="s">
        <v>1949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835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835</v>
      </c>
      <c r="AF99" s="379" t="s">
        <v>1946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835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835</v>
      </c>
      <c r="AF100" s="379" t="s">
        <v>842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835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835</v>
      </c>
      <c r="AF103" s="379" t="s">
        <v>1948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835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835</v>
      </c>
      <c r="AF104" s="379" t="s">
        <v>1947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835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835</v>
      </c>
      <c r="AF107" s="379" t="s">
        <v>1946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835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835</v>
      </c>
      <c r="AF111" s="379" t="s">
        <v>1943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835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835</v>
      </c>
      <c r="AF112" s="379" t="s">
        <v>1944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835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835</v>
      </c>
      <c r="AF113" s="379" t="s">
        <v>1945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835</v>
      </c>
      <c r="AF117" s="379" t="s">
        <v>1942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1933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7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835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835</v>
      </c>
      <c r="AF122" s="379" t="s">
        <v>1941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363</v>
      </c>
      <c r="F123" s="110" t="s">
        <v>363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9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363</v>
      </c>
      <c r="F124" s="110" t="s">
        <v>363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835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11</v>
      </c>
      <c r="AE124" s="113" t="s">
        <v>835</v>
      </c>
      <c r="AF124" s="379" t="s">
        <v>1954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363</v>
      </c>
      <c r="F125" s="110" t="s">
        <v>363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363</v>
      </c>
      <c r="F126" s="110" t="s">
        <v>363</v>
      </c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363</v>
      </c>
      <c r="F127" s="110" t="s">
        <v>363</v>
      </c>
      <c r="G127" s="4" t="str">
        <f>TEXT(GC[[#This Row],[Date]],"mmm-yy")</f>
        <v>Jul-25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835</v>
      </c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172510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1906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1907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1839</v>
      </c>
      <c r="O100" s="2" t="s">
        <v>120</v>
      </c>
      <c r="P100" s="2" t="s">
        <v>929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1840</v>
      </c>
      <c r="O101" s="2" t="s">
        <v>120</v>
      </c>
      <c r="P101" s="2" t="s">
        <v>929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1841</v>
      </c>
      <c r="O102" s="2" t="s">
        <v>120</v>
      </c>
      <c r="P102" s="2" t="s">
        <v>929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1842</v>
      </c>
      <c r="O103" s="2" t="s">
        <v>120</v>
      </c>
      <c r="P103" s="2" t="s">
        <v>929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1894</v>
      </c>
      <c r="O819" s="2" t="s">
        <v>42</v>
      </c>
      <c r="P819" s="2" t="s">
        <v>925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1895</v>
      </c>
      <c r="O820" s="2" t="s">
        <v>42</v>
      </c>
      <c r="P820" s="2" t="s">
        <v>925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1896</v>
      </c>
      <c r="O821" s="2" t="s">
        <v>42</v>
      </c>
      <c r="P821" s="2" t="s">
        <v>925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1897</v>
      </c>
      <c r="O822" s="2" t="s">
        <v>42</v>
      </c>
      <c r="P822" s="2" t="s">
        <v>925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1898</v>
      </c>
      <c r="O823" s="2" t="s">
        <v>42</v>
      </c>
      <c r="P823" s="2" t="s">
        <v>925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1899</v>
      </c>
      <c r="O824" s="2" t="s">
        <v>42</v>
      </c>
      <c r="P824" s="2" t="s">
        <v>925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1900</v>
      </c>
      <c r="O837" s="2" t="s">
        <v>42</v>
      </c>
      <c r="P837" s="2" t="s">
        <v>925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1901</v>
      </c>
      <c r="O838" s="2" t="s">
        <v>42</v>
      </c>
      <c r="P838" s="2" t="s">
        <v>925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1902</v>
      </c>
      <c r="O839" s="2" t="s">
        <v>42</v>
      </c>
      <c r="P839" s="2" t="s">
        <v>925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1903</v>
      </c>
      <c r="O840" s="2" t="s">
        <v>42</v>
      </c>
      <c r="P840" s="2" t="s">
        <v>925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1904</v>
      </c>
      <c r="O841" s="2" t="s">
        <v>42</v>
      </c>
      <c r="P841" s="2" t="s">
        <v>925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1905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1850</v>
      </c>
      <c r="O843" s="351" t="s">
        <v>120</v>
      </c>
      <c r="P843" s="351" t="s">
        <v>929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1851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1852</v>
      </c>
      <c r="O845" s="351" t="s">
        <v>120</v>
      </c>
      <c r="P845" s="351" t="s">
        <v>929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1853</v>
      </c>
      <c r="O846" s="351" t="s">
        <v>120</v>
      </c>
      <c r="P846" s="351" t="s">
        <v>929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1854</v>
      </c>
      <c r="O847" s="351" t="s">
        <v>120</v>
      </c>
      <c r="P847" s="351" t="s">
        <v>929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1855</v>
      </c>
      <c r="O848" s="351" t="s">
        <v>120</v>
      </c>
      <c r="P848" s="351" t="s">
        <v>929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1856</v>
      </c>
      <c r="O849" s="351" t="s">
        <v>120</v>
      </c>
      <c r="P849" s="351" t="s">
        <v>929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1857</v>
      </c>
      <c r="O850" s="351" t="s">
        <v>120</v>
      </c>
      <c r="P850" s="351" t="s">
        <v>929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1858</v>
      </c>
      <c r="O851" s="351" t="s">
        <v>120</v>
      </c>
      <c r="P851" s="351" t="s">
        <v>929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1859</v>
      </c>
      <c r="O852" s="351" t="s">
        <v>120</v>
      </c>
      <c r="P852" s="351" t="s">
        <v>929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1860</v>
      </c>
      <c r="O853" s="351" t="s">
        <v>120</v>
      </c>
      <c r="P853" s="351" t="s">
        <v>929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1861</v>
      </c>
      <c r="O854" s="351" t="s">
        <v>120</v>
      </c>
      <c r="P854" s="351" t="s">
        <v>929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1862</v>
      </c>
      <c r="O855" s="351" t="s">
        <v>120</v>
      </c>
      <c r="P855" s="351" t="s">
        <v>929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1863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1864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1865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1866</v>
      </c>
      <c r="O859" s="351" t="s">
        <v>120</v>
      </c>
      <c r="P859" s="351" t="s">
        <v>929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1867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1868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1869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1870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1871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1872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1873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1874</v>
      </c>
      <c r="O867" s="351" t="s">
        <v>120</v>
      </c>
      <c r="P867" s="351" t="s">
        <v>929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1875</v>
      </c>
      <c r="O868" s="351" t="s">
        <v>120</v>
      </c>
      <c r="P868" s="351" t="s">
        <v>929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1876</v>
      </c>
      <c r="O869" s="351" t="s">
        <v>120</v>
      </c>
      <c r="P869" s="351" t="s">
        <v>929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1877</v>
      </c>
      <c r="O870" s="351" t="s">
        <v>120</v>
      </c>
      <c r="P870" s="351" t="s">
        <v>929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1878</v>
      </c>
      <c r="O871" s="351" t="s">
        <v>120</v>
      </c>
      <c r="P871" s="351" t="s">
        <v>929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1879</v>
      </c>
      <c r="O872" s="351" t="s">
        <v>120</v>
      </c>
      <c r="P872" s="351" t="s">
        <v>929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1880</v>
      </c>
      <c r="O873" s="351" t="s">
        <v>120</v>
      </c>
      <c r="P873" s="351" t="s">
        <v>929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1881</v>
      </c>
      <c r="O874" s="351" t="s">
        <v>120</v>
      </c>
      <c r="P874" s="351" t="s">
        <v>929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1882</v>
      </c>
      <c r="O875" s="351" t="s">
        <v>120</v>
      </c>
      <c r="P875" s="351" t="s">
        <v>929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1883</v>
      </c>
      <c r="O876" s="351" t="s">
        <v>120</v>
      </c>
      <c r="P876" s="351" t="s">
        <v>929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1884</v>
      </c>
      <c r="O877" s="351" t="s">
        <v>120</v>
      </c>
      <c r="P877" s="351" t="s">
        <v>929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1885</v>
      </c>
      <c r="O878" s="351" t="s">
        <v>120</v>
      </c>
      <c r="P878" s="351" t="s">
        <v>929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1886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1847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1848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1849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3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2025-07-29T04:30:02Z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