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52648393-070D-4156-833E-7FC169DDD5DC}"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F121" i="20" l="1"/>
  <c r="DD121"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3" i="20"/>
  <c r="DF124" i="20"/>
  <c r="DF125" i="20"/>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CJ123" i="20"/>
  <c r="CK123" i="20"/>
  <c r="CL123" i="20"/>
  <c r="CM123" i="20"/>
  <c r="CN123" i="20"/>
  <c r="CO123" i="20"/>
  <c r="CP123" i="20"/>
  <c r="CQ123" i="20"/>
  <c r="CR123" i="20"/>
  <c r="CS123" i="20"/>
  <c r="CT123" i="20"/>
  <c r="CU123" i="20"/>
  <c r="CV123" i="20"/>
  <c r="CG124" i="20"/>
  <c r="CH124" i="20"/>
  <c r="CI124" i="20"/>
  <c r="CJ124" i="20"/>
  <c r="CK124" i="20"/>
  <c r="CL124" i="20"/>
  <c r="CM124" i="20"/>
  <c r="CN124" i="20"/>
  <c r="CO124" i="20"/>
  <c r="CP124" i="20"/>
  <c r="CQ124" i="20"/>
  <c r="CR124" i="20"/>
  <c r="CS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P180" i="23"/>
  <c r="Q180" i="23"/>
  <c r="O181" i="23"/>
  <c r="P181" i="23"/>
  <c r="Q181" i="23"/>
  <c r="O182" i="23"/>
  <c r="P182" i="23"/>
  <c r="Q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81" i="23"/>
  <c r="T100" i="23"/>
  <c r="T310" i="23"/>
  <c r="T302" i="23"/>
  <c r="T294" i="23"/>
  <c r="T286" i="23"/>
  <c r="T278" i="23"/>
  <c r="T270" i="23"/>
  <c r="T262" i="23"/>
  <c r="T254" i="23"/>
  <c r="T246" i="23"/>
  <c r="T238" i="23"/>
  <c r="T230" i="23"/>
  <c r="T222" i="23"/>
  <c r="T214" i="23"/>
  <c r="T206" i="23"/>
  <c r="T198" i="23"/>
  <c r="T190" i="23"/>
  <c r="T182"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180"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DH119" i="20" s="1"/>
  <c r="AB118" i="29"/>
  <c r="DH120" i="20" s="1"/>
  <c r="AB119" i="29"/>
  <c r="DH121" i="20" s="1"/>
  <c r="AB120" i="29"/>
  <c r="DH122" i="20" s="1"/>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4"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4"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<sst xmlns="http://schemas.openxmlformats.org/spreadsheetml/2006/main" count="11118" uniqueCount="4687">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</sst>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45861</c:v>
                </c:pt>
                <c:pt idx="1">
                  <c:v>45860</c:v>
                </c:pt>
                <c:pt idx="2">
                  <c:v>45859</c:v>
                </c:pt>
                <c:pt idx="3">
                  <c:v>45858</c:v>
                </c:pt>
                <c:pt idx="4">
                  <c:v>45857</c:v>
                </c:pt>
                <c:pt idx="5">
                  <c:v>45856</c:v>
                </c:pt>
                <c:pt idx="6">
                  <c:v>45855</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45861</c:v>
                </c:pt>
                <c:pt idx="1">
                  <c:v>45860</c:v>
                </c:pt>
                <c:pt idx="2">
                  <c:v>45859</c:v>
                </c:pt>
                <c:pt idx="3">
                  <c:v>45858</c:v>
                </c:pt>
                <c:pt idx="4">
                  <c:v>45857</c:v>
                </c:pt>
                <c:pt idx="5">
                  <c:v>45856</c:v>
                </c:pt>
                <c:pt idx="6">
                  <c:v>45855</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5" t="s">
        <v>0</v>
      </c>
      <c r="B2" s="376"/>
      <c r="C2" s="376"/>
      <c r="D2" s="376"/>
      <c r="E2" s="376"/>
      <c r="F2" s="377"/>
    </row>
    <row r="3" spans="1:16">
      <c r="A3" s="121" t="s">
        <v>1</v>
      </c>
      <c r="B3" s="122">
        <v>45839</v>
      </c>
      <c r="C3" s="123"/>
      <c r="D3" s="123"/>
      <c r="E3" s="123"/>
      <c r="F3" s="124"/>
    </row>
    <row r="4" spans="1:16">
      <c r="A4" s="121" t="s">
        <v>2</v>
      </c>
      <c r="B4" s="125">
        <v>45861</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1">
        <v>1</v>
      </c>
      <c r="B10" s="136" t="s">
        <v>15</v>
      </c>
      <c r="C10" s="171">
        <f>_xlfn.XLOOKUP($B$4,'Daily KPI'!$A:$A,'Daily KPI'!$AD:$AD)/1000</f>
        <v>815.98322580645163</v>
      </c>
      <c r="D10" s="137">
        <f>_xlfn.XLOOKUP($B$4,'Daily KPI'!$A:$A,'Daily KPI'!$X:$X,"")*(1+MonthlyKPI!Q4)/1000</f>
        <v>985.60033702240685</v>
      </c>
      <c r="E10" s="278">
        <f>D10/C10-1</f>
        <v>0.20786837995146223</v>
      </c>
      <c r="F10" s="138"/>
      <c r="I10" s="161" t="str">
        <f>_xlfn.XLOOKUP(1,Analytics!40:40,Analytics!$5:$5)</f>
        <v>KUD09</v>
      </c>
      <c r="J10" s="162">
        <f>_xlfn.XLOOKUP(I10,Analytics!$5:$5,Analytics!37:37)/1000</f>
        <v>47.744999999999997</v>
      </c>
      <c r="K10" s="163" t="str">
        <f>_xlfn.XLOOKUP(23,Analytics!40:40,Analytics!$5:$5)</f>
        <v>KUD02</v>
      </c>
      <c r="L10" s="162">
        <f>_xlfn.XLOOKUP(K10,Analytics!$5:$5,Analytics!37:37)/1000</f>
        <v>38.112000000000002</v>
      </c>
    </row>
    <row r="11" spans="1:16">
      <c r="A11" s="382"/>
      <c r="B11" s="139" t="s">
        <v>16</v>
      </c>
      <c r="C11" s="140">
        <f>MonthlyKPI!E4</f>
        <v>18767.614193548387</v>
      </c>
      <c r="D11" s="141">
        <f>MonthlyKPI!F4*(1+MonthlyKPI!Q4)</f>
        <v>18135.995121241907</v>
      </c>
      <c r="E11" s="279">
        <f t="shared" ref="E11:E12" si="0">D11/C11-1</f>
        <v>-3.3654734469318215E-2</v>
      </c>
      <c r="F11" s="142"/>
      <c r="I11" s="163" t="str">
        <f>_xlfn.XLOOKUP(1,Analytics!41:41,Analytics!$5:$5)</f>
        <v>KUD15</v>
      </c>
      <c r="J11" s="162">
        <f>_xlfn.XLOOKUP(I11,Analytics!$5:$5,Analytics!38:38)/1000</f>
        <v>869.30949999999996</v>
      </c>
      <c r="K11" s="163" t="str">
        <f>_xlfn.XLOOKUP(23,Analytics!41:41,Analytics!$5:$5)</f>
        <v>KUD04</v>
      </c>
      <c r="L11" s="162">
        <f>_xlfn.XLOOKUP(K11,Analytics!$5:$5,Analytics!38:38)/1000</f>
        <v>739.81560000000002</v>
      </c>
    </row>
    <row r="12" spans="1:16" ht="15" thickBot="1">
      <c r="A12" s="383"/>
      <c r="B12" s="143" t="s">
        <v>17</v>
      </c>
      <c r="C12" s="144">
        <f>AnnualKPI!E4</f>
        <v>61959.884193548394</v>
      </c>
      <c r="D12" s="145">
        <f>AnnualKPI!F4*(1+AnnualKPI!Q4)</f>
        <v>58017.207090337826</v>
      </c>
      <c r="E12" s="280">
        <f t="shared" si="0"/>
        <v>-6.3632738416594781E-2</v>
      </c>
      <c r="F12" s="146"/>
      <c r="I12" s="163" t="str">
        <f>_xlfn.XLOOKUP(1,Analytics!42:42,Analytics!$5:$5)</f>
        <v>KUD15</v>
      </c>
      <c r="J12" s="162">
        <f>_xlfn.XLOOKUP(I12,Analytics!$5:$5,Analytics!39:39)/1000</f>
        <v>2868.2132000000001</v>
      </c>
      <c r="K12" s="163" t="str">
        <f>_xlfn.XLOOKUP(23,Analytics!42:42,Analytics!$5:$5)</f>
        <v>KUD04</v>
      </c>
      <c r="L12" s="162">
        <f>_xlfn.XLOOKUP(K12,Analytics!$5:$5,Analytics!39:39)/1000</f>
        <v>2370.9595999999997</v>
      </c>
    </row>
    <row r="13" spans="1:16" ht="15" thickBot="1">
      <c r="A13" s="381">
        <v>2</v>
      </c>
      <c r="B13" s="136" t="s">
        <v>18</v>
      </c>
      <c r="C13" s="147">
        <f>_xlfn.XLOOKUP($B$3,'Modelling New'!$D:$D,'Modelling New'!$J:$J)</f>
        <v>10.303759359817088</v>
      </c>
      <c r="D13" s="147">
        <f>_xlfn.XLOOKUP($B$4,'Daily KPI'!$A:$A,'Daily KPI'!$M:$M,0)</f>
        <v>9.0086956521739108</v>
      </c>
      <c r="E13" s="278">
        <f t="shared" ref="E13:E39" si="1">(D13-C13)/(C13)</f>
        <v>-0.12568846596842173</v>
      </c>
      <c r="F13" s="138"/>
    </row>
    <row r="14" spans="1:16" ht="15" customHeight="1" thickBot="1">
      <c r="A14" s="382"/>
      <c r="B14" s="139" t="s">
        <v>19</v>
      </c>
      <c r="C14" s="148">
        <f>_xlfn.XLOOKUP($B$3,'Modelling New'!$D:$D,'Modelling New'!$AC:$AC)</f>
        <v>10.303759359817088</v>
      </c>
      <c r="D14" s="148">
        <f>MonthlyKPI!D4</f>
        <v>9.0608695652173896</v>
      </c>
      <c r="E14" s="279">
        <f t="shared" si="1"/>
        <v>-0.12062488565549746</v>
      </c>
      <c r="F14" s="142"/>
      <c r="L14" s="373" t="s">
        <v>20</v>
      </c>
      <c r="M14" s="374"/>
    </row>
    <row r="15" spans="1:16" ht="13.5" customHeight="1" thickBot="1">
      <c r="A15" s="383"/>
      <c r="B15" s="143" t="s">
        <v>21</v>
      </c>
      <c r="C15" s="149">
        <f>_xlfn.XLOOKUP($B$3,'Modelling New'!$D:$D,'Modelling New'!$AD:$AD)</f>
        <v>8.1297392112031996</v>
      </c>
      <c r="D15" s="149">
        <f>AnnualKPI!D4</f>
        <v>6.7886627906139481</v>
      </c>
      <c r="E15" s="280">
        <f t="shared" si="1"/>
        <v>-0.16495934073028803</v>
      </c>
      <c r="F15" s="146"/>
      <c r="I15" s="135" t="s">
        <v>22</v>
      </c>
    </row>
    <row r="16" spans="1:16">
      <c r="A16" s="381">
        <v>3</v>
      </c>
      <c r="B16" s="136" t="s">
        <v>23</v>
      </c>
      <c r="C16" s="156">
        <f>_xlfn.XLOOKUP($B$3,'Modelling New'!$D:$D,'Modelling New'!$AH:$AH)</f>
        <v>0.97</v>
      </c>
      <c r="D16" s="156">
        <f>_xlfn.XLOOKUP($B$4,'Daily KPI'!$A:$A,'Daily KPI'!$P:$P,0)</f>
        <v>1</v>
      </c>
      <c r="E16" s="278">
        <f t="shared" si="1"/>
        <v>3.0927835051546421E-2</v>
      </c>
      <c r="F16" s="138"/>
      <c r="I16" s="164">
        <f>SUMIF(WTG_BD!F:F,O2Summary!B4,WTG_BD!AA:AA)/1000</f>
        <v>0</v>
      </c>
    </row>
    <row r="17" spans="1:9">
      <c r="A17" s="382"/>
      <c r="B17" s="139" t="s">
        <v>24</v>
      </c>
      <c r="C17" s="170">
        <f>_xlfn.XLOOKUP($B$3,'Modelling New'!$D:$D,'Modelling New'!$AH:$AH)</f>
        <v>0.97</v>
      </c>
      <c r="D17" s="170">
        <f>MonthlyKPI!L4</f>
        <v>0.99607552344396788</v>
      </c>
      <c r="E17" s="279">
        <f t="shared" si="1"/>
        <v>2.6881982931925678E-2</v>
      </c>
      <c r="F17" s="142"/>
      <c r="I17" s="165">
        <f>SUMIFS(WTG_BD!AA:AA,WTG_BD!F:F,"&gt;="&amp;O2Summary!B3,WTG_BD!F:F,"&lt;="&amp;O2Summary!B4)/1000</f>
        <v>68.668300000000002</v>
      </c>
    </row>
    <row r="18" spans="1:9" ht="15" thickBot="1">
      <c r="A18" s="383"/>
      <c r="B18" s="143" t="s">
        <v>25</v>
      </c>
      <c r="C18" s="202">
        <f>_xlfn.XLOOKUP($B$3,'Modelling New'!$D:$D,'Modelling New'!$AH:$AH)</f>
        <v>0.97</v>
      </c>
      <c r="D18" s="202">
        <f>AnnualKPI!L4</f>
        <v>0.9961897107560318</v>
      </c>
      <c r="E18" s="280">
        <f t="shared" si="1"/>
        <v>2.699970181034209E-2</v>
      </c>
      <c r="F18" s="146"/>
      <c r="I18" s="166">
        <f>SUMIFS(WTG_BD!AA:AA,WTG_BD!F:F,"&gt;="&amp;O2Summary!B6,WTG_BD!F:F,"&lt;="&amp;O2Summary!B4)/1000</f>
        <v>204.20008399999998</v>
      </c>
    </row>
    <row r="19" spans="1:9">
      <c r="A19" s="381">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2"/>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3"/>
      <c r="B21" s="143" t="s">
        <v>28</v>
      </c>
      <c r="C21" s="202">
        <f>_xlfn.XLOOKUP($B$3,'Modelling New'!$D:$D,'Modelling New'!$AF:$AF)</f>
        <v>0.995</v>
      </c>
      <c r="D21" s="202">
        <f>AnnualKPI!J4</f>
        <v>0.99220415652215499</v>
      </c>
      <c r="E21" s="280">
        <f t="shared" si="1"/>
        <v>-2.8098929425577949E-3</v>
      </c>
      <c r="F21" s="146"/>
      <c r="I21" s="166">
        <f>SUMIFS(Grid_BD!Y:Y,Grid_BD!F:F,"&gt;="&amp;O2Summary!B6,Grid_BD!F:F,"&lt;="&amp;O2Summary!B4)/1000</f>
        <v>605.88499999999999</v>
      </c>
    </row>
    <row r="22" spans="1:9">
      <c r="A22" s="381">
        <v>5</v>
      </c>
      <c r="B22" s="136" t="s">
        <v>29</v>
      </c>
      <c r="C22" s="156">
        <f>_xlfn.XLOOKUP($B$3,'Modelling New'!$D:$D,'Modelling New'!$AI:$AI)</f>
        <v>0.99</v>
      </c>
      <c r="D22" s="156">
        <f>_xlfn.XLOOKUP($B$4,'Daily KPI'!$A:$A,'Daily KPI'!$Q:$Q,0)</f>
        <v>0.99631233182124668</v>
      </c>
      <c r="E22" s="278">
        <f t="shared" ref="E22:E24" si="2">(D22-C22)/(C22)</f>
        <v>6.376092748734026E-3</v>
      </c>
      <c r="F22" s="138"/>
      <c r="I22" s="164">
        <f>SUMIF(IGA_BD!F:F,O2Summary!B4,IGA_BD!W:W)/1000</f>
        <v>3.5329999999999999</v>
      </c>
    </row>
    <row r="23" spans="1:9">
      <c r="A23" s="382"/>
      <c r="B23" s="139" t="s">
        <v>30</v>
      </c>
      <c r="C23" s="170">
        <f>_xlfn.XLOOKUP($B$3,'Modelling New'!$D:$D,'Modelling New'!$AI:$AI)</f>
        <v>0.99</v>
      </c>
      <c r="D23" s="170">
        <f>MonthlyKPI!N4</f>
        <v>0.99471550943965859</v>
      </c>
      <c r="E23" s="279">
        <f t="shared" si="2"/>
        <v>4.7631408481399939E-3</v>
      </c>
      <c r="F23" s="142"/>
      <c r="I23" s="165">
        <f>SUMIFS(IGA_BD!W:W,IGA_BD!F:F,"&gt;="&amp;O2Summary!B3,IGA_BD!F:F,"&lt;="&amp;O2Summary!B4)/1000</f>
        <v>69.674999999999997</v>
      </c>
    </row>
    <row r="24" spans="1:9" ht="15" thickBot="1">
      <c r="A24" s="383"/>
      <c r="B24" s="143" t="s">
        <v>31</v>
      </c>
      <c r="C24" s="202">
        <f>_xlfn.XLOOKUP($B$3,'Modelling New'!$D:$D,'Modelling New'!$AI:$AI)</f>
        <v>0.99</v>
      </c>
      <c r="D24" s="202">
        <f>AnnualKPI!N4</f>
        <v>0.97226517738633211</v>
      </c>
      <c r="E24" s="280">
        <f t="shared" si="2"/>
        <v>-1.7913962236028161E-2</v>
      </c>
      <c r="F24" s="146"/>
      <c r="I24" s="166">
        <f>SUMIFS(IGA_BD!W:W,IGA_BD!F:F,"&gt;="&amp;O2Summary!B6,IGA_BD!F:F,"&lt;="&amp;O2Summary!B4)/1000</f>
        <v>930.47799999999995</v>
      </c>
    </row>
    <row r="25" spans="1:9">
      <c r="A25" s="381">
        <v>6</v>
      </c>
      <c r="B25" s="136" t="s">
        <v>32</v>
      </c>
      <c r="C25" s="150">
        <f>C10/24/'Basic Data'!$N$3</f>
        <v>0.67192294615155768</v>
      </c>
      <c r="D25" s="151">
        <f>D10/24/_xlfn.XLOOKUP($B$4,RD[Date],RD[Connected Wind AC Capcity(MW)])</f>
        <v>0.81159448042029547</v>
      </c>
      <c r="E25" s="278">
        <f t="shared" si="1"/>
        <v>0.2078683799514621</v>
      </c>
      <c r="F25" s="138"/>
    </row>
    <row r="26" spans="1:9">
      <c r="A26" s="382"/>
      <c r="B26" s="139" t="s">
        <v>33</v>
      </c>
      <c r="C26" s="152">
        <f>C11/(24*DAY(B4))/'Basic Data'!$N$3</f>
        <v>0.67192294615155768</v>
      </c>
      <c r="D26" s="153">
        <f>D11/(24*DAY(B4))/'Basic Data'!$N$3</f>
        <v>0.64930955781498501</v>
      </c>
      <c r="E26" s="279">
        <f t="shared" si="1"/>
        <v>-3.3654734469318208E-2</v>
      </c>
      <c r="F26" s="142"/>
    </row>
    <row r="27" spans="1:9" ht="15" thickBot="1">
      <c r="A27" s="383"/>
      <c r="B27" s="143" t="s">
        <v>34</v>
      </c>
      <c r="C27" s="154">
        <f>C12/(24*(B4-B6+1))/'Basic Data'!$N$3</f>
        <v>0.44755250006897052</v>
      </c>
      <c r="D27" s="155">
        <f>D12/(24*(B4-B6+1))/'Basic Data'!$N$3</f>
        <v>0.41907350890438871</v>
      </c>
      <c r="E27" s="280">
        <f t="shared" si="1"/>
        <v>-6.3632738416594739E-2</v>
      </c>
      <c r="F27" s="146"/>
    </row>
    <row r="28" spans="1:9">
      <c r="A28" s="381">
        <v>7</v>
      </c>
      <c r="B28" s="136" t="s">
        <v>35</v>
      </c>
      <c r="C28" s="151">
        <f>_xlfn.XLOOKUP($B$3,'Modelling New'!$D:$D,'Modelling New'!$AE:$AE)</f>
        <v>0.95549849999999992</v>
      </c>
      <c r="D28" s="151">
        <f>D16*D19*D22</f>
        <v>0.99631233182124668</v>
      </c>
      <c r="E28" s="278">
        <f t="shared" si="1"/>
        <v>4.2714700045313275E-2</v>
      </c>
      <c r="F28" s="138"/>
      <c r="I28" s="164">
        <f t="shared" ref="I28:I30" si="3">SUM(I16,I19,I22)</f>
        <v>3.5329999999999999</v>
      </c>
    </row>
    <row r="29" spans="1:9">
      <c r="A29" s="382"/>
      <c r="B29" s="139" t="s">
        <v>36</v>
      </c>
      <c r="C29" s="153">
        <f>_xlfn.XLOOKUP($B$3,'Modelling New'!$D:$D,'Modelling New'!$AE:$AE)</f>
        <v>0.95549849999999992</v>
      </c>
      <c r="D29" s="153">
        <f t="shared" ref="D29" si="4">D17*D20*D23</f>
        <v>0.99081177174294111</v>
      </c>
      <c r="E29" s="279">
        <f t="shared" si="1"/>
        <v>3.6957956232208836E-2</v>
      </c>
      <c r="F29" s="142"/>
      <c r="I29" s="165">
        <f t="shared" si="3"/>
        <v>138.3433</v>
      </c>
    </row>
    <row r="30" spans="1:9" ht="15" thickBot="1">
      <c r="A30" s="383"/>
      <c r="B30" s="143" t="s">
        <v>37</v>
      </c>
      <c r="C30" s="155">
        <f>_xlfn.XLOOKUP($B$3,'Modelling New'!$D:$D,'Modelling New'!$AE:$AE)</f>
        <v>0.95549849999999992</v>
      </c>
      <c r="D30" s="155">
        <f t="shared" ref="D30" si="5">D18*D21*D24</f>
        <v>0.96100981926856099</v>
      </c>
      <c r="E30" s="280">
        <f t="shared" si="1"/>
        <v>5.7680041031577516E-3</v>
      </c>
      <c r="F30" s="146"/>
      <c r="I30" s="166">
        <f t="shared" si="3"/>
        <v>1740.5630839999999</v>
      </c>
    </row>
    <row r="31" spans="1:9">
      <c r="A31" s="381">
        <v>8</v>
      </c>
      <c r="B31" s="136" t="s">
        <v>4462</v>
      </c>
      <c r="C31" s="151">
        <f>_xlfn.XLOOKUP(B4,'Daily KPI'!$A:$A,'Daily KPI'!AP:AP)</f>
        <v>0.05</v>
      </c>
      <c r="D31" s="151">
        <f>_xlfn.XLOOKUP($B$4,'Daily KPI'!$A:$A,'Daily KPI'!AN:AN)</f>
        <v>9.6153846153408384E-3</v>
      </c>
      <c r="E31" s="278">
        <f>-(D31-C31)/(C31)</f>
        <v>0.80769230769318323</v>
      </c>
      <c r="F31" s="138"/>
      <c r="I31" s="164"/>
    </row>
    <row r="32" spans="1:9">
      <c r="A32" s="382"/>
      <c r="B32" s="139" t="s">
        <v>4453</v>
      </c>
      <c r="C32" s="153">
        <f>_xlfn.XLOOKUP($B$3,'Modelling New'!$D:$D,'Modelling New'!AK:AK)</f>
        <v>0.05</v>
      </c>
      <c r="D32" s="153">
        <f>MonthlyKPI!$T$4</f>
        <v>7.2970075874523649E-3</v>
      </c>
      <c r="E32" s="279">
        <f t="shared" ref="E32:E33" si="6">-(D32-C32)/(C32)</f>
        <v>0.85405984825095271</v>
      </c>
      <c r="F32" s="142"/>
      <c r="I32" s="165"/>
    </row>
    <row r="33" spans="1:9" ht="15" thickBot="1">
      <c r="A33" s="383"/>
      <c r="B33" s="143" t="s">
        <v>4454</v>
      </c>
      <c r="C33" s="153">
        <f>_xlfn.XLOOKUP($B$3,'Modelling New'!$D:$D,'Modelling New'!AK:AK)</f>
        <v>0.05</v>
      </c>
      <c r="D33" s="155">
        <f>AnnualKPI!$S$4</f>
        <v>7.8112016273807873E-3</v>
      </c>
      <c r="E33" s="280">
        <f t="shared" si="6"/>
        <v>0.84377596745238426</v>
      </c>
      <c r="F33" s="146"/>
      <c r="I33" s="166"/>
    </row>
    <row r="34" spans="1:9">
      <c r="A34" s="381">
        <v>9</v>
      </c>
      <c r="B34" s="136" t="s">
        <v>4455</v>
      </c>
      <c r="C34" s="151">
        <f>_xlfn.XLOOKUP(B7,'Daily KPI'!$A:$A,'Daily KPI'!AQ:AQ)</f>
        <v>0.05</v>
      </c>
      <c r="D34" s="156">
        <f>_xlfn.XLOOKUP($B$4,'Daily KPI'!$A:$A,'Daily KPI'!AO:AO)</f>
        <v>3.563924002114191E-2</v>
      </c>
      <c r="E34" s="278">
        <f>-(D34-C34)/(C34)</f>
        <v>0.28721519957716185</v>
      </c>
      <c r="F34" s="138"/>
      <c r="I34" s="164"/>
    </row>
    <row r="35" spans="1:9">
      <c r="A35" s="382"/>
      <c r="B35" s="139" t="s">
        <v>4456</v>
      </c>
      <c r="C35" s="153">
        <f>_xlfn.XLOOKUP($B$3,'Modelling New'!$D:$D,'Modelling New'!AL:AL)</f>
        <v>0.05</v>
      </c>
      <c r="D35" s="170">
        <f>MonthlyKPI!$U$4</f>
        <v>7.8949899641403254E-2</v>
      </c>
      <c r="E35" s="279">
        <f>-(D35-C35)/(C35)</f>
        <v>-0.57899799282806497</v>
      </c>
      <c r="F35" s="142"/>
      <c r="I35" s="165"/>
    </row>
    <row r="36" spans="1:9" ht="15" thickBot="1">
      <c r="A36" s="383"/>
      <c r="B36" s="143" t="s">
        <v>4457</v>
      </c>
      <c r="C36" s="153">
        <f>_xlfn.XLOOKUP($B$3,'Modelling New'!$D:$D,'Modelling New'!AL:AL)</f>
        <v>0.05</v>
      </c>
      <c r="D36" s="202">
        <f>AnnualKPI!$T$4</f>
        <v>0.21685157671545555</v>
      </c>
      <c r="E36" s="280">
        <f>-(D36-C36)/(C36)</f>
        <v>-3.3370315343091104</v>
      </c>
      <c r="F36" s="146"/>
      <c r="I36" s="166"/>
    </row>
    <row r="37" spans="1:9">
      <c r="A37" s="381">
        <v>10</v>
      </c>
      <c r="B37" s="136" t="s">
        <v>4458</v>
      </c>
      <c r="C37" s="171">
        <f>_xlfn.XLOOKUP($B$4,'Daily KPI'!$A:$A,'Daily KPI'!$AI:$AI)</f>
        <v>994.63</v>
      </c>
      <c r="D37" s="171">
        <f>IFERROR(_xlfn.XLOOKUP($B$4,'Daily KPI'!$A:$A,'Daily KPI'!$X:$X)/1000,"")</f>
        <v>991.39599999999996</v>
      </c>
      <c r="E37" s="278">
        <f t="shared" si="1"/>
        <v>-3.2514603420367746E-3</v>
      </c>
      <c r="F37" s="138"/>
      <c r="I37" s="164"/>
    </row>
    <row r="38" spans="1:9">
      <c r="A38" s="382"/>
      <c r="B38" s="139" t="s">
        <v>4459</v>
      </c>
      <c r="C38" s="140">
        <f>MonthlyKPI!$S$4</f>
        <v>18275.63</v>
      </c>
      <c r="D38" s="140">
        <f>IFERROR(SUMIF('WTG Reactive Power'!$D:$D,O2Summary!$B$3,'Daily KPI'!$X:$X)/1000,"")</f>
        <v>18242.640899999999</v>
      </c>
      <c r="E38" s="279">
        <f t="shared" si="1"/>
        <v>-1.8050868834618837E-3</v>
      </c>
      <c r="F38" s="142"/>
      <c r="I38" s="165"/>
    </row>
    <row r="39" spans="1:9" ht="15" thickBot="1">
      <c r="A39" s="383"/>
      <c r="B39" s="143" t="s">
        <v>4460</v>
      </c>
      <c r="C39" s="144">
        <f>AnnualKPI!$R$4</f>
        <v>59822.080000000024</v>
      </c>
      <c r="D39" s="144">
        <f>IFERROR(SUMIFS('Daily KPI'!$X:$X,'Daily KPI'!$A:$A,"&gt;="&amp;O2Summary!$B$6,'Daily KPI'!$A:$A,"&lt;="&amp;O2Summary!$B$4)/1000,"")</f>
        <v>59348.405499999993</v>
      </c>
      <c r="E39" s="280">
        <f t="shared" si="1"/>
        <v>-7.9180546714529131E-3</v>
      </c>
      <c r="F39" s="146"/>
      <c r="I39" s="166"/>
    </row>
    <row r="40" spans="1:9">
      <c r="B40" s="239"/>
    </row>
    <row r="41" spans="1:9">
      <c r="B41" s="239"/>
    </row>
    <row r="42" spans="1:9">
      <c r="B42" s="239"/>
    </row>
    <row r="44" spans="1:9" ht="15.5">
      <c r="A44" s="375" t="s">
        <v>38</v>
      </c>
      <c r="B44" s="376"/>
      <c r="C44" s="376"/>
      <c r="D44" s="376"/>
      <c r="E44" s="376"/>
      <c r="F44" s="377"/>
    </row>
    <row r="45" spans="1:9">
      <c r="A45" s="121" t="s">
        <v>1</v>
      </c>
      <c r="B45" s="122">
        <f>B3</f>
        <v>45839</v>
      </c>
      <c r="D45" s="123"/>
      <c r="E45" s="123"/>
      <c r="F45" s="124"/>
    </row>
    <row r="46" spans="1:9">
      <c r="A46" s="121" t="s">
        <v>2</v>
      </c>
      <c r="B46" s="125">
        <f>B4</f>
        <v>45861</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78"/>
      <c r="B50" s="379"/>
      <c r="C50" s="379"/>
      <c r="D50" s="379"/>
      <c r="E50" s="379"/>
      <c r="F50" s="380"/>
    </row>
    <row r="51" spans="1:6" s="117" customFormat="1" ht="39">
      <c r="A51" s="133" t="s">
        <v>6</v>
      </c>
      <c r="B51" s="134" t="s">
        <v>39</v>
      </c>
      <c r="C51" s="134" t="s">
        <v>40</v>
      </c>
      <c r="D51" s="134" t="s">
        <v>41</v>
      </c>
      <c r="E51" s="373" t="s">
        <v>11</v>
      </c>
      <c r="F51" s="374"/>
    </row>
    <row r="52" spans="1:6">
      <c r="A52" s="158">
        <v>1</v>
      </c>
      <c r="B52" s="159" t="s">
        <v>42</v>
      </c>
      <c r="C52" s="160">
        <f>SUMIFS(RD[[#All],[WTG Total Gneration (MWh) O2R1]],RD[[#All],[Date]],"&gt;="&amp;O2Summary!$B$48,RD[[#All],[Month Year]],O2Summary!$B$45)/1000</f>
        <v>7890.0605999999998</v>
      </c>
      <c r="D52" s="160">
        <f>C52*(1+MonthlyKPI!$Q$4)</f>
        <v>7843.9356084624242</v>
      </c>
      <c r="E52" s="384"/>
      <c r="F52" s="385"/>
    </row>
    <row r="53" spans="1:6">
      <c r="A53" s="158">
        <v>2</v>
      </c>
      <c r="B53" s="159" t="s">
        <v>43</v>
      </c>
      <c r="C53" s="160">
        <f>SUMIFS(RD[[#All],[WTG Total Gneration (MWh) O2R2]],RD[[#All],[Date]],"&gt;="&amp;O2Summary!$B$48,RD[[#All],[Month Year]],O2Summary!$B$45)/1000</f>
        <v>1719.2372999999998</v>
      </c>
      <c r="D53" s="160">
        <f>C53*(1+MonthlyKPI!$Q$4)</f>
        <v>1709.1867047088072</v>
      </c>
      <c r="E53" s="371"/>
      <c r="F53" s="372"/>
    </row>
    <row r="54" spans="1:6">
      <c r="A54" s="158">
        <v>3</v>
      </c>
      <c r="B54" s="159" t="s">
        <v>44</v>
      </c>
      <c r="C54" s="160">
        <f>SUMIFS(RD[[#All],[WTG Total Gneration (MWh) O2R5]],RD[[#All],[Date]],"&gt;="&amp;O2Summary!$B$48,RD[[#All],[Month Year]],O2Summary!$B$45)/1000</f>
        <v>6301.5918000000011</v>
      </c>
      <c r="D54" s="160">
        <f>C54*(1+MonthlyKPI!$Q$4)</f>
        <v>6264.7529361200131</v>
      </c>
      <c r="E54" s="371"/>
      <c r="F54" s="372"/>
    </row>
    <row r="55" spans="1:6">
      <c r="A55" s="158">
        <v>4</v>
      </c>
      <c r="B55" s="159" t="s">
        <v>45</v>
      </c>
      <c r="C55" s="160">
        <f>SUMIFS(RD[[#All],[WTG Total Gneration (MWh) O2R4]],RD[[#All],[Date]],"&gt;="&amp;O2Summary!$B$48,RD[[#All],[Month Year]],O2Summary!$B$45)/1000</f>
        <v>798.3379000000001</v>
      </c>
      <c r="D55" s="160">
        <f>C55*(1+MonthlyKPI!$Q$4)</f>
        <v>793.67084726765154</v>
      </c>
      <c r="E55" s="371"/>
      <c r="F55" s="372"/>
    </row>
    <row r="56" spans="1:6">
      <c r="A56" s="158">
        <v>4</v>
      </c>
      <c r="B56" s="159" t="s">
        <v>4490</v>
      </c>
      <c r="C56" s="160">
        <f>SUMIFS(RD[[#All],[WTG Total Gneration (MWh) O2R16]],RD[[#All],[Date]],"&gt;="&amp;O2Summary!$B$48,RD[[#All],[Month Year]],O2Summary!$B$45)/1000</f>
        <v>1533.4132999999999</v>
      </c>
      <c r="D56" s="160">
        <f>C56*(1+MonthlyKPI!$Q$4)</f>
        <v>1524.4490246830137</v>
      </c>
      <c r="E56" s="371"/>
      <c r="F56" s="372"/>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A2:F2"/>
    <mergeCell ref="E52:F52"/>
    <mergeCell ref="E53:F53"/>
    <mergeCell ref="E54:F54"/>
    <mergeCell ref="A10:A12"/>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45861</v>
      </c>
      <c r="C1" s="105">
        <f>O2Summary!$B$3</f>
        <v>45839</v>
      </c>
    </row>
    <row r="2" spans="1:20" ht="21">
      <c r="A2" s="386" t="s">
        <v>47</v>
      </c>
      <c r="B2" s="387"/>
      <c r="C2" s="387"/>
      <c r="D2" s="387"/>
      <c r="E2" s="387"/>
      <c r="F2" s="387"/>
      <c r="G2" s="387"/>
      <c r="H2" s="387"/>
      <c r="I2" s="387"/>
      <c r="J2" s="387"/>
      <c r="K2" s="387"/>
      <c r="L2" s="387"/>
      <c r="M2" s="387"/>
      <c r="N2" s="387"/>
      <c r="O2" s="387"/>
      <c r="P2" s="387"/>
      <c r="Q2" s="387"/>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114</v>
      </c>
      <c r="C4" s="107">
        <f>_xlfn.XLOOKUP($C$1,'Modelling New'!$D:$D,'Modelling New'!$AD:$AD)</f>
        <v>8.1297392112031996</v>
      </c>
      <c r="D4" s="108">
        <f>AVERAGEIFS('Daily KPI'!$M:$M,'Daily KPI'!$A:$A,"&gt;="&amp;O2Summary!$B$6,'Daily KPI'!$A:$A,"&lt;="&amp;AnnualKPI!$B$1)</f>
        <v>6.7886627906139481</v>
      </c>
      <c r="E4" s="106">
        <f>_xlfn.XLOOKUP($C$1,'Modelling New'!$D:$D,'Modelling New'!$V:$V)</f>
        <v>61959.884193548394</v>
      </c>
      <c r="F4" s="109">
        <f>SUMIFS('Daily KPI'!$X:$X,'Daily KPI'!$A:$A,"&gt;="&amp;O2Summary!$B$6,'Daily KPI'!$A:$A,"&lt;="&amp;AnnualKPI!$B$1)/1000</f>
        <v>59348.405499999993</v>
      </c>
      <c r="G4" s="254">
        <f>_xlfn.XLOOKUP($C$1,'Modelling New'!$D:$D,'Modelling New'!$Y:$Y)</f>
        <v>0.44755250006897074</v>
      </c>
      <c r="H4" s="111">
        <f>IFERROR(F4/(B4*24*_xlfn.XLOOKUP($C$1,'Modelling New'!$D:$D,'Modelling New'!$N:$N)),"")</f>
        <v>0.42868910428657292</v>
      </c>
      <c r="I4" s="110">
        <f>_xlfn.XLOOKUP($C$1,'Modelling New'!$D:$D,'Modelling New'!$AF:$AF)</f>
        <v>0.995</v>
      </c>
      <c r="J4" s="113">
        <f>AVERAGEIFS('Daily KPI'!$R:$R,'Daily KPI'!$A:$A,"&gt;="&amp;O2Summary!$B$6,'Daily KPI'!$A:$A,"&lt;="&amp;AnnualKPI!$B$1)</f>
        <v>0.99220415652215499</v>
      </c>
      <c r="K4" s="110">
        <f>_xlfn.XLOOKUP($C$1,'Modelling New'!$D:$D,'Modelling New'!$AH:$AH)</f>
        <v>0.97</v>
      </c>
      <c r="L4" s="113">
        <f>AVERAGEIFS('Daily KPI'!$P:$P,'Daily KPI'!$A:$A,"&gt;="&amp;O2Summary!$B$6,'Daily KPI'!$A:$A,"&lt;="&amp;AnnualKPI!$B$1)</f>
        <v>0.9961897107560318</v>
      </c>
      <c r="M4" s="110">
        <f>_xlfn.XLOOKUP($C$1,'Modelling New'!$D:$D,'Modelling New'!$AI:$AI)</f>
        <v>0.99</v>
      </c>
      <c r="N4" s="113">
        <f>AVERAGEIFS('Daily KPI'!$Q:$Q,'Daily KPI'!$A:$A,"&gt;="&amp;O2Summary!$B$6,'Daily KPI'!$A:$A,"&lt;="&amp;AnnualKPI!$B$1)</f>
        <v>0.97226517738633211</v>
      </c>
      <c r="O4" s="106">
        <f>SUMIFS(Input_Raw!CS:CS,Input_Raw!E:E,"&gt;="&amp;O2Summary!$B$6,Input_Raw!E:E,"&lt;="&amp;AnnualKPI!$B$1)/1000</f>
        <v>128659.19999999994</v>
      </c>
      <c r="P4" s="112">
        <f>(SUMIFS(Input_Raw!$DD:$DD,Input_Raw!$E:$E,"&gt;="&amp;O2Summary!$B$6,Input_Raw!$E:$E,"&lt;="&amp;AnnualKPI!$B$1)/1000)+F4</f>
        <v>131545.05549999996</v>
      </c>
      <c r="Q4" s="324">
        <f>1-P4/O4</f>
        <v>-2.2430230407153307E-2</v>
      </c>
      <c r="R4" s="109">
        <f>SUMIFS('Daily KPI'!$AI:$AI,'Daily KPI'!$A:$A,"&lt;="&amp;$B$1,'Daily KPI'!$B:$B,"="&amp;$A$4)</f>
        <v>59822.080000000024</v>
      </c>
      <c r="S4" s="113">
        <f>AVERAGEIFS('Daily KPI'!AN:AN,'Daily KPI'!$A:$A,"&gt;="&amp;O2Summary!$B$6,'Daily KPI'!$A:$A,"&lt;="&amp;AnnualKPI!$B$1)</f>
        <v>7.8112016273807873E-3</v>
      </c>
      <c r="T4" s="113">
        <f>AVERAGEIFS('Daily KPI'!AO:AO,'Daily KPI'!$A:$A,"&gt;="&amp;O2Summary!$B$6,'Daily KPI'!$A:$A,"&lt;="&amp;AnnualKPI!$B$1)</f>
        <v>0.21685157671545555</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45861</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23</v>
      </c>
      <c r="C4" s="107">
        <f>_xlfn.XLOOKUP($A$4,'Modelling New'!$D:$D,'Modelling New'!AC:AC)</f>
        <v>10.303759359817088</v>
      </c>
      <c r="D4" s="108">
        <f>AVERAGEIF('Daily KPI'!$A:$A,$A$4,'Daily KPI'!$M:$M)</f>
        <v>9.0608695652173896</v>
      </c>
      <c r="E4" s="106">
        <f>_xlfn.XLOOKUP($A$4,'Modelling New'!$D:$D,'Modelling New'!$U:$U)</f>
        <v>18767.614193548387</v>
      </c>
      <c r="F4" s="109">
        <f>SUMIF('Daily KPI'!$D:$D,$A$4,'Daily KPI'!$X:$X)/1000</f>
        <v>18242.640899999999</v>
      </c>
      <c r="G4" s="110">
        <f>_xlfn.XLOOKUP($A$4,'Modelling New'!$D:$D,'Modelling New'!$X:$X)</f>
        <v>0.6719229461515579</v>
      </c>
      <c r="H4" s="111">
        <f>F4/(24*B4*AVERAGEIF(RD[Month Year],$A$4,RD[Connected Wind AC Capcity(MW)]))</f>
        <v>0.65312771739130449</v>
      </c>
      <c r="I4" s="110">
        <f>_xlfn.XLOOKUP($A$4,'Modelling New'!$D:$D,'Modelling New'!$AF:$AF)</f>
        <v>0.995</v>
      </c>
      <c r="J4" s="113">
        <f>AVERAGEIF('Daily KPI'!$D:$D,$A$4,'Daily KPI'!R:R)</f>
        <v>1</v>
      </c>
      <c r="K4" s="110">
        <f>_xlfn.XLOOKUP($A$4,'Modelling New'!$D:$D,'Modelling New'!$AH:$AH)</f>
        <v>0.97</v>
      </c>
      <c r="L4" s="111">
        <f>AVERAGEIF('Daily KPI'!$D:$D,$A$4,'Daily KPI'!$P:$P)</f>
        <v>0.99607552344396788</v>
      </c>
      <c r="M4" s="110">
        <f>_xlfn.XLOOKUP($A$4,'Modelling New'!$D:$D,'Modelling New'!$AI:$AI)</f>
        <v>0.99</v>
      </c>
      <c r="N4" s="111">
        <f>AVERAGEIF('Daily KPI'!$D:$D,$A$4,'Daily KPI'!$Q:$Q)</f>
        <v>0.99471550943965859</v>
      </c>
      <c r="O4" s="106">
        <f>SUMIF(Input_Raw!C:C,A4,Input_Raw!CS:CS)/1000</f>
        <v>29774.399999999965</v>
      </c>
      <c r="P4" s="112">
        <f>(SUMIF(Input_Raw!$C:$C,A4,Input_Raw!$DF:$DF)+SUMIF(Input_Raw!$C:$C,A4,Input_Raw!$DD:$DD))/1000</f>
        <v>29948.460000000014</v>
      </c>
      <c r="Q4" s="115">
        <f>1-P4/O4</f>
        <v>-5.8459616314703311E-3</v>
      </c>
      <c r="R4" s="106">
        <f>SUMIFS(Input_Raw!DG:DG,Input_Raw!E:E,"&gt;="&amp;A4,Input_Raw!E:E,"&lt;="&amp;B1)</f>
        <v>18275.63</v>
      </c>
      <c r="S4" s="106">
        <f>SUMIF('Daily KPI'!D:D,MonthlyKPI!A4,'Daily KPI'!AI:AI)</f>
        <v>18275.63</v>
      </c>
      <c r="T4" s="111">
        <f>AVERAGEIF('Daily KPI'!$D:$D,$A$4,'Daily KPI'!AN:AN)</f>
        <v>7.2970075874523649E-3</v>
      </c>
      <c r="U4" s="111">
        <f>AVERAGEIF('Daily KPI'!$D:$D,$A$4,'Daily KPI'!AO:AO)</f>
        <v>7.8949899641403254E-2</v>
      </c>
    </row>
    <row r="6" spans="1:21" ht="29.25" customHeight="1">
      <c r="O6" s="49"/>
    </row>
    <row r="7" spans="1:21" ht="29.25" customHeight="1">
      <c r="A7" s="98" t="s">
        <v>67</v>
      </c>
      <c r="B7" s="99">
        <f>B8-6</f>
        <v>45855</v>
      </c>
      <c r="D7" s="40"/>
      <c r="F7" s="40"/>
      <c r="P7">
        <v>31596.720000000005</v>
      </c>
    </row>
    <row r="8" spans="1:21" ht="29.25" customHeight="1">
      <c r="A8" s="98" t="s">
        <v>68</v>
      </c>
      <c r="B8" s="99">
        <f>B1</f>
        <v>45861</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7.4032810864275991</v>
      </c>
      <c r="E11" s="106">
        <f>SUMIFS('Daily KPI'!$AD:$AD,'Daily KPI'!$A:$A,"&gt;="&amp;$B$7,'Daily KPI'!$A:$A,"&lt;="&amp;$B$8)/1000</f>
        <v>5711.8825806451605</v>
      </c>
      <c r="F11" s="109">
        <f>SUMIFS('Daily KPI'!$X:$X,'Daily KPI'!$A:$A,"&gt;="&amp;B7,'Daily KPI'!$A:$A,"&lt;="&amp;B8)/1000</f>
        <v>4466.0987999999998</v>
      </c>
      <c r="G11" s="110">
        <f>E11/(24*$B$11*50.6)</f>
        <v>0.67192294615155745</v>
      </c>
      <c r="H11" s="111">
        <f>F11/(24*B11*50.6)</f>
        <v>0.52537394127611514</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0.99547029514302665</v>
      </c>
      <c r="M11" s="110">
        <f>_xlfn.XLOOKUP($A$11,'Modelling New'!$D:$D,'Modelling New'!$AI:$AI)</f>
        <v>0.99</v>
      </c>
      <c r="N11" s="111">
        <f>AVERAGEIFS('Daily KPI'!$Q:$Q,'Daily KPI'!$A:$A,"&gt;="&amp;$B$7,'Daily KPI'!$A:$A,"&lt;="&amp;$B$8)</f>
        <v>0.99275335625143868</v>
      </c>
      <c r="O11" s="106">
        <f>SUMIFS(Input_Raw!DG:DG,Input_Raw!E:E,"&gt;="&amp;B7,Input_Raw!E:E,"&lt;="&amp;B8)</f>
        <v>4485.5999999999995</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46887</v>
      </c>
      <c r="C37" s="90">
        <f>VLOOKUP(O2Summary!$B$4,Input_Raw!$E:$AD,Input_Raw!I1,0)</f>
        <v>38112</v>
      </c>
      <c r="D37" s="90">
        <f>VLOOKUP(O2Summary!$B$4,Input_Raw!$E:$AD,Input_Raw!J1,0)</f>
        <v>43136</v>
      </c>
      <c r="E37" s="90">
        <f>VLOOKUP(O2Summary!$B$4,Input_Raw!$E:$AD,Input_Raw!K1,0)</f>
        <v>41741</v>
      </c>
      <c r="F37" s="90">
        <f>VLOOKUP(O2Summary!$B$4,Input_Raw!$E:$AD,Input_Raw!L1,0)</f>
        <v>39137</v>
      </c>
      <c r="G37" s="90">
        <f>VLOOKUP(O2Summary!$B$4,Input_Raw!$E:$AD,Input_Raw!M1,0)</f>
        <v>40674</v>
      </c>
      <c r="H37" s="90">
        <f>VLOOKUP(O2Summary!$B$4,Input_Raw!$E:$AD,Input_Raw!N1,0)</f>
        <v>43637</v>
      </c>
      <c r="I37" s="90">
        <f>VLOOKUP(O2Summary!$B$4,Input_Raw!$E:$AD,Input_Raw!O1,0)</f>
        <v>39760</v>
      </c>
      <c r="J37" s="90">
        <f>VLOOKUP(O2Summary!$B$4,Input_Raw!$E:$AD,Input_Raw!P1,0)</f>
        <v>47745</v>
      </c>
      <c r="K37" s="90">
        <f>VLOOKUP(O2Summary!$B$4,Input_Raw!$E:$AD,Input_Raw!Q1,0)</f>
        <v>44579</v>
      </c>
      <c r="L37" s="90">
        <f>VLOOKUP(O2Summary!$B$4,Input_Raw!$E:$AD,Input_Raw!R1,0)</f>
        <v>41468</v>
      </c>
      <c r="M37" s="90">
        <f>VLOOKUP(O2Summary!$B$4,Input_Raw!$E:$AD,Input_Raw!S1,0)</f>
        <v>45581</v>
      </c>
      <c r="N37" s="90">
        <f>VLOOKUP(O2Summary!$B$4,Input_Raw!$E:$AD,Input_Raw!T1,0)</f>
        <v>39996</v>
      </c>
      <c r="O37" s="90">
        <f>VLOOKUP(O2Summary!$B$4,Input_Raw!$E:$AD,Input_Raw!U1,0)</f>
        <v>43463</v>
      </c>
      <c r="P37" s="90">
        <f>VLOOKUP(O2Summary!$B$4,Input_Raw!$E:$AD,Input_Raw!V1,0)</f>
        <v>38936</v>
      </c>
      <c r="Q37" s="90">
        <f>VLOOKUP(O2Summary!$B$4,Input_Raw!$E:$AD,Input_Raw!W1,0)</f>
        <v>43463</v>
      </c>
      <c r="R37" s="90">
        <f>VLOOKUP(O2Summary!$B$4,Input_Raw!$E:$AD,Input_Raw!X1,0)</f>
        <v>39893</v>
      </c>
      <c r="S37" s="90">
        <f>VLOOKUP(O2Summary!$B$4,Input_Raw!$E:$AD,Input_Raw!Y1,0)</f>
        <v>47176</v>
      </c>
      <c r="T37" s="90">
        <f>VLOOKUP(O2Summary!$B$4,Input_Raw!$E:$AD,Input_Raw!Z1,0)</f>
        <v>47715</v>
      </c>
      <c r="U37" s="90">
        <f>VLOOKUP(O2Summary!$B$4,Input_Raw!$E:$AD,Input_Raw!AA1,0)</f>
        <v>43573</v>
      </c>
      <c r="V37" s="90">
        <f>VLOOKUP(O2Summary!$B$4,Input_Raw!$E:$AD,Input_Raw!AB1,0)</f>
        <v>43791</v>
      </c>
      <c r="W37" s="90">
        <f>VLOOKUP(O2Summary!$B$4,Input_Raw!$E:$AD,Input_Raw!AC1,0)</f>
        <v>44624</v>
      </c>
      <c r="X37" s="90">
        <f>VLOOKUP(O2Summary!$B$4,Input_Raw!$E:$AD,Input_Raw!AD1,0)</f>
        <v>46309</v>
      </c>
    </row>
    <row r="38" spans="1:33" ht="29.25" hidden="1" customHeight="1">
      <c r="A38" s="84" t="s">
        <v>125</v>
      </c>
      <c r="B38" s="90">
        <f>SUMIFS(Input_Raw!H:H,Input_Raw!$E:$E,"&gt;="&amp;MonthlyKPI!$A$4,Input_Raw!$E:$E,"&lt;="&amp;O2Summary!$B$4)</f>
        <v>816103.39999999991</v>
      </c>
      <c r="C38" s="90">
        <f>SUMIFS(Input_Raw!I:I,Input_Raw!$E:$E,"&gt;="&amp;MonthlyKPI!$A$4,Input_Raw!$E:$E,"&lt;="&amp;O2Summary!$B$4)</f>
        <v>828814.2</v>
      </c>
      <c r="D38" s="90">
        <f>SUMIFS(Input_Raw!J:J,Input_Raw!$E:$E,"&gt;="&amp;MonthlyKPI!$A$4,Input_Raw!$E:$E,"&lt;="&amp;O2Summary!$B$4)</f>
        <v>740296.6</v>
      </c>
      <c r="E38" s="90">
        <f>SUMIFS(Input_Raw!K:K,Input_Raw!$E:$E,"&gt;="&amp;MonthlyKPI!$A$4,Input_Raw!$E:$E,"&lt;="&amp;O2Summary!$B$4)</f>
        <v>739815.6</v>
      </c>
      <c r="F38" s="90">
        <f>SUMIFS(Input_Raw!L:L,Input_Raw!$E:$E,"&gt;="&amp;MonthlyKPI!$A$4,Input_Raw!$E:$E,"&lt;="&amp;O2Summary!$B$4)</f>
        <v>792685.29999999981</v>
      </c>
      <c r="G38" s="90">
        <f>SUMIFS(Input_Raw!M:M,Input_Raw!$E:$E,"&gt;="&amp;MonthlyKPI!$A$4,Input_Raw!$E:$E,"&lt;="&amp;O2Summary!$B$4)</f>
        <v>752325.2</v>
      </c>
      <c r="H38" s="90">
        <f>SUMIFS(Input_Raw!N:N,Input_Raw!$E:$E,"&gt;="&amp;MonthlyKPI!$A$4,Input_Raw!$E:$E,"&lt;="&amp;O2Summary!$B$4)</f>
        <v>746995.8</v>
      </c>
      <c r="I38" s="90">
        <f>SUMIFS(Input_Raw!O:O,Input_Raw!$E:$E,"&gt;="&amp;MonthlyKPI!$A$4,Input_Raw!$E:$E,"&lt;="&amp;O2Summary!$B$4)</f>
        <v>786417.5</v>
      </c>
      <c r="J38" s="90">
        <f>SUMIFS(Input_Raw!P:P,Input_Raw!$E:$E,"&gt;="&amp;MonthlyKPI!$A$4,Input_Raw!$E:$E,"&lt;="&amp;O2Summary!$B$4)</f>
        <v>758774</v>
      </c>
      <c r="K38" s="90">
        <f>SUMIFS(Input_Raw!Q:Q,Input_Raw!$E:$E,"&gt;="&amp;MonthlyKPI!$A$4,Input_Raw!$E:$E,"&lt;="&amp;O2Summary!$B$4)</f>
        <v>773444</v>
      </c>
      <c r="L38" s="90">
        <f>SUMIFS(Input_Raw!R:R,Input_Raw!$E:$E,"&gt;="&amp;MonthlyKPI!$A$4,Input_Raw!$E:$E,"&lt;="&amp;O2Summary!$B$4)</f>
        <v>757164.10000000009</v>
      </c>
      <c r="M38" s="90">
        <f>SUMIFS(Input_Raw!S:S,Input_Raw!$E:$E,"&gt;="&amp;MonthlyKPI!$A$4,Input_Raw!$E:$E,"&lt;="&amp;O2Summary!$B$4)</f>
        <v>781206.1</v>
      </c>
      <c r="N38" s="90">
        <f>SUMIFS(Input_Raw!T:T,Input_Raw!$E:$E,"&gt;="&amp;MonthlyKPI!$A$4,Input_Raw!$E:$E,"&lt;="&amp;O2Summary!$B$4)</f>
        <v>800099.2</v>
      </c>
      <c r="O38" s="90">
        <f>SUMIFS(Input_Raw!U:U,Input_Raw!$E:$E,"&gt;="&amp;MonthlyKPI!$A$4,Input_Raw!$E:$E,"&lt;="&amp;O2Summary!$B$4)</f>
        <v>767598.2</v>
      </c>
      <c r="P38" s="90">
        <f>SUMIFS(Input_Raw!V:V,Input_Raw!$E:$E,"&gt;="&amp;MonthlyKPI!$A$4,Input_Raw!$E:$E,"&lt;="&amp;O2Summary!$B$4)</f>
        <v>869309.5</v>
      </c>
      <c r="Q38" s="90">
        <f>SUMIFS(Input_Raw!W:W,Input_Raw!$E:$E,"&gt;="&amp;MonthlyKPI!$A$4,Input_Raw!$E:$E,"&lt;="&amp;O2Summary!$B$4)</f>
        <v>858137.4</v>
      </c>
      <c r="R38" s="90">
        <f>SUMIFS(Input_Raw!X:X,Input_Raw!$E:$E,"&gt;="&amp;MonthlyKPI!$A$4,Input_Raw!$E:$E,"&lt;="&amp;O2Summary!$B$4)</f>
        <v>861099.9</v>
      </c>
      <c r="S38" s="90">
        <f>SUMIFS(Input_Raw!Y:Y,Input_Raw!$E:$E,"&gt;="&amp;MonthlyKPI!$A$4,Input_Raw!$E:$E,"&lt;="&amp;O2Summary!$B$4)</f>
        <v>798337.90000000014</v>
      </c>
      <c r="T38" s="90">
        <f>SUMIFS(Input_Raw!Z:Z,Input_Raw!$E:$E,"&gt;="&amp;MonthlyKPI!$A$4,Input_Raw!$E:$E,"&lt;="&amp;O2Summary!$B$4)</f>
        <v>820125.79999999993</v>
      </c>
      <c r="U38" s="90">
        <f>SUMIFS(Input_Raw!AA:AA,Input_Raw!$E:$E,"&gt;="&amp;MonthlyKPI!$A$4,Input_Raw!$E:$E,"&lt;="&amp;O2Summary!$B$4)</f>
        <v>764713.7</v>
      </c>
      <c r="V38" s="90">
        <f>SUMIFS(Input_Raw!AB:AB,Input_Raw!$E:$E,"&gt;="&amp;MonthlyKPI!$A$4,Input_Raw!$E:$E,"&lt;="&amp;O2Summary!$B$4)</f>
        <v>791838.00000000012</v>
      </c>
      <c r="W38" s="90">
        <f>SUMIFS(Input_Raw!AC:AC,Input_Raw!$E:$E,"&gt;="&amp;MonthlyKPI!$A$4,Input_Raw!$E:$E,"&lt;="&amp;O2Summary!$B$4)</f>
        <v>787141.6</v>
      </c>
      <c r="X38" s="90">
        <f>SUMIFS(Input_Raw!AD:AD,Input_Raw!$E:$E,"&gt;="&amp;MonthlyKPI!$A$4,Input_Raw!$E:$E,"&lt;="&amp;O2Summary!$B$4)</f>
        <v>850197.9</v>
      </c>
    </row>
    <row r="39" spans="1:33" ht="29.25" hidden="1" customHeight="1">
      <c r="A39" s="84" t="s">
        <v>126</v>
      </c>
      <c r="B39" s="90">
        <f>SUMIFS(Input_Raw!H:H,Input_Raw!$E:$E,"&gt;="&amp;O2Summary!$B$6,Input_Raw!$E:$E,"&lt;="&amp;O2Summary!$B$4)</f>
        <v>2758629.6999999997</v>
      </c>
      <c r="C39" s="90">
        <f>SUMIFS(Input_Raw!I:I,Input_Raw!$E:$E,"&gt;="&amp;O2Summary!$B$6,Input_Raw!$E:$E,"&lt;="&amp;O2Summary!$B$4)</f>
        <v>2709372.4000000004</v>
      </c>
      <c r="D39" s="90">
        <f>SUMIFS(Input_Raw!J:J,Input_Raw!$E:$E,"&gt;="&amp;O2Summary!$B$6,Input_Raw!$E:$E,"&lt;="&amp;O2Summary!$B$4)</f>
        <v>2478429.6</v>
      </c>
      <c r="E39" s="90">
        <f>SUMIFS(Input_Raw!K:K,Input_Raw!$E:$E,"&gt;="&amp;O2Summary!$B$6,Input_Raw!$E:$E,"&lt;="&amp;O2Summary!$B$4)</f>
        <v>2370959.5999999996</v>
      </c>
      <c r="F39" s="90">
        <f>SUMIFS(Input_Raw!L:L,Input_Raw!$E:$E,"&gt;="&amp;O2Summary!$B$6,Input_Raw!$E:$E,"&lt;="&amp;O2Summary!$B$4)</f>
        <v>2519593.8000000007</v>
      </c>
      <c r="G39" s="90">
        <f>SUMIFS(Input_Raw!M:M,Input_Raw!$E:$E,"&gt;="&amp;O2Summary!$B$6,Input_Raw!$E:$E,"&lt;="&amp;O2Summary!$B$4)</f>
        <v>2476755.4</v>
      </c>
      <c r="H39" s="90">
        <f>SUMIFS(Input_Raw!N:N,Input_Raw!$E:$E,"&gt;="&amp;O2Summary!$B$6,Input_Raw!$E:$E,"&lt;="&amp;O2Summary!$B$4)</f>
        <v>2459862</v>
      </c>
      <c r="I39" s="90">
        <f>SUMIFS(Input_Raw!O:O,Input_Raw!$E:$E,"&gt;="&amp;O2Summary!$B$6,Input_Raw!$E:$E,"&lt;="&amp;O2Summary!$B$4)</f>
        <v>2613822.3000000007</v>
      </c>
      <c r="J39" s="90">
        <f>SUMIFS(Input_Raw!P:P,Input_Raw!$E:$E,"&gt;="&amp;O2Summary!$B$6,Input_Raw!$E:$E,"&lt;="&amp;O2Summary!$B$4)</f>
        <v>2495497.4000000004</v>
      </c>
      <c r="K39" s="90">
        <f>SUMIFS(Input_Raw!Q:Q,Input_Raw!$E:$E,"&gt;="&amp;O2Summary!$B$6,Input_Raw!$E:$E,"&lt;="&amp;O2Summary!$B$4)</f>
        <v>2515959.6</v>
      </c>
      <c r="L39" s="90">
        <f>SUMIFS(Input_Raw!R:R,Input_Raw!$E:$E,"&gt;="&amp;O2Summary!$B$6,Input_Raw!$E:$E,"&lt;="&amp;O2Summary!$B$4)</f>
        <v>2481258.9000000004</v>
      </c>
      <c r="M39" s="90">
        <f>SUMIFS(Input_Raw!S:S,Input_Raw!$E:$E,"&gt;="&amp;O2Summary!$B$6,Input_Raw!$E:$E,"&lt;="&amp;O2Summary!$B$4)</f>
        <v>2583827.3000000003</v>
      </c>
      <c r="N39" s="90">
        <f>SUMIFS(Input_Raw!T:T,Input_Raw!$E:$E,"&gt;="&amp;O2Summary!$B$6,Input_Raw!$E:$E,"&lt;="&amp;O2Summary!$B$4)</f>
        <v>2605108.6000000006</v>
      </c>
      <c r="O39" s="90">
        <f>SUMIFS(Input_Raw!U:U,Input_Raw!$E:$E,"&gt;="&amp;O2Summary!$B$6,Input_Raw!$E:$E,"&lt;="&amp;O2Summary!$B$4)</f>
        <v>2489914.6999999997</v>
      </c>
      <c r="P39" s="90">
        <f>SUMIFS(Input_Raw!V:V,Input_Raw!$E:$E,"&gt;="&amp;O2Summary!$B$6,Input_Raw!$E:$E,"&lt;="&amp;O2Summary!$B$4)</f>
        <v>2868213.2</v>
      </c>
      <c r="Q39" s="90">
        <f>SUMIFS(Input_Raw!W:W,Input_Raw!$E:$E,"&gt;="&amp;O2Summary!$B$6,Input_Raw!$E:$E,"&lt;="&amp;O2Summary!$B$4)</f>
        <v>2804371.9999999991</v>
      </c>
      <c r="R39" s="90">
        <f>SUMIFS(Input_Raw!X:X,Input_Raw!$E:$E,"&gt;="&amp;O2Summary!$B$6,Input_Raw!$E:$E,"&lt;="&amp;O2Summary!$B$4)</f>
        <v>2782637.0000000005</v>
      </c>
      <c r="S39" s="90">
        <f>SUMIFS(Input_Raw!Y:Y,Input_Raw!$E:$E,"&gt;="&amp;O2Summary!$B$6,Input_Raw!$E:$E,"&lt;="&amp;O2Summary!$B$4)</f>
        <v>2500481</v>
      </c>
      <c r="T39" s="90">
        <f>SUMIFS(Input_Raw!Z:Z,Input_Raw!$E:$E,"&gt;="&amp;O2Summary!$B$6,Input_Raw!$E:$E,"&lt;="&amp;O2Summary!$B$4)</f>
        <v>2609989.0000000014</v>
      </c>
      <c r="U39" s="90">
        <f>SUMIFS(Input_Raw!AA:AA,Input_Raw!$E:$E,"&gt;="&amp;O2Summary!$B$6,Input_Raw!$E:$E,"&lt;="&amp;O2Summary!$B$4)</f>
        <v>2458426.7000000002</v>
      </c>
      <c r="V39" s="90">
        <f>SUMIFS(Input_Raw!AB:AB,Input_Raw!$E:$E,"&gt;="&amp;O2Summary!$B$6,Input_Raw!$E:$E,"&lt;="&amp;O2Summary!$B$4)</f>
        <v>2558524.9999999991</v>
      </c>
      <c r="W39" s="90">
        <f>SUMIFS(Input_Raw!AC:AC,Input_Raw!$E:$E,"&gt;="&amp;O2Summary!$B$6,Input_Raw!$E:$E,"&lt;="&amp;O2Summary!$B$4)</f>
        <v>2520680</v>
      </c>
      <c r="X39" s="90">
        <f>SUMIFS(Input_Raw!AD:AD,Input_Raw!$E:$E,"&gt;="&amp;O2Summary!$B$6,Input_Raw!$E:$E,"&lt;="&amp;O2Summary!$B$4)</f>
        <v>2686090.3000000003</v>
      </c>
    </row>
    <row r="40" spans="1:33" ht="29.25" hidden="1" customHeight="1">
      <c r="A40" s="84" t="s">
        <v>127</v>
      </c>
      <c r="B40" s="90">
        <f>RANK(B37,$B37:$X37)</f>
        <v>4</v>
      </c>
      <c r="C40" s="90">
        <f t="shared" ref="C40:X40" si="20">RANK(C37,$B37:$X37)</f>
        <v>23</v>
      </c>
      <c r="D40" s="90">
        <f t="shared" si="20"/>
        <v>14</v>
      </c>
      <c r="E40" s="90">
        <f t="shared" si="20"/>
        <v>15</v>
      </c>
      <c r="F40" s="90">
        <f t="shared" si="20"/>
        <v>21</v>
      </c>
      <c r="G40" s="90">
        <f t="shared" si="20"/>
        <v>17</v>
      </c>
      <c r="H40" s="90">
        <f t="shared" si="20"/>
        <v>10</v>
      </c>
      <c r="I40" s="90">
        <f t="shared" si="20"/>
        <v>20</v>
      </c>
      <c r="J40" s="90">
        <f t="shared" si="20"/>
        <v>1</v>
      </c>
      <c r="K40" s="90">
        <f t="shared" si="20"/>
        <v>8</v>
      </c>
      <c r="L40" s="90">
        <f t="shared" si="20"/>
        <v>16</v>
      </c>
      <c r="M40" s="90">
        <f t="shared" si="20"/>
        <v>6</v>
      </c>
      <c r="N40" s="90">
        <f t="shared" si="20"/>
        <v>18</v>
      </c>
      <c r="O40" s="90">
        <f t="shared" si="20"/>
        <v>12</v>
      </c>
      <c r="P40" s="90">
        <f t="shared" si="20"/>
        <v>22</v>
      </c>
      <c r="Q40" s="90">
        <f t="shared" si="20"/>
        <v>12</v>
      </c>
      <c r="R40" s="90">
        <f t="shared" si="20"/>
        <v>19</v>
      </c>
      <c r="S40" s="90">
        <f t="shared" si="20"/>
        <v>3</v>
      </c>
      <c r="T40" s="90">
        <f t="shared" si="20"/>
        <v>2</v>
      </c>
      <c r="U40" s="90">
        <f t="shared" si="20"/>
        <v>11</v>
      </c>
      <c r="V40" s="90">
        <f t="shared" si="20"/>
        <v>9</v>
      </c>
      <c r="W40" s="90">
        <f t="shared" si="20"/>
        <v>7</v>
      </c>
      <c r="X40" s="90">
        <f t="shared" si="20"/>
        <v>5</v>
      </c>
    </row>
    <row r="41" spans="1:33" ht="29.25" hidden="1" customHeight="1">
      <c r="A41" s="84" t="s">
        <v>128</v>
      </c>
      <c r="B41" s="90">
        <f t="shared" ref="B41:X41" si="21">RANK(B38,$B38:$X38)</f>
        <v>7</v>
      </c>
      <c r="C41" s="90">
        <f t="shared" si="21"/>
        <v>5</v>
      </c>
      <c r="D41" s="90">
        <f t="shared" si="21"/>
        <v>22</v>
      </c>
      <c r="E41" s="90">
        <f t="shared" si="21"/>
        <v>23</v>
      </c>
      <c r="F41" s="90">
        <f t="shared" si="21"/>
        <v>10</v>
      </c>
      <c r="G41" s="90">
        <f t="shared" si="21"/>
        <v>20</v>
      </c>
      <c r="H41" s="90">
        <f t="shared" si="21"/>
        <v>21</v>
      </c>
      <c r="I41" s="90">
        <f t="shared" si="21"/>
        <v>13</v>
      </c>
      <c r="J41" s="90">
        <f t="shared" si="21"/>
        <v>18</v>
      </c>
      <c r="K41" s="90">
        <f t="shared" si="21"/>
        <v>15</v>
      </c>
      <c r="L41" s="90">
        <f t="shared" si="21"/>
        <v>19</v>
      </c>
      <c r="M41" s="90">
        <f t="shared" si="21"/>
        <v>14</v>
      </c>
      <c r="N41" s="90">
        <f t="shared" si="21"/>
        <v>8</v>
      </c>
      <c r="O41" s="90">
        <f t="shared" si="21"/>
        <v>16</v>
      </c>
      <c r="P41" s="90">
        <f t="shared" si="21"/>
        <v>1</v>
      </c>
      <c r="Q41" s="90">
        <f t="shared" si="21"/>
        <v>3</v>
      </c>
      <c r="R41" s="90">
        <f t="shared" si="21"/>
        <v>2</v>
      </c>
      <c r="S41" s="90">
        <f t="shared" si="21"/>
        <v>9</v>
      </c>
      <c r="T41" s="90">
        <f t="shared" si="21"/>
        <v>6</v>
      </c>
      <c r="U41" s="90">
        <f t="shared" si="21"/>
        <v>17</v>
      </c>
      <c r="V41" s="90">
        <f t="shared" si="21"/>
        <v>11</v>
      </c>
      <c r="W41" s="90">
        <f t="shared" si="21"/>
        <v>12</v>
      </c>
      <c r="X41" s="90">
        <f t="shared" si="21"/>
        <v>4</v>
      </c>
    </row>
    <row r="42" spans="1:33" ht="29.25" hidden="1" customHeight="1">
      <c r="A42" s="84" t="s">
        <v>129</v>
      </c>
      <c r="B42" s="90">
        <f t="shared" ref="B42:X42" si="22">RANK(B39,$B39:$X39)</f>
        <v>4</v>
      </c>
      <c r="C42" s="90">
        <f t="shared" si="22"/>
        <v>5</v>
      </c>
      <c r="D42" s="90">
        <f t="shared" si="22"/>
        <v>19</v>
      </c>
      <c r="E42" s="90">
        <f t="shared" si="22"/>
        <v>23</v>
      </c>
      <c r="F42" s="90">
        <f t="shared" si="22"/>
        <v>13</v>
      </c>
      <c r="G42" s="90">
        <f t="shared" si="22"/>
        <v>20</v>
      </c>
      <c r="H42" s="90">
        <f t="shared" si="22"/>
        <v>21</v>
      </c>
      <c r="I42" s="90">
        <f t="shared" si="22"/>
        <v>7</v>
      </c>
      <c r="J42" s="90">
        <f t="shared" si="22"/>
        <v>16</v>
      </c>
      <c r="K42" s="90">
        <f t="shared" si="22"/>
        <v>14</v>
      </c>
      <c r="L42" s="90">
        <f t="shared" si="22"/>
        <v>18</v>
      </c>
      <c r="M42" s="90">
        <f t="shared" si="22"/>
        <v>10</v>
      </c>
      <c r="N42" s="90">
        <f t="shared" si="22"/>
        <v>9</v>
      </c>
      <c r="O42" s="90">
        <f t="shared" si="22"/>
        <v>17</v>
      </c>
      <c r="P42" s="90">
        <f t="shared" si="22"/>
        <v>1</v>
      </c>
      <c r="Q42" s="90">
        <f t="shared" si="22"/>
        <v>2</v>
      </c>
      <c r="R42" s="90">
        <f t="shared" si="22"/>
        <v>3</v>
      </c>
      <c r="S42" s="90">
        <f t="shared" si="22"/>
        <v>15</v>
      </c>
      <c r="T42" s="90">
        <f t="shared" si="22"/>
        <v>8</v>
      </c>
      <c r="U42" s="90">
        <f t="shared" si="22"/>
        <v>22</v>
      </c>
      <c r="V42" s="90">
        <f t="shared" si="22"/>
        <v>11</v>
      </c>
      <c r="W42" s="90">
        <f t="shared" si="22"/>
        <v>12</v>
      </c>
      <c r="X42" s="90">
        <f t="shared" si="22"/>
        <v>6</v>
      </c>
    </row>
    <row r="43" spans="1:33" ht="29.25" customHeight="1">
      <c r="A43" s="91"/>
      <c r="B43" s="90" t="s">
        <v>130</v>
      </c>
      <c r="C43" s="90" t="s">
        <v>131</v>
      </c>
    </row>
    <row r="44" spans="1:33" ht="29.25" customHeight="1">
      <c r="B44" s="92">
        <f>C44</f>
        <v>2712</v>
      </c>
      <c r="C44" s="90">
        <f>(O2Summary!B4-O2Summary!B6)*24</f>
        <v>2712</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3.8051247645951838</v>
      </c>
    </row>
    <row r="49" spans="1:5" ht="15.5">
      <c r="A49" s="283" t="s">
        <v>1472</v>
      </c>
      <c r="B49" s="288">
        <v>1029.7419444443085</v>
      </c>
      <c r="C49" s="284">
        <v>49</v>
      </c>
      <c r="D49" s="94">
        <f t="shared" ref="D49:D112" si="23">B49/C49</f>
        <v>21.015141723353235</v>
      </c>
      <c r="E49" s="94">
        <f t="shared" ref="E49:E112" si="24">($B$44-B49)/C49</f>
        <v>34.331797052156972</v>
      </c>
    </row>
    <row r="50" spans="1:5" ht="15.5">
      <c r="A50" s="283" t="s">
        <v>871</v>
      </c>
      <c r="B50" s="288">
        <v>615.25833333325761</v>
      </c>
      <c r="C50" s="284">
        <v>139</v>
      </c>
      <c r="D50" s="94">
        <f t="shared" si="23"/>
        <v>4.4263189448435796</v>
      </c>
      <c r="E50" s="94">
        <f t="shared" si="24"/>
        <v>15.084472422062895</v>
      </c>
    </row>
    <row r="51" spans="1:5" ht="15.5">
      <c r="A51" s="290" t="s">
        <v>257</v>
      </c>
      <c r="B51" s="288">
        <v>315.71666666666658</v>
      </c>
      <c r="C51" s="284">
        <v>101</v>
      </c>
      <c r="D51" s="94">
        <f t="shared" si="23"/>
        <v>3.1259075907590752</v>
      </c>
      <c r="E51" s="94">
        <f t="shared" si="24"/>
        <v>23.725577557755777</v>
      </c>
    </row>
    <row r="52" spans="1:5" ht="15.5">
      <c r="A52" s="283" t="s">
        <v>141</v>
      </c>
      <c r="B52" s="288">
        <v>293.93194444430162</v>
      </c>
      <c r="C52" s="284">
        <v>95</v>
      </c>
      <c r="D52" s="94">
        <f t="shared" si="23"/>
        <v>3.094020467834754</v>
      </c>
      <c r="E52" s="94">
        <f t="shared" si="24"/>
        <v>25.453347953217875</v>
      </c>
    </row>
    <row r="53" spans="1:5" ht="15.5">
      <c r="A53" s="283" t="s">
        <v>785</v>
      </c>
      <c r="B53" s="288">
        <v>250.41194444442772</v>
      </c>
      <c r="C53" s="284">
        <v>15</v>
      </c>
      <c r="D53" s="94">
        <f t="shared" si="23"/>
        <v>16.694129629628513</v>
      </c>
      <c r="E53" s="94">
        <f t="shared" si="24"/>
        <v>164.10587037037149</v>
      </c>
    </row>
    <row r="54" spans="1:5" ht="15.5">
      <c r="A54" s="290" t="s">
        <v>1963</v>
      </c>
      <c r="B54" s="288">
        <v>226.07833333358178</v>
      </c>
      <c r="C54" s="284">
        <v>615</v>
      </c>
      <c r="D54" s="94">
        <f t="shared" si="23"/>
        <v>0.3676070460708647</v>
      </c>
      <c r="E54" s="94">
        <f t="shared" si="24"/>
        <v>4.0421490514901111</v>
      </c>
    </row>
    <row r="55" spans="1:5" ht="15.5">
      <c r="A55" s="283" t="s">
        <v>140</v>
      </c>
      <c r="B55" s="288">
        <v>178.98083333297762</v>
      </c>
      <c r="C55" s="284">
        <v>114</v>
      </c>
      <c r="D55" s="94">
        <f t="shared" si="23"/>
        <v>1.5700073099384002</v>
      </c>
      <c r="E55" s="94">
        <f t="shared" si="24"/>
        <v>22.219466374272127</v>
      </c>
    </row>
    <row r="56" spans="1:5" ht="15.5">
      <c r="A56" s="283" t="s">
        <v>720</v>
      </c>
      <c r="B56" s="288">
        <v>144.16444444444443</v>
      </c>
      <c r="C56" s="284">
        <v>19</v>
      </c>
      <c r="D56" s="94">
        <f t="shared" si="23"/>
        <v>7.5876023391812852</v>
      </c>
      <c r="E56" s="94">
        <f t="shared" si="24"/>
        <v>135.14923976608188</v>
      </c>
    </row>
    <row r="57" spans="1:5" ht="15.5">
      <c r="A57" s="291" t="s">
        <v>291</v>
      </c>
      <c r="B57" s="288">
        <v>61.165555555474327</v>
      </c>
      <c r="C57" s="284">
        <v>29</v>
      </c>
      <c r="D57" s="94">
        <f t="shared" si="23"/>
        <v>2.1091570881198045</v>
      </c>
      <c r="E57" s="94">
        <f t="shared" si="24"/>
        <v>91.408084291190534</v>
      </c>
    </row>
    <row r="58" spans="1:5" ht="15.5">
      <c r="A58" s="292" t="s">
        <v>332</v>
      </c>
      <c r="B58" s="288">
        <v>59.394444444002346</v>
      </c>
      <c r="C58" s="284">
        <v>20</v>
      </c>
      <c r="D58" s="94">
        <f t="shared" si="23"/>
        <v>2.9697222222001174</v>
      </c>
      <c r="E58" s="94">
        <f t="shared" si="24"/>
        <v>132.6302777777999</v>
      </c>
    </row>
    <row r="59" spans="1:5" ht="15.5">
      <c r="A59" s="283" t="s">
        <v>378</v>
      </c>
      <c r="B59" s="288">
        <v>55.336666666526753</v>
      </c>
      <c r="C59" s="284">
        <v>144</v>
      </c>
      <c r="D59" s="94">
        <f t="shared" si="23"/>
        <v>0.38428240740643577</v>
      </c>
      <c r="E59" s="94">
        <f t="shared" si="24"/>
        <v>18.449050925926898</v>
      </c>
    </row>
    <row r="60" spans="1:5" ht="15.5">
      <c r="A60" s="291" t="s">
        <v>279</v>
      </c>
      <c r="B60" s="288">
        <v>53.451944444679846</v>
      </c>
      <c r="C60" s="284">
        <v>31</v>
      </c>
      <c r="D60" s="94">
        <f t="shared" si="23"/>
        <v>1.7242562724090273</v>
      </c>
      <c r="E60" s="94">
        <f t="shared" si="24"/>
        <v>85.7596146953329</v>
      </c>
    </row>
    <row r="61" spans="1:5" ht="15.5">
      <c r="A61" s="293" t="s">
        <v>704</v>
      </c>
      <c r="B61" s="288">
        <v>48.433333333333479</v>
      </c>
      <c r="C61" s="284">
        <v>26</v>
      </c>
      <c r="D61" s="94">
        <f t="shared" si="23"/>
        <v>1.8628205128205184</v>
      </c>
      <c r="E61" s="94">
        <f t="shared" si="24"/>
        <v>102.44487179487179</v>
      </c>
    </row>
    <row r="62" spans="1:5" ht="15.5">
      <c r="A62" s="293" t="s">
        <v>293</v>
      </c>
      <c r="B62" s="288">
        <v>45.03333333333336</v>
      </c>
      <c r="C62" s="284">
        <v>4</v>
      </c>
      <c r="D62" s="94">
        <f t="shared" si="23"/>
        <v>11.25833333333334</v>
      </c>
      <c r="E62" s="94">
        <f t="shared" si="24"/>
        <v>666.74166666666667</v>
      </c>
    </row>
    <row r="63" spans="1:5" ht="15.5">
      <c r="A63" s="293" t="s">
        <v>352</v>
      </c>
      <c r="B63" s="288">
        <v>43.739722222222191</v>
      </c>
      <c r="C63" s="284">
        <v>12</v>
      </c>
      <c r="D63" s="94">
        <f t="shared" si="23"/>
        <v>3.6449768518518493</v>
      </c>
      <c r="E63" s="94">
        <f t="shared" si="24"/>
        <v>222.35502314814815</v>
      </c>
    </row>
    <row r="64" spans="1:5" ht="15.5">
      <c r="A64" s="293" t="s">
        <v>364</v>
      </c>
      <c r="B64" s="288">
        <v>37.128611111073404</v>
      </c>
      <c r="C64" s="284">
        <v>84</v>
      </c>
      <c r="D64" s="94">
        <f t="shared" si="23"/>
        <v>0.44200727513182625</v>
      </c>
      <c r="E64" s="94">
        <f t="shared" si="24"/>
        <v>31.84370701058246</v>
      </c>
    </row>
    <row r="65" spans="1:5" ht="15.5">
      <c r="A65" s="293" t="s">
        <v>292</v>
      </c>
      <c r="B65" s="288">
        <v>34.430277777777825</v>
      </c>
      <c r="C65" s="284">
        <v>13</v>
      </c>
      <c r="D65" s="94">
        <f t="shared" si="23"/>
        <v>2.6484829059829096</v>
      </c>
      <c r="E65" s="94">
        <f t="shared" si="24"/>
        <v>205.9669017094017</v>
      </c>
    </row>
    <row r="66" spans="1:5" ht="15.5">
      <c r="A66" s="293" t="s">
        <v>276</v>
      </c>
      <c r="B66" s="288">
        <v>34.200000000000209</v>
      </c>
      <c r="C66" s="284">
        <v>82</v>
      </c>
      <c r="D66" s="94">
        <f t="shared" si="23"/>
        <v>0.41707317073170985</v>
      </c>
      <c r="E66" s="94">
        <f t="shared" si="24"/>
        <v>32.65609756097561</v>
      </c>
    </row>
    <row r="67" spans="1:5" ht="15.5">
      <c r="A67" s="292" t="s">
        <v>365</v>
      </c>
      <c r="B67" s="288">
        <v>33.35</v>
      </c>
      <c r="C67" s="284">
        <v>26</v>
      </c>
      <c r="D67" s="94">
        <f t="shared" si="23"/>
        <v>1.2826923076923078</v>
      </c>
      <c r="E67" s="94">
        <f t="shared" si="24"/>
        <v>103.02500000000001</v>
      </c>
    </row>
    <row r="68" spans="1:5" ht="15.5">
      <c r="A68" s="283" t="s">
        <v>3042</v>
      </c>
      <c r="B68" s="288">
        <v>29.151944444444442</v>
      </c>
      <c r="C68" s="284">
        <v>18</v>
      </c>
      <c r="D68" s="94">
        <f t="shared" si="23"/>
        <v>1.6195524691358023</v>
      </c>
      <c r="E68" s="94">
        <f t="shared" si="24"/>
        <v>149.04711419753087</v>
      </c>
    </row>
    <row r="69" spans="1:5" ht="15.5">
      <c r="A69" s="291" t="s">
        <v>326</v>
      </c>
      <c r="B69" s="288">
        <v>28.366666666666703</v>
      </c>
      <c r="C69" s="284">
        <v>3</v>
      </c>
      <c r="D69" s="94">
        <f t="shared" si="23"/>
        <v>9.4555555555555681</v>
      </c>
      <c r="E69" s="94">
        <f t="shared" si="24"/>
        <v>894.54444444444437</v>
      </c>
    </row>
    <row r="70" spans="1:5" ht="15.5">
      <c r="A70" s="292" t="s">
        <v>330</v>
      </c>
      <c r="B70" s="288">
        <v>27.250000000000021</v>
      </c>
      <c r="C70" s="284">
        <v>13</v>
      </c>
      <c r="D70" s="94">
        <f t="shared" si="23"/>
        <v>2.0961538461538476</v>
      </c>
      <c r="E70" s="94">
        <f t="shared" si="24"/>
        <v>206.51923076923077</v>
      </c>
    </row>
    <row r="71" spans="1:5" ht="15.5">
      <c r="A71" s="283" t="s">
        <v>1451</v>
      </c>
      <c r="B71" s="288">
        <v>25.916666666666664</v>
      </c>
      <c r="C71" s="284">
        <v>3</v>
      </c>
      <c r="D71" s="94">
        <f t="shared" si="23"/>
        <v>8.6388888888888875</v>
      </c>
      <c r="E71" s="94">
        <f t="shared" si="24"/>
        <v>895.3611111111112</v>
      </c>
    </row>
    <row r="72" spans="1:5" ht="15.5">
      <c r="A72" s="283" t="s">
        <v>1242</v>
      </c>
      <c r="B72" s="288">
        <v>25.730277777758893</v>
      </c>
      <c r="C72" s="284">
        <v>16</v>
      </c>
      <c r="D72" s="94">
        <f t="shared" si="23"/>
        <v>1.6081423611099308</v>
      </c>
      <c r="E72" s="94">
        <f t="shared" si="24"/>
        <v>167.89185763889006</v>
      </c>
    </row>
    <row r="73" spans="1:5" ht="15.5">
      <c r="A73" s="291" t="s">
        <v>1739</v>
      </c>
      <c r="B73" s="288">
        <v>24.866666666666802</v>
      </c>
      <c r="C73" s="284">
        <v>21</v>
      </c>
      <c r="D73" s="94">
        <f t="shared" si="23"/>
        <v>1.1841269841269906</v>
      </c>
      <c r="E73" s="94">
        <f t="shared" si="24"/>
        <v>127.95873015873015</v>
      </c>
    </row>
    <row r="74" spans="1:5" ht="15.5">
      <c r="A74" s="293" t="s">
        <v>271</v>
      </c>
      <c r="B74" s="288">
        <v>24.633333333333336</v>
      </c>
      <c r="C74" s="284">
        <v>2</v>
      </c>
      <c r="D74" s="94">
        <f t="shared" si="23"/>
        <v>12.316666666666668</v>
      </c>
      <c r="E74" s="94">
        <f t="shared" si="24"/>
        <v>1343.6833333333334</v>
      </c>
    </row>
    <row r="75" spans="1:5" ht="15.5">
      <c r="A75" s="293" t="s">
        <v>353</v>
      </c>
      <c r="B75" s="288">
        <v>22.238611111010496</v>
      </c>
      <c r="C75" s="284">
        <v>51</v>
      </c>
      <c r="D75" s="94">
        <f t="shared" si="23"/>
        <v>0.43605119825510774</v>
      </c>
      <c r="E75" s="94">
        <f t="shared" si="24"/>
        <v>52.74041938998019</v>
      </c>
    </row>
    <row r="76" spans="1:5" ht="15.5">
      <c r="A76" s="293" t="s">
        <v>331</v>
      </c>
      <c r="B76" s="288">
        <v>20.949999999999996</v>
      </c>
      <c r="C76" s="284">
        <v>4</v>
      </c>
      <c r="D76" s="94">
        <f t="shared" si="23"/>
        <v>5.2374999999999989</v>
      </c>
      <c r="E76" s="94">
        <f t="shared" si="24"/>
        <v>672.76250000000005</v>
      </c>
    </row>
    <row r="77" spans="1:5" ht="15.5">
      <c r="A77" s="293" t="s">
        <v>286</v>
      </c>
      <c r="B77" s="288">
        <v>20.716666666666683</v>
      </c>
      <c r="C77" s="284">
        <v>2</v>
      </c>
      <c r="D77" s="94">
        <f t="shared" si="23"/>
        <v>10.358333333333341</v>
      </c>
      <c r="E77" s="94">
        <f t="shared" si="24"/>
        <v>1345.6416666666667</v>
      </c>
    </row>
    <row r="78" spans="1:5" ht="15.5">
      <c r="A78" s="292" t="s">
        <v>275</v>
      </c>
      <c r="B78" s="288">
        <v>20.1666666666667</v>
      </c>
      <c r="C78" s="284">
        <v>5</v>
      </c>
      <c r="D78" s="94">
        <f t="shared" si="23"/>
        <v>4.0333333333333403</v>
      </c>
      <c r="E78" s="94">
        <f t="shared" si="24"/>
        <v>538.36666666666667</v>
      </c>
    </row>
    <row r="79" spans="1:5" ht="15.5">
      <c r="A79" s="290" t="s">
        <v>374</v>
      </c>
      <c r="B79" s="288">
        <v>19.912777777931986</v>
      </c>
      <c r="C79" s="284">
        <v>14</v>
      </c>
      <c r="D79" s="94">
        <f t="shared" si="23"/>
        <v>1.4223412698522846</v>
      </c>
      <c r="E79" s="94">
        <f t="shared" si="24"/>
        <v>192.29194444443343</v>
      </c>
    </row>
    <row r="80" spans="1:5" ht="15.5">
      <c r="A80" s="291" t="s">
        <v>274</v>
      </c>
      <c r="B80" s="288">
        <v>17.25</v>
      </c>
      <c r="C80" s="284">
        <v>2</v>
      </c>
      <c r="D80" s="94">
        <f t="shared" si="23"/>
        <v>8.625</v>
      </c>
      <c r="E80" s="94">
        <f t="shared" si="24"/>
        <v>1347.375</v>
      </c>
    </row>
    <row r="81" spans="1:5" ht="15.5">
      <c r="A81" s="293" t="s">
        <v>323</v>
      </c>
      <c r="B81" s="288">
        <v>16.951111112390976</v>
      </c>
      <c r="C81" s="284">
        <v>24</v>
      </c>
      <c r="D81" s="94">
        <f t="shared" si="23"/>
        <v>0.70629629634962399</v>
      </c>
      <c r="E81" s="94">
        <f t="shared" si="24"/>
        <v>112.29370370365037</v>
      </c>
    </row>
    <row r="82" spans="1:5" ht="15.5">
      <c r="A82" s="292" t="s">
        <v>366</v>
      </c>
      <c r="B82" s="288">
        <v>16.819444444414941</v>
      </c>
      <c r="C82" s="284">
        <v>14</v>
      </c>
      <c r="D82" s="94">
        <f t="shared" si="23"/>
        <v>1.2013888888867814</v>
      </c>
      <c r="E82" s="94">
        <f t="shared" si="24"/>
        <v>192.51289682539894</v>
      </c>
    </row>
    <row r="83" spans="1:5" ht="15.5">
      <c r="A83" s="283" t="s">
        <v>144</v>
      </c>
      <c r="B83" s="288">
        <v>16.279722222298549</v>
      </c>
      <c r="C83" s="284">
        <v>32</v>
      </c>
      <c r="D83" s="94">
        <f t="shared" si="23"/>
        <v>0.50874131944682965</v>
      </c>
      <c r="E83" s="94">
        <f t="shared" si="24"/>
        <v>84.241258680553173</v>
      </c>
    </row>
    <row r="84" spans="1:5" ht="15.5">
      <c r="A84" s="283" t="s">
        <v>1623</v>
      </c>
      <c r="B84" s="288">
        <v>15.865555555555551</v>
      </c>
      <c r="C84" s="284">
        <v>8</v>
      </c>
      <c r="D84" s="94">
        <f t="shared" si="23"/>
        <v>1.9831944444444438</v>
      </c>
      <c r="E84" s="94">
        <f t="shared" si="24"/>
        <v>337.01680555555555</v>
      </c>
    </row>
    <row r="85" spans="1:5" ht="15.5">
      <c r="A85" s="290" t="s">
        <v>287</v>
      </c>
      <c r="B85" s="288">
        <v>15.566666666666663</v>
      </c>
      <c r="C85" s="284">
        <v>3</v>
      </c>
      <c r="D85" s="94">
        <f t="shared" si="23"/>
        <v>5.1888888888888873</v>
      </c>
      <c r="E85" s="94">
        <f t="shared" si="24"/>
        <v>898.81111111111113</v>
      </c>
    </row>
    <row r="86" spans="1:5" ht="15.5">
      <c r="A86" s="283" t="s">
        <v>2101</v>
      </c>
      <c r="B86" s="288">
        <v>15.416666666666664</v>
      </c>
      <c r="C86" s="284">
        <v>8</v>
      </c>
      <c r="D86" s="94">
        <f t="shared" si="23"/>
        <v>1.927083333333333</v>
      </c>
      <c r="E86" s="94">
        <f t="shared" si="24"/>
        <v>337.07291666666669</v>
      </c>
    </row>
    <row r="87" spans="1:5" ht="15.5">
      <c r="A87" s="291" t="s">
        <v>298</v>
      </c>
      <c r="B87" s="288">
        <v>14.426111111111108</v>
      </c>
      <c r="C87" s="284">
        <v>3</v>
      </c>
      <c r="D87" s="94">
        <f t="shared" si="23"/>
        <v>4.8087037037037028</v>
      </c>
      <c r="E87" s="94">
        <f t="shared" si="24"/>
        <v>899.1912962962964</v>
      </c>
    </row>
    <row r="88" spans="1:5" ht="15.5">
      <c r="A88" s="292" t="s">
        <v>297</v>
      </c>
      <c r="B88" s="288">
        <v>13.690277777777776</v>
      </c>
      <c r="C88" s="284">
        <v>8</v>
      </c>
      <c r="D88" s="94">
        <f t="shared" si="23"/>
        <v>1.7112847222222221</v>
      </c>
      <c r="E88" s="94">
        <f t="shared" si="24"/>
        <v>337.28871527777778</v>
      </c>
    </row>
    <row r="89" spans="1:5" ht="15.5">
      <c r="A89" s="283" t="s">
        <v>377</v>
      </c>
      <c r="B89" s="288">
        <v>13.366666666666678</v>
      </c>
      <c r="C89" s="284">
        <v>14</v>
      </c>
      <c r="D89" s="94">
        <f t="shared" si="23"/>
        <v>0.95476190476190559</v>
      </c>
      <c r="E89" s="94">
        <f t="shared" si="24"/>
        <v>192.75952380952381</v>
      </c>
    </row>
    <row r="90" spans="1:5" ht="15.5">
      <c r="A90" s="283" t="s">
        <v>899</v>
      </c>
      <c r="B90" s="288">
        <v>12.900000000000002</v>
      </c>
      <c r="C90" s="284">
        <v>4</v>
      </c>
      <c r="D90" s="94">
        <f t="shared" si="23"/>
        <v>3.2250000000000005</v>
      </c>
      <c r="E90" s="94">
        <f t="shared" si="24"/>
        <v>674.77499999999998</v>
      </c>
    </row>
    <row r="91" spans="1:5" ht="15.5">
      <c r="A91" s="291" t="s">
        <v>260</v>
      </c>
      <c r="B91" s="288">
        <v>12.583333333333343</v>
      </c>
      <c r="C91" s="284">
        <v>4</v>
      </c>
      <c r="D91" s="94">
        <f t="shared" si="23"/>
        <v>3.1458333333333357</v>
      </c>
      <c r="E91" s="94">
        <f t="shared" si="24"/>
        <v>674.85416666666663</v>
      </c>
    </row>
    <row r="92" spans="1:5" ht="15.5">
      <c r="A92" s="293" t="s">
        <v>325</v>
      </c>
      <c r="B92" s="288">
        <v>12.433333333333476</v>
      </c>
      <c r="C92" s="284">
        <v>34</v>
      </c>
      <c r="D92" s="94">
        <f t="shared" si="23"/>
        <v>0.36568627450980812</v>
      </c>
      <c r="E92" s="94">
        <f t="shared" si="24"/>
        <v>79.39901960784313</v>
      </c>
    </row>
    <row r="93" spans="1:5" ht="15.5">
      <c r="A93" s="293" t="s">
        <v>263</v>
      </c>
      <c r="B93" s="288">
        <v>12.283333333333328</v>
      </c>
      <c r="C93" s="284">
        <v>2</v>
      </c>
      <c r="D93" s="94">
        <f t="shared" si="23"/>
        <v>6.1416666666666639</v>
      </c>
      <c r="E93" s="94">
        <f t="shared" si="24"/>
        <v>1349.8583333333333</v>
      </c>
    </row>
    <row r="94" spans="1:5" ht="15.5">
      <c r="A94" s="293" t="s">
        <v>254</v>
      </c>
      <c r="B94" s="288">
        <v>12.033333333333314</v>
      </c>
      <c r="C94" s="284">
        <v>2</v>
      </c>
      <c r="D94" s="94">
        <f t="shared" si="23"/>
        <v>6.0166666666666568</v>
      </c>
      <c r="E94" s="94">
        <f t="shared" si="24"/>
        <v>1349.9833333333333</v>
      </c>
    </row>
    <row r="95" spans="1:5" ht="15.5">
      <c r="A95" s="292" t="s">
        <v>316</v>
      </c>
      <c r="B95" s="288">
        <v>11.950000000000008</v>
      </c>
      <c r="C95" s="284">
        <v>1</v>
      </c>
      <c r="D95" s="94">
        <f t="shared" si="23"/>
        <v>11.950000000000008</v>
      </c>
      <c r="E95" s="94">
        <f t="shared" si="24"/>
        <v>2700.05</v>
      </c>
    </row>
    <row r="96" spans="1:5" ht="15.5">
      <c r="A96" s="290" t="s">
        <v>379</v>
      </c>
      <c r="B96" s="288">
        <v>11.933333333333358</v>
      </c>
      <c r="C96" s="284">
        <v>8</v>
      </c>
      <c r="D96" s="94">
        <f t="shared" si="23"/>
        <v>1.4916666666666698</v>
      </c>
      <c r="E96" s="94">
        <f t="shared" si="24"/>
        <v>337.50833333333333</v>
      </c>
    </row>
    <row r="97" spans="1:5" ht="15.5">
      <c r="A97" s="290" t="s">
        <v>269</v>
      </c>
      <c r="B97" s="288">
        <v>11.333055555555553</v>
      </c>
      <c r="C97" s="284">
        <v>2</v>
      </c>
      <c r="D97" s="94">
        <f t="shared" si="23"/>
        <v>5.6665277777777767</v>
      </c>
      <c r="E97" s="94">
        <f t="shared" si="24"/>
        <v>1350.3334722222223</v>
      </c>
    </row>
    <row r="98" spans="1:5" ht="15.5">
      <c r="A98" s="283" t="s">
        <v>2569</v>
      </c>
      <c r="B98" s="288">
        <v>11.016666666666666</v>
      </c>
      <c r="C98" s="284">
        <v>4</v>
      </c>
      <c r="D98" s="94">
        <f t="shared" si="23"/>
        <v>2.7541666666666664</v>
      </c>
      <c r="E98" s="94">
        <f t="shared" si="24"/>
        <v>675.24583333333328</v>
      </c>
    </row>
    <row r="99" spans="1:5" ht="15.5">
      <c r="A99" s="283" t="s">
        <v>370</v>
      </c>
      <c r="B99" s="288">
        <v>10.602222222222212</v>
      </c>
      <c r="C99" s="284">
        <v>5</v>
      </c>
      <c r="D99" s="94">
        <f t="shared" si="23"/>
        <v>2.1204444444444421</v>
      </c>
      <c r="E99" s="94">
        <f t="shared" si="24"/>
        <v>540.27955555555559</v>
      </c>
    </row>
    <row r="100" spans="1:5" ht="15.5">
      <c r="A100" s="290" t="s">
        <v>357</v>
      </c>
      <c r="B100" s="288">
        <v>10.549999999999997</v>
      </c>
      <c r="C100" s="284">
        <v>3</v>
      </c>
      <c r="D100" s="94">
        <f t="shared" si="23"/>
        <v>3.5166666666666657</v>
      </c>
      <c r="E100" s="94">
        <f t="shared" si="24"/>
        <v>900.48333333333323</v>
      </c>
    </row>
    <row r="101" spans="1:5" ht="15.5">
      <c r="A101" s="283" t="s">
        <v>2570</v>
      </c>
      <c r="B101" s="288">
        <v>10.541666666731341</v>
      </c>
      <c r="C101" s="284">
        <v>2</v>
      </c>
      <c r="D101" s="94">
        <f t="shared" si="23"/>
        <v>5.2708333333656707</v>
      </c>
      <c r="E101" s="94">
        <f t="shared" si="24"/>
        <v>1350.7291666666342</v>
      </c>
    </row>
    <row r="102" spans="1:5" ht="15.5">
      <c r="A102" s="291" t="s">
        <v>261</v>
      </c>
      <c r="B102" s="288">
        <v>10.39999999999999</v>
      </c>
      <c r="C102" s="284">
        <v>4</v>
      </c>
      <c r="D102" s="94">
        <f t="shared" si="23"/>
        <v>2.5999999999999974</v>
      </c>
      <c r="E102" s="94">
        <f t="shared" si="24"/>
        <v>675.4</v>
      </c>
    </row>
    <row r="103" spans="1:5" ht="15.5">
      <c r="A103" s="292" t="s">
        <v>290</v>
      </c>
      <c r="B103" s="288">
        <v>8.8711111097397986</v>
      </c>
      <c r="C103" s="284">
        <v>54</v>
      </c>
      <c r="D103" s="94">
        <f t="shared" si="23"/>
        <v>0.16427983536555182</v>
      </c>
      <c r="E103" s="94">
        <f t="shared" si="24"/>
        <v>50.057942386856666</v>
      </c>
    </row>
    <row r="104" spans="1:5" ht="15.5">
      <c r="A104" s="290" t="s">
        <v>301</v>
      </c>
      <c r="B104" s="288">
        <v>8.7974999999001504</v>
      </c>
      <c r="C104" s="284">
        <v>30</v>
      </c>
      <c r="D104" s="94">
        <f t="shared" si="23"/>
        <v>0.29324999999667167</v>
      </c>
      <c r="E104" s="94">
        <f t="shared" si="24"/>
        <v>90.106750000003331</v>
      </c>
    </row>
    <row r="105" spans="1:5" ht="15.5">
      <c r="A105" s="291" t="s">
        <v>328</v>
      </c>
      <c r="B105" s="288">
        <v>8.7024999992339502</v>
      </c>
      <c r="C105" s="284">
        <v>6</v>
      </c>
      <c r="D105" s="94">
        <f t="shared" si="23"/>
        <v>1.4504166665389917</v>
      </c>
      <c r="E105" s="94">
        <f t="shared" si="24"/>
        <v>450.54958333346099</v>
      </c>
    </row>
    <row r="106" spans="1:5" ht="15.5">
      <c r="A106" s="292" t="s">
        <v>143</v>
      </c>
      <c r="B106" s="288">
        <v>8.6147222221370008</v>
      </c>
      <c r="C106" s="284">
        <v>35</v>
      </c>
      <c r="D106" s="94">
        <f t="shared" si="23"/>
        <v>0.24613492063248574</v>
      </c>
      <c r="E106" s="94">
        <f t="shared" si="24"/>
        <v>77.239579365081795</v>
      </c>
    </row>
    <row r="107" spans="1:5" ht="15.5">
      <c r="A107" s="283" t="s">
        <v>146</v>
      </c>
      <c r="B107" s="288">
        <v>8.3663888888783013</v>
      </c>
      <c r="C107" s="284">
        <v>83</v>
      </c>
      <c r="D107" s="94">
        <f t="shared" si="23"/>
        <v>0.10079986613106387</v>
      </c>
      <c r="E107" s="94">
        <f t="shared" si="24"/>
        <v>32.573898929049662</v>
      </c>
    </row>
    <row r="108" spans="1:5" ht="15.5">
      <c r="A108" s="283" t="s">
        <v>768</v>
      </c>
      <c r="B108" s="288">
        <v>7.9611111111007791</v>
      </c>
      <c r="C108" s="284">
        <v>8</v>
      </c>
      <c r="D108" s="94">
        <f t="shared" si="23"/>
        <v>0.99513888888759738</v>
      </c>
      <c r="E108" s="94">
        <f t="shared" si="24"/>
        <v>338.0048611111124</v>
      </c>
    </row>
    <row r="109" spans="1:5" ht="15.5">
      <c r="A109" s="290" t="s">
        <v>305</v>
      </c>
      <c r="B109" s="288">
        <v>7.1425000000000116</v>
      </c>
      <c r="C109" s="284">
        <v>5</v>
      </c>
      <c r="D109" s="94">
        <f t="shared" si="23"/>
        <v>1.4285000000000023</v>
      </c>
      <c r="E109" s="94">
        <f t="shared" si="24"/>
        <v>540.97149999999999</v>
      </c>
    </row>
    <row r="110" spans="1:5" ht="15.5">
      <c r="A110" s="283" t="s">
        <v>138</v>
      </c>
      <c r="B110" s="288">
        <v>6.1166666666666636</v>
      </c>
      <c r="C110" s="284">
        <v>1</v>
      </c>
      <c r="D110" s="94">
        <f t="shared" si="23"/>
        <v>6.1166666666666636</v>
      </c>
      <c r="E110" s="94">
        <f t="shared" si="24"/>
        <v>2705.8833333333332</v>
      </c>
    </row>
    <row r="111" spans="1:5" ht="15.5">
      <c r="A111" s="291" t="s">
        <v>314</v>
      </c>
      <c r="B111" s="288">
        <v>5.9499999999999726</v>
      </c>
      <c r="C111" s="284">
        <v>15</v>
      </c>
      <c r="D111" s="94">
        <f t="shared" si="23"/>
        <v>0.39666666666666484</v>
      </c>
      <c r="E111" s="94">
        <f t="shared" si="24"/>
        <v>180.40333333333334</v>
      </c>
    </row>
    <row r="112" spans="1:5" ht="15.5">
      <c r="A112" s="292" t="s">
        <v>267</v>
      </c>
      <c r="B112" s="288">
        <v>5.7666666666665733</v>
      </c>
      <c r="C112" s="284">
        <v>15</v>
      </c>
      <c r="D112" s="94">
        <f t="shared" si="23"/>
        <v>0.3844444444444382</v>
      </c>
      <c r="E112" s="94">
        <f t="shared" si="24"/>
        <v>180.41555555555558</v>
      </c>
    </row>
    <row r="113" spans="1:5" ht="15.5">
      <c r="A113" s="283" t="s">
        <v>2378</v>
      </c>
      <c r="B113" s="288">
        <v>5.7500000000000009</v>
      </c>
      <c r="C113" s="284">
        <v>3</v>
      </c>
      <c r="D113" s="94">
        <f t="shared" ref="D113:D169" si="25">B113/C113</f>
        <v>1.916666666666667</v>
      </c>
      <c r="E113" s="94">
        <f t="shared" ref="E113:E169" si="26">($B$44-B113)/C113</f>
        <v>902.08333333333337</v>
      </c>
    </row>
    <row r="114" spans="1:5" ht="15.5">
      <c r="A114" s="290" t="s">
        <v>300</v>
      </c>
      <c r="B114" s="288">
        <v>5.5888888888932886</v>
      </c>
      <c r="C114" s="284">
        <v>17</v>
      </c>
      <c r="D114" s="94">
        <f t="shared" si="25"/>
        <v>0.32875816993489931</v>
      </c>
      <c r="E114" s="94">
        <f t="shared" si="26"/>
        <v>159.20065359477098</v>
      </c>
    </row>
    <row r="115" spans="1:5" ht="15.5">
      <c r="A115" s="283" t="s">
        <v>2111</v>
      </c>
      <c r="B115" s="288">
        <v>5.5558333334668228</v>
      </c>
      <c r="C115" s="284">
        <v>3</v>
      </c>
      <c r="D115" s="94">
        <f t="shared" si="25"/>
        <v>1.851944444488941</v>
      </c>
      <c r="E115" s="94">
        <f t="shared" si="26"/>
        <v>902.14805555551095</v>
      </c>
    </row>
    <row r="116" spans="1:5" ht="15.5">
      <c r="A116" s="283" t="s">
        <v>886</v>
      </c>
      <c r="B116" s="288">
        <v>5.306111111111111</v>
      </c>
      <c r="C116" s="284">
        <v>8</v>
      </c>
      <c r="D116" s="94">
        <f t="shared" si="25"/>
        <v>0.66326388888888888</v>
      </c>
      <c r="E116" s="94">
        <f t="shared" si="26"/>
        <v>338.33673611111112</v>
      </c>
    </row>
    <row r="117" spans="1:5" ht="15.5">
      <c r="A117" s="283" t="s">
        <v>369</v>
      </c>
      <c r="B117" s="288">
        <v>5.0272222222222309</v>
      </c>
      <c r="C117" s="284">
        <v>3</v>
      </c>
      <c r="D117" s="94">
        <f t="shared" si="25"/>
        <v>1.6757407407407436</v>
      </c>
      <c r="E117" s="94">
        <f t="shared" si="26"/>
        <v>902.32425925925929</v>
      </c>
    </row>
    <row r="118" spans="1:5" ht="15.5">
      <c r="A118" s="283" t="s">
        <v>1797</v>
      </c>
      <c r="B118" s="288">
        <v>4.9166666666666661</v>
      </c>
      <c r="C118" s="284">
        <v>1</v>
      </c>
      <c r="D118" s="94">
        <f t="shared" si="25"/>
        <v>4.9166666666666661</v>
      </c>
      <c r="E118" s="94">
        <f t="shared" si="26"/>
        <v>2707.0833333333335</v>
      </c>
    </row>
    <row r="119" spans="1:5" ht="15.5">
      <c r="A119" s="283" t="s">
        <v>2990</v>
      </c>
      <c r="B119" s="288">
        <v>4.7500000000000053</v>
      </c>
      <c r="C119" s="284">
        <v>8</v>
      </c>
      <c r="D119" s="94">
        <f t="shared" si="25"/>
        <v>0.59375000000000067</v>
      </c>
      <c r="E119" s="94">
        <f t="shared" si="26"/>
        <v>338.40625</v>
      </c>
    </row>
    <row r="120" spans="1:5" ht="15.5">
      <c r="A120" s="291" t="s">
        <v>3041</v>
      </c>
      <c r="B120" s="288">
        <v>4.5166666666666559</v>
      </c>
      <c r="C120" s="284">
        <v>1</v>
      </c>
      <c r="D120" s="94">
        <f t="shared" si="25"/>
        <v>4.5166666666666559</v>
      </c>
      <c r="E120" s="94">
        <f t="shared" si="26"/>
        <v>2707.4833333333331</v>
      </c>
    </row>
    <row r="121" spans="1:5" ht="15.5">
      <c r="A121" s="292" t="s">
        <v>354</v>
      </c>
      <c r="B121" s="288">
        <v>4.3999999999999924</v>
      </c>
      <c r="C121" s="284">
        <v>1</v>
      </c>
      <c r="D121" s="94">
        <f t="shared" si="25"/>
        <v>4.3999999999999924</v>
      </c>
      <c r="E121" s="94">
        <f t="shared" si="26"/>
        <v>2707.6</v>
      </c>
    </row>
    <row r="122" spans="1:5" ht="15.5">
      <c r="A122" s="283" t="s">
        <v>1873</v>
      </c>
      <c r="B122" s="288">
        <v>4.2999999999999989</v>
      </c>
      <c r="C122" s="284">
        <v>2</v>
      </c>
      <c r="D122" s="94">
        <f t="shared" si="25"/>
        <v>2.1499999999999995</v>
      </c>
      <c r="E122" s="94">
        <f t="shared" si="26"/>
        <v>1353.85</v>
      </c>
    </row>
    <row r="123" spans="1:5" ht="15.5">
      <c r="A123" s="290" t="s">
        <v>302</v>
      </c>
      <c r="B123" s="288">
        <v>4.0841666666666532</v>
      </c>
      <c r="C123" s="284">
        <v>10</v>
      </c>
      <c r="D123" s="94">
        <f t="shared" si="25"/>
        <v>0.40841666666666532</v>
      </c>
      <c r="E123" s="94">
        <f t="shared" si="26"/>
        <v>270.79158333333334</v>
      </c>
    </row>
    <row r="124" spans="1:5" ht="15.5">
      <c r="A124" s="283" t="s">
        <v>372</v>
      </c>
      <c r="B124" s="288">
        <v>4.0761111112466537</v>
      </c>
      <c r="C124" s="284">
        <v>7</v>
      </c>
      <c r="D124" s="94">
        <f t="shared" si="25"/>
        <v>0.5823015873209505</v>
      </c>
      <c r="E124" s="94">
        <f t="shared" si="26"/>
        <v>386.84626984125049</v>
      </c>
    </row>
    <row r="125" spans="1:5" ht="15.5">
      <c r="A125" s="283" t="s">
        <v>3335</v>
      </c>
      <c r="B125" s="288">
        <v>3.9666666666666668</v>
      </c>
      <c r="C125" s="284">
        <v>1</v>
      </c>
      <c r="D125" s="94">
        <f t="shared" si="25"/>
        <v>3.9666666666666668</v>
      </c>
      <c r="E125" s="94">
        <f t="shared" si="26"/>
        <v>2708.0333333333333</v>
      </c>
    </row>
    <row r="126" spans="1:5" ht="15.5">
      <c r="A126" s="283" t="s">
        <v>1640</v>
      </c>
      <c r="B126" s="288">
        <v>3.8444444443176797</v>
      </c>
      <c r="C126" s="284">
        <v>6</v>
      </c>
      <c r="D126" s="94">
        <f t="shared" si="25"/>
        <v>0.64074074071961329</v>
      </c>
      <c r="E126" s="94">
        <f t="shared" si="26"/>
        <v>451.35925925928041</v>
      </c>
    </row>
    <row r="127" spans="1:5" ht="15.5">
      <c r="A127" s="283" t="s">
        <v>1382</v>
      </c>
      <c r="B127" s="288">
        <v>3.7077777777565712</v>
      </c>
      <c r="C127" s="284">
        <v>3</v>
      </c>
      <c r="D127" s="94">
        <f t="shared" si="25"/>
        <v>1.2359259259188571</v>
      </c>
      <c r="E127" s="94">
        <f t="shared" si="26"/>
        <v>902.76407407408112</v>
      </c>
    </row>
    <row r="128" spans="1:5" ht="15.5">
      <c r="A128" s="290" t="s">
        <v>329</v>
      </c>
      <c r="B128" s="288">
        <v>3.6833333333333629</v>
      </c>
      <c r="C128" s="284">
        <v>7</v>
      </c>
      <c r="D128" s="94">
        <f t="shared" si="25"/>
        <v>0.52619047619048043</v>
      </c>
      <c r="E128" s="94">
        <f t="shared" si="26"/>
        <v>386.90238095238095</v>
      </c>
    </row>
    <row r="129" spans="1:5" ht="15.5">
      <c r="A129" s="291" t="s">
        <v>281</v>
      </c>
      <c r="B129" s="288">
        <v>3.466666666666681</v>
      </c>
      <c r="C129" s="284">
        <v>1</v>
      </c>
      <c r="D129" s="94">
        <f t="shared" si="25"/>
        <v>3.466666666666681</v>
      </c>
      <c r="E129" s="94">
        <f t="shared" si="26"/>
        <v>2708.5333333333333</v>
      </c>
    </row>
    <row r="130" spans="1:5" ht="15.5">
      <c r="A130" s="292" t="s">
        <v>311</v>
      </c>
      <c r="B130" s="288">
        <v>3.4466666666666885</v>
      </c>
      <c r="C130" s="284">
        <v>1</v>
      </c>
      <c r="D130" s="94">
        <f t="shared" si="25"/>
        <v>3.4466666666666885</v>
      </c>
      <c r="E130" s="94">
        <f t="shared" si="26"/>
        <v>2708.5533333333333</v>
      </c>
    </row>
    <row r="131" spans="1:5" ht="15.5">
      <c r="A131" s="283" t="s">
        <v>2115</v>
      </c>
      <c r="B131" s="288">
        <v>3.2833333333333337</v>
      </c>
      <c r="C131" s="284">
        <v>2</v>
      </c>
      <c r="D131" s="94">
        <f t="shared" si="25"/>
        <v>1.6416666666666668</v>
      </c>
      <c r="E131" s="94">
        <f t="shared" si="26"/>
        <v>1354.3583333333333</v>
      </c>
    </row>
    <row r="132" spans="1:5" ht="15.5">
      <c r="A132" s="290" t="s">
        <v>344</v>
      </c>
      <c r="B132" s="288">
        <v>3.1847222242439535</v>
      </c>
      <c r="C132" s="284">
        <v>50</v>
      </c>
      <c r="D132" s="94">
        <f t="shared" si="25"/>
        <v>6.369444448487907E-2</v>
      </c>
      <c r="E132" s="94">
        <f t="shared" si="26"/>
        <v>54.176305555515121</v>
      </c>
    </row>
    <row r="133" spans="1:5" ht="15.5">
      <c r="A133" s="290" t="s">
        <v>296</v>
      </c>
      <c r="B133" s="288">
        <v>3.1802777780726812</v>
      </c>
      <c r="C133" s="284">
        <v>9</v>
      </c>
      <c r="D133" s="94">
        <f t="shared" si="25"/>
        <v>0.35336419756363124</v>
      </c>
      <c r="E133" s="94">
        <f t="shared" si="26"/>
        <v>300.97996913576969</v>
      </c>
    </row>
    <row r="134" spans="1:5" ht="15.5">
      <c r="A134" s="283" t="s">
        <v>904</v>
      </c>
      <c r="B134" s="288">
        <v>3.1775000000005313</v>
      </c>
      <c r="C134" s="284">
        <v>3</v>
      </c>
      <c r="D134" s="94">
        <f t="shared" si="25"/>
        <v>1.0591666666668438</v>
      </c>
      <c r="E134" s="94">
        <f t="shared" si="26"/>
        <v>902.9408333333331</v>
      </c>
    </row>
    <row r="135" spans="1:5" ht="15.5">
      <c r="A135" s="290" t="s">
        <v>356</v>
      </c>
      <c r="B135" s="288">
        <v>3.1388888888889142</v>
      </c>
      <c r="C135" s="284">
        <v>4</v>
      </c>
      <c r="D135" s="94">
        <f t="shared" si="25"/>
        <v>0.78472222222222854</v>
      </c>
      <c r="E135" s="94">
        <f t="shared" si="26"/>
        <v>677.21527777777783</v>
      </c>
    </row>
    <row r="136" spans="1:5" ht="15.5">
      <c r="A136" s="283" t="s">
        <v>380</v>
      </c>
      <c r="B136" s="288">
        <v>3.0833333333333517</v>
      </c>
      <c r="C136" s="284">
        <v>1</v>
      </c>
      <c r="D136" s="94">
        <f t="shared" si="25"/>
        <v>3.0833333333333517</v>
      </c>
      <c r="E136" s="94">
        <f t="shared" si="26"/>
        <v>2708.9166666666665</v>
      </c>
    </row>
    <row r="137" spans="1:5" ht="15.5">
      <c r="A137" s="283" t="s">
        <v>3003</v>
      </c>
      <c r="B137" s="288">
        <v>3.0761111111111115</v>
      </c>
      <c r="C137" s="284">
        <v>2</v>
      </c>
      <c r="D137" s="94">
        <f t="shared" si="25"/>
        <v>1.5380555555555557</v>
      </c>
      <c r="E137" s="94">
        <f t="shared" si="26"/>
        <v>1354.4619444444445</v>
      </c>
    </row>
    <row r="138" spans="1:5" ht="15.5">
      <c r="A138" s="283" t="s">
        <v>2247</v>
      </c>
      <c r="B138" s="288">
        <v>3.0702777777777772</v>
      </c>
      <c r="C138" s="284">
        <v>1</v>
      </c>
      <c r="D138" s="94">
        <f t="shared" si="25"/>
        <v>3.0702777777777772</v>
      </c>
      <c r="E138" s="94">
        <f t="shared" si="26"/>
        <v>2708.9297222222222</v>
      </c>
    </row>
    <row r="139" spans="1:5" ht="15.5">
      <c r="A139" s="290" t="s">
        <v>345</v>
      </c>
      <c r="B139" s="288">
        <v>3.0127777776215225</v>
      </c>
      <c r="C139" s="284">
        <v>1</v>
      </c>
      <c r="D139" s="94">
        <f t="shared" si="25"/>
        <v>3.0127777776215225</v>
      </c>
      <c r="E139" s="94">
        <f t="shared" si="26"/>
        <v>2708.9872222223785</v>
      </c>
    </row>
    <row r="140" spans="1:5" ht="15.5">
      <c r="A140" s="283" t="s">
        <v>644</v>
      </c>
      <c r="B140" s="288">
        <v>3.0083333333333346</v>
      </c>
      <c r="C140" s="284">
        <v>3</v>
      </c>
      <c r="D140" s="94">
        <f t="shared" si="25"/>
        <v>1.0027777777777782</v>
      </c>
      <c r="E140" s="94">
        <f t="shared" si="26"/>
        <v>902.99722222222226</v>
      </c>
    </row>
    <row r="141" spans="1:5" ht="15.5">
      <c r="A141" s="291" t="s">
        <v>338</v>
      </c>
      <c r="B141" s="288">
        <v>2.9500000000000122</v>
      </c>
      <c r="C141" s="284">
        <v>7</v>
      </c>
      <c r="D141" s="94">
        <f t="shared" si="25"/>
        <v>0.42142857142857315</v>
      </c>
      <c r="E141" s="94">
        <f t="shared" si="26"/>
        <v>387.00714285714287</v>
      </c>
    </row>
    <row r="142" spans="1:5" ht="15.5">
      <c r="A142" s="292" t="s">
        <v>350</v>
      </c>
      <c r="B142" s="288">
        <v>2.8961111111110993</v>
      </c>
      <c r="C142" s="284">
        <v>4</v>
      </c>
      <c r="D142" s="94">
        <f t="shared" si="25"/>
        <v>0.72402777777777483</v>
      </c>
      <c r="E142" s="94">
        <f t="shared" si="26"/>
        <v>677.27597222222221</v>
      </c>
    </row>
    <row r="143" spans="1:5" ht="15.5">
      <c r="A143" s="283" t="s">
        <v>907</v>
      </c>
      <c r="B143" s="288">
        <v>2.8905555554851872</v>
      </c>
      <c r="C143" s="284">
        <v>10</v>
      </c>
      <c r="D143" s="94">
        <f t="shared" si="25"/>
        <v>0.28905555554851869</v>
      </c>
      <c r="E143" s="94">
        <f t="shared" si="26"/>
        <v>270.9109444444515</v>
      </c>
    </row>
    <row r="144" spans="1:5" ht="15.5">
      <c r="A144" s="283" t="s">
        <v>727</v>
      </c>
      <c r="B144" s="288">
        <v>2.8513888888994816</v>
      </c>
      <c r="C144" s="284">
        <v>23</v>
      </c>
      <c r="D144" s="94">
        <f t="shared" si="25"/>
        <v>0.12397342995215137</v>
      </c>
      <c r="E144" s="94">
        <f t="shared" si="26"/>
        <v>117.78907004830872</v>
      </c>
    </row>
    <row r="145" spans="1:5" ht="15.5">
      <c r="A145" s="283" t="s">
        <v>2220</v>
      </c>
      <c r="B145" s="288">
        <v>2.8266666665831064</v>
      </c>
      <c r="C145" s="284">
        <v>5</v>
      </c>
      <c r="D145" s="94">
        <f t="shared" si="25"/>
        <v>0.56533333331662128</v>
      </c>
      <c r="E145" s="94">
        <f t="shared" si="26"/>
        <v>541.83466666668335</v>
      </c>
    </row>
    <row r="146" spans="1:5" ht="15.5">
      <c r="A146" s="290" t="s">
        <v>265</v>
      </c>
      <c r="B146" s="288">
        <v>2.7833333333333501</v>
      </c>
      <c r="C146" s="284">
        <v>2</v>
      </c>
      <c r="D146" s="94">
        <f t="shared" si="25"/>
        <v>1.391666666666675</v>
      </c>
      <c r="E146" s="94">
        <f t="shared" si="26"/>
        <v>1354.6083333333333</v>
      </c>
    </row>
    <row r="147" spans="1:5" ht="15.5">
      <c r="A147" s="283" t="s">
        <v>3521</v>
      </c>
      <c r="B147" s="288">
        <v>2.6333333333333337</v>
      </c>
      <c r="C147" s="284">
        <v>2</v>
      </c>
      <c r="D147" s="94">
        <f t="shared" si="25"/>
        <v>1.3166666666666669</v>
      </c>
      <c r="E147" s="94">
        <f t="shared" si="26"/>
        <v>1354.6833333333334</v>
      </c>
    </row>
    <row r="148" spans="1:5" ht="15.5">
      <c r="A148" s="291" t="s">
        <v>266</v>
      </c>
      <c r="B148" s="288">
        <v>2.616666666666672</v>
      </c>
      <c r="C148" s="284">
        <v>1</v>
      </c>
      <c r="D148" s="94">
        <f t="shared" si="25"/>
        <v>2.616666666666672</v>
      </c>
      <c r="E148" s="94">
        <f t="shared" si="26"/>
        <v>2709.3833333333332</v>
      </c>
    </row>
    <row r="149" spans="1:5" ht="15.5">
      <c r="A149" s="292" t="s">
        <v>335</v>
      </c>
      <c r="B149" s="288">
        <v>2.533333333333339</v>
      </c>
      <c r="C149" s="284">
        <v>1</v>
      </c>
      <c r="D149" s="94">
        <f t="shared" si="25"/>
        <v>2.533333333333339</v>
      </c>
      <c r="E149" s="94">
        <f t="shared" si="26"/>
        <v>2709.4666666666667</v>
      </c>
    </row>
    <row r="150" spans="1:5" ht="15.5">
      <c r="A150" s="283" t="s">
        <v>908</v>
      </c>
      <c r="B150" s="288">
        <v>2.4127777779358439</v>
      </c>
      <c r="C150" s="284">
        <v>2</v>
      </c>
      <c r="D150" s="94">
        <f t="shared" si="25"/>
        <v>1.206388888967922</v>
      </c>
      <c r="E150" s="94">
        <f t="shared" si="26"/>
        <v>1354.7936111110321</v>
      </c>
    </row>
    <row r="151" spans="1:5" ht="15.5">
      <c r="A151" s="283" t="s">
        <v>927</v>
      </c>
      <c r="B151" s="288">
        <v>2.3922222223650307</v>
      </c>
      <c r="C151" s="284">
        <v>40</v>
      </c>
      <c r="D151" s="94">
        <f t="shared" si="25"/>
        <v>5.980555555912577E-2</v>
      </c>
      <c r="E151" s="94">
        <f t="shared" si="26"/>
        <v>67.740194444440874</v>
      </c>
    </row>
    <row r="152" spans="1:5" ht="15.5">
      <c r="A152" s="283" t="s">
        <v>3073</v>
      </c>
      <c r="B152" s="288">
        <v>2.3833333333333315</v>
      </c>
      <c r="C152" s="284">
        <v>5</v>
      </c>
      <c r="D152" s="94">
        <f t="shared" si="25"/>
        <v>0.47666666666666629</v>
      </c>
      <c r="E152" s="94">
        <f t="shared" si="26"/>
        <v>541.9233333333334</v>
      </c>
    </row>
    <row r="153" spans="1:5" ht="15.5">
      <c r="A153" s="290" t="s">
        <v>334</v>
      </c>
      <c r="B153" s="288">
        <v>2.3166666666666673</v>
      </c>
      <c r="C153" s="284">
        <v>1</v>
      </c>
      <c r="D153" s="94">
        <f t="shared" si="25"/>
        <v>2.3166666666666673</v>
      </c>
      <c r="E153" s="94">
        <f t="shared" si="26"/>
        <v>2709.6833333333334</v>
      </c>
    </row>
    <row r="154" spans="1:5" ht="15.5">
      <c r="A154" s="283" t="s">
        <v>1994</v>
      </c>
      <c r="B154" s="288">
        <v>2.316666666666666</v>
      </c>
      <c r="C154" s="284">
        <v>2</v>
      </c>
      <c r="D154" s="94">
        <f t="shared" si="25"/>
        <v>1.158333333333333</v>
      </c>
      <c r="E154" s="94">
        <f t="shared" si="26"/>
        <v>1354.8416666666667</v>
      </c>
    </row>
    <row r="155" spans="1:5" ht="15.5">
      <c r="A155" s="291" t="s">
        <v>336</v>
      </c>
      <c r="B155" s="288">
        <v>2.2000000000000055</v>
      </c>
      <c r="C155" s="284">
        <v>2</v>
      </c>
      <c r="D155" s="94">
        <f t="shared" si="25"/>
        <v>1.1000000000000028</v>
      </c>
      <c r="E155" s="94">
        <f t="shared" si="26"/>
        <v>1354.9</v>
      </c>
    </row>
    <row r="156" spans="1:5" ht="15.5">
      <c r="A156" s="293" t="s">
        <v>351</v>
      </c>
      <c r="B156" s="288">
        <v>2.1538888888889014</v>
      </c>
      <c r="C156" s="284">
        <v>1</v>
      </c>
      <c r="D156" s="94">
        <f t="shared" si="25"/>
        <v>2.1538888888889014</v>
      </c>
      <c r="E156" s="94">
        <f t="shared" si="26"/>
        <v>2709.846111111111</v>
      </c>
    </row>
    <row r="157" spans="1:5" ht="15.5">
      <c r="A157" s="292" t="s">
        <v>342</v>
      </c>
      <c r="B157" s="288">
        <v>2.0650000009336509</v>
      </c>
      <c r="C157" s="284">
        <v>2</v>
      </c>
      <c r="D157" s="94">
        <f t="shared" si="25"/>
        <v>1.0325000004668254</v>
      </c>
      <c r="E157" s="94">
        <f t="shared" si="26"/>
        <v>1354.9674999995332</v>
      </c>
    </row>
    <row r="158" spans="1:5" ht="15.5">
      <c r="A158" s="283" t="s">
        <v>713</v>
      </c>
      <c r="B158" s="288">
        <v>2.0413888888433576</v>
      </c>
      <c r="C158" s="284">
        <v>8</v>
      </c>
      <c r="D158" s="94">
        <f t="shared" si="25"/>
        <v>0.2551736111054197</v>
      </c>
      <c r="E158" s="94">
        <f t="shared" si="26"/>
        <v>338.74482638889458</v>
      </c>
    </row>
    <row r="159" spans="1:5" ht="15.5">
      <c r="A159" s="283" t="s">
        <v>2114</v>
      </c>
      <c r="B159" s="288">
        <v>1.9999999999999996</v>
      </c>
      <c r="C159" s="284">
        <v>2</v>
      </c>
      <c r="D159" s="94">
        <f t="shared" si="25"/>
        <v>0.99999999999999978</v>
      </c>
      <c r="E159" s="94">
        <f t="shared" si="26"/>
        <v>1355</v>
      </c>
    </row>
    <row r="160" spans="1:5" ht="15.5">
      <c r="A160" s="290" t="s">
        <v>284</v>
      </c>
      <c r="B160" s="288">
        <v>1.999999999999988</v>
      </c>
      <c r="C160" s="284">
        <v>7</v>
      </c>
      <c r="D160" s="94">
        <f t="shared" si="25"/>
        <v>0.28571428571428398</v>
      </c>
      <c r="E160" s="94">
        <f t="shared" si="26"/>
        <v>387.14285714285717</v>
      </c>
    </row>
    <row r="161" spans="1:5" ht="15.5">
      <c r="A161" s="283" t="s">
        <v>906</v>
      </c>
      <c r="B161" s="288">
        <v>1.9499999999999986</v>
      </c>
      <c r="C161" s="284">
        <v>4</v>
      </c>
      <c r="D161" s="94">
        <f t="shared" si="25"/>
        <v>0.48749999999999966</v>
      </c>
      <c r="E161" s="94">
        <f t="shared" si="26"/>
        <v>677.51250000000005</v>
      </c>
    </row>
    <row r="162" spans="1:5" ht="15.5">
      <c r="A162" s="291" t="s">
        <v>359</v>
      </c>
      <c r="B162" s="288">
        <v>1.9455555555555355</v>
      </c>
      <c r="C162" s="284">
        <v>1</v>
      </c>
      <c r="D162" s="94">
        <f t="shared" si="25"/>
        <v>1.9455555555555355</v>
      </c>
      <c r="E162" s="94">
        <f t="shared" si="26"/>
        <v>2710.0544444444445</v>
      </c>
    </row>
    <row r="163" spans="1:5" ht="15.5">
      <c r="A163" s="293" t="s">
        <v>304</v>
      </c>
      <c r="B163" s="288">
        <v>1.8666666666666707</v>
      </c>
      <c r="C163" s="284">
        <v>1</v>
      </c>
      <c r="D163" s="94">
        <f t="shared" si="25"/>
        <v>1.8666666666666707</v>
      </c>
      <c r="E163" s="94">
        <f t="shared" si="26"/>
        <v>2710.1333333333332</v>
      </c>
    </row>
    <row r="164" spans="1:5" ht="15.5">
      <c r="A164" s="292" t="s">
        <v>145</v>
      </c>
      <c r="B164" s="288">
        <v>1.7902777777578915</v>
      </c>
      <c r="C164" s="284">
        <v>6</v>
      </c>
      <c r="D164" s="94">
        <f t="shared" si="25"/>
        <v>0.29837962962631526</v>
      </c>
      <c r="E164" s="94">
        <f t="shared" si="26"/>
        <v>451.70162037037363</v>
      </c>
    </row>
    <row r="165" spans="1:5" ht="15.5">
      <c r="A165" s="283" t="s">
        <v>1558</v>
      </c>
      <c r="B165" s="288">
        <v>1.7666666666666684</v>
      </c>
      <c r="C165" s="284">
        <v>1</v>
      </c>
      <c r="D165" s="94">
        <f t="shared" si="25"/>
        <v>1.7666666666666684</v>
      </c>
      <c r="E165" s="94">
        <f t="shared" si="26"/>
        <v>2710.2333333333331</v>
      </c>
    </row>
    <row r="166" spans="1:5" ht="15.5">
      <c r="A166" s="291" t="s">
        <v>362</v>
      </c>
      <c r="B166" s="288">
        <v>1.7311111111111197</v>
      </c>
      <c r="C166" s="284">
        <v>1</v>
      </c>
      <c r="D166" s="94">
        <f t="shared" si="25"/>
        <v>1.7311111111111197</v>
      </c>
      <c r="E166" s="94">
        <f t="shared" si="26"/>
        <v>2710.2688888888888</v>
      </c>
    </row>
    <row r="167" spans="1:5" ht="15.5">
      <c r="A167" s="293" t="s">
        <v>348</v>
      </c>
      <c r="B167" s="288">
        <v>1.6666666666666794</v>
      </c>
      <c r="C167" s="284">
        <v>1</v>
      </c>
      <c r="D167" s="94">
        <f t="shared" si="25"/>
        <v>1.6666666666666794</v>
      </c>
      <c r="E167" s="94">
        <f t="shared" si="26"/>
        <v>2710.3333333333335</v>
      </c>
    </row>
    <row r="168" spans="1:5" ht="15.5">
      <c r="A168" s="292" t="s">
        <v>324</v>
      </c>
      <c r="B168" s="288">
        <v>1.5333333333333359</v>
      </c>
      <c r="C168" s="284">
        <v>1</v>
      </c>
      <c r="D168" s="94">
        <f t="shared" si="25"/>
        <v>1.5333333333333359</v>
      </c>
      <c r="E168" s="94">
        <f t="shared" si="26"/>
        <v>2710.4666666666667</v>
      </c>
    </row>
    <row r="169" spans="1:5" ht="15.5">
      <c r="A169" s="283" t="s">
        <v>3332</v>
      </c>
      <c r="B169" s="288">
        <v>1.4333333333333309</v>
      </c>
      <c r="C169" s="284">
        <v>1</v>
      </c>
      <c r="D169" s="94">
        <f t="shared" si="25"/>
        <v>1.4333333333333309</v>
      </c>
      <c r="E169" s="94">
        <f t="shared" si="26"/>
        <v>2710.5666666666666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0</v>
      </c>
      <c r="G119" s="242"/>
      <c r="H119" s="242"/>
      <c r="I119" s="242"/>
      <c r="J119" s="242"/>
      <c r="K119" s="243"/>
      <c r="L119" s="242"/>
      <c r="M119" s="242" t="str">
        <f>IFERROR(_xlfn.XLOOKUP($A119,Input_Raw!$E:$E,Input_Raw!$BM:$BM),"")</f>
        <v/>
      </c>
      <c r="N119" s="242">
        <f>IFERROR(_xlfn.XLOOKUP($A119,Input_Raw!$E:$E,Input_Raw!$BN:$BN),"")</f>
        <v>0</v>
      </c>
      <c r="O119" s="311" t="str">
        <f t="shared" si="11"/>
        <v/>
      </c>
      <c r="P119" s="311" t="str">
        <f>IFERROR(1-SUMIF(WTG_BD!$F:$F,$A119,WTG_BD!$AA:$AA)/($AA119+SUMIF(WTG_BD!$F:$F,$A119,WTG_BD!$AA:$AA)),"")</f>
        <v/>
      </c>
      <c r="Q119" s="328" t="str">
        <f>IFERROR(1-SUMIF(IGA_BD!$F:$F,$A119,IGA_BD!$W:$W)/($AA119+SUMIF(IGA_BD!$F:$F,$A119,IGA_BD!$W:$W)),"")</f>
        <v/>
      </c>
      <c r="R119" s="311" t="str">
        <f>IFERROR(1-SUMIF(Grid_BD!$F:$F,$A119,Grid_BD!$Y:$Y)/($AA119+SUMIF(Grid_BD!$F:$F,$A119,Grid_BD!$Y:$Y)),"")</f>
        <v/>
      </c>
      <c r="S119" s="10"/>
      <c r="T119" s="310"/>
      <c r="U119" s="311"/>
      <c r="V119" s="10"/>
      <c r="W119" s="312">
        <f t="shared" si="12"/>
        <v>0</v>
      </c>
      <c r="X119" s="10">
        <f>IFERROR(_xlfn.XLOOKUP($A119,Input_Raw!$E:$E,Input_Raw!BG:BG),"")</f>
        <v>0</v>
      </c>
      <c r="Y119" s="10">
        <f>IFERROR(_xlfn.XLOOKUP($A119,Input_Raw!$E:$E,Input_Raw!DF:DF),"")</f>
        <v>0</v>
      </c>
      <c r="Z119" s="319" t="str">
        <f>IFERROR(_xlfn.XLOOKUP(A119,Input_Raw!E:E,Input_Raw!CT:CT)/_xlfn.XLOOKUP(A119,Input_Raw!E:E,Input_Raw!CS:CS)*Table13[[#This Row],[Mtr_Export (kWh)]],"")</f>
        <v/>
      </c>
      <c r="AA119" s="43" t="str">
        <f t="shared" si="13"/>
        <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0</v>
      </c>
      <c r="AJ119" s="10"/>
      <c r="AK119" s="10"/>
      <c r="AL119" s="10"/>
      <c r="AM119" s="10"/>
      <c r="AN119" s="314" t="str">
        <f>IFERROR(_xlfn.XLOOKUP($A119,Input_Raw!$E:$E,Input_Raw!$CY:$CY),"")</f>
        <v/>
      </c>
      <c r="AO119" s="312" t="str">
        <f>IFERROR((_xlfn.XLOOKUP($A119,'WTG Reactive Power'!$A:$A,'WTG Reactive Power'!AB:AB))/X119,"")</f>
        <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0</v>
      </c>
      <c r="G120" s="313"/>
      <c r="H120" s="313"/>
      <c r="I120" s="313"/>
      <c r="J120" s="313"/>
      <c r="K120" s="243"/>
      <c r="L120" s="242"/>
      <c r="M120" s="242" t="str">
        <f>IFERROR(_xlfn.XLOOKUP($A120,Input_Raw!$E:$E,Input_Raw!$BM:$BM),"")</f>
        <v/>
      </c>
      <c r="N120" s="242">
        <f>IFERROR(_xlfn.XLOOKUP($A120,Input_Raw!$E:$E,Input_Raw!$BN:$BN),"")</f>
        <v>0</v>
      </c>
      <c r="O120" s="311" t="str">
        <f t="shared" si="11"/>
        <v/>
      </c>
      <c r="P120" s="311" t="str">
        <f>IFERROR(1-SUMIF(WTG_BD!$F:$F,$A120,WTG_BD!$AA:$AA)/($AA120+SUMIF(WTG_BD!$F:$F,$A120,WTG_BD!$AA:$AA)),"")</f>
        <v/>
      </c>
      <c r="Q120" s="328" t="str">
        <f>IFERROR(1-SUMIF(IGA_BD!$F:$F,$A120,IGA_BD!$W:$W)/($AA120+SUMIF(IGA_BD!$F:$F,$A120,IGA_BD!$W:$W)),"")</f>
        <v/>
      </c>
      <c r="R120" s="47" t="str">
        <f>IFERROR(1-SUMIF(Grid_BD!$F:$F,$A120,Grid_BD!$Y:$Y)/($AA120+SUMIF(Grid_BD!$F:$F,$A120,Grid_BD!$Y:$Y)),"")</f>
        <v/>
      </c>
      <c r="S120" s="10"/>
      <c r="T120" s="310"/>
      <c r="U120" s="311"/>
      <c r="V120" s="10"/>
      <c r="W120" s="312">
        <f t="shared" si="12"/>
        <v>0</v>
      </c>
      <c r="X120" s="10">
        <f>IFERROR(_xlfn.XLOOKUP($A120,Input_Raw!$E:$E,Input_Raw!BG:BG),"")</f>
        <v>0</v>
      </c>
      <c r="Y120" s="10">
        <f>IFERROR(_xlfn.XLOOKUP($A120,Input_Raw!$E:$E,Input_Raw!DF:DF),"")</f>
        <v>0</v>
      </c>
      <c r="Z120" s="319" t="str">
        <f>IFERROR(_xlfn.XLOOKUP(A120,Input_Raw!E:E,Input_Raw!CT:CT)/_xlfn.XLOOKUP(A120,Input_Raw!E:E,Input_Raw!CS:CS)*Table13[[#This Row],[Mtr_Export (kWh)]],"")</f>
        <v/>
      </c>
      <c r="AA120" s="43" t="str">
        <f t="shared" si="13"/>
        <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0</v>
      </c>
      <c r="AJ120" s="10"/>
      <c r="AK120" s="10"/>
      <c r="AL120" s="10"/>
      <c r="AM120" s="10"/>
      <c r="AN120" s="314" t="str">
        <f>IFERROR(_xlfn.XLOOKUP($A120,Input_Raw!$E:$E,Input_Raw!$CY:$CY),"")</f>
        <v/>
      </c>
      <c r="AO120" s="312" t="str">
        <f>IFERROR((_xlfn.XLOOKUP($A120,'WTG Reactive Power'!$A:$A,'WTG Reactive Power'!AB:AB))/X120,"")</f>
        <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0</v>
      </c>
      <c r="G121" s="242"/>
      <c r="H121" s="242"/>
      <c r="I121" s="242"/>
      <c r="J121" s="242"/>
      <c r="K121" s="243"/>
      <c r="L121" s="242"/>
      <c r="M121" s="242" t="str">
        <f>IFERROR(_xlfn.XLOOKUP($A121,Input_Raw!$E:$E,Input_Raw!$BM:$BM),"")</f>
        <v/>
      </c>
      <c r="N121" s="242">
        <f>IFERROR(_xlfn.XLOOKUP($A121,Input_Raw!$E:$E,Input_Raw!$BN:$BN),"")</f>
        <v>0</v>
      </c>
      <c r="O121" s="311" t="str">
        <f t="shared" si="11"/>
        <v/>
      </c>
      <c r="P121" s="311" t="str">
        <f>IFERROR(1-SUMIF(WTG_BD!$F:$F,$A121,WTG_BD!$AA:$AA)/($AA121+SUMIF(WTG_BD!$F:$F,$A121,WTG_BD!$AA:$AA)),"")</f>
        <v/>
      </c>
      <c r="Q121" s="328" t="str">
        <f>IFERROR(1-SUMIF(IGA_BD!$F:$F,$A121,IGA_BD!$W:$W)/($AA121+SUMIF(IGA_BD!$F:$F,$A121,IGA_BD!$W:$W)),"")</f>
        <v/>
      </c>
      <c r="R121" s="311" t="str">
        <f>IFERROR(1-SUMIF(Grid_BD!$F:$F,$A121,Grid_BD!$Y:$Y)/($AA121+SUMIF(Grid_BD!$F:$F,$A121,Grid_BD!$Y:$Y)),"")</f>
        <v/>
      </c>
      <c r="S121" s="10"/>
      <c r="T121" s="310"/>
      <c r="U121" s="311"/>
      <c r="V121" s="10"/>
      <c r="W121" s="312">
        <f t="shared" si="12"/>
        <v>0</v>
      </c>
      <c r="X121" s="10">
        <f>IFERROR(_xlfn.XLOOKUP($A121,Input_Raw!$E:$E,Input_Raw!BG:BG),"")</f>
        <v>0</v>
      </c>
      <c r="Y121" s="10">
        <f>IFERROR(_xlfn.XLOOKUP($A121,Input_Raw!$E:$E,Input_Raw!DF:DF),"")</f>
        <v>0</v>
      </c>
      <c r="Z121" s="319" t="str">
        <f>IFERROR(_xlfn.XLOOKUP(A121,Input_Raw!E:E,Input_Raw!CT:CT)/_xlfn.XLOOKUP(A121,Input_Raw!E:E,Input_Raw!CS:CS)*Table13[[#This Row],[Mtr_Export (kWh)]],"")</f>
        <v/>
      </c>
      <c r="AA121" s="43" t="str">
        <f t="shared" si="13"/>
        <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0</v>
      </c>
      <c r="AJ121" s="10"/>
      <c r="AK121" s="10"/>
      <c r="AL121" s="10"/>
      <c r="AM121" s="10"/>
      <c r="AN121" s="314" t="str">
        <f>IFERROR(_xlfn.XLOOKUP($A121,Input_Raw!$E:$E,Input_Raw!$CY:$CY),"")</f>
        <v/>
      </c>
      <c r="AO121" s="312" t="str">
        <f>IFERROR((_xlfn.XLOOKUP($A121,'WTG Reactive Power'!$A:$A,'WTG Reactive Power'!AB:AB))/X121,"")</f>
        <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V111" activePane="bottomRight" state="frozen"/>
      <selection activeCell="B3463" sqref="B3463"/>
      <selection pane="topRight" activeCell="B3463" sqref="B3463"/>
      <selection pane="bottomLeft" activeCell="B3463" sqref="B3463"/>
      <selection pane="bottomRight" activeCell="Y121" sqref="Y121"/>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6"/>
      <c r="G122" s="206"/>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214">
        <f t="shared" ref="BB122:BB157" si="107">SUM($H122,$J122,$Q122:$V122,$Z122:$AA122)</f>
        <v>0</v>
      </c>
      <c r="BC122" s="216">
        <f t="shared" ref="BC122:BC157" si="108">SUM($W122:$X122)</f>
        <v>0</v>
      </c>
      <c r="BD122" s="180">
        <f t="shared" si="92"/>
        <v>0</v>
      </c>
      <c r="BE122" s="216">
        <f t="shared" ref="BE122:BE157" si="109">Y122</f>
        <v>0</v>
      </c>
      <c r="BF122" s="179">
        <f t="shared" si="93"/>
        <v>0</v>
      </c>
      <c r="BG122" s="216">
        <f>SUM(RD[[#This Row],[KUD01]:[KUD23]])</f>
        <v>0</v>
      </c>
      <c r="BH122" s="217" t="str">
        <f t="shared" ref="BH122:BH157" si="110">IFERROR(AVERAGE(AE122,AG122,AN122:AS122,AW122:AX122),"")</f>
        <v/>
      </c>
      <c r="BI122" s="219" t="str">
        <f t="shared" ref="BI122:BI157" si="111">IFERROR(AVERAGE(AT122,AU122),"")</f>
        <v/>
      </c>
      <c r="BJ122" s="219" t="str">
        <f t="shared" ref="BJ122:BJ157" si="112">IFERROR(AVERAGE(AF122,AH122:AM122,AY122:BA122),"")</f>
        <v/>
      </c>
      <c r="BK122" s="221">
        <f t="shared" ref="BK122:BK157" si="113">AV122</f>
        <v>0</v>
      </c>
      <c r="BL122" s="61" t="str">
        <f>IFERROR(AVERAGEIF(RD[[#This Row],[WS_KUD07]:[WS_KUD08]],"&lt;&gt;0",RD[[#This Row],[WS_KUD07]:[WS_KUD08]]),"")</f>
        <v/>
      </c>
      <c r="BM122" s="223" t="str">
        <f>IFERROR(AVERAGE(RD[[#This Row],[WS_KUD01]:[WS_KUD23]]),"")</f>
        <v/>
      </c>
      <c r="BN122" s="224">
        <f>IFERROR(MAX(RD[[#This Row],[WS_KUD01]:[WS_KUD23]]),"")</f>
        <v>0</v>
      </c>
      <c r="BO122" s="172"/>
      <c r="BP122" s="349"/>
      <c r="BQ122" s="349"/>
      <c r="BR122" s="349"/>
      <c r="BS122" s="349"/>
      <c r="BT122" s="349"/>
      <c r="BU122" s="349"/>
      <c r="BV122" s="349"/>
      <c r="BW122" s="172"/>
      <c r="BX122" s="172"/>
      <c r="BY122" s="349"/>
      <c r="BZ122" s="349"/>
      <c r="CA122" s="349"/>
      <c r="CB122" s="349"/>
      <c r="CC122" s="349"/>
      <c r="CD122" s="172"/>
      <c r="CE122" s="349"/>
      <c r="CF122" s="360" t="str">
        <f>IF((RD[[#This Row],[33 kV_Wind_F1_Export reading]]-BO121)*165000&lt;=0,"",(RD[[#This Row],[33 kV_Wind_F1_Export reading]]-BO121)*165000)</f>
        <v/>
      </c>
      <c r="CG122" s="227" t="str">
        <f>IF((RD[[#This Row],[33 kV_Wind_F2_Export_reading]]-BP121)*165000&lt;=0,"",(RD[[#This Row],[33 kV_Wind_F2_Export_reading]]-BP121)*165000)</f>
        <v/>
      </c>
      <c r="CH122" s="64" t="str">
        <f>IF((RD[[#This Row],[33 kV_Wind_F3_Export_Reading]]-BQ121)*225000&lt;=0,"",(RD[[#This Row],[33 kV_Wind_F3_Export_Reading]]-BQ121)*225000)</f>
        <v/>
      </c>
      <c r="CI122" s="64" t="str">
        <f>IF((RD[[#This Row],[33 kV_Wind_F4_Export Reading]]-BR121)*165000&lt;=0,"",(RD[[#This Row],[33 kV_Wind_F4_Export Reading]]-BR121)*165000)</f>
        <v/>
      </c>
      <c r="CJ122" s="209" t="str">
        <f>IF((RD[[#This Row],[33 kV_Solar_F1_Export Reading]]-BS121)*225000&lt;=0,"",(RD[[#This Row],[33 kV_Solar_F1_Export Reading]]-BS121)*225000)</f>
        <v/>
      </c>
      <c r="CK122" s="74" t="str">
        <f>IF((RD[[#This Row],[33kV_Solar_F2_Export Reading]]-BT121)*225000&lt;=0,"",(RD[[#This Row],[33kV_Solar_F2_Export Reading]]-BT121)*225000)</f>
        <v/>
      </c>
      <c r="CL122" s="209" t="str">
        <f>IF((RD[[#This Row],[33 kV_Solar_F3_Export reading]]-BU121)*225000&lt;=0,"",(RD[[#This Row],[33 kV_Solar_F3_Export reading]]-BU121)*225000)</f>
        <v/>
      </c>
      <c r="CM122" s="63" t="str">
        <f>IF((RD[[#This Row],[32kV_Solar_F4_Export reading]]-BV121)*225000&lt;=0,"",(RD[[#This Row],[32kV_Solar_F4_Export reading]]-BV121)*225000)</f>
        <v/>
      </c>
      <c r="CN122" s="227">
        <f>IF((RD[[#This Row],[33kV_OG1_Export reading]]-BW121)*1000&lt;=0,0,(RD[[#This Row],[33kV_OG1_Export reading]]-BW121)*1000)</f>
        <v>0</v>
      </c>
      <c r="CO122" s="227">
        <f>IFERROR(IF((RD[[#This Row],[33kV_OG2_Export reading]]-BX121)*1000&lt;=0,0,(RD[[#This Row],[33kV_OG2_Export reading]]-BX121)*1000),0)</f>
        <v>0</v>
      </c>
      <c r="CP122" s="74">
        <f>IF((RD[[#This Row],[220kV_TX1_Export reading]]-BY121)*800000&lt;=0,0,(RD[[#This Row],[220kV_TX1_Export reading]]-BY121)*800000)</f>
        <v>0</v>
      </c>
      <c r="CQ122" s="209">
        <f>IF((RD[[#This Row],[220kV_Tx2_Export reading]]-BZ121)*800000&lt;=0,0,(RD[[#This Row],[220kV_Tx2_Export reading]]-BZ121)*800000)</f>
        <v>0</v>
      </c>
      <c r="CR122" s="227">
        <f>IF((RD[[#This Row],[220kV_TL_TVM Export Reading]]-CA121)*1600000&lt;=0,0,(RD[[#This Row],[220kV_TL_TVM Export Reading]]-CA121)*1600000)</f>
        <v>0</v>
      </c>
      <c r="CS122" s="227" t="str">
        <f>IF((RD[[#This Row],[220kV_C&amp;R_PQM reading]]-CB121)*1600000&lt;=0,"",(RD[[#This Row],[220kV_C&amp;R_PQM reading]]-CB121)*1600000)</f>
        <v/>
      </c>
      <c r="CT122" s="209">
        <f>IFERROR(IF((RD[[#This Row],[220KV_C&amp;R_PQM Import Reading]]-CC121)*1600000&lt;=0,0,(RD[[#This Row],[220KV_C&amp;R_PQM Import Reading]]-CC121)*1600000),"")</f>
        <v>0</v>
      </c>
      <c r="CU122" s="64" t="str">
        <f>IF((RD[[#This Row],[33kV_Aux1 Import Reading]]-CD121)*1000&lt;=0,"",(RD[[#This Row],[33kV_Aux1 Import Reading]]-CD121)*1000)</f>
        <v/>
      </c>
      <c r="CV122" s="227" t="str">
        <f>IF((RD[[#This Row],[33kV_Aux2_Import reading]]-CE121)*1000&lt;=0,"",(RD[[#This Row],[33kV_Aux2_Import reading]]-CE121)*1000)</f>
        <v/>
      </c>
      <c r="CW122" s="227">
        <f>IFERROR(RD[[#This Row],[33kV_OG1_Energy (MWh)]]+RD[[#This Row],[33kV_OG2_Energy (MWh)]],"")</f>
        <v>0</v>
      </c>
      <c r="CX122" s="227">
        <f>IFERROR(RD[[#This Row],[220kV_TL_TVM Energy (MWh)]]-RD[[#This Row],[220KV_C&amp;R_PQM Import (MWh)]],"")</f>
        <v>0</v>
      </c>
      <c r="CY122" s="228" t="str">
        <f>IFERROR(RD[[#This Row],[33 kV Total Export (MWH)]]/RD[[#This Row],[220 KV Net Export (MWh)]]-1,"")</f>
        <v/>
      </c>
      <c r="CZ122" s="229">
        <f t="shared" ref="CZ122:CZ157" si="114">23*2.2</f>
        <v>50.6</v>
      </c>
      <c r="DA122" s="230"/>
      <c r="DB122" s="231"/>
      <c r="DC122" s="232">
        <f>IFERROR((RD[[#This Row],[Sunset Time (POA&lt;20 W/m2)]]-RD[[#This Row],[Sunrise Time (POA&gt;20 W/m2)]])*24,0)</f>
        <v>0</v>
      </c>
      <c r="DD122" s="70">
        <f>SUM(RD[[#This Row],[33 kV_Wind_F3_Export_Reading3]],CJ122,CK122,CL122,CM122)</f>
        <v>0</v>
      </c>
      <c r="DE122" s="233"/>
      <c r="DF122" s="70">
        <f t="shared" si="103"/>
        <v>0</v>
      </c>
      <c r="DG122" s="230"/>
      <c r="DH122">
        <f>'WTG Reactive Power'!AB120</f>
        <v>0</v>
      </c>
    </row>
    <row r="123" spans="1:112">
      <c r="A123" s="210">
        <f>YEAR(RD[[#This Row],[Date]])+IF(MONTH(RD[[#This Row],[Date]])&gt;=4,1,0)</f>
        <v>2026</v>
      </c>
      <c r="B123" s="210">
        <f>YEAR(RD[[#This Row],[Date]])</f>
        <v>2025</v>
      </c>
      <c r="C123" s="211">
        <f t="shared" si="105"/>
        <v>45839</v>
      </c>
      <c r="D123" s="210">
        <f>DAY(EOMONTH(RD[[#This Row],[Date]],0))</f>
        <v>31</v>
      </c>
      <c r="E123" s="212">
        <f t="shared" si="106"/>
        <v>45863</v>
      </c>
      <c r="F123" s="206"/>
      <c r="G123" s="206"/>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350"/>
      <c r="AF123" s="350"/>
      <c r="AG123" s="350"/>
      <c r="AH123" s="350"/>
      <c r="AI123" s="350"/>
      <c r="AJ123" s="350"/>
      <c r="AK123" s="350"/>
      <c r="AL123" s="350"/>
      <c r="AM123" s="350"/>
      <c r="AN123" s="350"/>
      <c r="AO123" s="350"/>
      <c r="AP123" s="350"/>
      <c r="AQ123" s="350"/>
      <c r="AR123" s="350"/>
      <c r="AS123" s="350"/>
      <c r="AT123" s="350"/>
      <c r="AU123" s="350"/>
      <c r="AV123" s="350"/>
      <c r="AW123" s="350"/>
      <c r="AX123" s="350"/>
      <c r="AY123" s="350"/>
      <c r="AZ123" s="350"/>
      <c r="BA123" s="350"/>
      <c r="BB123" s="214">
        <f t="shared" si="107"/>
        <v>0</v>
      </c>
      <c r="BC123" s="216">
        <f t="shared" si="108"/>
        <v>0</v>
      </c>
      <c r="BD123" s="180">
        <f t="shared" si="92"/>
        <v>0</v>
      </c>
      <c r="BE123" s="216">
        <f t="shared" si="109"/>
        <v>0</v>
      </c>
      <c r="BF123" s="179">
        <f t="shared" si="93"/>
        <v>0</v>
      </c>
      <c r="BG123" s="216">
        <f>SUM(RD[[#This Row],[KUD01]:[KUD23]])</f>
        <v>0</v>
      </c>
      <c r="BH123" s="217" t="str">
        <f t="shared" si="110"/>
        <v/>
      </c>
      <c r="BI123" s="219" t="str">
        <f t="shared" si="111"/>
        <v/>
      </c>
      <c r="BJ123" s="219" t="str">
        <f t="shared" si="112"/>
        <v/>
      </c>
      <c r="BK123" s="221">
        <f t="shared" si="113"/>
        <v>0</v>
      </c>
      <c r="BL123" s="61" t="str">
        <f>IFERROR(AVERAGEIF(RD[[#This Row],[WS_KUD07]:[WS_KUD08]],"&lt;&gt;0",RD[[#This Row],[WS_KUD07]:[WS_KUD08]]),"")</f>
        <v/>
      </c>
      <c r="BM123" s="223" t="str">
        <f>IFERROR(AVERAGE(RD[[#This Row],[WS_KUD01]:[WS_KUD23]]),"")</f>
        <v/>
      </c>
      <c r="BN123" s="224">
        <f>IFERROR(MAX(RD[[#This Row],[WS_KUD01]:[WS_KUD23]]),"")</f>
        <v>0</v>
      </c>
      <c r="BO123" s="172"/>
      <c r="BP123" s="349"/>
      <c r="BQ123" s="349"/>
      <c r="BR123" s="349"/>
      <c r="BS123" s="349"/>
      <c r="BT123" s="349"/>
      <c r="BU123" s="349"/>
      <c r="BV123" s="349"/>
      <c r="BW123" s="172"/>
      <c r="BX123" s="172"/>
      <c r="BY123" s="349"/>
      <c r="BZ123" s="349"/>
      <c r="CA123" s="349"/>
      <c r="CB123" s="349"/>
      <c r="CC123" s="349"/>
      <c r="CD123" s="172"/>
      <c r="CE123" s="349"/>
      <c r="CF123" s="360" t="str">
        <f>IF((RD[[#This Row],[33 kV_Wind_F1_Export reading]]-BO122)*165000&lt;=0,"",(RD[[#This Row],[33 kV_Wind_F1_Export reading]]-BO122)*165000)</f>
        <v/>
      </c>
      <c r="CG123" s="227" t="str">
        <f>IF((RD[[#This Row],[33 kV_Wind_F2_Export_reading]]-BP122)*165000&lt;=0,"",(RD[[#This Row],[33 kV_Wind_F2_Export_reading]]-BP122)*165000)</f>
        <v/>
      </c>
      <c r="CH123" s="64" t="str">
        <f>IF((RD[[#This Row],[33 kV_Wind_F3_Export_Reading]]-BQ122)*225000&lt;=0,"",(RD[[#This Row],[33 kV_Wind_F3_Export_Reading]]-BQ122)*225000)</f>
        <v/>
      </c>
      <c r="CI123" s="64" t="str">
        <f>IF((RD[[#This Row],[33 kV_Wind_F4_Export Reading]]-BR122)*165000&lt;=0,"",(RD[[#This Row],[33 kV_Wind_F4_Export Reading]]-BR122)*165000)</f>
        <v/>
      </c>
      <c r="CJ123" s="209" t="str">
        <f>IF((RD[[#This Row],[33 kV_Solar_F1_Export Reading]]-BS122)*225000&lt;=0,"",(RD[[#This Row],[33 kV_Solar_F1_Export Reading]]-BS122)*225000)</f>
        <v/>
      </c>
      <c r="CK123" s="74" t="str">
        <f>IF((RD[[#This Row],[33kV_Solar_F2_Export Reading]]-BT122)*225000&lt;=0,"",(RD[[#This Row],[33kV_Solar_F2_Export Reading]]-BT122)*225000)</f>
        <v/>
      </c>
      <c r="CL123" s="209" t="str">
        <f>IF((RD[[#This Row],[33 kV_Solar_F3_Export reading]]-BU122)*225000&lt;=0,"",(RD[[#This Row],[33 kV_Solar_F3_Export reading]]-BU122)*225000)</f>
        <v/>
      </c>
      <c r="CM123" s="63" t="str">
        <f>IF((RD[[#This Row],[32kV_Solar_F4_Export reading]]-BV122)*225000&lt;=0,"",(RD[[#This Row],[32kV_Solar_F4_Export reading]]-BV122)*225000)</f>
        <v/>
      </c>
      <c r="CN123" s="227">
        <f>IF((RD[[#This Row],[33kV_OG1_Export reading]]-BW122)*1000&lt;=0,0,(RD[[#This Row],[33kV_OG1_Export reading]]-BW122)*1000)</f>
        <v>0</v>
      </c>
      <c r="CO123" s="227">
        <f>IFERROR(IF((RD[[#This Row],[33kV_OG2_Export reading]]-BX122)*1000&lt;=0,0,(RD[[#This Row],[33kV_OG2_Export reading]]-BX122)*1000),0)</f>
        <v>0</v>
      </c>
      <c r="CP123" s="74">
        <f>IF((RD[[#This Row],[220kV_TX1_Export reading]]-BY122)*800000&lt;=0,0,(RD[[#This Row],[220kV_TX1_Export reading]]-BY122)*800000)</f>
        <v>0</v>
      </c>
      <c r="CQ123" s="209">
        <f>IF((RD[[#This Row],[220kV_Tx2_Export reading]]-BZ122)*800000&lt;=0,0,(RD[[#This Row],[220kV_Tx2_Export reading]]-BZ122)*800000)</f>
        <v>0</v>
      </c>
      <c r="CR123" s="227">
        <f>IF((RD[[#This Row],[220kV_TL_TVM Export Reading]]-CA122)*1600000&lt;=0,0,(RD[[#This Row],[220kV_TL_TVM Export Reading]]-CA122)*1600000)</f>
        <v>0</v>
      </c>
      <c r="CS123" s="227" t="str">
        <f>IF((RD[[#This Row],[220kV_C&amp;R_PQM reading]]-CB122)*1600000&lt;=0,"",(RD[[#This Row],[220kV_C&amp;R_PQM reading]]-CB122)*1600000)</f>
        <v/>
      </c>
      <c r="CT123" s="209">
        <f>IFERROR(IF((RD[[#This Row],[220KV_C&amp;R_PQM Import Reading]]-CC122)*1600000&lt;=0,0,(RD[[#This Row],[220KV_C&amp;R_PQM Import Reading]]-CC122)*1600000),"")</f>
        <v>0</v>
      </c>
      <c r="CU123" s="64" t="str">
        <f>IF((RD[[#This Row],[33kV_Aux1 Import Reading]]-CD122)*1000&lt;=0,"",(RD[[#This Row],[33kV_Aux1 Import Reading]]-CD122)*1000)</f>
        <v/>
      </c>
      <c r="CV123" s="227" t="str">
        <f>IF((RD[[#This Row],[33kV_Aux2_Import reading]]-CE122)*1000&lt;=0,"",(RD[[#This Row],[33kV_Aux2_Import reading]]-CE122)*1000)</f>
        <v/>
      </c>
      <c r="CW123" s="227">
        <f>IFERROR(RD[[#This Row],[33kV_OG1_Energy (MWh)]]+RD[[#This Row],[33kV_OG2_Energy (MWh)]],"")</f>
        <v>0</v>
      </c>
      <c r="CX123" s="227">
        <f>IFERROR(RD[[#This Row],[220kV_TL_TVM Energy (MWh)]]-RD[[#This Row],[220KV_C&amp;R_PQM Import (MWh)]],"")</f>
        <v>0</v>
      </c>
      <c r="CY123" s="228" t="str">
        <f>IFERROR(RD[[#This Row],[33 kV Total Export (MWH)]]/RD[[#This Row],[220 KV Net Export (MWh)]]-1,"")</f>
        <v/>
      </c>
      <c r="CZ123" s="229">
        <f t="shared" si="114"/>
        <v>50.6</v>
      </c>
      <c r="DA123" s="230"/>
      <c r="DB123" s="231"/>
      <c r="DC123" s="232">
        <f>IFERROR((RD[[#This Row],[Sunset Time (POA&lt;20 W/m2)]]-RD[[#This Row],[Sunrise Time (POA&gt;20 W/m2)]])*24,0)</f>
        <v>0</v>
      </c>
      <c r="DD123" s="70">
        <f>SUM(RD[[#This Row],[33 kV_Wind_F3_Export_Reading3]],CJ123,CK123,CL123,CM123)</f>
        <v>0</v>
      </c>
      <c r="DE123" s="233"/>
      <c r="DF123" s="70">
        <f t="shared" si="103"/>
        <v>0</v>
      </c>
      <c r="DG123" s="230"/>
      <c r="DH123">
        <f>'WTG Reactive Power'!AB121</f>
        <v>0</v>
      </c>
    </row>
    <row r="124" spans="1:112">
      <c r="A124" s="210">
        <f>YEAR(RD[[#This Row],[Date]])+IF(MONTH(RD[[#This Row],[Date]])&gt;=4,1,0)</f>
        <v>2026</v>
      </c>
      <c r="B124" s="210">
        <f>YEAR(RD[[#This Row],[Date]])</f>
        <v>2025</v>
      </c>
      <c r="C124" s="211">
        <f t="shared" si="105"/>
        <v>45839</v>
      </c>
      <c r="D124" s="210">
        <f>DAY(EOMONTH(RD[[#This Row],[Date]],0))</f>
        <v>31</v>
      </c>
      <c r="E124" s="212">
        <f t="shared" si="106"/>
        <v>45864</v>
      </c>
      <c r="F124" s="206"/>
      <c r="G124" s="206"/>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214">
        <f t="shared" si="107"/>
        <v>0</v>
      </c>
      <c r="BC124" s="216">
        <f t="shared" si="108"/>
        <v>0</v>
      </c>
      <c r="BD124" s="180">
        <f t="shared" si="92"/>
        <v>0</v>
      </c>
      <c r="BE124" s="216">
        <f t="shared" si="109"/>
        <v>0</v>
      </c>
      <c r="BF124" s="179">
        <f t="shared" si="93"/>
        <v>0</v>
      </c>
      <c r="BG124" s="216">
        <f>SUM(RD[[#This Row],[KUD01]:[KUD23]])</f>
        <v>0</v>
      </c>
      <c r="BH124" s="217" t="str">
        <f t="shared" si="110"/>
        <v/>
      </c>
      <c r="BI124" s="219" t="str">
        <f t="shared" si="111"/>
        <v/>
      </c>
      <c r="BJ124" s="219" t="str">
        <f t="shared" si="112"/>
        <v/>
      </c>
      <c r="BK124" s="221">
        <f t="shared" si="113"/>
        <v>0</v>
      </c>
      <c r="BL124" s="61" t="str">
        <f>IFERROR(AVERAGEIF(RD[[#This Row],[WS_KUD07]:[WS_KUD08]],"&lt;&gt;0",RD[[#This Row],[WS_KUD07]:[WS_KUD08]]),"")</f>
        <v/>
      </c>
      <c r="BM124" s="223" t="str">
        <f>IFERROR(AVERAGE(RD[[#This Row],[WS_KUD01]:[WS_KUD23]]),"")</f>
        <v/>
      </c>
      <c r="BN124" s="224">
        <f>IFERROR(MAX(RD[[#This Row],[WS_KUD01]:[WS_KUD23]]),"")</f>
        <v>0</v>
      </c>
      <c r="BO124" s="172"/>
      <c r="BP124" s="349"/>
      <c r="BQ124" s="349"/>
      <c r="BR124" s="349"/>
      <c r="BS124" s="349"/>
      <c r="BT124" s="349"/>
      <c r="BU124" s="349"/>
      <c r="BV124" s="349"/>
      <c r="BW124" s="172"/>
      <c r="BX124" s="172"/>
      <c r="BY124" s="349"/>
      <c r="BZ124" s="349"/>
      <c r="CA124" s="349"/>
      <c r="CB124" s="349"/>
      <c r="CC124" s="349"/>
      <c r="CD124" s="172"/>
      <c r="CE124" s="349"/>
      <c r="CF124" s="360" t="str">
        <f>IF((RD[[#This Row],[33 kV_Wind_F1_Export reading]]-BO123)*165000&lt;=0,"",(RD[[#This Row],[33 kV_Wind_F1_Export reading]]-BO123)*165000)</f>
        <v/>
      </c>
      <c r="CG124" s="227" t="str">
        <f>IF((RD[[#This Row],[33 kV_Wind_F2_Export_reading]]-BP123)*165000&lt;=0,"",(RD[[#This Row],[33 kV_Wind_F2_Export_reading]]-BP123)*165000)</f>
        <v/>
      </c>
      <c r="CH124" s="64" t="str">
        <f>IF((RD[[#This Row],[33 kV_Wind_F3_Export_Reading]]-BQ123)*225000&lt;=0,"",(RD[[#This Row],[33 kV_Wind_F3_Export_Reading]]-BQ123)*225000)</f>
        <v/>
      </c>
      <c r="CI124" s="64" t="str">
        <f>IF((RD[[#This Row],[33 kV_Wind_F4_Export Reading]]-BR123)*165000&lt;=0,"",(RD[[#This Row],[33 kV_Wind_F4_Export Reading]]-BR123)*165000)</f>
        <v/>
      </c>
      <c r="CJ124" s="209" t="str">
        <f>IF((RD[[#This Row],[33 kV_Solar_F1_Export Reading]]-BS123)*225000&lt;=0,"",(RD[[#This Row],[33 kV_Solar_F1_Export Reading]]-BS123)*225000)</f>
        <v/>
      </c>
      <c r="CK124" s="74" t="str">
        <f>IF((RD[[#This Row],[33kV_Solar_F2_Export Reading]]-BT123)*225000&lt;=0,"",(RD[[#This Row],[33kV_Solar_F2_Export Reading]]-BT123)*225000)</f>
        <v/>
      </c>
      <c r="CL124" s="209" t="str">
        <f>IF((RD[[#This Row],[33 kV_Solar_F3_Export reading]]-BU123)*225000&lt;=0,"",(RD[[#This Row],[33 kV_Solar_F3_Export reading]]-BU123)*225000)</f>
        <v/>
      </c>
      <c r="CM124" s="63" t="str">
        <f>IF((RD[[#This Row],[32kV_Solar_F4_Export reading]]-BV123)*225000&lt;=0,"",(RD[[#This Row],[32kV_Solar_F4_Export reading]]-BV123)*225000)</f>
        <v/>
      </c>
      <c r="CN124" s="227">
        <f>IF((RD[[#This Row],[33kV_OG1_Export reading]]-BW123)*1000&lt;=0,0,(RD[[#This Row],[33kV_OG1_Export reading]]-BW123)*1000)</f>
        <v>0</v>
      </c>
      <c r="CO124" s="227">
        <f>IFERROR(IF((RD[[#This Row],[33kV_OG2_Export reading]]-BX123)*1000&lt;=0,0,(RD[[#This Row],[33kV_OG2_Export reading]]-BX123)*1000),0)</f>
        <v>0</v>
      </c>
      <c r="CP124" s="74">
        <f>IF((RD[[#This Row],[220kV_TX1_Export reading]]-BY123)*800000&lt;=0,0,(RD[[#This Row],[220kV_TX1_Export reading]]-BY123)*800000)</f>
        <v>0</v>
      </c>
      <c r="CQ124" s="209">
        <f>IF((RD[[#This Row],[220kV_Tx2_Export reading]]-BZ123)*800000&lt;=0,0,(RD[[#This Row],[220kV_Tx2_Export reading]]-BZ123)*800000)</f>
        <v>0</v>
      </c>
      <c r="CR124" s="227">
        <f>IF((RD[[#This Row],[220kV_TL_TVM Export Reading]]-CA123)*1600000&lt;=0,0,(RD[[#This Row],[220kV_TL_TVM Export Reading]]-CA123)*1600000)</f>
        <v>0</v>
      </c>
      <c r="CS124" s="227" t="str">
        <f>IF((RD[[#This Row],[220kV_C&amp;R_PQM reading]]-CB123)*1600000&lt;=0,"",(RD[[#This Row],[220kV_C&amp;R_PQM reading]]-CB123)*1600000)</f>
        <v/>
      </c>
      <c r="CT124" s="209">
        <f>IFERROR(IF((RD[[#This Row],[220KV_C&amp;R_PQM Import Reading]]-CC123)*1600000&lt;=0,0,(RD[[#This Row],[220KV_C&amp;R_PQM Import Reading]]-CC123)*1600000),"")</f>
        <v>0</v>
      </c>
      <c r="CU124" s="64" t="str">
        <f>IF((RD[[#This Row],[33kV_Aux1 Import Reading]]-CD123)*1000&lt;=0,"",(RD[[#This Row],[33kV_Aux1 Import Reading]]-CD123)*1000)</f>
        <v/>
      </c>
      <c r="CV124" s="227" t="str">
        <f>IF((RD[[#This Row],[33kV_Aux2_Import reading]]-CE123)*1000&lt;=0,"",(RD[[#This Row],[33kV_Aux2_Import reading]]-CE123)*1000)</f>
        <v/>
      </c>
      <c r="CW124" s="227">
        <f>IFERROR(RD[[#This Row],[33kV_OG1_Energy (MWh)]]+RD[[#This Row],[33kV_OG2_Energy (MWh)]],"")</f>
        <v>0</v>
      </c>
      <c r="CX124" s="227">
        <f>IFERROR(RD[[#This Row],[220kV_TL_TVM Energy (MWh)]]-RD[[#This Row],[220KV_C&amp;R_PQM Import (MWh)]],"")</f>
        <v>0</v>
      </c>
      <c r="CY124" s="228" t="str">
        <f>IFERROR(RD[[#This Row],[33 kV Total Export (MWH)]]/RD[[#This Row],[220 KV Net Export (MWh)]]-1,"")</f>
        <v/>
      </c>
      <c r="CZ124" s="229">
        <f t="shared" si="114"/>
        <v>50.6</v>
      </c>
      <c r="DA124" s="230"/>
      <c r="DB124" s="231"/>
      <c r="DC124" s="232">
        <f>IFERROR((RD[[#This Row],[Sunset Time (POA&lt;20 W/m2)]]-RD[[#This Row],[Sunrise Time (POA&gt;20 W/m2)]])*24,0)</f>
        <v>0</v>
      </c>
      <c r="DD124" s="70">
        <f>SUM(RD[[#This Row],[33 kV_Wind_F3_Export_Reading3]],CJ124,CK124,CL124,CM124)</f>
        <v>0</v>
      </c>
      <c r="DE124" s="233"/>
      <c r="DF124" s="70">
        <f t="shared" si="103"/>
        <v>0</v>
      </c>
      <c r="DG124" s="230"/>
      <c r="DH124">
        <f>'WTG Reactive Power'!AB122</f>
        <v>0</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19" activePane="bottomRight" state="frozen"/>
      <selection activeCell="E142" sqref="E142"/>
      <selection pane="topRight" activeCell="E142" sqref="E142"/>
      <selection pane="bottomLeft" activeCell="E142" sqref="E142"/>
      <selection pane="bottomRight" activeCell="S632" sqref="S632"/>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7"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c r="B628" s="10"/>
      <c r="C628" s="10"/>
      <c r="D628" s="10"/>
      <c r="E628" s="309">
        <f>WTG_BD[[#This Row],[Date]]-DAY(WTG_BD[[#This Row],[Date]])+1</f>
        <v>1</v>
      </c>
      <c r="F628" s="32"/>
      <c r="J628" s="355"/>
      <c r="K628" s="10"/>
      <c r="O628" s="270"/>
      <c r="P628" s="270"/>
      <c r="Q628" s="270"/>
      <c r="V628" s="4"/>
      <c r="W628" s="50"/>
      <c r="X628" s="50"/>
      <c r="Y628" s="4"/>
      <c r="Z628" s="4"/>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7">
    <cfRule type="containsText" dxfId="3" priority="1" operator="containsText" text="Incorrect Error Code">
      <formula>NOT(ISERROR(SEARCH("Incorrect Error Code",L1)))</formula>
    </cfRule>
  </conditionalFormatting>
  <conditionalFormatting sqref="L628:L1048576">
    <cfRule type="containsText" dxfId="2" priority="19" operator="containsText" text="Incorrect Error Code">
      <formula>NOT(ISERROR(SEARCH("Incorrect Error Code",L628)))</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V2:V627</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O108" activePane="bottomRight" state="frozen"/>
      <selection pane="topRight" activeCell="E1" sqref="E1"/>
      <selection pane="bottomLeft" activeCell="A3" sqref="A3"/>
      <selection pane="bottomRight" activeCell="M120" sqref="M120"/>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AB120" s="10">
        <f t="shared" si="5"/>
        <v>0</v>
      </c>
    </row>
    <row r="121" spans="1:28">
      <c r="A121" s="251">
        <f t="shared" si="6"/>
        <v>45863</v>
      </c>
      <c r="B121" s="248">
        <f>YEAR(Table13[[#This Row],[Date]])+IF(MONTH(Table13[[#This Row],[Date]])&gt;=4,1,0)</f>
        <v>2026</v>
      </c>
      <c r="C121" s="249">
        <f>YEAR(Table13[[#This Row],[Date]])</f>
        <v>2025</v>
      </c>
      <c r="D121" s="250">
        <f>Table13[[#This Row],[Date]]-DAY(Table13[[#This Row],[Date]])+1</f>
        <v>45839</v>
      </c>
      <c r="AB121" s="10">
        <f t="shared" si="5"/>
        <v>0</v>
      </c>
    </row>
    <row r="122" spans="1:28">
      <c r="A122" s="42">
        <f t="shared" si="6"/>
        <v>45864</v>
      </c>
      <c r="B122" s="245">
        <f>YEAR(Table13[[#This Row],[Date]])+IF(MONTH(Table13[[#This Row],[Date]])&gt;=4,1,0)</f>
        <v>2026</v>
      </c>
      <c r="C122" s="246">
        <f>YEAR(Table13[[#This Row],[Date]])</f>
        <v>2025</v>
      </c>
      <c r="D122" s="247">
        <f>Table13[[#This Row],[Date]]-DAY(Table13[[#This Row],[Date]])+1</f>
        <v>45839</v>
      </c>
      <c r="AB122" s="10">
        <f t="shared" si="5"/>
        <v>0</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67" activePane="bottomRight" state="frozen"/>
      <selection pane="topRight" activeCell="G1" sqref="G1"/>
      <selection pane="bottomLeft" activeCell="A5" sqref="A5"/>
      <selection pane="bottomRight" activeCell="V181" sqref="V181"/>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79"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c r="B180" s="10"/>
      <c r="C180" s="10"/>
      <c r="D180" s="10"/>
      <c r="E180" s="309">
        <f>IGA_BD[[#This Row],[Date]]-DAY(IGA_BD[[#This Row],[Date]])+1</f>
        <v>1</v>
      </c>
      <c r="F180" s="32"/>
      <c r="H180" s="4" t="str">
        <f>IFERROR(VLOOKUP(IGA_BD[[#This Row],[Affected Feeder ]],'Basic Data'!$A$3:$E$50,2,0),"")</f>
        <v/>
      </c>
      <c r="I180" s="4" t="str">
        <f>IFERROR(VLOOKUP(IGA_BD[[#This Row],[Affected Feeder ]],'Basic Data'!$A$3:$E$50,3,0),"")</f>
        <v/>
      </c>
      <c r="J180" s="9" t="str">
        <f>IFERROR(VLOOKUP(IGA_BD[[#This Row],[Affected Feeder ]],'Basic Data'!$A$3:$E$50,5,0),"")</f>
        <v/>
      </c>
      <c r="O180" s="6">
        <f>(IGA_BD[[#This Row],[Work Start TimeStamp]]-IGA_BD[[#This Row],[Fault Start TimeStamp]])*24</f>
        <v>0</v>
      </c>
      <c r="P180" s="6">
        <f>(IGA_BD[[#This Row],[Fault Clearance time]]-IGA_BD[[#This Row],[Work Start TimeStamp]])*24</f>
        <v>0</v>
      </c>
      <c r="Q180" s="6">
        <f>(IGA_BD[[#This Row],[Fault Clearance time]]-IGA_BD[[#This Row],[Fault Start TimeStamp]])*24</f>
        <v>0</v>
      </c>
      <c r="S180" s="4"/>
      <c r="T180" s="4" t="str">
        <f>IFERROR(IGA_BD[[#This Row],[Breakdown Time]]*IGA_BD[[#This Row],[Plant Equivalent Weightage]],"")</f>
        <v/>
      </c>
      <c r="U180" s="4"/>
      <c r="V180" s="4"/>
    </row>
    <row r="181" spans="1:23">
      <c r="A181" s="10"/>
      <c r="B181" s="10"/>
      <c r="C181" s="10"/>
      <c r="D181" s="10"/>
      <c r="E181" s="309">
        <f>IGA_BD[[#This Row],[Date]]-DAY(IGA_BD[[#This Row],[Date]])+1</f>
        <v>1</v>
      </c>
      <c r="F181" s="32"/>
      <c r="H181" s="4" t="str">
        <f>IFERROR(VLOOKUP(IGA_BD[[#This Row],[Affected Feeder ]],'Basic Data'!$A$3:$E$50,2,0),"")</f>
        <v/>
      </c>
      <c r="I181" s="4" t="str">
        <f>IFERROR(VLOOKUP(IGA_BD[[#This Row],[Affected Feeder ]],'Basic Data'!$A$3:$E$50,3,0),"")</f>
        <v/>
      </c>
      <c r="J181" s="9" t="str">
        <f>IFERROR(VLOOKUP(IGA_BD[[#This Row],[Affected Feeder ]],'Basic Data'!$A$3:$E$50,5,0),"")</f>
        <v/>
      </c>
      <c r="O181" s="6">
        <f>(IGA_BD[[#This Row],[Work Start TimeStamp]]-IGA_BD[[#This Row],[Fault Start TimeStamp]])*24</f>
        <v>0</v>
      </c>
      <c r="P181" s="6">
        <f>(IGA_BD[[#This Row],[Fault Clearance time]]-IGA_BD[[#This Row],[Work Start TimeStamp]])*24</f>
        <v>0</v>
      </c>
      <c r="Q181" s="6">
        <f>(IGA_BD[[#This Row],[Fault Clearance time]]-IGA_BD[[#This Row],[Fault Start TimeStamp]])*24</f>
        <v>0</v>
      </c>
      <c r="S181" s="4"/>
      <c r="T181" s="4" t="str">
        <f>IFERROR(IGA_BD[[#This Row],[Breakdown Time]]*IGA_BD[[#This Row],[Plant Equivalent Weightage]],"")</f>
        <v/>
      </c>
      <c r="U181" s="4"/>
      <c r="V181" s="4"/>
    </row>
    <row r="182" spans="1:23">
      <c r="A182" s="10"/>
      <c r="B182" s="10"/>
      <c r="C182" s="10"/>
      <c r="D182" s="10"/>
      <c r="E182" s="309">
        <f>IGA_BD[[#This Row],[Date]]-DAY(IGA_BD[[#This Row],[Date]])+1</f>
        <v>1</v>
      </c>
      <c r="F182" s="32"/>
      <c r="H182" s="4" t="str">
        <f>IFERROR(VLOOKUP(IGA_BD[[#This Row],[Affected Feeder ]],'Basic Data'!$A$3:$E$50,2,0),"")</f>
        <v/>
      </c>
      <c r="I182" s="4" t="str">
        <f>IFERROR(VLOOKUP(IGA_BD[[#This Row],[Affected Feeder ]],'Basic Data'!$A$3:$E$50,3,0),"")</f>
        <v/>
      </c>
      <c r="J182" s="9" t="str">
        <f>IFERROR(VLOOKUP(IGA_BD[[#This Row],[Affected Feeder ]],'Basic Data'!$A$3:$E$50,5,0),"")</f>
        <v/>
      </c>
      <c r="O182" s="6">
        <f>(IGA_BD[[#This Row],[Work Start TimeStamp]]-IGA_BD[[#This Row],[Fault Start TimeStamp]])*24</f>
        <v>0</v>
      </c>
      <c r="P182" s="6">
        <f>(IGA_BD[[#This Row],[Fault Clearance time]]-IGA_BD[[#This Row],[Work Start TimeStamp]])*24</f>
        <v>0</v>
      </c>
      <c r="Q182" s="6">
        <f>(IGA_BD[[#This Row],[Fault Clearance time]]-IGA_BD[[#This Row],[Fault Start TimeStamp]])*24</f>
        <v>0</v>
      </c>
      <c r="S182" s="4"/>
      <c r="T182" s="4" t="str">
        <f>IFERROR(IGA_BD[[#This Row],[Breakdown Time]]*IGA_BD[[#This Row],[Plant Equivalent Weightage]],"")</f>
        <v/>
      </c>
      <c r="U182" s="4"/>
      <c r="V182" s="4"/>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G156:G179</xm:sqref>
        </x14:dataValidation>
        <x14:dataValidation type="list" allowBlank="1" showInputMessage="1" showErrorMessage="1" xr:uid="{00000000-0002-0000-0800-000002000000}">
          <x14:formula1>
            <xm:f>'Basic Data'!$Q$3:$Q$6</xm:f>
          </x14:formula1>
          <xm:sqref>S5:S179</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23</v>
      </c>
      <c r="R31" s="268"/>
      <c r="S31" s="268"/>
      <c r="T31" s="267">
        <f t="shared" si="16"/>
        <v>815.98322580645163</v>
      </c>
      <c r="U31" s="268">
        <f t="shared" si="17"/>
        <v>18767.614193548387</v>
      </c>
      <c r="V31" s="268">
        <f>SUMIF($F$2:F31,F31,$U$2:U31)</f>
        <v>61959.884193548394</v>
      </c>
      <c r="W31" s="269">
        <f t="shared" si="18"/>
        <v>0.6719229461515579</v>
      </c>
      <c r="X31" s="269">
        <f t="shared" si="3"/>
        <v>0.6719229461515579</v>
      </c>
      <c r="Y31" s="269">
        <f t="shared" si="19"/>
        <v>0.44755250006897074</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61959.884193548394</v>
      </c>
      <c r="W32" s="269">
        <f t="shared" si="18"/>
        <v>0.57631327298227741</v>
      </c>
      <c r="X32" s="269" t="str">
        <f t="shared" si="3"/>
        <v/>
      </c>
      <c r="Y32" s="269">
        <f t="shared" si="19"/>
        <v>0.44755250006897074</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61959.884193548394</v>
      </c>
      <c r="W33" s="269">
        <f t="shared" si="18"/>
        <v>0.34304375274483978</v>
      </c>
      <c r="X33" s="269" t="str">
        <f t="shared" si="3"/>
        <v/>
      </c>
      <c r="Y33" s="269">
        <f t="shared" si="19"/>
        <v>0.44755250006897074</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61959.884193548394</v>
      </c>
      <c r="W34" s="269">
        <f t="shared" si="18"/>
        <v>0.18590755025712957</v>
      </c>
      <c r="X34" s="269" t="str">
        <f t="shared" si="3"/>
        <v/>
      </c>
      <c r="Y34" s="269">
        <f t="shared" si="19"/>
        <v>0.44755250006897074</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61959.884193548394</v>
      </c>
      <c r="W35" s="269">
        <f t="shared" si="18"/>
        <v>0.28815656565656578</v>
      </c>
      <c r="X35" s="269" t="str">
        <f t="shared" si="3"/>
        <v/>
      </c>
      <c r="Y35" s="269">
        <f t="shared" si="19"/>
        <v>0.44755250006897074</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61959.884193548394</v>
      </c>
      <c r="W36" s="269">
        <f t="shared" si="18"/>
        <v>0.36384753920693619</v>
      </c>
      <c r="X36" s="269" t="str">
        <f t="shared" si="3"/>
        <v/>
      </c>
      <c r="Y36" s="269">
        <f t="shared" si="19"/>
        <v>0.44755250006897074</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61959.884193548394</v>
      </c>
      <c r="W37" s="269">
        <f t="shared" si="18"/>
        <v>0.347912682221939</v>
      </c>
      <c r="X37" s="269" t="str">
        <f t="shared" si="3"/>
        <v/>
      </c>
      <c r="Y37" s="269">
        <f t="shared" si="19"/>
        <v>0.44755250006897074</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61959.884193548394</v>
      </c>
      <c r="W38" s="269">
        <f t="shared" si="18"/>
        <v>0.29403732589873899</v>
      </c>
      <c r="X38" s="269" t="str">
        <f t="shared" si="3"/>
        <v/>
      </c>
      <c r="Y38" s="269">
        <f t="shared" si="19"/>
        <v>0.44755250006897074</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61959.884193548394</v>
      </c>
      <c r="W39" s="269">
        <f t="shared" si="18"/>
        <v>0.23105662161587837</v>
      </c>
      <c r="X39" s="269" t="str">
        <f t="shared" si="3"/>
        <v/>
      </c>
      <c r="Y39" s="269">
        <f t="shared" si="19"/>
        <v>0.44755250006897074</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45861</v>
      </c>
      <c r="AG3" s="21">
        <f>AF3-1</f>
        <v>45860</v>
      </c>
      <c r="AH3" s="21">
        <f t="shared" ref="AH3:AL3" si="1">AG3-1</f>
        <v>45859</v>
      </c>
      <c r="AI3" s="21">
        <f t="shared" si="1"/>
        <v>45858</v>
      </c>
      <c r="AJ3" s="21">
        <f t="shared" si="1"/>
        <v>45857</v>
      </c>
      <c r="AK3" s="21">
        <f t="shared" si="1"/>
        <v>45856</v>
      </c>
      <c r="AL3" s="21">
        <f t="shared" si="1"/>
        <v>45855</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Props1.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2.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464D8B-5073-456B-ABD6-85662900DA90}">
  <ds:schemaRefs/>
</ds:datastoreItem>
</file>

<file path=customXml/itemProps4.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2025-07-24T03:31:13Z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