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23-07-2025\"/>
    </mc:Choice>
  </mc:AlternateContent>
  <xr:revisionPtr revIDLastSave="0" documentId="13_ncr:1_{4883C0C3-8656-47E0-B4E6-242D5A35C753}" xr6:coauthVersionLast="47" xr6:coauthVersionMax="47" xr10:uidLastSave="{00000000-0000-0000-0000-000000000000}"/>
  <bookViews>
    <workbookView xWindow="-120" yWindow="-120" windowWidth="20730" windowHeight="11160" tabRatio="852" firstSheet="5" activeTab="8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Sheet1" sheetId="21" r:id="rId16"/>
    <sheet name="Basic Data" sheetId="2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9" i="4" l="1"/>
  <c r="AI119" i="4" s="1"/>
  <c r="AC119" i="4"/>
  <c r="I119" i="4"/>
  <c r="J119" i="4"/>
  <c r="K119" i="4" s="1"/>
  <c r="AA119" i="4"/>
  <c r="AB119" i="4"/>
  <c r="G119" i="4"/>
  <c r="AD118" i="4"/>
  <c r="AC118" i="4"/>
  <c r="Q1212" i="15"/>
  <c r="H1212" i="15"/>
  <c r="G1212" i="15"/>
  <c r="C1212" i="15"/>
  <c r="H120" i="1" l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Q1203" i="6" l="1"/>
  <c r="P1204" i="6"/>
  <c r="Q1202" i="6"/>
  <c r="Q1201" i="6"/>
  <c r="AE112" i="1"/>
  <c r="P1205" i="6"/>
  <c r="K1204" i="7" s="1"/>
  <c r="Q1204" i="6"/>
  <c r="P1201" i="6"/>
  <c r="P1202" i="6"/>
  <c r="O1201" i="7" s="1"/>
  <c r="AE111" i="1"/>
  <c r="P1203" i="6"/>
  <c r="Q1205" i="6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J1206" i="6"/>
  <c r="K1206" i="6"/>
  <c r="L1206" i="6"/>
  <c r="M1206" i="6"/>
  <c r="N1206" i="6"/>
  <c r="O1206" i="6"/>
  <c r="J1207" i="6"/>
  <c r="K1207" i="6"/>
  <c r="L1207" i="6"/>
  <c r="M1207" i="6"/>
  <c r="N1207" i="6"/>
  <c r="O1207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P1206" i="6"/>
  <c r="L1205" i="7" s="1"/>
  <c r="U1204" i="7"/>
  <c r="P1200" i="6"/>
  <c r="M1199" i="7" s="1"/>
  <c r="Q1199" i="6"/>
  <c r="N1204" i="7"/>
  <c r="P1207" i="6"/>
  <c r="M1206" i="7" s="1"/>
  <c r="Q1206" i="6"/>
  <c r="R1205" i="7" s="1"/>
  <c r="T1203" i="7"/>
  <c r="R1203" i="7"/>
  <c r="U1203" i="7"/>
  <c r="S1203" i="7"/>
  <c r="Q1207" i="6"/>
  <c r="S1206" i="7" s="1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T1206" i="7"/>
  <c r="S1199" i="7"/>
  <c r="T1195" i="7"/>
  <c r="P1199" i="7"/>
  <c r="U1196" i="7"/>
  <c r="R1204" i="7"/>
  <c r="Q1200" i="7"/>
  <c r="Q1201" i="7"/>
  <c r="J1205" i="7"/>
  <c r="R1201" i="7"/>
  <c r="O1205" i="7"/>
  <c r="P1203" i="7"/>
  <c r="S1205" i="7"/>
  <c r="O1206" i="7"/>
  <c r="K1205" i="7"/>
  <c r="R1196" i="7"/>
  <c r="U1200" i="7"/>
  <c r="U1201" i="7"/>
  <c r="S1201" i="7"/>
  <c r="M1205" i="7"/>
  <c r="T1199" i="7"/>
  <c r="L1206" i="7"/>
  <c r="S1200" i="7"/>
  <c r="Q1206" i="7"/>
  <c r="K1199" i="7"/>
  <c r="J1199" i="7"/>
  <c r="P1204" i="7"/>
  <c r="T1204" i="7"/>
  <c r="O1199" i="7"/>
  <c r="R1206" i="7"/>
  <c r="T1205" i="7"/>
  <c r="J1206" i="7"/>
  <c r="U1206" i="7"/>
  <c r="Q1204" i="7"/>
  <c r="P1205" i="7"/>
  <c r="N1199" i="7"/>
  <c r="P1206" i="7"/>
  <c r="Q1199" i="7"/>
  <c r="U1199" i="7"/>
  <c r="S1204" i="7"/>
  <c r="J1203" i="7"/>
  <c r="M1203" i="7"/>
  <c r="O1203" i="7"/>
  <c r="Q1205" i="7"/>
  <c r="U1205" i="7"/>
  <c r="K1206" i="7"/>
  <c r="N1205" i="7"/>
  <c r="L1203" i="7"/>
  <c r="N1206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AI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08" i="6"/>
  <c r="O1209" i="6"/>
  <c r="O1210" i="6"/>
  <c r="O1211" i="6"/>
  <c r="O1212" i="6"/>
  <c r="O1213" i="6"/>
  <c r="O1214" i="6"/>
  <c r="O1215" i="6"/>
  <c r="O1216" i="6"/>
  <c r="O1217" i="6"/>
  <c r="O1218" i="6"/>
  <c r="O1219" i="6"/>
  <c r="O1220" i="6"/>
  <c r="O1221" i="6"/>
  <c r="O1222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P1233" i="6" l="1"/>
  <c r="Q1219" i="6"/>
  <c r="P1235" i="6"/>
  <c r="Q1231" i="6"/>
  <c r="P1223" i="6"/>
  <c r="P1211" i="6"/>
  <c r="M1186" i="7"/>
  <c r="Q1232" i="6"/>
  <c r="R1183" i="7"/>
  <c r="Q1230" i="6"/>
  <c r="P1222" i="6"/>
  <c r="Q1218" i="6"/>
  <c r="P1210" i="6"/>
  <c r="J1197" i="7"/>
  <c r="T1181" i="7"/>
  <c r="R1182" i="7"/>
  <c r="O1184" i="7"/>
  <c r="S1181" i="7"/>
  <c r="P1221" i="6"/>
  <c r="L1196" i="7"/>
  <c r="Q1220" i="6"/>
  <c r="Q1208" i="6"/>
  <c r="Q1207" i="7" s="1"/>
  <c r="J1174" i="7"/>
  <c r="P1237" i="6"/>
  <c r="P1209" i="6"/>
  <c r="O1208" i="7" s="1"/>
  <c r="P1213" i="6"/>
  <c r="N1179" i="7"/>
  <c r="P1230" i="6"/>
  <c r="P1218" i="6"/>
  <c r="N1181" i="7"/>
  <c r="Q1233" i="6"/>
  <c r="Q1221" i="6"/>
  <c r="Q1209" i="6"/>
  <c r="Q1208" i="7" s="1"/>
  <c r="Q1236" i="6"/>
  <c r="Q1224" i="6"/>
  <c r="Q1212" i="6"/>
  <c r="P1187" i="7"/>
  <c r="K1167" i="7"/>
  <c r="P1227" i="6"/>
  <c r="P1215" i="6"/>
  <c r="M1190" i="7"/>
  <c r="P1225" i="6"/>
  <c r="L1188" i="7"/>
  <c r="L1164" i="7"/>
  <c r="P1228" i="6"/>
  <c r="Q1216" i="6"/>
  <c r="L1167" i="7"/>
  <c r="P1231" i="6"/>
  <c r="P1219" i="6"/>
  <c r="L1182" i="7"/>
  <c r="Q1234" i="6"/>
  <c r="Q1222" i="6"/>
  <c r="Q1210" i="6"/>
  <c r="U1185" i="7"/>
  <c r="P1234" i="6"/>
  <c r="K1185" i="7"/>
  <c r="P1232" i="6"/>
  <c r="P1220" i="6"/>
  <c r="P1208" i="6"/>
  <c r="M1207" i="7" s="1"/>
  <c r="Q1235" i="6"/>
  <c r="Q1223" i="6"/>
  <c r="Q1211" i="6"/>
  <c r="U1186" i="7"/>
  <c r="P1226" i="6"/>
  <c r="P1214" i="6"/>
  <c r="J1165" i="7"/>
  <c r="P1229" i="6"/>
  <c r="P1217" i="6"/>
  <c r="J1164" i="7"/>
  <c r="Q1225" i="6"/>
  <c r="P1216" i="6"/>
  <c r="Q1184" i="7"/>
  <c r="P1236" i="6"/>
  <c r="P1224" i="6"/>
  <c r="P1212" i="6"/>
  <c r="N1187" i="7"/>
  <c r="J1175" i="7"/>
  <c r="J1163" i="7"/>
  <c r="Q1229" i="6"/>
  <c r="Q1217" i="6"/>
  <c r="S1180" i="7"/>
  <c r="O1183" i="7"/>
  <c r="O1165" i="7"/>
  <c r="K1173" i="7"/>
  <c r="Q1228" i="6"/>
  <c r="Q1179" i="7"/>
  <c r="Q1215" i="6"/>
  <c r="P1190" i="7"/>
  <c r="K1169" i="7"/>
  <c r="Q1227" i="6"/>
  <c r="Q1226" i="6"/>
  <c r="Q1214" i="6"/>
  <c r="S1189" i="7"/>
  <c r="S1165" i="7"/>
  <c r="M1180" i="7"/>
  <c r="L1162" i="7"/>
  <c r="K1164" i="7"/>
  <c r="Q1237" i="6"/>
  <c r="J1167" i="7"/>
  <c r="U1188" i="7"/>
  <c r="O1189" i="7"/>
  <c r="Q1213" i="6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T1207" i="7" l="1"/>
  <c r="U1207" i="7"/>
  <c r="T1208" i="7"/>
  <c r="N1208" i="7"/>
  <c r="P1208" i="7"/>
  <c r="S1208" i="7"/>
  <c r="P1207" i="7"/>
  <c r="J1208" i="7"/>
  <c r="M1208" i="7"/>
  <c r="R1207" i="7"/>
  <c r="K1207" i="7"/>
  <c r="K1208" i="7"/>
  <c r="R1208" i="7"/>
  <c r="S1207" i="7"/>
  <c r="U1208" i="7"/>
  <c r="J1207" i="7"/>
  <c r="N1207" i="7"/>
  <c r="O1207" i="7"/>
  <c r="L1207" i="7"/>
  <c r="L1208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P16" i="11"/>
  <c r="M16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<sst xmlns="http://schemas.openxmlformats.org/spreadsheetml/2006/main" count="27309" uniqueCount="1699">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</sst>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43" fontId="55" fillId="0" borderId="0" applyFont="0" applyFill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9" fontId="55" fillId="0" borderId="0" applyFont="0" applyFill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34" fillId="2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34" fillId="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34" fillId="3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48" fillId="3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9" fontId="41" fillId="29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42" fillId="0" borderId="0"/>
    <xf numFmtId="0" fontId="55" fillId="0" borderId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42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42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6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16" borderId="0" applyNumberFormat="0" applyBorder="0" applyAlignment="0" applyProtection="0"/>
    <xf numFmtId="0" fontId="55" fillId="0" borderId="0"/>
    <xf numFmtId="0" fontId="55" fillId="16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42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49" fillId="0" borderId="17" applyNumberFormat="0" applyFill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47" fillId="0" borderId="0" applyNumberFormat="0" applyFill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0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5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2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1" borderId="13" applyNumberFormat="0" applyFont="0" applyAlignment="0" applyProtection="0"/>
    <xf numFmtId="0" fontId="55" fillId="15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0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17" borderId="0" applyNumberFormat="0" applyBorder="0" applyAlignment="0" applyProtection="0"/>
    <xf numFmtId="0" fontId="55" fillId="22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1" fillId="0" borderId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3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1" borderId="13" applyNumberFormat="0" applyFont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7" borderId="0" applyNumberFormat="0" applyBorder="0" applyAlignment="0" applyProtection="0"/>
    <xf numFmtId="0" fontId="55" fillId="9" borderId="0" applyNumberFormat="0" applyBorder="0" applyAlignment="0" applyProtection="0"/>
    <xf numFmtId="0" fontId="34" fillId="38" borderId="0" applyNumberFormat="0" applyBorder="0" applyAlignment="0" applyProtection="0"/>
    <xf numFmtId="0" fontId="55" fillId="17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7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7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7" borderId="0" applyNumberFormat="0" applyBorder="0" applyAlignment="0" applyProtection="0"/>
    <xf numFmtId="0" fontId="55" fillId="20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42" fillId="0" borderId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43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1" fillId="0" borderId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13" applyNumberFormat="0" applyFont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3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0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5" borderId="0" applyNumberFormat="0" applyBorder="0" applyAlignment="0" applyProtection="0"/>
    <xf numFmtId="0" fontId="55" fillId="18" borderId="0" applyNumberFormat="0" applyBorder="0" applyAlignment="0" applyProtection="0"/>
    <xf numFmtId="0" fontId="55" fillId="24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0" borderId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34" fillId="3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34" fillId="39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34" fillId="4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39" fillId="0" borderId="0" applyNumberFormat="0" applyFill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3" fillId="0" borderId="0" applyNumberFormat="0" applyFill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4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3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1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0" borderId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46" fillId="0" borderId="18" applyNumberFormat="0" applyFill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1" borderId="13" applyNumberFormat="0" applyFont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0" borderId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4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3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0" borderId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21" borderId="13" applyNumberFormat="0" applyFont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1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42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43" fontId="55" fillId="0" borderId="0" applyFont="0" applyFill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33" fillId="27" borderId="16" applyNumberForma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0" borderId="0"/>
    <xf numFmtId="0" fontId="55" fillId="23" borderId="0" applyNumberFormat="0" applyBorder="0" applyAlignment="0" applyProtection="0"/>
    <xf numFmtId="0" fontId="55" fillId="25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34" fillId="38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1" borderId="13" applyNumberFormat="0" applyFont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25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0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2" fillId="34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1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1" borderId="13" applyNumberFormat="0" applyFont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0" borderId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34" fillId="11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21" borderId="13" applyNumberFormat="0" applyFont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0" borderId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55" fillId="10" borderId="0" applyNumberFormat="0" applyBorder="0" applyAlignment="0" applyProtection="0"/>
    <xf numFmtId="0" fontId="34" fillId="4" borderId="0" applyNumberFormat="0" applyBorder="0" applyAlignment="0" applyProtection="0"/>
    <xf numFmtId="0" fontId="55" fillId="0" borderId="0"/>
    <xf numFmtId="0" fontId="55" fillId="0" borderId="0"/>
    <xf numFmtId="0" fontId="34" fillId="36" borderId="0" applyNumberFormat="0" applyBorder="0" applyAlignment="0" applyProtection="0"/>
    <xf numFmtId="0" fontId="55" fillId="0" borderId="0"/>
    <xf numFmtId="0" fontId="34" fillId="36" borderId="0" applyNumberFormat="0" applyBorder="0" applyAlignment="0" applyProtection="0"/>
    <xf numFmtId="0" fontId="55" fillId="0" borderId="0"/>
    <xf numFmtId="0" fontId="55" fillId="0" borderId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5" borderId="0" applyNumberFormat="0" applyBorder="0" applyAlignment="0" applyProtection="0"/>
    <xf numFmtId="0" fontId="34" fillId="35" borderId="0" applyNumberFormat="0" applyBorder="0" applyAlignment="0" applyProtection="0"/>
    <xf numFmtId="0" fontId="34" fillId="8" borderId="0" applyNumberFormat="0" applyBorder="0" applyAlignment="0" applyProtection="0"/>
    <xf numFmtId="0" fontId="55" fillId="0" borderId="0"/>
    <xf numFmtId="0" fontId="34" fillId="3" borderId="0" applyNumberFormat="0" applyBorder="0" applyAlignment="0" applyProtection="0"/>
    <xf numFmtId="0" fontId="38" fillId="26" borderId="15" applyNumberFormat="0" applyAlignment="0" applyProtection="0"/>
    <xf numFmtId="43" fontId="55" fillId="0" borderId="0" applyFont="0" applyFill="0" applyBorder="0" applyAlignment="0" applyProtection="0"/>
    <xf numFmtId="43" fontId="55" fillId="0" borderId="0" applyFont="0" applyFill="0" applyBorder="0" applyAlignment="0" applyProtection="0"/>
    <xf numFmtId="43" fontId="55" fillId="0" borderId="0" applyFont="0" applyFill="0" applyBorder="0" applyAlignment="0" applyProtection="0"/>
    <xf numFmtId="0" fontId="50" fillId="31" borderId="0" applyNumberFormat="0" applyBorder="0" applyAlignment="0" applyProtection="0"/>
    <xf numFmtId="0" fontId="55" fillId="0" borderId="0"/>
    <xf numFmtId="0" fontId="44" fillId="0" borderId="19" applyNumberFormat="0" applyFill="0" applyAlignment="0" applyProtection="0"/>
    <xf numFmtId="0" fontId="40" fillId="0" borderId="20" applyNumberFormat="0" applyFill="0" applyAlignment="0" applyProtection="0"/>
    <xf numFmtId="0" fontId="39" fillId="0" borderId="21" applyNumberFormat="0" applyFill="0" applyAlignment="0" applyProtection="0"/>
    <xf numFmtId="0" fontId="55" fillId="21" borderId="13" applyNumberFormat="0" applyFont="0" applyAlignment="0" applyProtection="0"/>
    <xf numFmtId="0" fontId="54" fillId="32" borderId="15" applyNumberFormat="0" applyAlignment="0" applyProtection="0"/>
    <xf numFmtId="0" fontId="52" fillId="34" borderId="0" applyNumberFormat="0" applyBorder="0" applyAlignment="0" applyProtection="0"/>
    <xf numFmtId="0" fontId="42" fillId="0" borderId="0"/>
    <xf numFmtId="0" fontId="55" fillId="0" borderId="0"/>
    <xf numFmtId="0" fontId="5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4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4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45" fillId="0" borderId="0"/>
    <xf numFmtId="0" fontId="55" fillId="0" borderId="0"/>
    <xf numFmtId="165" fontId="55" fillId="0" borderId="0"/>
    <xf numFmtId="0" fontId="45" fillId="0" borderId="0"/>
    <xf numFmtId="0" fontId="43" fillId="0" borderId="0"/>
    <xf numFmtId="0" fontId="55" fillId="0" borderId="0"/>
    <xf numFmtId="0" fontId="43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43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55" fillId="21" borderId="13" applyNumberFormat="0" applyFont="0" applyAlignment="0" applyProtection="0"/>
    <xf numFmtId="0" fontId="37" fillId="26" borderId="14" applyNumberFormat="0" applyAlignment="0" applyProtection="0"/>
    <xf numFmtId="9" fontId="51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</cellStyleXfs>
  <cellXfs count="29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9" fillId="3" borderId="1" xfId="23226" applyFont="1" applyFill="1" applyBorder="1" applyAlignment="1">
      <alignment horizontal="center" vertical="center" wrapText="1"/>
    </xf>
    <xf numFmtId="168" fontId="29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29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29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9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30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30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0" fillId="3" borderId="7" xfId="23226" applyFont="1" applyFill="1" applyBorder="1" applyAlignment="1">
      <alignment horizontal="center" vertical="center" wrapText="1"/>
    </xf>
    <xf numFmtId="168" fontId="30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0" fillId="3" borderId="3" xfId="23226" applyFont="1" applyFill="1" applyBorder="1" applyAlignment="1">
      <alignment horizontal="center" vertical="center" wrapText="1"/>
    </xf>
    <xf numFmtId="0" fontId="30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0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29" fillId="3" borderId="12" xfId="23226" applyFont="1" applyFill="1" applyBorder="1" applyAlignment="1">
      <alignment horizontal="center" vertical="center" wrapText="1"/>
    </xf>
    <xf numFmtId="168" fontId="29" fillId="3" borderId="3" xfId="23226" applyNumberFormat="1" applyFont="1" applyFill="1" applyBorder="1" applyAlignment="1">
      <alignment horizontal="center" vertical="center" wrapText="1"/>
    </xf>
    <xf numFmtId="0" fontId="29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3" fillId="8" borderId="1" xfId="0" applyFont="1" applyFill="1" applyBorder="1" applyAlignment="1">
      <alignment vertical="center"/>
    </xf>
    <xf numFmtId="0" fontId="33" fillId="8" borderId="1" xfId="0" applyFont="1" applyFill="1" applyBorder="1" applyAlignment="1">
      <alignment horizontal="center" vertical="center" wrapText="1"/>
    </xf>
    <xf numFmtId="17" fontId="34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3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6" fillId="5" borderId="1" xfId="0" applyFont="1" applyFill="1" applyBorder="1" applyAlignment="1">
      <alignment horizontal="center"/>
    </xf>
    <xf numFmtId="17" fontId="56" fillId="5" borderId="1" xfId="0" applyNumberFormat="1" applyFont="1" applyFill="1" applyBorder="1"/>
    <xf numFmtId="15" fontId="56" fillId="5" borderId="1" xfId="0" applyNumberFormat="1" applyFont="1" applyFill="1" applyBorder="1"/>
    <xf numFmtId="0" fontId="56" fillId="5" borderId="10" xfId="0" applyFont="1" applyFill="1" applyBorder="1" applyAlignment="1">
      <alignment horizontal="center"/>
    </xf>
    <xf numFmtId="17" fontId="56" fillId="5" borderId="10" xfId="0" applyNumberFormat="1" applyFont="1" applyFill="1" applyBorder="1"/>
    <xf numFmtId="15" fontId="56" fillId="5" borderId="10" xfId="0" applyNumberFormat="1" applyFont="1" applyFill="1" applyBorder="1"/>
    <xf numFmtId="0" fontId="57" fillId="0" borderId="0" xfId="0" applyFont="1" applyAlignment="1">
      <alignment horizontal="center"/>
    </xf>
    <xf numFmtId="0" fontId="35" fillId="13" borderId="22" xfId="0" applyFont="1" applyFill="1" applyBorder="1"/>
    <xf numFmtId="168" fontId="36" fillId="13" borderId="23" xfId="14686" applyNumberFormat="1" applyFont="1" applyFill="1" applyBorder="1" applyAlignment="1">
      <alignment horizontal="left" vertical="center"/>
    </xf>
    <xf numFmtId="168" fontId="36" fillId="13" borderId="24" xfId="14686" applyNumberFormat="1" applyFont="1" applyFill="1" applyBorder="1" applyAlignment="1">
      <alignment horizontal="left" vertical="center"/>
    </xf>
    <xf numFmtId="0" fontId="56" fillId="5" borderId="8" xfId="0" applyFont="1" applyFill="1" applyBorder="1" applyAlignment="1">
      <alignment horizontal="center"/>
    </xf>
    <xf numFmtId="0" fontId="56" fillId="5" borderId="25" xfId="0" applyFont="1" applyFill="1" applyBorder="1" applyAlignment="1">
      <alignment horizontal="center"/>
    </xf>
    <xf numFmtId="15" fontId="56" fillId="5" borderId="8" xfId="0" applyNumberFormat="1" applyFont="1" applyFill="1" applyBorder="1"/>
    <xf numFmtId="0" fontId="60" fillId="14" borderId="29" xfId="0" applyFont="1" applyFill="1" applyBorder="1"/>
    <xf numFmtId="0" fontId="60" fillId="14" borderId="32" xfId="0" applyFont="1" applyFill="1" applyBorder="1"/>
    <xf numFmtId="0" fontId="60" fillId="14" borderId="26" xfId="0" applyFont="1" applyFill="1" applyBorder="1" applyAlignment="1">
      <alignment horizontal="center" vertical="center" wrapText="1"/>
    </xf>
    <xf numFmtId="0" fontId="60" fillId="14" borderId="27" xfId="0" applyFont="1" applyFill="1" applyBorder="1" applyAlignment="1">
      <alignment horizontal="center" vertical="center" wrapText="1"/>
    </xf>
    <xf numFmtId="0" fontId="62" fillId="13" borderId="29" xfId="0" applyFont="1" applyFill="1" applyBorder="1" applyAlignment="1">
      <alignment horizontal="center" vertical="center"/>
    </xf>
    <xf numFmtId="0" fontId="62" fillId="13" borderId="30" xfId="0" applyFont="1" applyFill="1" applyBorder="1"/>
    <xf numFmtId="1" fontId="61" fillId="13" borderId="30" xfId="14686" applyNumberFormat="1" applyFont="1" applyFill="1" applyBorder="1" applyAlignment="1">
      <alignment horizontal="center" vertical="center"/>
    </xf>
    <xf numFmtId="3" fontId="62" fillId="13" borderId="30" xfId="0" applyNumberFormat="1" applyFont="1" applyFill="1" applyBorder="1" applyAlignment="1">
      <alignment horizontal="center"/>
    </xf>
    <xf numFmtId="10" fontId="62" fillId="13" borderId="30" xfId="34037" applyNumberFormat="1" applyFont="1" applyFill="1" applyBorder="1" applyAlignment="1">
      <alignment horizontal="center"/>
    </xf>
    <xf numFmtId="1" fontId="62" fillId="0" borderId="30" xfId="0" applyNumberFormat="1" applyFont="1" applyBorder="1" applyAlignment="1">
      <alignment horizontal="center"/>
    </xf>
    <xf numFmtId="1" fontId="62" fillId="13" borderId="30" xfId="0" applyNumberFormat="1" applyFont="1" applyFill="1" applyBorder="1" applyAlignment="1">
      <alignment horizontal="center"/>
    </xf>
    <xf numFmtId="164" fontId="61" fillId="13" borderId="30" xfId="96" applyNumberFormat="1" applyFont="1" applyFill="1" applyBorder="1" applyAlignment="1">
      <alignment horizontal="center" vertical="center"/>
    </xf>
    <xf numFmtId="164" fontId="62" fillId="13" borderId="30" xfId="96" applyNumberFormat="1" applyFont="1" applyFill="1" applyBorder="1" applyAlignment="1">
      <alignment horizontal="center"/>
    </xf>
    <xf numFmtId="164" fontId="61" fillId="13" borderId="30" xfId="34037" applyNumberFormat="1" applyFont="1" applyFill="1" applyBorder="1" applyAlignment="1">
      <alignment horizontal="center" vertical="center"/>
    </xf>
    <xf numFmtId="0" fontId="62" fillId="13" borderId="32" xfId="0" applyFont="1" applyFill="1" applyBorder="1" applyAlignment="1">
      <alignment horizontal="center" vertical="center"/>
    </xf>
    <xf numFmtId="0" fontId="62" fillId="13" borderId="36" xfId="0" applyFont="1" applyFill="1" applyBorder="1"/>
    <xf numFmtId="164" fontId="62" fillId="13" borderId="36" xfId="96" applyNumberFormat="1" applyFont="1" applyFill="1" applyBorder="1" applyAlignment="1">
      <alignment horizontal="center"/>
    </xf>
    <xf numFmtId="10" fontId="62" fillId="13" borderId="36" xfId="34037" applyNumberFormat="1" applyFont="1" applyFill="1" applyBorder="1" applyAlignment="1">
      <alignment horizontal="center"/>
    </xf>
    <xf numFmtId="0" fontId="28" fillId="0" borderId="0" xfId="34038"/>
    <xf numFmtId="0" fontId="28" fillId="0" borderId="1" xfId="34038" applyBorder="1"/>
    <xf numFmtId="14" fontId="28" fillId="0" borderId="1" xfId="34038" applyNumberFormat="1" applyBorder="1"/>
    <xf numFmtId="1" fontId="28" fillId="0" borderId="1" xfId="34038" applyNumberFormat="1" applyBorder="1"/>
    <xf numFmtId="43" fontId="0" fillId="0" borderId="0" xfId="34039" applyFont="1"/>
    <xf numFmtId="3" fontId="28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57" fillId="0" borderId="0" xfId="0" applyFont="1"/>
    <xf numFmtId="10" fontId="62" fillId="13" borderId="30" xfId="96" applyNumberFormat="1" applyFont="1" applyFill="1" applyBorder="1" applyAlignment="1">
      <alignment horizontal="center" vertical="center"/>
    </xf>
    <xf numFmtId="10" fontId="62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2" fillId="13" borderId="30" xfId="0" applyFont="1" applyFill="1" applyBorder="1" applyAlignment="1">
      <alignment horizontal="left" vertical="top"/>
    </xf>
    <xf numFmtId="0" fontId="31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6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6" fillId="5" borderId="1" xfId="0" applyNumberFormat="1" applyFont="1" applyFill="1" applyBorder="1" applyAlignment="1">
      <alignment horizontal="center"/>
    </xf>
    <xf numFmtId="2" fontId="56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4" fillId="8" borderId="1" xfId="0" applyNumberFormat="1" applyFont="1" applyFill="1" applyBorder="1" applyAlignment="1">
      <alignment horizontal="center"/>
    </xf>
    <xf numFmtId="0" fontId="33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1" fillId="13" borderId="30" xfId="96" applyNumberFormat="1" applyFont="1" applyFill="1" applyBorder="1" applyAlignment="1">
      <alignment horizontal="center" vertical="center"/>
    </xf>
    <xf numFmtId="2" fontId="62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3" fillId="0" borderId="39" xfId="96" applyNumberFormat="1" applyFont="1" applyFill="1" applyBorder="1" applyAlignment="1">
      <alignment horizontal="center" vertical="center"/>
    </xf>
    <xf numFmtId="10" fontId="33" fillId="0" borderId="40" xfId="96" applyNumberFormat="1" applyFont="1" applyFill="1" applyBorder="1" applyAlignment="1">
      <alignment horizontal="center" vertical="center"/>
    </xf>
    <xf numFmtId="10" fontId="33" fillId="0" borderId="41" xfId="96" applyNumberFormat="1" applyFont="1" applyFill="1" applyBorder="1" applyAlignment="1">
      <alignment horizontal="center" vertical="center"/>
    </xf>
    <xf numFmtId="168" fontId="30" fillId="0" borderId="38" xfId="23226" applyNumberFormat="1" applyFont="1" applyBorder="1" applyAlignment="1">
      <alignment horizontal="center" vertical="center" wrapText="1"/>
    </xf>
    <xf numFmtId="0" fontId="30" fillId="0" borderId="38" xfId="23226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6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0" fillId="14" borderId="28" xfId="0" applyFont="1" applyFill="1" applyBorder="1" applyAlignment="1" applyProtection="1">
      <alignment horizontal="center" vertical="center" wrapText="1"/>
      <protection locked="0"/>
    </xf>
    <xf numFmtId="0" fontId="62" fillId="13" borderId="31" xfId="0" applyFont="1" applyFill="1" applyBorder="1" applyAlignment="1" applyProtection="1">
      <alignment vertical="top"/>
      <protection locked="0"/>
    </xf>
    <xf numFmtId="0" fontId="62" fillId="13" borderId="31" xfId="0" applyFont="1" applyFill="1" applyBorder="1" applyProtection="1">
      <protection locked="0"/>
    </xf>
    <xf numFmtId="1" fontId="62" fillId="13" borderId="31" xfId="0" applyNumberFormat="1" applyFont="1" applyFill="1" applyBorder="1" applyProtection="1">
      <protection locked="0"/>
    </xf>
    <xf numFmtId="0" fontId="62" fillId="13" borderId="31" xfId="0" applyFont="1" applyFill="1" applyBorder="1" applyAlignment="1" applyProtection="1">
      <alignment wrapText="1"/>
      <protection locked="0"/>
    </xf>
    <xf numFmtId="0" fontId="62" fillId="0" borderId="31" xfId="0" applyFont="1" applyBorder="1" applyAlignment="1" applyProtection="1">
      <alignment wrapText="1"/>
      <protection locked="0"/>
    </xf>
    <xf numFmtId="0" fontId="62" fillId="0" borderId="31" xfId="0" applyFont="1" applyBorder="1" applyProtection="1">
      <protection locked="0"/>
    </xf>
    <xf numFmtId="0" fontId="62" fillId="13" borderId="37" xfId="0" applyFont="1" applyFill="1" applyBorder="1" applyProtection="1">
      <protection locked="0"/>
    </xf>
    <xf numFmtId="0" fontId="66" fillId="5" borderId="8" xfId="0" applyFont="1" applyFill="1" applyBorder="1" applyAlignment="1">
      <alignment horizontal="center"/>
    </xf>
    <xf numFmtId="2" fontId="66" fillId="5" borderId="8" xfId="0" applyNumberFormat="1" applyFont="1" applyFill="1" applyBorder="1" applyAlignment="1">
      <alignment horizontal="center"/>
    </xf>
    <xf numFmtId="15" fontId="66" fillId="5" borderId="8" xfId="0" applyNumberFormat="1" applyFont="1" applyFill="1" applyBorder="1"/>
    <xf numFmtId="0" fontId="66" fillId="5" borderId="1" xfId="0" applyFont="1" applyFill="1" applyBorder="1" applyAlignment="1">
      <alignment horizontal="center"/>
    </xf>
    <xf numFmtId="164" fontId="67" fillId="0" borderId="1" xfId="96" applyNumberFormat="1" applyFont="1" applyBorder="1" applyAlignment="1">
      <alignment horizontal="center"/>
    </xf>
    <xf numFmtId="164" fontId="67" fillId="0" borderId="6" xfId="96" applyNumberFormat="1" applyFont="1" applyBorder="1" applyAlignment="1">
      <alignment horizontal="center"/>
    </xf>
    <xf numFmtId="17" fontId="56" fillId="5" borderId="8" xfId="0" applyNumberFormat="1" applyFont="1" applyFill="1" applyBorder="1" applyAlignment="1">
      <alignment horizontal="center"/>
    </xf>
    <xf numFmtId="17" fontId="56" fillId="5" borderId="25" xfId="0" applyNumberFormat="1" applyFont="1" applyFill="1" applyBorder="1" applyAlignment="1">
      <alignment horizontal="center"/>
    </xf>
    <xf numFmtId="15" fontId="56" fillId="5" borderId="25" xfId="0" applyNumberFormat="1" applyFont="1" applyFill="1" applyBorder="1"/>
    <xf numFmtId="2" fontId="56" fillId="5" borderId="25" xfId="0" applyNumberFormat="1" applyFont="1" applyFill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 vertical="center" wrapText="1"/>
    </xf>
    <xf numFmtId="0" fontId="27" fillId="0" borderId="0" xfId="0" applyFont="1" applyAlignment="1">
      <alignment horizontal="right"/>
    </xf>
    <xf numFmtId="0" fontId="27" fillId="5" borderId="25" xfId="0" applyFont="1" applyFill="1" applyBorder="1" applyAlignment="1">
      <alignment horizontal="left"/>
    </xf>
    <xf numFmtId="0" fontId="26" fillId="0" borderId="0" xfId="0" applyFont="1"/>
    <xf numFmtId="0" fontId="26" fillId="0" borderId="0" xfId="0" applyFont="1" applyAlignment="1">
      <alignment horizontal="left"/>
    </xf>
    <xf numFmtId="0" fontId="25" fillId="0" borderId="0" xfId="0" applyFont="1"/>
    <xf numFmtId="0" fontId="24" fillId="0" borderId="0" xfId="0" applyFont="1"/>
    <xf numFmtId="0" fontId="23" fillId="0" borderId="0" xfId="0" applyFont="1"/>
    <xf numFmtId="0" fontId="68" fillId="5" borderId="8" xfId="0" applyFont="1" applyFill="1" applyBorder="1" applyAlignment="1">
      <alignment horizontal="center"/>
    </xf>
    <xf numFmtId="2" fontId="68" fillId="5" borderId="8" xfId="0" applyNumberFormat="1" applyFont="1" applyFill="1" applyBorder="1" applyAlignment="1">
      <alignment horizontal="center"/>
    </xf>
    <xf numFmtId="0" fontId="68" fillId="5" borderId="1" xfId="0" applyFont="1" applyFill="1" applyBorder="1" applyAlignment="1">
      <alignment horizontal="center"/>
    </xf>
    <xf numFmtId="15" fontId="68" fillId="5" borderId="1" xfId="0" applyNumberFormat="1" applyFont="1" applyFill="1" applyBorder="1"/>
    <xf numFmtId="0" fontId="22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0" fillId="0" borderId="0" xfId="0" applyFont="1"/>
    <xf numFmtId="17" fontId="68" fillId="5" borderId="8" xfId="0" applyNumberFormat="1" applyFont="1" applyFill="1" applyBorder="1" applyAlignment="1">
      <alignment horizontal="center"/>
    </xf>
    <xf numFmtId="164" fontId="69" fillId="0" borderId="1" xfId="96" applyNumberFormat="1" applyFont="1" applyBorder="1" applyAlignment="1">
      <alignment horizontal="center"/>
    </xf>
    <xf numFmtId="164" fontId="69" fillId="0" borderId="6" xfId="96" applyNumberFormat="1" applyFont="1" applyBorder="1" applyAlignment="1">
      <alignment horizontal="center"/>
    </xf>
    <xf numFmtId="0" fontId="68" fillId="5" borderId="10" xfId="0" applyFont="1" applyFill="1" applyBorder="1" applyAlignment="1">
      <alignment horizontal="center"/>
    </xf>
    <xf numFmtId="15" fontId="68" fillId="5" borderId="10" xfId="0" applyNumberFormat="1" applyFont="1" applyFill="1" applyBorder="1"/>
    <xf numFmtId="0" fontId="24" fillId="0" borderId="0" xfId="0" applyFont="1" applyAlignment="1">
      <alignment horizontal="left"/>
    </xf>
    <xf numFmtId="0" fontId="19" fillId="0" borderId="0" xfId="0" applyFont="1"/>
    <xf numFmtId="0" fontId="23" fillId="0" borderId="0" xfId="0" applyFont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17" fillId="0" borderId="0" xfId="0" applyFont="1"/>
    <xf numFmtId="0" fontId="17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horizontal="left"/>
    </xf>
    <xf numFmtId="0" fontId="70" fillId="5" borderId="1" xfId="0" applyFont="1" applyFill="1" applyBorder="1" applyAlignment="1">
      <alignment horizontal="center"/>
    </xf>
    <xf numFmtId="164" fontId="71" fillId="0" borderId="1" xfId="96" applyNumberFormat="1" applyFont="1" applyBorder="1" applyAlignment="1">
      <alignment horizontal="center"/>
    </xf>
    <xf numFmtId="164" fontId="71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5" fillId="0" borderId="0" xfId="0" applyFont="1"/>
    <xf numFmtId="164" fontId="56" fillId="0" borderId="1" xfId="96" applyNumberFormat="1" applyFont="1" applyBorder="1" applyAlignment="1">
      <alignment horizontal="center"/>
    </xf>
    <xf numFmtId="0" fontId="14" fillId="0" borderId="0" xfId="0" applyFont="1"/>
    <xf numFmtId="0" fontId="57" fillId="0" borderId="0" xfId="0" applyFont="1" applyAlignment="1">
      <alignment horizontal="left"/>
    </xf>
    <xf numFmtId="0" fontId="13" fillId="40" borderId="25" xfId="0" applyFont="1" applyFill="1" applyBorder="1" applyAlignment="1">
      <alignment horizontal="center" vertical="center"/>
    </xf>
    <xf numFmtId="0" fontId="13" fillId="0" borderId="0" xfId="0" applyFont="1"/>
    <xf numFmtId="0" fontId="12" fillId="0" borderId="0" xfId="0" applyFont="1"/>
    <xf numFmtId="0" fontId="11" fillId="0" borderId="0" xfId="0" applyFont="1" applyAlignment="1">
      <alignment horizontal="center" vertical="center" wrapText="1"/>
    </xf>
    <xf numFmtId="0" fontId="46" fillId="0" borderId="0" xfId="0" applyFont="1"/>
    <xf numFmtId="0" fontId="11" fillId="0" borderId="0" xfId="0" applyFont="1"/>
    <xf numFmtId="0" fontId="10" fillId="0" borderId="0" xfId="0" applyFont="1"/>
    <xf numFmtId="0" fontId="72" fillId="5" borderId="1" xfId="0" applyFont="1" applyFill="1" applyBorder="1" applyAlignment="1">
      <alignment horizontal="center"/>
    </xf>
    <xf numFmtId="17" fontId="72" fillId="5" borderId="1" xfId="0" applyNumberFormat="1" applyFont="1" applyFill="1" applyBorder="1"/>
    <xf numFmtId="164" fontId="73" fillId="0" borderId="1" xfId="96" applyNumberFormat="1" applyFont="1" applyBorder="1" applyAlignment="1">
      <alignment horizontal="center"/>
    </xf>
    <xf numFmtId="164" fontId="73" fillId="0" borderId="6" xfId="96" applyNumberFormat="1" applyFont="1" applyBorder="1" applyAlignment="1">
      <alignment horizontal="center"/>
    </xf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58" fillId="0" borderId="0" xfId="0" applyFont="1"/>
    <xf numFmtId="0" fontId="2" fillId="0" borderId="0" xfId="0" applyFont="1"/>
    <xf numFmtId="168" fontId="61" fillId="13" borderId="33" xfId="14686" applyNumberFormat="1" applyFont="1" applyFill="1" applyBorder="1" applyAlignment="1">
      <alignment horizontal="left" vertical="center"/>
    </xf>
    <xf numFmtId="168" fontId="61" fillId="13" borderId="34" xfId="14686" applyNumberFormat="1" applyFont="1" applyFill="1" applyBorder="1" applyAlignment="1">
      <alignment horizontal="left" vertical="center"/>
    </xf>
    <xf numFmtId="168" fontId="61" fillId="13" borderId="35" xfId="14686" applyNumberFormat="1" applyFont="1" applyFill="1" applyBorder="1" applyAlignment="1">
      <alignment horizontal="left" vertical="center"/>
    </xf>
    <xf numFmtId="0" fontId="59" fillId="14" borderId="26" xfId="0" applyFont="1" applyFill="1" applyBorder="1" applyAlignment="1">
      <alignment horizontal="center"/>
    </xf>
    <xf numFmtId="0" fontId="59" fillId="14" borderId="27" xfId="0" applyFont="1" applyFill="1" applyBorder="1" applyAlignment="1">
      <alignment horizontal="center"/>
    </xf>
    <xf numFmtId="0" fontId="59" fillId="14" borderId="28" xfId="0" applyFont="1" applyFill="1" applyBorder="1" applyAlignment="1">
      <alignment horizontal="center"/>
    </xf>
    <xf numFmtId="167" fontId="61" fillId="13" borderId="30" xfId="14686" applyNumberFormat="1" applyFont="1" applyFill="1" applyBorder="1" applyAlignment="1" applyProtection="1">
      <alignment horizontal="left" vertical="center"/>
      <protection locked="0"/>
    </xf>
    <xf numFmtId="167" fontId="61" fillId="13" borderId="31" xfId="14686" applyNumberFormat="1" applyFont="1" applyFill="1" applyBorder="1" applyAlignment="1" applyProtection="1">
      <alignment horizontal="left" vertical="center"/>
      <protection locked="0"/>
    </xf>
    <xf numFmtId="168" fontId="61" fillId="13" borderId="30" xfId="14686" applyNumberFormat="1" applyFont="1" applyFill="1" applyBorder="1" applyAlignment="1" applyProtection="1">
      <alignment horizontal="left" vertical="center"/>
      <protection locked="0"/>
    </xf>
    <xf numFmtId="168" fontId="61" fillId="13" borderId="31" xfId="14686" applyNumberFormat="1" applyFont="1" applyFill="1" applyBorder="1" applyAlignment="1" applyProtection="1">
      <alignment horizontal="left" vertical="center"/>
      <protection locked="0"/>
    </xf>
    <xf numFmtId="0" fontId="62" fillId="13" borderId="30" xfId="0" applyFont="1" applyFill="1" applyBorder="1" applyAlignment="1">
      <alignment horizontal="left"/>
    </xf>
    <xf numFmtId="0" fontId="62" fillId="13" borderId="31" xfId="0" applyFont="1" applyFill="1" applyBorder="1" applyAlignment="1">
      <alignment horizontal="left"/>
    </xf>
    <xf numFmtId="168" fontId="61" fillId="13" borderId="30" xfId="14686" applyNumberFormat="1" applyFont="1" applyFill="1" applyBorder="1" applyAlignment="1">
      <alignment horizontal="left" vertical="center"/>
    </xf>
    <xf numFmtId="168" fontId="61" fillId="13" borderId="31" xfId="14686" applyNumberFormat="1" applyFont="1" applyFill="1" applyBorder="1" applyAlignment="1">
      <alignment horizontal="left" vertical="center"/>
    </xf>
    <xf numFmtId="0" fontId="32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20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19" totalsRowShown="0">
  <autoFilter ref="A3:AL119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08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 dataCellStyle="Percent">
      <calculatedColumnFormula>IFERROR(Inv_SY!J3/Inv_SY!$P3-1,"")</calculatedColumnFormula>
    </tableColumn>
    <tableColumn id="11" xr3:uid="{00000000-0010-0000-0500-00000B000000}" name="IC1_Inv2 wrt Avg." dataDxfId="81" dataCellStyle="Percent">
      <calculatedColumnFormula>IFERROR(Inv_SY!K3/Inv_SY!$P3-1,"")</calculatedColumnFormula>
    </tableColumn>
    <tableColumn id="12" xr3:uid="{00000000-0010-0000-0500-00000C000000}" name="IC1_Inv3 wrt Avg." dataDxfId="80" dataCellStyle="Percent">
      <calculatedColumnFormula>IFERROR(Inv_SY!L3/Inv_SY!$P3-1,"")</calculatedColumnFormula>
    </tableColumn>
    <tableColumn id="13" xr3:uid="{00000000-0010-0000-0500-00000D000000}" name="IC1_Inv4 wrt Avg." dataDxfId="79" dataCellStyle="Percent">
      <calculatedColumnFormula>IFERROR(Inv_SY!M3/Inv_SY!$P3-1,"")</calculatedColumnFormula>
    </tableColumn>
    <tableColumn id="14" xr3:uid="{00000000-0010-0000-0500-00000E000000}" name="IC2_Inv1 wrt Avg." dataDxfId="78" dataCellStyle="Percent">
      <calculatedColumnFormula>IFERROR(Inv_SY!N3/Inv_SY!$P3-1,"")</calculatedColumnFormula>
    </tableColumn>
    <tableColumn id="15" xr3:uid="{00000000-0010-0000-0500-00000F000000}" name="IC2_Inv2 wrt Avg." dataDxfId="77" dataCellStyle="Percent">
      <calculatedColumnFormula>IFERROR(Inv_SY!O3/Inv_SY!$P3-1,"")</calculatedColumnFormula>
    </tableColumn>
    <tableColumn id="16" xr3:uid="{00000000-0010-0000-0500-000010000000}" name="IC1_Inv1 wrt Max." dataDxfId="76" dataCellStyle="Percent">
      <calculatedColumnFormula>IFERROR(Inv_SY!J3/Inv_SY!$Q3-1,"")</calculatedColumnFormula>
    </tableColumn>
    <tableColumn id="17" xr3:uid="{00000000-0010-0000-0500-000011000000}" name="IC1_Inv2 wrt Max." dataDxfId="75" dataCellStyle="Percent">
      <calculatedColumnFormula>IFERROR(Inv_SY!K3/Inv_SY!$Q3-1,"")</calculatedColumnFormula>
    </tableColumn>
    <tableColumn id="18" xr3:uid="{00000000-0010-0000-0500-000012000000}" name="IC1_Inv3 wrt Max." dataDxfId="74" dataCellStyle="Percent">
      <calculatedColumnFormula>IFERROR(Inv_SY!L3/Inv_SY!$Q3-1,"")</calculatedColumnFormula>
    </tableColumn>
    <tableColumn id="19" xr3:uid="{00000000-0010-0000-0500-000013000000}" name="IC1_Inv4 wrt Max." dataDxfId="73" dataCellStyle="Percent">
      <calculatedColumnFormula>IFERROR(Inv_SY!M3/Inv_SY!$Q3-1,"")</calculatedColumnFormula>
    </tableColumn>
    <tableColumn id="20" xr3:uid="{00000000-0010-0000-0500-000014000000}" name="IC2_Inv1 wrt Max." dataDxfId="72" dataCellStyle="Percent">
      <calculatedColumnFormula>IFERROR(Inv_SY!N3/Inv_SY!$Q3-1,"")</calculatedColumnFormula>
    </tableColumn>
    <tableColumn id="21" xr3:uid="{00000000-0010-0000-0500-000015000000}" name="IC2_Inv2 wrt Max." dataDxfId="71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1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2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28" totalsRowShown="0">
  <autoFilter ref="A1:M1628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opLeftCell="A2" zoomScale="98" zoomScaleNormal="98" workbookViewId="0">
      <selection activeCell="I10" sqref="I10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76" t="s">
        <v>0</v>
      </c>
      <c r="B1" s="277"/>
      <c r="C1" s="277"/>
      <c r="D1" s="277"/>
      <c r="E1" s="277"/>
      <c r="F1" s="278"/>
    </row>
    <row r="2" spans="1:6" ht="16.5" thickTop="1" thickBot="1">
      <c r="A2" s="115" t="s">
        <v>1</v>
      </c>
      <c r="B2" s="279">
        <v>45839</v>
      </c>
      <c r="C2" s="279"/>
      <c r="D2" s="279"/>
      <c r="E2" s="279"/>
      <c r="F2" s="280"/>
    </row>
    <row r="3" spans="1:6" ht="16.5" thickTop="1" thickBot="1">
      <c r="A3" s="115" t="s">
        <v>2</v>
      </c>
      <c r="B3" s="281">
        <v>45861</v>
      </c>
      <c r="C3" s="281"/>
      <c r="D3" s="281"/>
      <c r="E3" s="281"/>
      <c r="F3" s="282"/>
    </row>
    <row r="4" spans="1:6" ht="16.5" thickTop="1" thickBot="1">
      <c r="A4" s="115" t="s">
        <v>3</v>
      </c>
      <c r="B4" s="283" t="s">
        <v>4</v>
      </c>
      <c r="C4" s="283"/>
      <c r="D4" s="283"/>
      <c r="E4" s="283"/>
      <c r="F4" s="284"/>
    </row>
    <row r="5" spans="1:6" ht="16.5" thickTop="1" thickBot="1">
      <c r="A5" s="115" t="s">
        <v>5</v>
      </c>
      <c r="B5" s="285">
        <v>45748</v>
      </c>
      <c r="C5" s="285"/>
      <c r="D5" s="285"/>
      <c r="E5" s="285"/>
      <c r="F5" s="286"/>
    </row>
    <row r="6" spans="1:6" ht="16.5" thickTop="1" thickBot="1">
      <c r="A6" s="116" t="s">
        <v>6</v>
      </c>
      <c r="B6" s="273">
        <v>46112</v>
      </c>
      <c r="C6" s="274"/>
      <c r="D6" s="274"/>
      <c r="E6" s="274"/>
      <c r="F6" s="275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29.561380000010899</v>
      </c>
      <c r="E9" s="123">
        <f>-(C9-D9)/C9</f>
        <v>-5.9307601973670333E-2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722.777968044364</v>
      </c>
      <c r="D10" s="124">
        <f>'Monthly KPI'!$F$4</f>
        <v>732.49416000001054</v>
      </c>
      <c r="E10" s="123">
        <f t="shared" ref="E10:E26" si="0">-(C10-D10)/C10</f>
        <v>1.3442844670453704E-2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5003.7752214991433</v>
      </c>
      <c r="D11" s="125">
        <f>'Annual KPI'!$F$4</f>
        <v>4673.9151400000064</v>
      </c>
      <c r="E11" s="123">
        <f t="shared" si="0"/>
        <v>-6.5922242086707883E-2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0.11722891088485018</v>
      </c>
      <c r="E12" s="123">
        <f t="shared" si="0"/>
        <v>-5.9307601973670208E-2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0.12461981316188861</v>
      </c>
      <c r="D13" s="127">
        <f>'Monthly KPI'!J4</f>
        <v>0.12629505795308488</v>
      </c>
      <c r="E13" s="123">
        <f t="shared" si="0"/>
        <v>1.3442844670454E-2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0.17406159822368292</v>
      </c>
      <c r="D14" s="127">
        <f>'Annual KPI'!J4</f>
        <v>0.16258706740758203</v>
      </c>
      <c r="E14" s="123">
        <f t="shared" si="0"/>
        <v>-6.5922242086707786E-2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0.77293787396604519</v>
      </c>
      <c r="E15" s="142">
        <f t="shared" si="0"/>
        <v>0.10336143421326939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0.70053008017012441</v>
      </c>
      <c r="D16" s="127">
        <f>'Monthly KPI'!$H$4</f>
        <v>0.74133211388880105</v>
      </c>
      <c r="E16" s="123">
        <f t="shared" si="0"/>
        <v>5.8244513510066293E-2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0.68174750088681402</v>
      </c>
      <c r="D17" s="127">
        <f>'Annual KPI'!$H$4</f>
        <v>0.71436830716987865</v>
      </c>
      <c r="E17" s="123">
        <f t="shared" si="0"/>
        <v>4.7848809479509105E-2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3.64</v>
      </c>
      <c r="E18" s="123">
        <f t="shared" si="0"/>
        <v>-0.14743041685422667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98.197263490322598</v>
      </c>
      <c r="D19" s="180">
        <f>'Monthly KPI'!$D$4</f>
        <v>94.039999999999992</v>
      </c>
      <c r="E19" s="123">
        <f t="shared" si="0"/>
        <v>-4.2335838520920765E-2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698.54679646132251</v>
      </c>
      <c r="D20" s="180">
        <f>'Annual KPI'!$D$4</f>
        <v>622.70150000000035</v>
      </c>
      <c r="E20" s="123">
        <f t="shared" si="0"/>
        <v>-0.10857582748290737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0.99585891568731766</v>
      </c>
      <c r="E22" s="123">
        <f t="shared" si="0"/>
        <v>8.6323184655041495E-4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0.99370278840915904</v>
      </c>
      <c r="E23" s="123">
        <f t="shared" si="0"/>
        <v>-1.3037302420512082E-3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0.99950724805549673</v>
      </c>
      <c r="E25" s="123">
        <f t="shared" si="0"/>
        <v>2.514792432795121E-3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0.99121232164551276</v>
      </c>
      <c r="E26" s="123">
        <f t="shared" si="0"/>
        <v>-5.8050936353934157E-3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698.54679646132251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5003.7752214991433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0.32529544586065334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23</v>
      </c>
      <c r="R41" s="45">
        <f t="shared" si="27"/>
        <v>98.197263490322598</v>
      </c>
      <c r="S41" s="45">
        <f>SUMIF($F$2:F41,F41,$R$2:R41)</f>
        <v>698.54679646132251</v>
      </c>
      <c r="T41" s="26">
        <f t="shared" si="28"/>
        <v>31.425129045407132</v>
      </c>
      <c r="U41" s="45">
        <f t="shared" si="29"/>
        <v>722.777968044364</v>
      </c>
      <c r="V41" s="45">
        <f>SUMIF($F$2:F41,F41,$U$2:U41)</f>
        <v>5003.7752214991433</v>
      </c>
      <c r="W41" s="176">
        <f t="shared" si="30"/>
        <v>0.12461981316188862</v>
      </c>
      <c r="X41" s="176">
        <f t="shared" si="5"/>
        <v>0.12461981316188861</v>
      </c>
      <c r="Y41" s="176">
        <f t="shared" si="6"/>
        <v>0.17406159822368292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698.54679646132251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5003.7752214991433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0.17406159822368292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698.54679646132251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5003.7752214991433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0.17406159822368292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698.54679646132251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5003.7752214991433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0.17406159822368292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698.54679646132251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5003.7752214991433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0.17406159822368292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698.54679646132251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5003.7752214991433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0.17406159822368292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698.54679646132251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5003.7752214991433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0.17406159822368292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698.54679646132251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5003.7752214991433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0.17406159822368292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698.54679646132251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5003.7752214991433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0.17406159822368292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45861</v>
      </c>
      <c r="D7" s="136">
        <f>'Daily Dashboard'!C9</f>
        <v>31.425129045407132</v>
      </c>
      <c r="E7" s="136">
        <f>'Daily Dashboard'!D9</f>
        <v>29.561380000010899</v>
      </c>
      <c r="F7" s="136">
        <f>D7-E7</f>
        <v>1.8637490453962329</v>
      </c>
    </row>
    <row r="8" spans="2:6">
      <c r="B8" s="134" t="s">
        <v>40</v>
      </c>
      <c r="C8" s="135">
        <f t="shared" ref="C8:C30" si="0">$C$7</f>
        <v>45861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45861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45861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45861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45861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45861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45861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45861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45861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45861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45861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45861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45861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45861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45861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45861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45861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45861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45861</v>
      </c>
      <c r="D26" s="138">
        <f>'Daily Dashboard'!$D$9</f>
        <v>29.561380000010899</v>
      </c>
      <c r="E26" s="138">
        <f>'Daily Dashboard'!$D$9</f>
        <v>29.561380000010899</v>
      </c>
      <c r="F26" s="138">
        <f>'Daily Dashboard'!$D$9</f>
        <v>29.561380000010899</v>
      </c>
    </row>
    <row r="27" spans="2:7">
      <c r="B27" s="134" t="s">
        <v>58</v>
      </c>
      <c r="C27" s="135">
        <f t="shared" si="0"/>
        <v>45861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45861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45861</v>
      </c>
      <c r="D29" s="134">
        <v>0</v>
      </c>
      <c r="E29" s="136">
        <f>-(F7+G30)+(SUM(G21:G23))</f>
        <v>3.0269568876383439</v>
      </c>
      <c r="F29" s="136">
        <f>E29</f>
        <v>3.0269568876383439</v>
      </c>
    </row>
    <row r="30" spans="2:7">
      <c r="B30" s="134" t="s">
        <v>61</v>
      </c>
      <c r="C30" s="135">
        <f t="shared" si="0"/>
        <v>45861</v>
      </c>
      <c r="D30" s="134">
        <f>'Daily Dashboard'!C18</f>
        <v>4.2694462387096781</v>
      </c>
      <c r="E30" s="134">
        <f>'Daily Dashboard'!D18</f>
        <v>3.64</v>
      </c>
      <c r="F30" s="134">
        <f>E30-D30</f>
        <v>-0.62944623870967797</v>
      </c>
      <c r="G30" s="133">
        <f>(F30/D30)*D7</f>
        <v>-4.6330198748622395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45861</v>
      </c>
    </row>
    <row r="2" spans="1:16" ht="20.45" customHeight="1">
      <c r="A2" s="287" t="s">
        <v>63</v>
      </c>
      <c r="B2" s="287"/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23</v>
      </c>
      <c r="C4" s="81">
        <f>_xlfn.XLOOKUP($A4,'Modelling New'!$D:$D,'Modelling New'!R:R)</f>
        <v>98.197263490322598</v>
      </c>
      <c r="D4" s="181">
        <f>SUMIF('Daily KPI'!$D:$D,A4,'Daily KPI'!I:I)</f>
        <v>94.039999999999992</v>
      </c>
      <c r="E4" s="81">
        <f>_xlfn.XLOOKUP($A4,'Modelling New'!$D:$D,'Modelling New'!U:U)</f>
        <v>722.777968044364</v>
      </c>
      <c r="F4" s="82">
        <f>SUMIF('Daily KPI'!$D:$D,'Monthly KPI'!$A4,'Daily KPI'!AA:AA)/1000</f>
        <v>732.49416000001054</v>
      </c>
      <c r="G4" s="83">
        <f>IFERROR(E4/C4/'Modelling New'!$AP$1,"")</f>
        <v>0.70053008017012441</v>
      </c>
      <c r="H4" s="84">
        <f>IFERROR(F4/D4/'Modelling New'!$AP$1,"")</f>
        <v>0.74133211388880105</v>
      </c>
      <c r="I4" s="83">
        <f>IFERROR(E4/(B4*24*'Modelling New'!$AP$1),"")</f>
        <v>0.12461981316188864</v>
      </c>
      <c r="J4" s="84">
        <f>IFERROR(F4/(B4*24*'Modelling New'!$AP$1),"")</f>
        <v>0.12629505795308488</v>
      </c>
      <c r="K4" s="159">
        <f>_xlfn.XLOOKUP($A4,'Modelling New'!D:D,'Modelling New'!AE:AE)</f>
        <v>0.997</v>
      </c>
      <c r="L4" s="84">
        <f>IFERROR(AVERAGEIF('Daily KPI'!$D:$D,'Monthly KPI'!$A4,'Daily KPI'!R:R),"")</f>
        <v>0.99950724805549673</v>
      </c>
      <c r="M4" s="83">
        <f>_xlfn.XLOOKUP($A4,'Modelling New'!D:D,'Modelling New'!AD:AD)</f>
        <v>0.995</v>
      </c>
      <c r="N4" s="84">
        <f>IFERROR(AVERAGEIF('Daily KPI'!$D:$D,'Monthly KPI'!$A4,'Daily KPI'!O:O),"")</f>
        <v>0.99585891568731766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45855</v>
      </c>
      <c r="D7" s="85"/>
      <c r="F7" s="85"/>
    </row>
    <row r="8" spans="1:16">
      <c r="A8" s="95" t="s">
        <v>137</v>
      </c>
      <c r="B8" s="96">
        <f>B1</f>
        <v>45861</v>
      </c>
    </row>
    <row r="9" spans="1:16" ht="21">
      <c r="A9" s="287" t="s">
        <v>63</v>
      </c>
      <c r="B9" s="287"/>
      <c r="C9" s="287"/>
      <c r="D9" s="287"/>
      <c r="E9" s="287"/>
      <c r="F9" s="287"/>
      <c r="G9" s="287"/>
      <c r="H9" s="287"/>
      <c r="I9" s="287"/>
      <c r="J9" s="287"/>
      <c r="K9" s="287"/>
      <c r="L9" s="287"/>
      <c r="M9" s="287"/>
      <c r="N9" s="287"/>
      <c r="O9" s="287"/>
      <c r="P9" s="287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26.880000000000003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211.06410000001134</v>
      </c>
      <c r="G11" s="83">
        <f>IFERROR(E11/C11/'Modelling New'!$AP$1,"")</f>
        <v>0.70053008017012464</v>
      </c>
      <c r="H11" s="84">
        <f>IFERROR(F11/D11/'Modelling New'!$AP$1,"")</f>
        <v>0.747319601558185</v>
      </c>
      <c r="I11" s="83">
        <f>IFERROR(E11/(B11*24*'Modelling New'!$AP$1),"")</f>
        <v>0.12461981316188864</v>
      </c>
      <c r="J11" s="84">
        <f>IFERROR(F11/(B11*24*'Modelling New'!$AP$1),"")</f>
        <v>0.11957113624930961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0.99838095789663217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0.99904336638723434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I90" activePane="bottomRight" state="frozen"/>
      <selection activeCell="I9" sqref="I9"/>
      <selection pane="topRight" activeCell="I9" sqref="I9"/>
      <selection pane="bottomLeft" activeCell="I9" sqref="I9"/>
      <selection pane="bottomRight" activeCell="U100" sqref="U100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cm="1">
        <f t="array" ref="F118">IFERROR(_xlfn.XLOOKUP(Table13[[#This Row],[Date]],Raw_Data[[#All],[Date]],Raw_Data[[#All],[Operating Hours]]),"")</f>
        <v>12.1</v>
      </c>
      <c r="G118" s="26">
        <f>IFERROR(_xlfn.XLOOKUP($A118,'Raw Data'!$G:$G,'Raw Data'!S:S)/1000,"")</f>
        <v>3.71</v>
      </c>
      <c r="H118" s="26"/>
      <c r="I118" s="26">
        <f>IFERROR(_xlfn.XLOOKUP($A118,'Raw Data'!$G:$G,'Raw Data'!AF:AF)/1000,"")</f>
        <v>3.64</v>
      </c>
      <c r="J118" s="26"/>
      <c r="K118" s="149">
        <f>IFERROR(_xlfn.XLOOKUP($A118,'Raw Data'!$G:$G,'Raw Data'!W:W),"")</f>
        <v>24.590077557972634</v>
      </c>
      <c r="L118" s="148">
        <f>IFERROR(_xlfn.XLOOKUP($A118,'Raw Data'!$G:$G,'Raw Data'!X:X),"")</f>
        <v>31.51842736021635</v>
      </c>
      <c r="M118" s="148">
        <f>IFERROR(_xlfn.XLOOKUP($A118,'Raw Data'!$G:$G,'Raw Data'!Y:Y),"")</f>
        <v>1.4443704917087001</v>
      </c>
      <c r="N118" s="148">
        <f>IFERROR(_xlfn.XLOOKUP($A118,'Raw Data'!$G:$G,'Raw Data'!Z:Z),"")</f>
        <v>7.7017226219177246</v>
      </c>
      <c r="O118" s="188">
        <f>IFERROR(1-SUMIF('Plant BD'!$H:$H,$A118,'Plant BD'!$AE:$AE)/($AA118+SUMIF('Plant BD'!$H:$H,$A118,'Plant BD'!$AE:$AE)),"")</f>
        <v>1</v>
      </c>
      <c r="P118" s="188"/>
      <c r="Q118" s="189"/>
      <c r="R118" s="191">
        <f>IFERROR(1-SUMIF('Grid BD'!$H:$H,$A118,'Grid BD'!$AD:$AD)/($AA118+SUMIF('Grid BD'!$H:$H,$A118,'Grid BD'!$AD:$AD)),"")</f>
        <v>1</v>
      </c>
      <c r="S118" s="17"/>
      <c r="T118" s="189">
        <f>IFERROR(1-SUMIF(Tracker_BD!H:H,$A118,Tracker_BD!AI:AI)/$F118,"")</f>
        <v>1</v>
      </c>
      <c r="U118" s="190">
        <f t="shared" si="7"/>
        <v>0.77293787396604519</v>
      </c>
      <c r="V118" s="17"/>
      <c r="W118" s="176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45">
        <f>IFERROR(_xlfn.XLOOKUP($A118,'Raw Data'!$G:$G,'Raw Data'!AD:AD),"")</f>
        <v>331.62000000004355</v>
      </c>
      <c r="AA118" s="45">
        <f>IFERROR(_xlfn.XLOOKUP($A118,'Raw Data'!$G:$G,'Raw Data'!AE:AE),"")</f>
        <v>29561.3800000109</v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t="str" cm="1">
        <f t="array" ref="F119">IFERROR(_xlfn.XLOOKUP(Table13[[#This Row],[Date]],Raw_Data[[#All],[Date]],Raw_Data[[#All],[Operating Hours]]),"")</f>
        <v/>
      </c>
      <c r="G119" s="148" t="str">
        <f>IFERROR(_xlfn.XLOOKUP($A119,'Raw Data'!$G:$G,'Raw Data'!S:S)/1000,"")</f>
        <v/>
      </c>
      <c r="H119" s="148"/>
      <c r="I119" s="148" t="str">
        <f>IFERROR(_xlfn.XLOOKUP($A119,'Raw Data'!$G:$G,'Raw Data'!AF:AF)/1000,"")</f>
        <v/>
      </c>
      <c r="J119" s="148"/>
      <c r="K119" s="149" t="str">
        <f>IFERROR(_xlfn.XLOOKUP($A119,'Raw Data'!$G:$G,'Raw Data'!W:W),"")</f>
        <v/>
      </c>
      <c r="L119" s="148" t="str">
        <f>IFERROR(_xlfn.XLOOKUP($A119,'Raw Data'!$G:$G,'Raw Data'!X:X),"")</f>
        <v/>
      </c>
      <c r="M119" s="148" t="str">
        <f>IFERROR(_xlfn.XLOOKUP($A119,'Raw Data'!$G:$G,'Raw Data'!Y:Y),"")</f>
        <v/>
      </c>
      <c r="N119" s="148" t="str">
        <f>IFERROR(_xlfn.XLOOKUP($A119,'Raw Data'!$G:$G,'Raw Data'!Z:Z),"")</f>
        <v/>
      </c>
      <c r="O119" s="188" t="str">
        <f>IFERROR(1-SUMIF('Plant BD'!$H:$H,$A119,'Plant BD'!$AE:$AE)/($AA119+SUMIF('Plant BD'!$H:$H,$A119,'Plant BD'!$AE:$AE)),"")</f>
        <v/>
      </c>
      <c r="P119" s="188"/>
      <c r="Q119" s="189"/>
      <c r="R119" s="188" t="str">
        <f>IFERROR(1-SUMIF('Grid BD'!$H:$H,$A119,'Grid BD'!$AD:$AD)/($AA119+SUMIF('Grid BD'!$H:$H,$A119,'Grid BD'!$AD:$AD)),"")</f>
        <v/>
      </c>
      <c r="S119" s="17"/>
      <c r="T119" s="189" t="str">
        <f>IFERROR(1-SUMIF(Tracker_BD!H:H,$A119,Tracker_BD!AI:AI)/$F119,"")</f>
        <v/>
      </c>
      <c r="U119" s="190" t="str">
        <f t="shared" si="7"/>
        <v/>
      </c>
      <c r="V119" s="17"/>
      <c r="W119" s="176" t="str">
        <f t="shared" si="8"/>
        <v/>
      </c>
      <c r="X119" s="17" t="str">
        <f>IFERROR(_xlfn.XLOOKUP($A119,'Raw Data'!$G:$G,'Raw Data'!AB:AB),"")</f>
        <v/>
      </c>
      <c r="Y119" s="17" t="str">
        <f>IFERROR(_xlfn.XLOOKUP($A119,'Raw Data'!$G:$G,'Raw Data'!AC:AC),"")</f>
        <v/>
      </c>
      <c r="Z119" s="45" t="str">
        <f>IFERROR(_xlfn.XLOOKUP($A119,'Raw Data'!$G:$G,'Raw Data'!AD:AD),"")</f>
        <v/>
      </c>
      <c r="AA119" s="45" t="str">
        <f>IFERROR(_xlfn.XLOOKUP($A119,'Raw Data'!$G:$G,'Raw Data'!AE:AE),"")</f>
        <v/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t="str" cm="1">
        <f t="array" ref="F120">IFERROR(_xlfn.XLOOKUP(Table13[[#This Row],[Date]],Raw_Data[[#All],[Date]],Raw_Data[[#All],[Operating Hours]]),"")</f>
        <v/>
      </c>
      <c r="G120" s="26" t="str">
        <f>IFERROR(_xlfn.XLOOKUP($A120,'Raw Data'!$G:$G,'Raw Data'!S:S)/1000,"")</f>
        <v/>
      </c>
      <c r="H120" s="26"/>
      <c r="I120" s="26" t="str">
        <f>IFERROR(_xlfn.XLOOKUP($A120,'Raw Data'!$G:$G,'Raw Data'!AF:AF)/1000,"")</f>
        <v/>
      </c>
      <c r="J120" s="26"/>
      <c r="K120" s="149" t="str">
        <f>IFERROR(_xlfn.XLOOKUP($A120,'Raw Data'!$G:$G,'Raw Data'!W:W),"")</f>
        <v/>
      </c>
      <c r="L120" s="148" t="str">
        <f>IFERROR(_xlfn.XLOOKUP($A120,'Raw Data'!$G:$G,'Raw Data'!X:X),"")</f>
        <v/>
      </c>
      <c r="M120" s="148" t="str">
        <f>IFERROR(_xlfn.XLOOKUP($A120,'Raw Data'!$G:$G,'Raw Data'!Y:Y),"")</f>
        <v/>
      </c>
      <c r="N120" s="148" t="str">
        <f>IFERROR(_xlfn.XLOOKUP($A120,'Raw Data'!$G:$G,'Raw Data'!Z:Z),"")</f>
        <v/>
      </c>
      <c r="O120" s="188" t="str">
        <f>IFERROR(1-SUMIF('Plant BD'!$H:$H,$A120,'Plant BD'!$AE:$AE)/($AA120+SUMIF('Plant BD'!$H:$H,$A120,'Plant BD'!$AE:$AE)),"")</f>
        <v/>
      </c>
      <c r="P120" s="188"/>
      <c r="Q120" s="189"/>
      <c r="R120" s="191" t="str">
        <f>IFERROR(1-SUMIF('Grid BD'!$H:$H,$A120,'Grid BD'!$AD:$AD)/($AA120+SUMIF('Grid BD'!$H:$H,$A120,'Grid BD'!$AD:$AD)),"")</f>
        <v/>
      </c>
      <c r="S120" s="17"/>
      <c r="T120" s="189" t="str">
        <f>IFERROR(1-SUMIF(Tracker_BD!H:H,$A120,Tracker_BD!AI:AI)/$F120,"")</f>
        <v/>
      </c>
      <c r="U120" s="190" t="str">
        <f t="shared" si="7"/>
        <v/>
      </c>
      <c r="V120" s="17"/>
      <c r="W120" s="176" t="str">
        <f t="shared" si="8"/>
        <v/>
      </c>
      <c r="X120" s="17" t="str">
        <f>IFERROR(_xlfn.XLOOKUP($A120,'Raw Data'!$G:$G,'Raw Data'!AB:AB),"")</f>
        <v/>
      </c>
      <c r="Y120" s="17" t="str">
        <f>IFERROR(_xlfn.XLOOKUP($A120,'Raw Data'!$G:$G,'Raw Data'!AC:AC),"")</f>
        <v/>
      </c>
      <c r="Z120" s="45" t="str">
        <f>IFERROR(_xlfn.XLOOKUP($A120,'Raw Data'!$G:$G,'Raw Data'!AD:AD),"")</f>
        <v/>
      </c>
      <c r="AA120" s="45" t="str">
        <f>IFERROR(_xlfn.XLOOKUP($A120,'Raw Data'!$G:$G,'Raw Data'!AE:AE),"")</f>
        <v/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t="str" cm="1">
        <f t="array" ref="F121">IFERROR(_xlfn.XLOOKUP(Table13[[#This Row],[Date]],Raw_Data[[#All],[Date]],Raw_Data[[#All],[Operating Hours]]),"")</f>
        <v/>
      </c>
      <c r="G121" s="148" t="str">
        <f>IFERROR(_xlfn.XLOOKUP($A121,'Raw Data'!$G:$G,'Raw Data'!S:S)/1000,"")</f>
        <v/>
      </c>
      <c r="H121" s="148"/>
      <c r="I121" s="148" t="str">
        <f>IFERROR(_xlfn.XLOOKUP($A121,'Raw Data'!$G:$G,'Raw Data'!AF:AF)/1000,"")</f>
        <v/>
      </c>
      <c r="J121" s="148"/>
      <c r="K121" s="149" t="str">
        <f>IFERROR(_xlfn.XLOOKUP($A121,'Raw Data'!$G:$G,'Raw Data'!W:W),"")</f>
        <v/>
      </c>
      <c r="L121" s="148" t="str">
        <f>IFERROR(_xlfn.XLOOKUP($A121,'Raw Data'!$G:$G,'Raw Data'!X:X),"")</f>
        <v/>
      </c>
      <c r="M121" s="148" t="str">
        <f>IFERROR(_xlfn.XLOOKUP($A121,'Raw Data'!$G:$G,'Raw Data'!Y:Y),"")</f>
        <v/>
      </c>
      <c r="N121" s="148" t="str">
        <f>IFERROR(_xlfn.XLOOKUP($A121,'Raw Data'!$G:$G,'Raw Data'!Z:Z),"")</f>
        <v/>
      </c>
      <c r="O121" s="188" t="str">
        <f>IFERROR(1-SUMIF('Plant BD'!$H:$H,$A121,'Plant BD'!$AE:$AE)/($AA121+SUMIF('Plant BD'!$H:$H,$A121,'Plant BD'!$AE:$AE)),"")</f>
        <v/>
      </c>
      <c r="P121" s="188"/>
      <c r="Q121" s="189"/>
      <c r="R121" s="188" t="str">
        <f>IFERROR(1-SUMIF('Grid BD'!$H:$H,$A121,'Grid BD'!$AD:$AD)/($AA121+SUMIF('Grid BD'!$H:$H,$A121,'Grid BD'!$AD:$AD)),"")</f>
        <v/>
      </c>
      <c r="S121" s="17"/>
      <c r="T121" s="189" t="str">
        <f>IFERROR(1-SUMIF(Tracker_BD!H:H,$A121,Tracker_BD!AI:AI)/$F121,"")</f>
        <v/>
      </c>
      <c r="U121" s="190" t="str">
        <f t="shared" si="7"/>
        <v/>
      </c>
      <c r="V121" s="17"/>
      <c r="W121" s="176" t="str">
        <f t="shared" si="8"/>
        <v/>
      </c>
      <c r="X121" s="17" t="str">
        <f>IFERROR(_xlfn.XLOOKUP($A121,'Raw Data'!$G:$G,'Raw Data'!AB:AB),"")</f>
        <v/>
      </c>
      <c r="Y121" s="17" t="str">
        <f>IFERROR(_xlfn.XLOOKUP($A121,'Raw Data'!$G:$G,'Raw Data'!AC:AC),"")</f>
        <v/>
      </c>
      <c r="Z121" s="45" t="str">
        <f>IFERROR(_xlfn.XLOOKUP($A121,'Raw Data'!$G:$G,'Raw Data'!AD:AD),"")</f>
        <v/>
      </c>
      <c r="AA121" s="45" t="str">
        <f>IFERROR(_xlfn.XLOOKUP($A121,'Raw Data'!$G:$G,'Raw Data'!AE:AE),"")</f>
        <v/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t="str" cm="1">
        <f t="array" ref="F122">IFERROR(_xlfn.XLOOKUP(Table13[[#This Row],[Date]],Raw_Data[[#All],[Date]],Raw_Data[[#All],[Operating Hours]]),"")</f>
        <v/>
      </c>
      <c r="G122" s="26" t="str">
        <f>IFERROR(_xlfn.XLOOKUP($A122,'Raw Data'!$G:$G,'Raw Data'!S:S)/1000,"")</f>
        <v/>
      </c>
      <c r="H122" s="26"/>
      <c r="I122" s="26" t="str">
        <f>IFERROR(_xlfn.XLOOKUP($A122,'Raw Data'!$G:$G,'Raw Data'!AF:AF)/1000,"")</f>
        <v/>
      </c>
      <c r="J122" s="26"/>
      <c r="K122" s="149" t="str">
        <f>IFERROR(_xlfn.XLOOKUP($A122,'Raw Data'!$G:$G,'Raw Data'!W:W),"")</f>
        <v/>
      </c>
      <c r="L122" s="148" t="str">
        <f>IFERROR(_xlfn.XLOOKUP($A122,'Raw Data'!$G:$G,'Raw Data'!X:X),"")</f>
        <v/>
      </c>
      <c r="M122" s="148" t="str">
        <f>IFERROR(_xlfn.XLOOKUP($A122,'Raw Data'!$G:$G,'Raw Data'!Y:Y),"")</f>
        <v/>
      </c>
      <c r="N122" s="148" t="str">
        <f>IFERROR(_xlfn.XLOOKUP($A122,'Raw Data'!$G:$G,'Raw Data'!Z:Z),"")</f>
        <v/>
      </c>
      <c r="O122" s="188" t="str">
        <f>IFERROR(1-SUMIF('Plant BD'!$H:$H,$A122,'Plant BD'!$AE:$AE)/($AA122+SUMIF('Plant BD'!$H:$H,$A122,'Plant BD'!$AE:$AE)),"")</f>
        <v/>
      </c>
      <c r="P122" s="188"/>
      <c r="Q122" s="189"/>
      <c r="R122" s="191" t="str">
        <f>IFERROR(1-SUMIF('Grid BD'!$H:$H,$A122,'Grid BD'!$AD:$AD)/($AA122+SUMIF('Grid BD'!$H:$H,$A122,'Grid BD'!$AD:$AD)),"")</f>
        <v/>
      </c>
      <c r="S122" s="17"/>
      <c r="T122" s="189" t="str">
        <f>IFERROR(1-SUMIF(Tracker_BD!H:H,$A122,Tracker_BD!AI:AI)/$F122,"")</f>
        <v/>
      </c>
      <c r="U122" s="190" t="str">
        <f t="shared" si="7"/>
        <v/>
      </c>
      <c r="V122" s="17"/>
      <c r="W122" s="176" t="str">
        <f t="shared" si="8"/>
        <v/>
      </c>
      <c r="X122" s="17" t="str">
        <f>IFERROR(_xlfn.XLOOKUP($A122,'Raw Data'!$G:$G,'Raw Data'!AB:AB),"")</f>
        <v/>
      </c>
      <c r="Y122" s="17" t="str">
        <f>IFERROR(_xlfn.XLOOKUP($A122,'Raw Data'!$G:$G,'Raw Data'!AC:AC),"")</f>
        <v/>
      </c>
      <c r="Z122" s="45" t="str">
        <f>IFERROR(_xlfn.XLOOKUP($A122,'Raw Data'!$G:$G,'Raw Data'!AD:AD),"")</f>
        <v/>
      </c>
      <c r="AA122" s="45" t="str">
        <f>IFERROR(_xlfn.XLOOKUP($A122,'Raw Data'!$G:$G,'Raw Data'!AE:AE),"")</f>
        <v/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45861</v>
      </c>
      <c r="C1" s="80">
        <f>'Daily Dashboard'!$B$2</f>
        <v>45839</v>
      </c>
    </row>
    <row r="2" spans="1:16" ht="21">
      <c r="A2" s="287" t="s">
        <v>63</v>
      </c>
      <c r="B2" s="287"/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114</v>
      </c>
      <c r="C4" s="89">
        <f>_xlfn.XLOOKUP($C$1,'Modelling New'!$D:$D,'Modelling New'!$S:$S)</f>
        <v>698.54679646132251</v>
      </c>
      <c r="D4" s="90">
        <f>IFERROR(SUMIFS('Daily KPI'!$I:$I,'Daily KPI'!$B:$B,'Annual KPI'!$A4,'Daily KPI'!$A:$A,"&lt;="&amp;'Annual KPI'!$B$1),"")</f>
        <v>622.70150000000035</v>
      </c>
      <c r="E4" s="89">
        <f>_xlfn.XLOOKUP($C$1,'Modelling New'!$D:$D,'Modelling New'!$V:$V)</f>
        <v>5003.7752214991433</v>
      </c>
      <c r="F4" s="90">
        <f>IFERROR(SUMIFS('Daily KPI'!$AA:$AA,'Daily KPI'!$B:$B,'Annual KPI'!$A4,'Daily KPI'!$A:$A,"&lt;="&amp;'Annual KPI'!$B$1)/1000,"")</f>
        <v>4673.9151400000064</v>
      </c>
      <c r="G4" s="91">
        <f>IFERROR(E4/C4/'Modelling New'!$AP$1,"")</f>
        <v>0.68174750088681402</v>
      </c>
      <c r="H4" s="92">
        <f>IFERROR(F4/D4/'Modelling New'!$AP$1,"")</f>
        <v>0.71436830716987865</v>
      </c>
      <c r="I4" s="91">
        <f>IFERROR(E4/(B4*24*'Modelling New'!$AP$1),"")</f>
        <v>0.17406159822368295</v>
      </c>
      <c r="J4" s="92">
        <f>IFERROR(F4/(B4*24*'Modelling New'!$AP$1),"")</f>
        <v>0.16258706740758203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0.99121232164551276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0.99370278840915904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87" t="s">
        <v>63</v>
      </c>
      <c r="B7" s="287"/>
      <c r="C7" s="287"/>
      <c r="D7" s="287"/>
      <c r="E7" s="287"/>
      <c r="F7" s="287"/>
      <c r="G7" s="287"/>
      <c r="H7" s="287"/>
      <c r="I7" s="287"/>
      <c r="J7" s="287"/>
      <c r="K7" s="287"/>
      <c r="L7" s="287"/>
      <c r="M7" s="287"/>
      <c r="N7" s="287"/>
      <c r="O7" s="287"/>
      <c r="P7" s="287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23</v>
      </c>
      <c r="C12" s="81">
        <f>_xlfn.XLOOKUP($A12,'Modelling New'!$D:$D,'Modelling New'!$R:$R)</f>
        <v>98.197263490322598</v>
      </c>
      <c r="D12" s="82">
        <f>SUMIF('Daily KPI'!$D:$D,$A12,'Daily KPI'!$I:$I)</f>
        <v>94.039999999999992</v>
      </c>
      <c r="E12" s="81">
        <f>_xlfn.XLOOKUP($A12,'Modelling New'!$D:$D,'Modelling New'!$U:$U)</f>
        <v>722.777968044364</v>
      </c>
      <c r="F12" s="82">
        <f>SUMIF('Daily KPI'!$D:$D,$A12,'Daily KPI'!$AA:$AA)/1000</f>
        <v>732.49416000001054</v>
      </c>
      <c r="G12" s="83">
        <f>IFERROR(E12/C12/'Modelling New'!$AP$1,"")</f>
        <v>0.70053008017012441</v>
      </c>
      <c r="H12" s="84">
        <f>IFERROR(F12/D12/'Modelling New'!$AP$1,"")</f>
        <v>0.74133211388880105</v>
      </c>
      <c r="I12" s="83">
        <f>IFERROR(E12/(B12*24*'Modelling New'!$AP$1),"")</f>
        <v>0.12461981316188864</v>
      </c>
      <c r="J12" s="84">
        <f>IFERROR(F12/(B12*24*'Modelling New'!$AP$1),"")</f>
        <v>0.12629505795308488</v>
      </c>
      <c r="K12" s="83">
        <f>_xlfn.XLOOKUP($A12,'Modelling New'!$D:$D,'Modelling New'!AE:AE)</f>
        <v>0.997</v>
      </c>
      <c r="L12" s="84">
        <f>IFERROR(AVERAGEIF('Daily KPI'!$D:$D,$A12,'Daily KPI'!$R:$R),"")</f>
        <v>0.99950724805549673</v>
      </c>
      <c r="M12" s="83">
        <v>0.995</v>
      </c>
      <c r="N12" s="84">
        <f>IFERROR(AVERAGEIF('Daily KPI'!$D:$D,$A12,'Daily KPI'!O:O),"")</f>
        <v>0.99585891568731766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20"/>
  <sheetViews>
    <sheetView topLeftCell="A2" zoomScale="95" zoomScaleNormal="95" workbookViewId="0">
      <pane xSplit="7" ySplit="2" topLeftCell="H114" activePane="bottomRight" state="frozen"/>
      <selection activeCell="I9" sqref="I9"/>
      <selection pane="topRight" activeCell="I9" sqref="I9"/>
      <selection pane="bottomLeft" activeCell="I9" sqref="I9"/>
      <selection pane="bottomRight" activeCell="A121" sqref="A121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>(J117-I117)*24</f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>(J118-I118)*24</f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17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33">
        <f>(J119-I119)*24</f>
        <v>12.433333333333332</v>
      </c>
    </row>
    <row r="120" spans="1:35">
      <c r="A120" s="17" t="s">
        <v>4</v>
      </c>
      <c r="B120" s="17">
        <v>2025</v>
      </c>
      <c r="C120" s="146" t="s">
        <v>211</v>
      </c>
      <c r="D120" s="146" t="s">
        <v>213</v>
      </c>
      <c r="E120" s="42">
        <v>45839</v>
      </c>
      <c r="F120" s="288">
        <f>DAY(EOMONTH(Raw_Data[[#This Row],[Month Year]],0))</f>
        <v>31</v>
      </c>
      <c r="G120" s="77">
        <v>45861</v>
      </c>
      <c r="H120" s="30">
        <f>_xlfn.XLOOKUP(Raw_Data[[#This Row],[Month Year]],'Modelling New'!D:D,'Modelling New'!N:N)</f>
        <v>10.507</v>
      </c>
      <c r="I120" s="31">
        <v>0.27083333333333331</v>
      </c>
      <c r="J120" s="31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45">
        <v>24.590077557972634</v>
      </c>
      <c r="X120" s="30">
        <v>31.51842736021635</v>
      </c>
      <c r="Y120" s="30">
        <v>1.4443704917087001</v>
      </c>
      <c r="Z120" s="30">
        <v>7.7017226219177246</v>
      </c>
      <c r="AA120" s="17">
        <v>0.25400000810623169</v>
      </c>
      <c r="AB120" s="288">
        <f>SUM(Raw_Data[[#This Row],[IC1_Inv1]:[IC2_Inv2]])</f>
        <v>30901</v>
      </c>
      <c r="AC120" s="288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288">
        <f>Raw_Data[[#This Row],[Export  (kWh)]]-Raw_Data[[#This Row],[Import (kWh)]]</f>
        <v>29561.3800000109</v>
      </c>
      <c r="AF120" s="288">
        <f>IFERROR(AVERAGE(Raw_Data[[#This Row],[POA1(Wh/m2)]:[POA2(Wh/m2)]]),"")</f>
        <v>3640</v>
      </c>
      <c r="AG120" s="288">
        <f>IFERROR(Raw_Data[[#This Row],[Avg. POA without Exclusion (W/m2)2]]-Raw_Data[[#This Row],[Avg. POA Lost (W/m2)]],"")</f>
        <v>3640</v>
      </c>
      <c r="AH120" s="288">
        <v>120556.792</v>
      </c>
      <c r="AI120" s="33">
        <f>(J120-I120)*24</f>
        <v>12.1</v>
      </c>
    </row>
  </sheetData>
  <phoneticPr fontId="6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191" activePane="bottomRight" state="frozen"/>
      <selection activeCell="I9" sqref="I9"/>
      <selection pane="topRight" activeCell="I9" sqref="I9"/>
      <selection pane="bottomLeft" activeCell="I9" sqref="I9"/>
      <selection pane="bottomRight" activeCell="A1203" sqref="A1203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7" si="303">IFERROR(AVERAGEIF(J1196:O1196,"&gt;"&amp;0,J1196:O1196),"")</f>
        <v>3.8959359031341223</v>
      </c>
      <c r="Q1196" s="61">
        <f t="shared" ref="Q1196:Q1207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05" si="306">IFERROR(AVERAGEIF(J1201:O1201,"&gt;"&amp;0,J1201:O1201),"")</f>
        <v>3.3002954583254471</v>
      </c>
      <c r="Q1201" s="61">
        <f t="shared" ref="Q1201:Q1205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223"/>
      <c r="B1203" s="223"/>
      <c r="C1203" s="223"/>
      <c r="D1203" s="223"/>
      <c r="E1203" s="223"/>
      <c r="F1203" s="232"/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0</v>
      </c>
      <c r="J1203" s="178">
        <f>'Raw Data'!K115/J$1</f>
        <v>3.0557901862468477</v>
      </c>
      <c r="K1203" s="61">
        <f>'Raw Data'!L115/K$1</f>
        <v>3.0922380406916492</v>
      </c>
      <c r="L1203" s="61">
        <f>'Raw Data'!M115/L$1</f>
        <v>3.0965820006271558</v>
      </c>
      <c r="M1203" s="61">
        <f>'Raw Data'!N115/M$1</f>
        <v>3.0614645293544376</v>
      </c>
      <c r="N1203" s="61">
        <f>'Raw Data'!O115/N$1</f>
        <v>2.9917874724925699</v>
      </c>
      <c r="O1203" s="61">
        <f>'Raw Data'!P115/O$1</f>
        <v>3.1642195184779158</v>
      </c>
      <c r="P1203" s="61">
        <f t="shared" si="306"/>
        <v>3.0770136246484294</v>
      </c>
      <c r="Q1203" s="61">
        <f t="shared" si="307"/>
        <v>3.1642195184779158</v>
      </c>
    </row>
    <row r="1204" spans="1:17">
      <c r="A1204" s="223"/>
      <c r="B1204" s="223"/>
      <c r="C1204" s="223"/>
      <c r="D1204" s="223"/>
      <c r="E1204" s="223"/>
      <c r="F1204" s="232"/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0</v>
      </c>
      <c r="J1204" s="178">
        <f>'Raw Data'!K116/J$1</f>
        <v>1.8097514512157864</v>
      </c>
      <c r="K1204" s="61">
        <f>'Raw Data'!L116/K$1</f>
        <v>1.8234876997763596</v>
      </c>
      <c r="L1204" s="61">
        <f>'Raw Data'!M116/L$1</f>
        <v>1.8540294763248668</v>
      </c>
      <c r="M1204" s="61">
        <f>'Raw Data'!N116/M$1</f>
        <v>1.8186197085279654</v>
      </c>
      <c r="N1204" s="61">
        <f>'Raw Data'!O116/N$1</f>
        <v>1.747997912838313</v>
      </c>
      <c r="O1204" s="61">
        <f>'Raw Data'!P116/O$1</f>
        <v>3.1642195184779158</v>
      </c>
      <c r="P1204" s="61">
        <f t="shared" si="306"/>
        <v>2.0363509611935346</v>
      </c>
      <c r="Q1204" s="61">
        <f t="shared" si="307"/>
        <v>3.1642195184779158</v>
      </c>
    </row>
    <row r="1205" spans="1:17">
      <c r="A1205" s="223"/>
      <c r="B1205" s="223"/>
      <c r="C1205" s="223"/>
      <c r="D1205" s="223"/>
      <c r="E1205" s="223"/>
      <c r="F1205" s="232"/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0</v>
      </c>
      <c r="J1205" s="178">
        <f>'Raw Data'!K117/J$1</f>
        <v>2.9186061139766011</v>
      </c>
      <c r="K1205" s="61">
        <f>'Raw Data'!L117/K$1</f>
        <v>3.1091474390443463</v>
      </c>
      <c r="L1205" s="61">
        <f>'Raw Data'!M117/L$1</f>
        <v>3.1206603055144919</v>
      </c>
      <c r="M1205" s="61">
        <f>'Raw Data'!N117/M$1</f>
        <v>3.0821879445732656</v>
      </c>
      <c r="N1205" s="61">
        <f>'Raw Data'!O117/N$1</f>
        <v>2.9713695864243741</v>
      </c>
      <c r="O1205" s="61">
        <f>'Raw Data'!P117/O$1</f>
        <v>3.1642195184779158</v>
      </c>
      <c r="P1205" s="61">
        <f t="shared" si="306"/>
        <v>3.0610318180018319</v>
      </c>
      <c r="Q1205" s="61">
        <f t="shared" si="307"/>
        <v>3.1642195184779158</v>
      </c>
    </row>
    <row r="1206" spans="1:17">
      <c r="A1206" s="223"/>
      <c r="B1206" s="223"/>
      <c r="C1206" s="223"/>
      <c r="D1206" s="223"/>
      <c r="E1206" s="223"/>
      <c r="F1206" s="232"/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0</v>
      </c>
      <c r="J1206" s="178">
        <f>'Raw Data'!K120/J$1</f>
        <v>2.888054202684974</v>
      </c>
      <c r="K1206" s="61">
        <f>'Raw Data'!L120/K$1</f>
        <v>3.0507827415043911</v>
      </c>
      <c r="L1206" s="61">
        <f>'Raw Data'!M120/L$1</f>
        <v>3.0848228284728756</v>
      </c>
      <c r="M1206" s="61">
        <f>'Raw Data'!N120/M$1</f>
        <v>3.017777329703935</v>
      </c>
      <c r="N1206" s="61">
        <f>'Raw Data'!O120/N$1</f>
        <v>2.7995190453503933</v>
      </c>
      <c r="O1206" s="61">
        <f>'Raw Data'!P120/O$1</f>
        <v>2.7880116696319992</v>
      </c>
      <c r="P1206" s="61">
        <f t="shared" si="303"/>
        <v>2.938161302891428</v>
      </c>
      <c r="Q1206" s="61">
        <f t="shared" si="304"/>
        <v>3.0848228284728756</v>
      </c>
    </row>
    <row r="1207" spans="1:17">
      <c r="A1207" s="223"/>
      <c r="B1207" s="223"/>
      <c r="C1207" s="223"/>
      <c r="D1207" s="223"/>
      <c r="E1207" s="223"/>
      <c r="F1207" s="232"/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0</v>
      </c>
      <c r="J1207" s="178">
        <f>'Raw Data'!K121/J$1</f>
        <v>0</v>
      </c>
      <c r="K1207" s="61">
        <f>'Raw Data'!L121/K$1</f>
        <v>0</v>
      </c>
      <c r="L1207" s="61">
        <f>'Raw Data'!M121/L$1</f>
        <v>0</v>
      </c>
      <c r="M1207" s="61">
        <f>'Raw Data'!N121/M$1</f>
        <v>0</v>
      </c>
      <c r="N1207" s="61">
        <f>'Raw Data'!O121/N$1</f>
        <v>0</v>
      </c>
      <c r="O1207" s="61">
        <f>'Raw Data'!P121/O$1</f>
        <v>0</v>
      </c>
      <c r="P1207" s="61" t="str">
        <f t="shared" si="303"/>
        <v/>
      </c>
      <c r="Q1207" s="61">
        <f t="shared" si="304"/>
        <v>0</v>
      </c>
    </row>
    <row r="1208" spans="1:17">
      <c r="A1208" s="223"/>
      <c r="B1208" s="223"/>
      <c r="C1208" s="223"/>
      <c r="D1208" s="223"/>
      <c r="E1208" s="223"/>
      <c r="F1208" s="232"/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0</v>
      </c>
      <c r="J1208" s="178">
        <f>'Raw Data'!K159/J$1</f>
        <v>0</v>
      </c>
      <c r="K1208" s="61">
        <f>'Raw Data'!L159/K$1</f>
        <v>0</v>
      </c>
      <c r="L1208" s="61">
        <f>'Raw Data'!M159/L$1</f>
        <v>0</v>
      </c>
      <c r="M1208" s="61">
        <f>'Raw Data'!N159/M$1</f>
        <v>0</v>
      </c>
      <c r="N1208" s="61">
        <f>'Raw Data'!O159/N$1</f>
        <v>0</v>
      </c>
      <c r="O1208" s="61">
        <f>'Raw Data'!P159/O$1</f>
        <v>0</v>
      </c>
      <c r="P1208" s="61" t="str">
        <f t="shared" ref="P1208:P1226" si="308">IFERROR(AVERAGEIF(J1208:O1208,"&gt;"&amp;0,J1208:O1208),"")</f>
        <v/>
      </c>
      <c r="Q1208" s="61">
        <f t="shared" ref="Q1208:Q1226" si="309">MAXA(J1208:O1208)</f>
        <v>0</v>
      </c>
    </row>
    <row r="1209" spans="1:17">
      <c r="A1209" s="223"/>
      <c r="B1209" s="223"/>
      <c r="C1209" s="223"/>
      <c r="D1209" s="223"/>
      <c r="E1209" s="223"/>
      <c r="F1209" s="232"/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0</v>
      </c>
      <c r="J1209" s="178">
        <f>'Raw Data'!K160/J$1</f>
        <v>0</v>
      </c>
      <c r="K1209" s="61">
        <f>'Raw Data'!L160/K$1</f>
        <v>0</v>
      </c>
      <c r="L1209" s="61">
        <f>'Raw Data'!M160/L$1</f>
        <v>0</v>
      </c>
      <c r="M1209" s="61">
        <f>'Raw Data'!N160/M$1</f>
        <v>0</v>
      </c>
      <c r="N1209" s="61">
        <f>'Raw Data'!O160/N$1</f>
        <v>0</v>
      </c>
      <c r="O1209" s="61">
        <f>'Raw Data'!P160/O$1</f>
        <v>0</v>
      </c>
      <c r="P1209" s="61" t="str">
        <f t="shared" si="308"/>
        <v/>
      </c>
      <c r="Q1209" s="61">
        <f t="shared" si="309"/>
        <v>0</v>
      </c>
    </row>
    <row r="1210" spans="1:17">
      <c r="A1210" s="223"/>
      <c r="B1210" s="223"/>
      <c r="C1210" s="223"/>
      <c r="D1210" s="223"/>
      <c r="E1210" s="223"/>
      <c r="F1210" s="232"/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0</v>
      </c>
      <c r="J1210" s="178">
        <f>'Raw Data'!K161/J$1</f>
        <v>0</v>
      </c>
      <c r="K1210" s="61">
        <f>'Raw Data'!L161/K$1</f>
        <v>0</v>
      </c>
      <c r="L1210" s="61">
        <f>'Raw Data'!M161/L$1</f>
        <v>0</v>
      </c>
      <c r="M1210" s="61">
        <f>'Raw Data'!N161/M$1</f>
        <v>0</v>
      </c>
      <c r="N1210" s="61">
        <f>'Raw Data'!O161/N$1</f>
        <v>0</v>
      </c>
      <c r="O1210" s="61">
        <f>'Raw Data'!P161/O$1</f>
        <v>0</v>
      </c>
      <c r="P1210" s="61" t="str">
        <f t="shared" si="308"/>
        <v/>
      </c>
      <c r="Q1210" s="61">
        <f t="shared" si="309"/>
        <v>0</v>
      </c>
    </row>
    <row r="1211" spans="1:17">
      <c r="A1211" s="223"/>
      <c r="B1211" s="223"/>
      <c r="C1211" s="223"/>
      <c r="D1211" s="223"/>
      <c r="E1211" s="223"/>
      <c r="F1211" s="232"/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0</v>
      </c>
      <c r="J1211" s="178">
        <f>'Raw Data'!K162/J$1</f>
        <v>0</v>
      </c>
      <c r="K1211" s="61">
        <f>'Raw Data'!L162/K$1</f>
        <v>0</v>
      </c>
      <c r="L1211" s="61">
        <f>'Raw Data'!M162/L$1</f>
        <v>0</v>
      </c>
      <c r="M1211" s="61">
        <f>'Raw Data'!N162/M$1</f>
        <v>0</v>
      </c>
      <c r="N1211" s="61">
        <f>'Raw Data'!O162/N$1</f>
        <v>0</v>
      </c>
      <c r="O1211" s="61">
        <f>'Raw Data'!P162/O$1</f>
        <v>0</v>
      </c>
      <c r="P1211" s="61" t="str">
        <f t="shared" si="308"/>
        <v/>
      </c>
      <c r="Q1211" s="61">
        <f t="shared" si="309"/>
        <v>0</v>
      </c>
    </row>
    <row r="1212" spans="1:17">
      <c r="A1212" s="223"/>
      <c r="B1212" s="223"/>
      <c r="C1212" s="223"/>
      <c r="D1212" s="223"/>
      <c r="E1212" s="223"/>
      <c r="F1212" s="232"/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0</v>
      </c>
      <c r="J1212" s="178">
        <f>'Raw Data'!K163/J$1</f>
        <v>0</v>
      </c>
      <c r="K1212" s="61">
        <f>'Raw Data'!L163/K$1</f>
        <v>0</v>
      </c>
      <c r="L1212" s="61">
        <f>'Raw Data'!M163/L$1</f>
        <v>0</v>
      </c>
      <c r="M1212" s="61">
        <f>'Raw Data'!N163/M$1</f>
        <v>0</v>
      </c>
      <c r="N1212" s="61">
        <f>'Raw Data'!O163/N$1</f>
        <v>0</v>
      </c>
      <c r="O1212" s="61">
        <f>'Raw Data'!P163/O$1</f>
        <v>0</v>
      </c>
      <c r="P1212" s="61" t="str">
        <f t="shared" si="308"/>
        <v/>
      </c>
      <c r="Q1212" s="61">
        <f t="shared" si="309"/>
        <v>0</v>
      </c>
    </row>
    <row r="1213" spans="1:17">
      <c r="A1213" s="223"/>
      <c r="B1213" s="223"/>
      <c r="C1213" s="223"/>
      <c r="D1213" s="223"/>
      <c r="E1213" s="223"/>
      <c r="F1213" s="232"/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0</v>
      </c>
      <c r="J1213" s="178">
        <f>'Raw Data'!K164/J$1</f>
        <v>0</v>
      </c>
      <c r="K1213" s="61">
        <f>'Raw Data'!L164/K$1</f>
        <v>0</v>
      </c>
      <c r="L1213" s="61">
        <f>'Raw Data'!M164/L$1</f>
        <v>0</v>
      </c>
      <c r="M1213" s="61">
        <f>'Raw Data'!N164/M$1</f>
        <v>0</v>
      </c>
      <c r="N1213" s="61">
        <f>'Raw Data'!O164/N$1</f>
        <v>0</v>
      </c>
      <c r="O1213" s="61">
        <f>'Raw Data'!P164/O$1</f>
        <v>0</v>
      </c>
      <c r="P1213" s="61" t="str">
        <f t="shared" si="308"/>
        <v/>
      </c>
      <c r="Q1213" s="61">
        <f t="shared" si="309"/>
        <v>0</v>
      </c>
    </row>
    <row r="1214" spans="1:17">
      <c r="A1214" s="223"/>
      <c r="B1214" s="223"/>
      <c r="C1214" s="223"/>
      <c r="D1214" s="223"/>
      <c r="E1214" s="223"/>
      <c r="F1214" s="232"/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0</v>
      </c>
      <c r="J1214" s="178">
        <f>'Raw Data'!K165/J$1</f>
        <v>0</v>
      </c>
      <c r="K1214" s="61">
        <f>'Raw Data'!L165/K$1</f>
        <v>0</v>
      </c>
      <c r="L1214" s="61">
        <f>'Raw Data'!M165/L$1</f>
        <v>0</v>
      </c>
      <c r="M1214" s="61">
        <f>'Raw Data'!N165/M$1</f>
        <v>0</v>
      </c>
      <c r="N1214" s="61">
        <f>'Raw Data'!O165/N$1</f>
        <v>0</v>
      </c>
      <c r="O1214" s="61">
        <f>'Raw Data'!P165/O$1</f>
        <v>0</v>
      </c>
      <c r="P1214" s="61" t="str">
        <f t="shared" si="308"/>
        <v/>
      </c>
      <c r="Q1214" s="61">
        <f t="shared" si="309"/>
        <v>0</v>
      </c>
    </row>
    <row r="1215" spans="1:17">
      <c r="A1215" s="223"/>
      <c r="B1215" s="223"/>
      <c r="C1215" s="223"/>
      <c r="D1215" s="223"/>
      <c r="E1215" s="223"/>
      <c r="F1215" s="232"/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0</v>
      </c>
      <c r="J1215" s="178">
        <f>'Raw Data'!K166/J$1</f>
        <v>0</v>
      </c>
      <c r="K1215" s="61">
        <f>'Raw Data'!L166/K$1</f>
        <v>0</v>
      </c>
      <c r="L1215" s="61">
        <f>'Raw Data'!M166/L$1</f>
        <v>0</v>
      </c>
      <c r="M1215" s="61">
        <f>'Raw Data'!N166/M$1</f>
        <v>0</v>
      </c>
      <c r="N1215" s="61">
        <f>'Raw Data'!O166/N$1</f>
        <v>0</v>
      </c>
      <c r="O1215" s="61">
        <f>'Raw Data'!P166/O$1</f>
        <v>0</v>
      </c>
      <c r="P1215" s="61" t="str">
        <f t="shared" si="308"/>
        <v/>
      </c>
      <c r="Q1215" s="61">
        <f t="shared" si="309"/>
        <v>0</v>
      </c>
    </row>
    <row r="1216" spans="1:17">
      <c r="A1216" s="223"/>
      <c r="B1216" s="223"/>
      <c r="C1216" s="223"/>
      <c r="D1216" s="223"/>
      <c r="E1216" s="223"/>
      <c r="F1216" s="232"/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0</v>
      </c>
      <c r="J1216" s="178">
        <f>'Raw Data'!K167/J$1</f>
        <v>0</v>
      </c>
      <c r="K1216" s="61">
        <f>'Raw Data'!L167/K$1</f>
        <v>0</v>
      </c>
      <c r="L1216" s="61">
        <f>'Raw Data'!M167/L$1</f>
        <v>0</v>
      </c>
      <c r="M1216" s="61">
        <f>'Raw Data'!N167/M$1</f>
        <v>0</v>
      </c>
      <c r="N1216" s="61">
        <f>'Raw Data'!O167/N$1</f>
        <v>0</v>
      </c>
      <c r="O1216" s="61">
        <f>'Raw Data'!P167/O$1</f>
        <v>0</v>
      </c>
      <c r="P1216" s="61" t="str">
        <f t="shared" si="308"/>
        <v/>
      </c>
      <c r="Q1216" s="61">
        <f t="shared" si="309"/>
        <v>0</v>
      </c>
    </row>
    <row r="1217" spans="1:17">
      <c r="A1217" s="223"/>
      <c r="B1217" s="223"/>
      <c r="C1217" s="223"/>
      <c r="D1217" s="223"/>
      <c r="E1217" s="223"/>
      <c r="F1217" s="232"/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0</v>
      </c>
      <c r="J1217" s="178">
        <f>'Raw Data'!K168/J$1</f>
        <v>0</v>
      </c>
      <c r="K1217" s="61">
        <f>'Raw Data'!L168/K$1</f>
        <v>0</v>
      </c>
      <c r="L1217" s="61">
        <f>'Raw Data'!M168/L$1</f>
        <v>0</v>
      </c>
      <c r="M1217" s="61">
        <f>'Raw Data'!N168/M$1</f>
        <v>0</v>
      </c>
      <c r="N1217" s="61">
        <f>'Raw Data'!O168/N$1</f>
        <v>0</v>
      </c>
      <c r="O1217" s="61">
        <f>'Raw Data'!P168/O$1</f>
        <v>0</v>
      </c>
      <c r="P1217" s="61" t="str">
        <f t="shared" si="308"/>
        <v/>
      </c>
      <c r="Q1217" s="61">
        <f t="shared" si="309"/>
        <v>0</v>
      </c>
    </row>
    <row r="1218" spans="1:17">
      <c r="A1218" s="223"/>
      <c r="B1218" s="223"/>
      <c r="C1218" s="223"/>
      <c r="D1218" s="223"/>
      <c r="E1218" s="223"/>
      <c r="F1218" s="232"/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0</v>
      </c>
      <c r="J1218" s="178">
        <f>'Raw Data'!K169/J$1</f>
        <v>0</v>
      </c>
      <c r="K1218" s="61">
        <f>'Raw Data'!L169/K$1</f>
        <v>0</v>
      </c>
      <c r="L1218" s="61">
        <f>'Raw Data'!M169/L$1</f>
        <v>0</v>
      </c>
      <c r="M1218" s="61">
        <f>'Raw Data'!N169/M$1</f>
        <v>0</v>
      </c>
      <c r="N1218" s="61">
        <f>'Raw Data'!O169/N$1</f>
        <v>0</v>
      </c>
      <c r="O1218" s="61">
        <f>'Raw Data'!P169/O$1</f>
        <v>0</v>
      </c>
      <c r="P1218" s="61" t="str">
        <f t="shared" si="308"/>
        <v/>
      </c>
      <c r="Q1218" s="61">
        <f t="shared" si="309"/>
        <v>0</v>
      </c>
    </row>
    <row r="1219" spans="1:17">
      <c r="A1219" s="223"/>
      <c r="B1219" s="223"/>
      <c r="C1219" s="223"/>
      <c r="D1219" s="223"/>
      <c r="E1219" s="223"/>
      <c r="F1219" s="232"/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0</v>
      </c>
      <c r="J1219" s="178">
        <f>'Raw Data'!K170/J$1</f>
        <v>0</v>
      </c>
      <c r="K1219" s="61">
        <f>'Raw Data'!L170/K$1</f>
        <v>0</v>
      </c>
      <c r="L1219" s="61">
        <f>'Raw Data'!M170/L$1</f>
        <v>0</v>
      </c>
      <c r="M1219" s="61">
        <f>'Raw Data'!N170/M$1</f>
        <v>0</v>
      </c>
      <c r="N1219" s="61">
        <f>'Raw Data'!O170/N$1</f>
        <v>0</v>
      </c>
      <c r="O1219" s="61">
        <f>'Raw Data'!P170/O$1</f>
        <v>0</v>
      </c>
      <c r="P1219" s="61" t="str">
        <f t="shared" si="308"/>
        <v/>
      </c>
      <c r="Q1219" s="61">
        <f t="shared" si="309"/>
        <v>0</v>
      </c>
    </row>
    <row r="1220" spans="1:17">
      <c r="A1220" s="223"/>
      <c r="B1220" s="223"/>
      <c r="C1220" s="223"/>
      <c r="D1220" s="223"/>
      <c r="E1220" s="223"/>
      <c r="F1220" s="232"/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0</v>
      </c>
      <c r="J1220" s="178">
        <f>'Raw Data'!K171/J$1</f>
        <v>0</v>
      </c>
      <c r="K1220" s="61">
        <f>'Raw Data'!L171/K$1</f>
        <v>0</v>
      </c>
      <c r="L1220" s="61">
        <f>'Raw Data'!M171/L$1</f>
        <v>0</v>
      </c>
      <c r="M1220" s="61">
        <f>'Raw Data'!N171/M$1</f>
        <v>0</v>
      </c>
      <c r="N1220" s="61">
        <f>'Raw Data'!O171/N$1</f>
        <v>0</v>
      </c>
      <c r="O1220" s="61">
        <f>'Raw Data'!P171/O$1</f>
        <v>0</v>
      </c>
      <c r="P1220" s="61" t="str">
        <f t="shared" si="308"/>
        <v/>
      </c>
      <c r="Q1220" s="61">
        <f t="shared" si="309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Data'!K172/J$1</f>
        <v>0</v>
      </c>
      <c r="K1221" s="61">
        <f>'Raw Data'!L172/K$1</f>
        <v>0</v>
      </c>
      <c r="L1221" s="61">
        <f>'Raw Data'!M172/L$1</f>
        <v>0</v>
      </c>
      <c r="M1221" s="61">
        <f>'Raw Data'!N172/M$1</f>
        <v>0</v>
      </c>
      <c r="N1221" s="61">
        <f>'Raw Data'!O172/N$1</f>
        <v>0</v>
      </c>
      <c r="O1221" s="61">
        <f>'Raw Data'!P172/O$1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Data'!K173/J$1</f>
        <v>0</v>
      </c>
      <c r="K1222" s="61">
        <f>'Raw Data'!L173/K$1</f>
        <v>0</v>
      </c>
      <c r="L1222" s="61">
        <f>'Raw Data'!M173/L$1</f>
        <v>0</v>
      </c>
      <c r="M1222" s="61">
        <f>'Raw Data'!N173/M$1</f>
        <v>0</v>
      </c>
      <c r="N1222" s="61">
        <f>'Raw Data'!O173/N$1</f>
        <v>0</v>
      </c>
      <c r="O1222" s="61">
        <f>'Raw Data'!P173/O$1</f>
        <v>0</v>
      </c>
      <c r="P1222" s="61" t="str">
        <f t="shared" si="308"/>
        <v/>
      </c>
      <c r="Q1222" s="61">
        <f t="shared" si="309"/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Data'!K174/J$1</f>
        <v>0</v>
      </c>
      <c r="K1223" s="61">
        <f>'Raw Data'!L174/K$1</f>
        <v>0</v>
      </c>
      <c r="L1223" s="61">
        <f>'Raw Data'!M174/L$1</f>
        <v>0</v>
      </c>
      <c r="M1223" s="61">
        <f>'Raw Data'!N174/M$1</f>
        <v>0</v>
      </c>
      <c r="N1223" s="61">
        <f>'Raw Data'!O174/N$1</f>
        <v>0</v>
      </c>
      <c r="O1223" s="61">
        <f>'Raw Data'!P174/O$1</f>
        <v>0</v>
      </c>
      <c r="P1223" s="61" t="str">
        <f t="shared" si="308"/>
        <v/>
      </c>
      <c r="Q1223" s="61">
        <f t="shared" si="309"/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Data'!K175/J$1</f>
        <v>0</v>
      </c>
      <c r="K1224" s="61">
        <f>'Raw Data'!L175/K$1</f>
        <v>0</v>
      </c>
      <c r="L1224" s="61">
        <f>'Raw Data'!M175/L$1</f>
        <v>0</v>
      </c>
      <c r="M1224" s="61">
        <f>'Raw Data'!N175/M$1</f>
        <v>0</v>
      </c>
      <c r="N1224" s="61">
        <f>'Raw Data'!O175/N$1</f>
        <v>0</v>
      </c>
      <c r="O1224" s="61">
        <f>'Raw Data'!P175/O$1</f>
        <v>0</v>
      </c>
      <c r="P1224" s="61" t="str">
        <f t="shared" si="308"/>
        <v/>
      </c>
      <c r="Q1224" s="61">
        <f t="shared" si="309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Data'!K176/J$1</f>
        <v>0</v>
      </c>
      <c r="K1225" s="61">
        <f>'Raw Data'!L176/K$1</f>
        <v>0</v>
      </c>
      <c r="L1225" s="61">
        <f>'Raw Data'!M176/L$1</f>
        <v>0</v>
      </c>
      <c r="M1225" s="61">
        <f>'Raw Data'!N176/M$1</f>
        <v>0</v>
      </c>
      <c r="N1225" s="61">
        <f>'Raw Data'!O176/N$1</f>
        <v>0</v>
      </c>
      <c r="O1225" s="61">
        <f>'Raw Data'!P176/O$1</f>
        <v>0</v>
      </c>
      <c r="P1225" s="61" t="str">
        <f t="shared" si="308"/>
        <v/>
      </c>
      <c r="Q1225" s="61">
        <f t="shared" si="309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Data'!K177/J$1</f>
        <v>0</v>
      </c>
      <c r="K1226" s="61">
        <f>'Raw Data'!L177/K$1</f>
        <v>0</v>
      </c>
      <c r="L1226" s="61">
        <f>'Raw Data'!M177/L$1</f>
        <v>0</v>
      </c>
      <c r="M1226" s="61">
        <f>'Raw Data'!N177/M$1</f>
        <v>0</v>
      </c>
      <c r="N1226" s="61">
        <f>'Raw Data'!O177/N$1</f>
        <v>0</v>
      </c>
      <c r="O1226" s="61">
        <f>'Raw Data'!P177/O$1</f>
        <v>0</v>
      </c>
      <c r="P1226" s="61" t="str">
        <f t="shared" si="308"/>
        <v/>
      </c>
      <c r="Q1226" s="61">
        <f t="shared" si="309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0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Data'!K178/J$1</f>
        <v>0</v>
      </c>
      <c r="K1227" s="61">
        <f>'Raw Data'!L178/K$1</f>
        <v>0</v>
      </c>
      <c r="L1227" s="61">
        <f>'Raw Data'!M178/L$1</f>
        <v>0</v>
      </c>
      <c r="M1227" s="61">
        <f>'Raw Data'!N178/M$1</f>
        <v>0</v>
      </c>
      <c r="N1227" s="61">
        <f>'Raw Data'!O178/N$1</f>
        <v>0</v>
      </c>
      <c r="O1227" s="61">
        <f>'Raw Data'!P178/O$1</f>
        <v>0</v>
      </c>
      <c r="P1227" s="61" t="str">
        <f t="shared" ref="P1227:P1237" si="311">IFERROR(AVERAGEIF(J1227:O1227,"&gt;"&amp;0,J1227:O1227),"")</f>
        <v/>
      </c>
      <c r="Q1227" s="61">
        <f t="shared" ref="Q1227:Q1237" si="312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0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Data'!K179/J$1</f>
        <v>0</v>
      </c>
      <c r="K1228" s="61">
        <f>'Raw Data'!L179/K$1</f>
        <v>0</v>
      </c>
      <c r="L1228" s="61">
        <f>'Raw Data'!M179/L$1</f>
        <v>0</v>
      </c>
      <c r="M1228" s="61">
        <f>'Raw Data'!N179/M$1</f>
        <v>0</v>
      </c>
      <c r="N1228" s="61">
        <f>'Raw Data'!O179/N$1</f>
        <v>0</v>
      </c>
      <c r="O1228" s="61">
        <f>'Raw Data'!P179/O$1</f>
        <v>0</v>
      </c>
      <c r="P1228" s="61" t="str">
        <f t="shared" si="311"/>
        <v/>
      </c>
      <c r="Q1228" s="61">
        <f t="shared" si="312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0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Data'!K180/J$1</f>
        <v>0</v>
      </c>
      <c r="K1229" s="61">
        <f>'Raw Data'!L180/K$1</f>
        <v>0</v>
      </c>
      <c r="L1229" s="61">
        <f>'Raw Data'!M180/L$1</f>
        <v>0</v>
      </c>
      <c r="M1229" s="61">
        <f>'Raw Data'!N180/M$1</f>
        <v>0</v>
      </c>
      <c r="N1229" s="61">
        <f>'Raw Data'!O180/N$1</f>
        <v>0</v>
      </c>
      <c r="O1229" s="61">
        <f>'Raw Data'!P180/O$1</f>
        <v>0</v>
      </c>
      <c r="P1229" s="61" t="str">
        <f t="shared" si="311"/>
        <v/>
      </c>
      <c r="Q1229" s="61">
        <f t="shared" si="312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0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Data'!K181/J$1</f>
        <v>0</v>
      </c>
      <c r="K1230" s="61">
        <f>'Raw Data'!L181/K$1</f>
        <v>0</v>
      </c>
      <c r="L1230" s="61">
        <f>'Raw Data'!M181/L$1</f>
        <v>0</v>
      </c>
      <c r="M1230" s="61">
        <f>'Raw Data'!N181/M$1</f>
        <v>0</v>
      </c>
      <c r="N1230" s="61">
        <f>'Raw Data'!O181/N$1</f>
        <v>0</v>
      </c>
      <c r="O1230" s="61">
        <f>'Raw Data'!P181/O$1</f>
        <v>0</v>
      </c>
      <c r="P1230" s="61" t="str">
        <f t="shared" si="311"/>
        <v/>
      </c>
      <c r="Q1230" s="61">
        <f t="shared" si="312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0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Data'!K182/J$1</f>
        <v>0</v>
      </c>
      <c r="K1231" s="61">
        <f>'Raw Data'!L182/K$1</f>
        <v>0</v>
      </c>
      <c r="L1231" s="61">
        <f>'Raw Data'!M182/L$1</f>
        <v>0</v>
      </c>
      <c r="M1231" s="61">
        <f>'Raw Data'!N182/M$1</f>
        <v>0</v>
      </c>
      <c r="N1231" s="61">
        <f>'Raw Data'!O182/N$1</f>
        <v>0</v>
      </c>
      <c r="O1231" s="61">
        <f>'Raw Data'!P182/O$1</f>
        <v>0</v>
      </c>
      <c r="P1231" s="61" t="str">
        <f t="shared" si="311"/>
        <v/>
      </c>
      <c r="Q1231" s="61">
        <f t="shared" si="312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0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Data'!K183/J$1</f>
        <v>0</v>
      </c>
      <c r="K1232" s="61">
        <f>'Raw Data'!L183/K$1</f>
        <v>0</v>
      </c>
      <c r="L1232" s="61">
        <f>'Raw Data'!M183/L$1</f>
        <v>0</v>
      </c>
      <c r="M1232" s="61">
        <f>'Raw Data'!N183/M$1</f>
        <v>0</v>
      </c>
      <c r="N1232" s="61">
        <f>'Raw Data'!O183/N$1</f>
        <v>0</v>
      </c>
      <c r="O1232" s="61">
        <f>'Raw Data'!P183/O$1</f>
        <v>0</v>
      </c>
      <c r="P1232" s="61" t="str">
        <f t="shared" si="311"/>
        <v/>
      </c>
      <c r="Q1232" s="61">
        <f t="shared" si="312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0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Data'!K184/J$1</f>
        <v>0</v>
      </c>
      <c r="K1233" s="61">
        <f>'Raw Data'!L184/K$1</f>
        <v>0</v>
      </c>
      <c r="L1233" s="61">
        <f>'Raw Data'!M184/L$1</f>
        <v>0</v>
      </c>
      <c r="M1233" s="61">
        <f>'Raw Data'!N184/M$1</f>
        <v>0</v>
      </c>
      <c r="N1233" s="61">
        <f>'Raw Data'!O184/N$1</f>
        <v>0</v>
      </c>
      <c r="O1233" s="61">
        <f>'Raw Data'!P184/O$1</f>
        <v>0</v>
      </c>
      <c r="P1233" s="61" t="str">
        <f t="shared" si="311"/>
        <v/>
      </c>
      <c r="Q1233" s="61">
        <f t="shared" si="312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0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Data'!K185/J$1</f>
        <v>0</v>
      </c>
      <c r="K1234" s="61">
        <f>'Raw Data'!L185/K$1</f>
        <v>0</v>
      </c>
      <c r="L1234" s="61">
        <f>'Raw Data'!M185/L$1</f>
        <v>0</v>
      </c>
      <c r="M1234" s="61">
        <f>'Raw Data'!N185/M$1</f>
        <v>0</v>
      </c>
      <c r="N1234" s="61">
        <f>'Raw Data'!O185/N$1</f>
        <v>0</v>
      </c>
      <c r="O1234" s="61">
        <f>'Raw Data'!P185/O$1</f>
        <v>0</v>
      </c>
      <c r="P1234" s="61" t="str">
        <f t="shared" si="311"/>
        <v/>
      </c>
      <c r="Q1234" s="61">
        <f t="shared" si="312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0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Data'!K186/J$1</f>
        <v>0</v>
      </c>
      <c r="K1235" s="61">
        <f>'Raw Data'!L186/K$1</f>
        <v>0</v>
      </c>
      <c r="L1235" s="61">
        <f>'Raw Data'!M186/L$1</f>
        <v>0</v>
      </c>
      <c r="M1235" s="61">
        <f>'Raw Data'!N186/M$1</f>
        <v>0</v>
      </c>
      <c r="N1235" s="61">
        <f>'Raw Data'!O186/N$1</f>
        <v>0</v>
      </c>
      <c r="O1235" s="61">
        <f>'Raw Data'!P186/O$1</f>
        <v>0</v>
      </c>
      <c r="P1235" s="61" t="str">
        <f t="shared" si="311"/>
        <v/>
      </c>
      <c r="Q1235" s="61">
        <f t="shared" si="312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0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Data'!K187/J$1</f>
        <v>0</v>
      </c>
      <c r="K1236" s="61">
        <f>'Raw Data'!L187/K$1</f>
        <v>0</v>
      </c>
      <c r="L1236" s="61">
        <f>'Raw Data'!M187/L$1</f>
        <v>0</v>
      </c>
      <c r="M1236" s="61">
        <f>'Raw Data'!N187/M$1</f>
        <v>0</v>
      </c>
      <c r="N1236" s="61">
        <f>'Raw Data'!O187/N$1</f>
        <v>0</v>
      </c>
      <c r="O1236" s="61">
        <f>'Raw Data'!P187/O$1</f>
        <v>0</v>
      </c>
      <c r="P1236" s="61" t="str">
        <f t="shared" si="311"/>
        <v/>
      </c>
      <c r="Q1236" s="61">
        <f t="shared" si="312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0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Data'!K188/J$1</f>
        <v>0</v>
      </c>
      <c r="K1237" s="61">
        <f>'Raw Data'!L188/K$1</f>
        <v>0</v>
      </c>
      <c r="L1237" s="61">
        <f>'Raw Data'!M188/L$1</f>
        <v>0</v>
      </c>
      <c r="M1237" s="61">
        <f>'Raw Data'!N188/M$1</f>
        <v>0</v>
      </c>
      <c r="N1237" s="61">
        <f>'Raw Data'!O188/N$1</f>
        <v>0</v>
      </c>
      <c r="O1237" s="61">
        <f>'Raw Data'!P188/O$1</f>
        <v>0</v>
      </c>
      <c r="P1237" s="61" t="str">
        <f t="shared" si="311"/>
        <v/>
      </c>
      <c r="Q1237" s="61">
        <f t="shared" si="312"/>
        <v>0</v>
      </c>
    </row>
  </sheetData>
  <phoneticPr fontId="65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19"/>
  <sheetViews>
    <sheetView tabSelected="1" zoomScaleNormal="100" workbookViewId="0">
      <pane xSplit="8" ySplit="3" topLeftCell="Z108" activePane="bottomRight" state="frozen"/>
      <selection activeCell="I9" sqref="I9"/>
      <selection pane="topRight" activeCell="I9" sqref="I9"/>
      <selection pane="bottomLeft" activeCell="I9" sqref="I9"/>
      <selection pane="bottomRight" activeCell="AG119" sqref="AG119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M118" s="177"/>
      <c r="Q118" s="2"/>
      <c r="W118" s="39"/>
      <c r="X118" s="2"/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10.5</v>
      </c>
      <c r="AC118" s="33">
        <f>IFERROR((Tracker_BD[[#This Row],[Work Completion time on fault]]-Tracker_BD[[#This Row],[Fault Time]])*24,"")</f>
        <v>11.416666666666666</v>
      </c>
      <c r="AD118" s="33">
        <f>IFERROR((Tracker_BD[[#This Row],[Work Completion time on fault]]-Tracker_BD[[#This Row],[Fault Time]])*24,"")</f>
        <v>11.416666666666666</v>
      </c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6">
        <v>45839</v>
      </c>
      <c r="G119" s="289">
        <f>DAY(EOMONTH(Tracker_BD[[#This Row],[Month Year]],0))</f>
        <v>31</v>
      </c>
      <c r="H119" s="37">
        <v>45861</v>
      </c>
      <c r="I119" s="39">
        <f>IFERROR(VLOOKUP(Tracker_BD[[#This Row],[Date]],Raw_Data[[Date]:[Sunset Time (POA&lt;20 W/m2)]],3,0),"")</f>
        <v>0.27083333333333331</v>
      </c>
      <c r="J119" s="39">
        <f>IFERROR(VLOOKUP(Tracker_BD[[#This Row],[Date]],Raw_Data[[Date]:[Sunset Time (POA&lt;20 W/m2)]],4,0),"")</f>
        <v>0.77500000000000002</v>
      </c>
      <c r="K119" s="33">
        <f>IFERROR((Tracker_BD[[#This Row],[Sunset Time (POA&lt;20 W/m2)]]-Tracker_BD[[#This Row],[Sunrise Time (POA&gt;20 W/m2)]])*24,"")</f>
        <v>12.1</v>
      </c>
      <c r="L119" s="2" t="s">
        <v>267</v>
      </c>
      <c r="M119" s="177"/>
      <c r="N119">
        <v>0</v>
      </c>
      <c r="O119" s="267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9">
        <v>0.47222222222222221</v>
      </c>
      <c r="X119" s="32">
        <v>0.47222222222222221</v>
      </c>
      <c r="Y119" s="32">
        <v>0.47222222222222221</v>
      </c>
      <c r="Z119" s="39">
        <v>0.49305555555555558</v>
      </c>
      <c r="AA119" s="33">
        <f>IF(Tracker_BD[[#This Row],[Fault Acknowledgement Time ]]="NA","",(Tracker_BD[[#This Row],[Fault Acknowledgement Time ]]-Tracker_BD[[#This Row],[Fault Time]])*24)</f>
        <v>0</v>
      </c>
      <c r="AB119" s="33">
        <f>IFERROR((Tracker_BD[[#This Row],[Work Start time on Fault]]-Tracker_BD[[#This Row],[Fault Time]])*24,"")</f>
        <v>0</v>
      </c>
      <c r="AC119" s="33">
        <f>IFERROR((Tracker_BD[[#This Row],[Work Completion time on fault]]-Tracker_BD[[#This Row],[Fault Time]])*24,"")</f>
        <v>0.50000000000000089</v>
      </c>
      <c r="AD119" s="33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100"/>
      <c r="AI119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08"/>
  <sheetViews>
    <sheetView workbookViewId="0">
      <pane xSplit="8" ySplit="1" topLeftCell="M1193" activePane="bottomRight" state="frozen"/>
      <selection activeCell="I9" sqref="I9"/>
      <selection pane="topRight" activeCell="I9" sqref="I9"/>
      <selection pane="bottomLeft" activeCell="I9" sqref="I9"/>
      <selection pane="bottomRight" activeCell="M1198" sqref="M1198:U1202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/>
      <c r="B1198" s="102"/>
      <c r="C1198" s="102"/>
      <c r="D1198" s="102"/>
      <c r="E1198" s="102"/>
      <c r="F1198" s="103"/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0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260"/>
      <c r="B1199" s="260"/>
      <c r="C1199" s="260"/>
      <c r="D1199" s="260"/>
      <c r="E1199" s="260"/>
      <c r="F1199" s="261"/>
      <c r="G1199" s="260">
        <f t="shared" ref="G1199:G1208" si="53">DAY(EOMONTH(F1199,0))</f>
        <v>31</v>
      </c>
      <c r="H1199" s="104">
        <f t="shared" ref="H1199:H1208" si="54">H1198+1</f>
        <v>45849</v>
      </c>
      <c r="I1199" s="157">
        <f>_xlfn.XLOOKUP(Table5[[#This Row],[Month Year]],'Modelling New'!D:D,'Modelling New'!N:N)</f>
        <v>0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260"/>
      <c r="B1200" s="260"/>
      <c r="C1200" s="260"/>
      <c r="D1200" s="260"/>
      <c r="E1200" s="260"/>
      <c r="F1200" s="261"/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0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260"/>
      <c r="B1201" s="260"/>
      <c r="C1201" s="260"/>
      <c r="D1201" s="260"/>
      <c r="E1201" s="260"/>
      <c r="F1201" s="261"/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0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260"/>
      <c r="B1202" s="260"/>
      <c r="C1202" s="260"/>
      <c r="D1202" s="260"/>
      <c r="E1202" s="260"/>
      <c r="F1202" s="261"/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0</v>
      </c>
      <c r="J1202" s="262">
        <f>IFERROR(Inv_SY!J1203/Inv_SY!$P1203-1,"")</f>
        <v>-6.8974145033259271E-3</v>
      </c>
      <c r="K1202" s="262">
        <f>IFERROR(Inv_SY!K1203/Inv_SY!$P1203-1,"")</f>
        <v>4.9477896104406227E-3</v>
      </c>
      <c r="L1202" s="262">
        <f>IFERROR(Inv_SY!L1203/Inv_SY!$P1203-1,"")</f>
        <v>6.3595350446203902E-3</v>
      </c>
      <c r="M1202" s="246">
        <f>IFERROR(Inv_SY!M1203/Inv_SY!$P1203-1,"")</f>
        <v>-5.0533072617670038E-3</v>
      </c>
      <c r="N1202" s="246">
        <f>IFERROR(Inv_SY!N1203/Inv_SY!$P1203-1,"")</f>
        <v>-2.7697684362901431E-2</v>
      </c>
      <c r="O1202" s="246">
        <f>IFERROR(Inv_SY!O1203/Inv_SY!$P1203-1,"")</f>
        <v>2.8341081472933016E-2</v>
      </c>
      <c r="P1202" s="246">
        <f>IFERROR(Inv_SY!J1203/Inv_SY!$Q1203-1,"")</f>
        <v>-3.4267322983718262E-2</v>
      </c>
      <c r="Q1202" s="246">
        <f>IFERROR(Inv_SY!K1203/Inv_SY!$Q1203-1,"")</f>
        <v>-2.2748572709927473E-2</v>
      </c>
      <c r="R1202" s="246">
        <f>IFERROR(Inv_SY!L1203/Inv_SY!$Q1203-1,"")</f>
        <v>-2.1375734981653793E-2</v>
      </c>
      <c r="S1202" s="246">
        <f>IFERROR(Inv_SY!M1203/Inv_SY!$Q1203-1,"")</f>
        <v>-3.2474039340009697E-2</v>
      </c>
      <c r="T1202" s="246">
        <f>IFERROR(Inv_SY!N1203/Inv_SY!$Q1203-1,"")</f>
        <v>-5.4494337380325275E-2</v>
      </c>
      <c r="U1202" s="247">
        <f>IFERROR(Inv_SY!O1203/Inv_SY!$Q1203-1,"")</f>
        <v>0</v>
      </c>
    </row>
    <row r="1203" spans="1:21">
      <c r="A1203" s="260"/>
      <c r="B1203" s="260"/>
      <c r="C1203" s="260"/>
      <c r="D1203" s="260"/>
      <c r="E1203" s="260"/>
      <c r="F1203" s="261"/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0</v>
      </c>
      <c r="J1203" s="262">
        <f>IFERROR(Inv_SY!J1204/Inv_SY!$P1204-1,"")</f>
        <v>-0.11127723771394249</v>
      </c>
      <c r="K1203" s="262">
        <f>IFERROR(Inv_SY!K1204/Inv_SY!$P1204-1,"")</f>
        <v>-0.10453171652317383</v>
      </c>
      <c r="L1203" s="262">
        <f>IFERROR(Inv_SY!L1204/Inv_SY!$P1204-1,"")</f>
        <v>-8.9533429326841829E-2</v>
      </c>
      <c r="M1203" s="262">
        <f>IFERROR(Inv_SY!M1204/Inv_SY!$P1204-1,"")</f>
        <v>-0.10692226281954553</v>
      </c>
      <c r="N1203" s="262">
        <f>IFERROR(Inv_SY!N1204/Inv_SY!$P1204-1,"")</f>
        <v>-0.14160282478331432</v>
      </c>
      <c r="O1203" s="262">
        <f>IFERROR(Inv_SY!O1204/Inv_SY!$P1204-1,"")</f>
        <v>0.55386747116681745</v>
      </c>
      <c r="P1203" s="262">
        <f>IFERROR(Inv_SY!J1204/Inv_SY!$Q1204-1,"")</f>
        <v>-0.42805755395683454</v>
      </c>
      <c r="Q1203" s="262">
        <f>IFERROR(Inv_SY!K1204/Inv_SY!$Q1204-1,"")</f>
        <v>-0.42371643650895885</v>
      </c>
      <c r="R1203" s="262">
        <f>IFERROR(Inv_SY!L1204/Inv_SY!$Q1204-1,"")</f>
        <v>-0.41406420588142057</v>
      </c>
      <c r="S1203" s="262">
        <f>IFERROR(Inv_SY!M1204/Inv_SY!$Q1204-1,"")</f>
        <v>-0.42525488579162296</v>
      </c>
      <c r="T1203" s="262">
        <f>IFERROR(Inv_SY!N1204/Inv_SY!$Q1204-1,"")</f>
        <v>-0.44757375313860903</v>
      </c>
      <c r="U1203" s="263">
        <f>IFERROR(Inv_SY!O1204/Inv_SY!$Q1204-1,"")</f>
        <v>0</v>
      </c>
    </row>
    <row r="1204" spans="1:21">
      <c r="A1204" s="260"/>
      <c r="B1204" s="260"/>
      <c r="C1204" s="260"/>
      <c r="D1204" s="260"/>
      <c r="E1204" s="260"/>
      <c r="F1204" s="261"/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0</v>
      </c>
      <c r="J1204" s="262">
        <f>IFERROR(Inv_SY!J1205/Inv_SY!$P1205-1,"")</f>
        <v>-4.6528658469875972E-2</v>
      </c>
      <c r="K1204" s="262">
        <f>IFERROR(Inv_SY!K1205/Inv_SY!$P1205-1,"")</f>
        <v>1.5718758870635785E-2</v>
      </c>
      <c r="L1204" s="262">
        <f>IFERROR(Inv_SY!L1205/Inv_SY!$P1205-1,"")</f>
        <v>1.9479865306197386E-2</v>
      </c>
      <c r="M1204" s="262">
        <f>IFERROR(Inv_SY!M1205/Inv_SY!$P1205-1,"")</f>
        <v>6.9114363486897368E-3</v>
      </c>
      <c r="N1204" s="262">
        <f>IFERROR(Inv_SY!N1205/Inv_SY!$P1205-1,"")</f>
        <v>-2.9291505906654414E-2</v>
      </c>
      <c r="O1204" s="262">
        <f>IFERROR(Inv_SY!O1205/Inv_SY!$P1205-1,"")</f>
        <v>3.371010385100881E-2</v>
      </c>
      <c r="P1204" s="262">
        <f>IFERROR(Inv_SY!J1205/Inv_SY!$Q1205-1,"")</f>
        <v>-7.7622112836046919E-2</v>
      </c>
      <c r="Q1204" s="262">
        <f>IFERROR(Inv_SY!K1205/Inv_SY!$Q1205-1,"")</f>
        <v>-1.7404632994635238E-2</v>
      </c>
      <c r="R1204" s="262">
        <f>IFERROR(Inv_SY!L1205/Inv_SY!$Q1205-1,"")</f>
        <v>-1.3766179213879903E-2</v>
      </c>
      <c r="S1204" s="262">
        <f>IFERROR(Inv_SY!M1205/Inv_SY!$Q1205-1,"")</f>
        <v>-2.5924741765106729E-2</v>
      </c>
      <c r="T1204" s="262">
        <f>IFERROR(Inv_SY!N1205/Inv_SY!$Q1205-1,"")</f>
        <v>-6.0947077447492726E-2</v>
      </c>
      <c r="U1204" s="263">
        <f>IFERROR(Inv_SY!O1205/Inv_SY!$Q1205-1,"")</f>
        <v>0</v>
      </c>
    </row>
    <row r="1205" spans="1:21">
      <c r="A1205" s="260"/>
      <c r="B1205" s="260"/>
      <c r="C1205" s="260"/>
      <c r="D1205" s="260"/>
      <c r="E1205" s="260"/>
      <c r="F1205" s="261"/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0</v>
      </c>
      <c r="J1205" s="262">
        <f>IFERROR(Inv_SY!J1206/Inv_SY!$P1206-1,"")</f>
        <v>-1.7053896992361817E-2</v>
      </c>
      <c r="K1205" s="262">
        <f>IFERROR(Inv_SY!K1206/Inv_SY!$P1206-1,"")</f>
        <v>3.8330583995553003E-2</v>
      </c>
      <c r="L1205" s="262">
        <f>IFERROR(Inv_SY!L1206/Inv_SY!$P1206-1,"")</f>
        <v>4.9916090528154156E-2</v>
      </c>
      <c r="M1205" s="262">
        <f>IFERROR(Inv_SY!M1206/Inv_SY!$P1206-1,"")</f>
        <v>2.7097228029705933E-2</v>
      </c>
      <c r="N1205" s="262">
        <f>IFERROR(Inv_SY!N1206/Inv_SY!$P1206-1,"")</f>
        <v>-4.7186741382985842E-2</v>
      </c>
      <c r="O1205" s="262">
        <f>IFERROR(Inv_SY!O1206/Inv_SY!$P1206-1,"")</f>
        <v>-5.1103264178065211E-2</v>
      </c>
      <c r="P1205" s="262">
        <f>IFERROR(Inv_SY!J1206/Inv_SY!$Q1206-1,"")</f>
        <v>-6.3786037879300483E-2</v>
      </c>
      <c r="Q1205" s="262">
        <f>IFERROR(Inv_SY!K1206/Inv_SY!$Q1206-1,"")</f>
        <v>-1.1034697569758278E-2</v>
      </c>
      <c r="R1205" s="262">
        <f>IFERROR(Inv_SY!L1206/Inv_SY!$Q1206-1,"")</f>
        <v>0</v>
      </c>
      <c r="S1205" s="262">
        <f>IFERROR(Inv_SY!M1206/Inv_SY!$Q1206-1,"")</f>
        <v>-2.1733986843624042E-2</v>
      </c>
      <c r="T1205" s="262">
        <f>IFERROR(Inv_SY!N1206/Inv_SY!$Q1206-1,"")</f>
        <v>-9.2486278462779792E-2</v>
      </c>
      <c r="U1205" s="263">
        <f>IFERROR(Inv_SY!O1206/Inv_SY!$Q1206-1,"")</f>
        <v>-9.6216598276346099E-2</v>
      </c>
    </row>
    <row r="1206" spans="1:21">
      <c r="A1206" s="260"/>
      <c r="B1206" s="260"/>
      <c r="C1206" s="260"/>
      <c r="D1206" s="260"/>
      <c r="E1206" s="260"/>
      <c r="F1206" s="261"/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0</v>
      </c>
      <c r="J1206" s="262" t="str">
        <f>IFERROR(Inv_SY!J1207/Inv_SY!$P1207-1,"")</f>
        <v/>
      </c>
      <c r="K1206" s="262" t="str">
        <f>IFERROR(Inv_SY!K1207/Inv_SY!$P1207-1,"")</f>
        <v/>
      </c>
      <c r="L1206" s="262" t="str">
        <f>IFERROR(Inv_SY!L1207/Inv_SY!$P1207-1,"")</f>
        <v/>
      </c>
      <c r="M1206" s="262" t="str">
        <f>IFERROR(Inv_SY!M1207/Inv_SY!$P1207-1,"")</f>
        <v/>
      </c>
      <c r="N1206" s="262" t="str">
        <f>IFERROR(Inv_SY!N1207/Inv_SY!$P1207-1,"")</f>
        <v/>
      </c>
      <c r="O1206" s="262" t="str">
        <f>IFERROR(Inv_SY!O1207/Inv_SY!$P1207-1,"")</f>
        <v/>
      </c>
      <c r="P1206" s="262" t="str">
        <f>IFERROR(Inv_SY!J1207/Inv_SY!$Q1207-1,"")</f>
        <v/>
      </c>
      <c r="Q1206" s="262" t="str">
        <f>IFERROR(Inv_SY!K1207/Inv_SY!$Q1207-1,"")</f>
        <v/>
      </c>
      <c r="R1206" s="262" t="str">
        <f>IFERROR(Inv_SY!L1207/Inv_SY!$Q1207-1,"")</f>
        <v/>
      </c>
      <c r="S1206" s="262" t="str">
        <f>IFERROR(Inv_SY!M1207/Inv_SY!$Q1207-1,"")</f>
        <v/>
      </c>
      <c r="T1206" s="262" t="str">
        <f>IFERROR(Inv_SY!N1207/Inv_SY!$Q1207-1,"")</f>
        <v/>
      </c>
      <c r="U1206" s="263" t="str">
        <f>IFERROR(Inv_SY!O1207/Inv_SY!$Q1207-1,"")</f>
        <v/>
      </c>
    </row>
    <row r="1207" spans="1:21">
      <c r="A1207" s="260"/>
      <c r="B1207" s="260"/>
      <c r="C1207" s="260"/>
      <c r="D1207" s="260"/>
      <c r="E1207" s="260"/>
      <c r="F1207" s="261"/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0</v>
      </c>
      <c r="J1207" s="262" t="str">
        <f>IFERROR(Inv_SY!J1208/Inv_SY!$P1208-1,"")</f>
        <v/>
      </c>
      <c r="K1207" s="262" t="str">
        <f>IFERROR(Inv_SY!K1208/Inv_SY!$P1208-1,"")</f>
        <v/>
      </c>
      <c r="L1207" s="262" t="str">
        <f>IFERROR(Inv_SY!L1208/Inv_SY!$P1208-1,"")</f>
        <v/>
      </c>
      <c r="M1207" s="262" t="str">
        <f>IFERROR(Inv_SY!M1208/Inv_SY!$P1208-1,"")</f>
        <v/>
      </c>
      <c r="N1207" s="262" t="str">
        <f>IFERROR(Inv_SY!N1208/Inv_SY!$P1208-1,"")</f>
        <v/>
      </c>
      <c r="O1207" s="262" t="str">
        <f>IFERROR(Inv_SY!O1208/Inv_SY!$P1208-1,"")</f>
        <v/>
      </c>
      <c r="P1207" s="262" t="str">
        <f>IFERROR(Inv_SY!J1208/Inv_SY!$Q1208-1,"")</f>
        <v/>
      </c>
      <c r="Q1207" s="262" t="str">
        <f>IFERROR(Inv_SY!K1208/Inv_SY!$Q1208-1,"")</f>
        <v/>
      </c>
      <c r="R1207" s="262" t="str">
        <f>IFERROR(Inv_SY!L1208/Inv_SY!$Q1208-1,"")</f>
        <v/>
      </c>
      <c r="S1207" s="262" t="str">
        <f>IFERROR(Inv_SY!M1208/Inv_SY!$Q1208-1,"")</f>
        <v/>
      </c>
      <c r="T1207" s="262" t="str">
        <f>IFERROR(Inv_SY!N1208/Inv_SY!$Q1208-1,"")</f>
        <v/>
      </c>
      <c r="U1207" s="263" t="str">
        <f>IFERROR(Inv_SY!O1208/Inv_SY!$Q1208-1,"")</f>
        <v/>
      </c>
    </row>
    <row r="1208" spans="1:21">
      <c r="A1208" s="260"/>
      <c r="B1208" s="260"/>
      <c r="C1208" s="260"/>
      <c r="D1208" s="260"/>
      <c r="E1208" s="260"/>
      <c r="F1208" s="261"/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0</v>
      </c>
      <c r="J1208" s="262" t="str">
        <f>IFERROR(Inv_SY!J1209/Inv_SY!$P1209-1,"")</f>
        <v/>
      </c>
      <c r="K1208" s="262" t="str">
        <f>IFERROR(Inv_SY!K1209/Inv_SY!$P1209-1,"")</f>
        <v/>
      </c>
      <c r="L1208" s="262" t="str">
        <f>IFERROR(Inv_SY!L1209/Inv_SY!$P1209-1,"")</f>
        <v/>
      </c>
      <c r="M1208" s="262" t="str">
        <f>IFERROR(Inv_SY!M1209/Inv_SY!$P1209-1,"")</f>
        <v/>
      </c>
      <c r="N1208" s="262" t="str">
        <f>IFERROR(Inv_SY!N1209/Inv_SY!$P1209-1,"")</f>
        <v/>
      </c>
      <c r="O1208" s="262" t="str">
        <f>IFERROR(Inv_SY!O1209/Inv_SY!$P1209-1,"")</f>
        <v/>
      </c>
      <c r="P1208" s="262" t="str">
        <f>IFERROR(Inv_SY!J1209/Inv_SY!$Q1209-1,"")</f>
        <v/>
      </c>
      <c r="Q1208" s="262" t="str">
        <f>IFERROR(Inv_SY!K1209/Inv_SY!$Q1209-1,"")</f>
        <v/>
      </c>
      <c r="R1208" s="262" t="str">
        <f>IFERROR(Inv_SY!L1209/Inv_SY!$Q1209-1,"")</f>
        <v/>
      </c>
      <c r="S1208" s="262" t="str">
        <f>IFERROR(Inv_SY!M1209/Inv_SY!$Q1209-1,"")</f>
        <v/>
      </c>
      <c r="T1208" s="262" t="str">
        <f>IFERROR(Inv_SY!N1209/Inv_SY!$Q1209-1,"")</f>
        <v/>
      </c>
      <c r="U1208" s="263" t="str">
        <f>IFERROR(Inv_SY!O1209/Inv_SY!$Q1209-1,"")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8" activePane="bottomRight" state="frozen"/>
      <selection activeCell="I9" sqref="I9"/>
      <selection pane="topRight" activeCell="I9" sqref="I9"/>
      <selection pane="bottomLeft" activeCell="I9" sqref="I9"/>
      <selection pane="bottomRight" activeCell="B39" sqref="B39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I40" s="25" t="str">
        <f>IFERROR(VLOOKUP(PA[[#This Row],[Date]],Raw_Data[[Date]:[Sunset Time (POA&lt;20 W/m2)]],3,0),"")</f>
        <v/>
      </c>
      <c r="J40" s="25" t="str">
        <f>IFERROR(VLOOKUP(PA[[#This Row],[Date]],Raw_Data[[Date]:[Sunset Time (POA&lt;20 W/m2)]],4,0),"")</f>
        <v/>
      </c>
      <c r="K40" s="26" t="str">
        <f>IFERROR((PA[[#This Row],[Sunset Time (POA&lt;20 W/m2)]]-PA[[#This Row],[Sunrise Time (POA&gt;20 W/m2)]])*24,"")</f>
        <v/>
      </c>
      <c r="M40" s="45" t="str">
        <f>IFERROR(VLOOKUP(PA[[#This Row],[Affceted Equipment]],'Basic Data'!$A$2:$B$116,2,0),"")</f>
        <v/>
      </c>
      <c r="N40" s="50" t="s">
        <v>261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</v>
      </c>
      <c r="Z40" s="33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3" activePane="bottomRight" state="frozen"/>
      <selection activeCell="I9" sqref="I9"/>
      <selection pane="topRight" activeCell="I9" sqref="I9"/>
      <selection pane="bottomLeft" activeCell="I9" sqref="I9"/>
      <selection pane="bottomRight" activeCell="M29" sqref="M29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>
      <c r="A16" s="2">
        <f t="shared" si="0"/>
        <v>14</v>
      </c>
      <c r="I16" s="29" t="str">
        <f>IFERROR(VLOOKUP(GA[[#This Row],[Date]],Raw_Data[[#All],[Date]:[Sunset Time (POA&lt;20 W/m2)]],3,0),"")</f>
        <v/>
      </c>
      <c r="J16" s="29" t="str">
        <f>IFERROR(VLOOKUP(GA[[#This Row],[Date]],Raw_Data[[#All],[Date]:[Sunset Time (POA&lt;20 W/m2)]],4,0),"")</f>
        <v/>
      </c>
      <c r="K16" s="2" t="str">
        <f>IFERROR((GA[[#This Row],[Sunset Time (POA&lt;20 W/m2)]]-GA[[#This Row],[Sunrise Time (POA&gt;20 W/m2)]])*24,"")</f>
        <v/>
      </c>
      <c r="M16" s="17" t="str">
        <f>IFERROR(VLOOKUP(GA[[#This Row],[Affceted Equipment]],'Basic Data'!A116:B230,2,0),"")</f>
        <v/>
      </c>
      <c r="P16" s="28" t="str">
        <f>IFERROR(VLOOKUP(GA[[#This Row],[Affceted Equipment]],'Basic Data'!A117:C235,3,0),"")</f>
        <v/>
      </c>
      <c r="Q16" s="2"/>
      <c r="W16" s="32"/>
      <c r="X16" s="33"/>
      <c r="Y16" s="33"/>
      <c r="Z16" s="2"/>
      <c r="AA16" s="2"/>
      <c r="AB16" s="33">
        <f>(GA[[#This Row],[Work Completiuon time on fualt]]-GA[[#This Row],[Fault Time]])*24</f>
        <v>0</v>
      </c>
      <c r="AC16" s="2"/>
      <c r="AD16" s="2"/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1"/>
  <sheetViews>
    <sheetView topLeftCell="A2" zoomScale="82" zoomScaleNormal="82" workbookViewId="0">
      <pane xSplit="8" ySplit="1" topLeftCell="K1193" activePane="bottomRight" state="frozen"/>
      <selection activeCell="I9" sqref="I9"/>
      <selection pane="topRight" activeCell="I9" sqref="I9"/>
      <selection pane="bottomLeft" activeCell="I9" sqref="I9"/>
      <selection pane="bottomRight" activeCell="A1212" sqref="A1212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1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2"/>
  <sheetViews>
    <sheetView topLeftCell="A2" zoomScale="85" zoomScaleNormal="85" workbookViewId="0">
      <pane xSplit="8" ySplit="1" topLeftCell="K1194" activePane="bottomRight" state="frozen"/>
      <selection activeCell="I9" sqref="I9"/>
      <selection pane="topRight" activeCell="I9" sqref="I9"/>
      <selection pane="bottomLeft" activeCell="I9" sqref="I9"/>
      <selection pane="bottomRight" activeCell="R1214" sqref="R1214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2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71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72" t="s">
        <v>1697</v>
      </c>
    </row>
    <row r="1212" spans="1:18">
      <c r="A1212" s="2">
        <v>1128</v>
      </c>
      <c r="B1212" s="2" t="s">
        <v>4</v>
      </c>
      <c r="C1212" s="289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89">
        <f>SUM(GC[[#This Row],[IC1_Inv1_GC]:[IC2_Inv2_GC]])</f>
        <v>8</v>
      </c>
      <c r="R1212" s="290" t="s">
        <v>1698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28"/>
  <sheetViews>
    <sheetView zoomScaleNormal="100" workbookViewId="0">
      <pane xSplit="8" ySplit="1" topLeftCell="I1614" activePane="bottomRight" state="frozen"/>
      <selection activeCell="I9" sqref="I9"/>
      <selection pane="topRight" activeCell="I9" sqref="I9"/>
      <selection pane="bottomLeft" activeCell="I9" sqref="I9"/>
      <selection pane="bottomRight" activeCell="K1628" sqref="K1628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21F4-2602-4C29-8AFF-D6EDF7A102E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Sheet1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2025-07-24T01:24:26Z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