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7930813E-3D00-4CF4-8674-CD920E14F2B0}" xr6:coauthVersionLast="47" xr6:coauthVersionMax="47" xr10:uidLastSave="{00000000-0000-0000-0000-000000000000}"/>
  <bookViews>
    <workbookView xWindow="-120" yWindow="-120" windowWidth="20730" windowHeight="11160" tabRatio="759" activeTab="5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616" i="4" l="1"/>
  <c r="AI1616" i="4" s="1"/>
  <c r="AD1617" i="4"/>
  <c r="AI1617" i="4" s="1"/>
  <c r="AC1619" i="4"/>
  <c r="AD1620" i="4"/>
  <c r="AI1620" i="4" s="1"/>
  <c r="AC1621" i="4"/>
  <c r="AC1622" i="4"/>
  <c r="AD1623" i="4"/>
  <c r="AI1623" i="4" s="1"/>
  <c r="AD1624" i="4"/>
  <c r="AI1624" i="4" s="1"/>
  <c r="AD1625" i="4"/>
  <c r="AI1625" i="4" s="1"/>
  <c r="AB1626" i="4"/>
  <c r="AD1627" i="4"/>
  <c r="AI1627" i="4" s="1"/>
  <c r="AA1617" i="4"/>
  <c r="AA1620" i="4"/>
  <c r="AA1625" i="4"/>
  <c r="AH1628" i="4"/>
  <c r="X1628" i="4"/>
  <c r="W1628" i="4"/>
  <c r="AD1628" i="4" s="1"/>
  <c r="AI1628" i="4" s="1"/>
  <c r="M1628" i="4"/>
  <c r="J1628" i="4"/>
  <c r="I1628" i="4"/>
  <c r="G1628" i="4"/>
  <c r="C1628" i="4"/>
  <c r="B1628" i="4"/>
  <c r="AH1627" i="4"/>
  <c r="AB1627" i="4"/>
  <c r="AA1627" i="4"/>
  <c r="M1627" i="4"/>
  <c r="J1627" i="4"/>
  <c r="I1627" i="4"/>
  <c r="G1627" i="4"/>
  <c r="C1627" i="4"/>
  <c r="B1627" i="4"/>
  <c r="AH1626" i="4"/>
  <c r="AD1626" i="4"/>
  <c r="AI1626" i="4" s="1"/>
  <c r="AA1626" i="4"/>
  <c r="M1626" i="4"/>
  <c r="J1626" i="4"/>
  <c r="I1626" i="4"/>
  <c r="G1626" i="4"/>
  <c r="C1626" i="4"/>
  <c r="B1626" i="4"/>
  <c r="AH1625" i="4"/>
  <c r="AB1625" i="4"/>
  <c r="M1625" i="4"/>
  <c r="J1625" i="4"/>
  <c r="I1625" i="4"/>
  <c r="G1625" i="4"/>
  <c r="C1625" i="4"/>
  <c r="B1625" i="4"/>
  <c r="AH1624" i="4"/>
  <c r="M1624" i="4"/>
  <c r="J1624" i="4"/>
  <c r="I1624" i="4"/>
  <c r="G1624" i="4"/>
  <c r="C1624" i="4"/>
  <c r="B1624" i="4"/>
  <c r="AH1623" i="4"/>
  <c r="M1623" i="4"/>
  <c r="J1623" i="4"/>
  <c r="I1623" i="4"/>
  <c r="G1623" i="4"/>
  <c r="C1623" i="4"/>
  <c r="B1623" i="4"/>
  <c r="AH1622" i="4"/>
  <c r="AD1622" i="4"/>
  <c r="AI1622" i="4" s="1"/>
  <c r="AB1622" i="4"/>
  <c r="AA1622" i="4"/>
  <c r="M1622" i="4"/>
  <c r="J1622" i="4"/>
  <c r="I1622" i="4"/>
  <c r="G1622" i="4"/>
  <c r="C1622" i="4"/>
  <c r="B1622" i="4"/>
  <c r="AH1621" i="4"/>
  <c r="AD1621" i="4"/>
  <c r="AI1621" i="4" s="1"/>
  <c r="AB1621" i="4"/>
  <c r="AA1621" i="4"/>
  <c r="M1621" i="4"/>
  <c r="J1621" i="4"/>
  <c r="I1621" i="4"/>
  <c r="G1621" i="4"/>
  <c r="C1621" i="4"/>
  <c r="B1621" i="4"/>
  <c r="AH1620" i="4"/>
  <c r="M1620" i="4"/>
  <c r="J1620" i="4"/>
  <c r="I1620" i="4"/>
  <c r="G1620" i="4"/>
  <c r="C1620" i="4"/>
  <c r="B1620" i="4"/>
  <c r="AH1619" i="4"/>
  <c r="AD1619" i="4"/>
  <c r="AI1619" i="4" s="1"/>
  <c r="AA1619" i="4"/>
  <c r="M1619" i="4"/>
  <c r="J1619" i="4"/>
  <c r="I1619" i="4"/>
  <c r="G1619" i="4"/>
  <c r="C1619" i="4"/>
  <c r="B1619" i="4"/>
  <c r="AH1618" i="4"/>
  <c r="X1618" i="4"/>
  <c r="W1618" i="4"/>
  <c r="AC1618" i="4" s="1"/>
  <c r="M1618" i="4"/>
  <c r="J1618" i="4"/>
  <c r="I1618" i="4"/>
  <c r="G1618" i="4"/>
  <c r="C1618" i="4"/>
  <c r="B1618" i="4"/>
  <c r="AH1617" i="4"/>
  <c r="AB1617" i="4"/>
  <c r="M1617" i="4"/>
  <c r="J1617" i="4"/>
  <c r="I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J1616" i="4"/>
  <c r="I1616" i="4"/>
  <c r="G1616" i="4"/>
  <c r="C1616" i="4"/>
  <c r="B1616" i="4"/>
  <c r="A1616" i="4"/>
  <c r="X1615" i="4"/>
  <c r="W1615" i="4"/>
  <c r="W1605" i="4"/>
  <c r="X1605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H120" i="1"/>
  <c r="AD1603" i="4"/>
  <c r="AD1604" i="4"/>
  <c r="AD1606" i="4"/>
  <c r="AD1607" i="4"/>
  <c r="AD1608" i="4"/>
  <c r="AD1609" i="4"/>
  <c r="AD1610" i="4"/>
  <c r="AD1611" i="4"/>
  <c r="AI1611" i="4" s="1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P118" i="6" s="1"/>
  <c r="J117" i="7" s="1"/>
  <c r="L118" i="6"/>
  <c r="M118" i="6"/>
  <c r="M117" i="7" s="1"/>
  <c r="N118" i="6"/>
  <c r="N117" i="7" s="1"/>
  <c r="O118" i="6"/>
  <c r="O117" i="7" s="1"/>
  <c r="F119" i="1"/>
  <c r="AB119" i="1"/>
  <c r="AC119" i="1"/>
  <c r="AD119" i="1"/>
  <c r="AF119" i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P117" i="6" s="1"/>
  <c r="M117" i="6"/>
  <c r="N117" i="6"/>
  <c r="O117" i="6"/>
  <c r="F118" i="1"/>
  <c r="AB118" i="1"/>
  <c r="AC118" i="1"/>
  <c r="AD118" i="1"/>
  <c r="AF118" i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K1619" i="4" l="1"/>
  <c r="AE120" i="1"/>
  <c r="K1628" i="4"/>
  <c r="K1616" i="4"/>
  <c r="K1617" i="4"/>
  <c r="K1618" i="4"/>
  <c r="AA1628" i="4"/>
  <c r="Q119" i="6"/>
  <c r="S118" i="7" s="1"/>
  <c r="K1620" i="4"/>
  <c r="K1621" i="4"/>
  <c r="AC1628" i="4"/>
  <c r="K1627" i="4"/>
  <c r="K1625" i="4"/>
  <c r="K1622" i="4"/>
  <c r="AC1627" i="4"/>
  <c r="AC1626" i="4"/>
  <c r="K1626" i="4"/>
  <c r="AC1625" i="4"/>
  <c r="AB1624" i="4"/>
  <c r="AC1624" i="4"/>
  <c r="AA1624" i="4"/>
  <c r="K1624" i="4"/>
  <c r="K1623" i="4"/>
  <c r="AC1620" i="4"/>
  <c r="AB1620" i="4"/>
  <c r="AB1619" i="4"/>
  <c r="AA1618" i="4"/>
  <c r="AB1618" i="4"/>
  <c r="AD1618" i="4"/>
  <c r="AI1618" i="4" s="1"/>
  <c r="AC1616" i="4"/>
  <c r="AA1616" i="4"/>
  <c r="AC1617" i="4"/>
  <c r="AB1616" i="4"/>
  <c r="AI1597" i="4"/>
  <c r="AA1623" i="4"/>
  <c r="AB1623" i="4"/>
  <c r="AB1628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R117" i="7"/>
  <c r="P117" i="7"/>
  <c r="L117" i="7"/>
  <c r="K117" i="7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C118" i="6"/>
  <c r="AE119" i="1"/>
  <c r="M116" i="7"/>
  <c r="Q114" i="6"/>
  <c r="S113" i="7" s="1"/>
  <c r="Q117" i="6"/>
  <c r="S116" i="7" s="1"/>
  <c r="Q115" i="6"/>
  <c r="S114" i="7" s="1"/>
  <c r="N116" i="7"/>
  <c r="AB1600" i="4"/>
  <c r="AA1591" i="4"/>
  <c r="Q116" i="7"/>
  <c r="K116" i="7"/>
  <c r="O116" i="7"/>
  <c r="P116" i="7"/>
  <c r="J116" i="7"/>
  <c r="T116" i="7"/>
  <c r="L116" i="7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R114" i="7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U113" i="7"/>
  <c r="P115" i="6"/>
  <c r="T113" i="7"/>
  <c r="M113" i="7"/>
  <c r="L113" i="7"/>
  <c r="U114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R113" i="7"/>
  <c r="Q113" i="7"/>
  <c r="O113" i="7"/>
  <c r="K113" i="7"/>
  <c r="AB1557" i="4"/>
  <c r="AC1557" i="4"/>
  <c r="AC1555" i="4"/>
  <c r="AD1555" i="4"/>
  <c r="AI1555" i="4" s="1"/>
  <c r="AI1552" i="4"/>
  <c r="AB1551" i="4"/>
  <c r="AD1551" i="4"/>
  <c r="AI1551" i="4" s="1"/>
  <c r="U118" i="7" l="1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M97" i="7" l="1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0" i="1" l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K1442" i="4" s="1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613" i="4" l="1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T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T120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T119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7" i="18" l="1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<sst xmlns="http://schemas.openxmlformats.org/spreadsheetml/2006/main" count="21019" uniqueCount="529">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</sst>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0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19" totalsRowShown="0">
  <autoFilter ref="A2:Q119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18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28" totalsRowShown="0">
  <autoFilter ref="A3:AK1628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C2" sqref="C2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45861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21.022700000005674</v>
      </c>
      <c r="E9" s="104">
        <f>-(C9-D9)/C9</f>
        <v>-0.48350542629855564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936.16104528452729</v>
      </c>
      <c r="D10" s="107">
        <f>'Monthly KPI'!$F$4</f>
        <v>935.43160000000682</v>
      </c>
      <c r="E10" s="108">
        <f t="shared" ref="E10:E29" si="0">-(C10-D10)/C10</f>
        <v>-7.7918782050877343E-4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6293.9219501696152</v>
      </c>
      <c r="D11" s="110">
        <f>'Annual KPI'!$F$4</f>
        <v>5241.8144999999849</v>
      </c>
      <c r="E11" s="111">
        <f t="shared" si="0"/>
        <v>-0.16716245585811196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7.4739405574536649E-2</v>
      </c>
      <c r="E12" s="104">
        <f t="shared" si="0"/>
        <v>-0.4835054262985557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0.14459236038977202</v>
      </c>
      <c r="E13" s="108">
        <f t="shared" si="0"/>
        <v>-7.7918782050875217E-4</v>
      </c>
      <c r="F13" s="188"/>
    </row>
    <row r="14" spans="1:7" ht="15.75" thickBot="1">
      <c r="A14" s="230"/>
      <c r="B14" s="109" t="s">
        <v>16</v>
      </c>
      <c r="C14" s="114">
        <f>'Annual KPI'!$I$4</f>
        <v>0.19628072265413296</v>
      </c>
      <c r="D14" s="117">
        <f>'Annual KPI'!$J$4</f>
        <v>0.16346995501766312</v>
      </c>
      <c r="E14" s="111">
        <f t="shared" si="0"/>
        <v>-0.16716245585811207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0.86320776409474487</v>
      </c>
      <c r="E15" s="104">
        <f t="shared" si="0"/>
        <v>0.15004134777144676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0.7470689873420302</v>
      </c>
      <c r="E16" s="108">
        <f t="shared" si="0"/>
        <v>-4.6889511216474068E-3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0.72691481609297715</v>
      </c>
      <c r="D17" s="117">
        <f>'Annual KPI'!$H$4</f>
        <v>0.68896251664175223</v>
      </c>
      <c r="E17" s="111">
        <f t="shared" si="0"/>
        <v>-5.2210105793703575E-2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2.0779999999999998</v>
      </c>
      <c r="E18" s="104">
        <f t="shared" si="0"/>
        <v>-0.55089043128552828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106.41946493548384</v>
      </c>
      <c r="D19" s="179">
        <f>'Monthly KPI'!$D$4</f>
        <v>106.83750000000001</v>
      </c>
      <c r="E19" s="108">
        <f t="shared" si="0"/>
        <v>3.9281823562032775E-3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740.4524709354838</v>
      </c>
      <c r="D20" s="181">
        <f>'Annual KPI'!$D$4</f>
        <v>649.16999999999996</v>
      </c>
      <c r="E20" s="111">
        <f t="shared" si="0"/>
        <v>-0.12327931166217602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0.99972034492746575</v>
      </c>
      <c r="E22" s="108">
        <f t="shared" si="0"/>
        <v>4.7440652537344306E-3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0.9890557294211012</v>
      </c>
      <c r="E23" s="111">
        <f t="shared" si="0"/>
        <v>-5.9741412853254183E-3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0.98787437736425976</v>
      </c>
      <c r="E25" s="108">
        <f t="shared" si="0"/>
        <v>2.4093123939723151E-3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0.95858888368221784</v>
      </c>
      <c r="E26" s="111">
        <f t="shared" si="0"/>
        <v>-2.7307068815608525E-2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0.98600976137104335</v>
      </c>
      <c r="E27" s="124">
        <f t="shared" si="0"/>
        <v>-9.0354157074941186E-3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0.9870825560076123</v>
      </c>
      <c r="E28" s="108">
        <f t="shared" si="0"/>
        <v>-7.9572301431032125E-3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0.97997405684405525</v>
      </c>
      <c r="E29" s="111">
        <f t="shared" si="0"/>
        <v>-1.5101450407984666E-2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45861</v>
      </c>
      <c r="D7" s="86">
        <f>'Daily Dashboard'!C9</f>
        <v>40.702654142805535</v>
      </c>
      <c r="E7" s="86">
        <f>'Daily Dashboard'!D9</f>
        <v>21.022700000005674</v>
      </c>
      <c r="F7" s="86">
        <f>D7-E7</f>
        <v>19.679954142799861</v>
      </c>
    </row>
    <row r="8" spans="2:6">
      <c r="B8" s="84" t="s">
        <v>38</v>
      </c>
      <c r="C8" s="85">
        <f t="shared" ref="C8:C30" si="0">$C$7</f>
        <v>45861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45861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45861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45861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45861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45861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45861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45861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45861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45861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45861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45861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45861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45861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45861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45861</v>
      </c>
      <c r="D23" s="84">
        <f>'Daily Dashboard'!C27*100</f>
        <v>99.5</v>
      </c>
      <c r="E23" s="84">
        <f>'Daily Dashboard'!D27*100</f>
        <v>98.60097613710434</v>
      </c>
      <c r="F23" s="84">
        <f>E23-D23</f>
        <v>-0.89902386289566039</v>
      </c>
      <c r="G23" s="87">
        <f>((F23/100)*$D$7)*20%</f>
        <v>-7.3185314715142169E-2</v>
      </c>
    </row>
    <row r="24" spans="2:7">
      <c r="B24" s="84" t="s">
        <v>54</v>
      </c>
      <c r="C24" s="85">
        <f t="shared" si="0"/>
        <v>45861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45861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45861</v>
      </c>
      <c r="D26" s="88">
        <f>'Daily Dashboard'!$D$9</f>
        <v>21.022700000005674</v>
      </c>
      <c r="E26" s="88">
        <f>'Daily Dashboard'!$D$9</f>
        <v>21.022700000005674</v>
      </c>
      <c r="F26" s="88">
        <f>'Daily Dashboard'!$D$9</f>
        <v>21.022700000005674</v>
      </c>
    </row>
    <row r="27" spans="2:7">
      <c r="B27" s="84" t="s">
        <v>56</v>
      </c>
      <c r="C27" s="85">
        <f t="shared" si="0"/>
        <v>45861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45861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45861</v>
      </c>
      <c r="D29" s="84">
        <v>0</v>
      </c>
      <c r="E29" s="86">
        <f>-(F7+G30)+(SUM(G21:G23))</f>
        <v>3.4632649934655344</v>
      </c>
      <c r="F29" s="86">
        <f>E29</f>
        <v>3.4632649934655344</v>
      </c>
    </row>
    <row r="30" spans="2:7">
      <c r="B30" s="84" t="s">
        <v>59</v>
      </c>
      <c r="C30" s="85">
        <f t="shared" si="0"/>
        <v>45861</v>
      </c>
      <c r="D30" s="84">
        <f>'Daily Dashboard'!C18</f>
        <v>4.6269332580645148</v>
      </c>
      <c r="E30" s="89">
        <f>'Daily Dashboard'!D18</f>
        <v>2.0779999999999998</v>
      </c>
      <c r="F30" s="84">
        <f>E30-D30</f>
        <v>-2.548933258064515</v>
      </c>
      <c r="G30" s="83">
        <f>(F30/D30)*D7</f>
        <v>-22.422702695195834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45861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114</v>
      </c>
      <c r="C4" s="78">
        <f>_xlfn.XLOOKUP($C$1,'Modelling New'!$D:$D,'Modelling New'!S:S)</f>
        <v>740.4524709354838</v>
      </c>
      <c r="D4" s="79">
        <f>IFERROR(SUMIFS('Daily KPI'!$I:$I,'Daily KPI'!$B:$B,$A4,'Daily KPI'!$A:$A,"&lt;="&amp;$B$1),"")</f>
        <v>649.16999999999996</v>
      </c>
      <c r="E4" s="78">
        <f>_xlfn.XLOOKUP($C$1,'Modelling New'!$D:$D,'Modelling New'!V:V)</f>
        <v>6293.9219501696152</v>
      </c>
      <c r="F4" s="79">
        <f>SUMIFS('Daily KPI'!$AA:$AA,'Daily KPI'!$B:$B,'Annual KPI'!A4,'Daily KPI'!$A:$A,"&lt;="&amp;'Annual KPI'!$B$1)/1000</f>
        <v>5241.8144999999849</v>
      </c>
      <c r="G4" s="80">
        <f>IFERROR(E4/C4/'Modelling New'!$AQ$1,"")</f>
        <v>0.72526472428842637</v>
      </c>
      <c r="H4" s="81">
        <f>IFERROR(F4/D4/'Modelling New'!$AQ$1,"")</f>
        <v>0.68896251664175223</v>
      </c>
      <c r="I4" s="80">
        <f>IFERROR(E4/(B4*24*'Modelling New'!$AQ$1),"")</f>
        <v>0.19628072265413296</v>
      </c>
      <c r="J4" s="81">
        <f>IFERROR(F4/(B4*24*'Modelling New'!$AQ$1),"")</f>
        <v>0.16346995501766312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0.95858888368221784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0.9890557294211012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0.97997405684405525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740.4524709354838</v>
      </c>
      <c r="D13" s="79">
        <f>SUMIF('Daily KPI'!$D:$D,$A13,'Daily KPI'!I:I)</f>
        <v>106.83750000000001</v>
      </c>
      <c r="E13" s="78">
        <f>_xlfn.XLOOKUP($A13,'Modelling New'!$D:$D,'Modelling New'!V:V)</f>
        <v>6293.9219501696152</v>
      </c>
      <c r="F13" s="79">
        <f>SUMIF('Daily KPI'!$D:$D,$A13,'Daily KPI'!AA:AA)/1000</f>
        <v>935.43160000000682</v>
      </c>
      <c r="G13" s="73">
        <f>IFERROR(E13/C13/'Modelling New'!$AQ$1,"")</f>
        <v>0.72526472428842637</v>
      </c>
      <c r="H13" s="74">
        <f>IFERROR(F13/D13/'Modelling New'!$AQ$1,"")</f>
        <v>0.7470689873420302</v>
      </c>
      <c r="I13" s="73">
        <f>IFERROR(E13/(B13*24*'Modelling New'!$AQ$1),"")</f>
        <v>0.72180652847003735</v>
      </c>
      <c r="J13" s="74">
        <f>IFERROR(F13/(B13*24*'Modelling New'!$AQ$1),"")</f>
        <v>0.10727820286983086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0.98787437736425976</v>
      </c>
      <c r="M13" s="73">
        <f>_xlfn.XLOOKUP($A13,'Modelling New'!$D:$D,'Modelling New'!AE:AE)</f>
        <v>0.995</v>
      </c>
      <c r="N13" s="74">
        <f>IFERROR(AVERAGEIF('Daily KPI'!$D:$D,$A13,'Daily KPI'!O:O),"")</f>
        <v>0.99972034492746575</v>
      </c>
      <c r="O13" s="73">
        <f>_xlfn.XLOOKUP($A13,'Modelling New'!$D:$D,'Modelling New'!AG:AG)</f>
        <v>0.995</v>
      </c>
      <c r="P13" s="74">
        <f>IFERROR(AVERAGEIF('Daily KPI'!$D:$D,$A13,'Daily KPI'!T:T),"")</f>
        <v>0.9870825560076123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740.4524709354838</v>
      </c>
      <c r="D14" s="79">
        <f>SUMIF('Daily KPI'!$D:$D,$A14,'Daily KPI'!I:I)</f>
        <v>0</v>
      </c>
      <c r="E14" s="78">
        <f>_xlfn.XLOOKUP($A14,'Modelling New'!$D:$D,'Modelling New'!V:V)</f>
        <v>6293.9219501696152</v>
      </c>
      <c r="F14" s="79">
        <f>SUMIF('Daily KPI'!$D:$D,$A14,'Daily KPI'!AA:AA)/1000</f>
        <v>0</v>
      </c>
      <c r="G14" s="73">
        <f>IFERROR(E14/C14/'Modelling New'!$AQ$1,"")</f>
        <v>0.72526472428842637</v>
      </c>
      <c r="H14" s="74" t="str">
        <f>IFERROR(F14/D14/'Modelling New'!$AQ$1,"")</f>
        <v/>
      </c>
      <c r="I14" s="73">
        <f>IFERROR(E14/(B14*24*'Modelling New'!$AQ$1),"")</f>
        <v>0.72180652847003735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740.4524709354838</v>
      </c>
      <c r="D15" s="79">
        <f>SUMIF('Daily KPI'!$D:$D,$A15,'Daily KPI'!I:I)</f>
        <v>0</v>
      </c>
      <c r="E15" s="78">
        <f>_xlfn.XLOOKUP($A15,'Modelling New'!$D:$D,'Modelling New'!V:V)</f>
        <v>6293.9219501696152</v>
      </c>
      <c r="F15" s="79">
        <f>SUMIF('Daily KPI'!$D:$D,$A15,'Daily KPI'!AA:AA)/1000</f>
        <v>0</v>
      </c>
      <c r="G15" s="73">
        <f>IFERROR(E15/C15/'Modelling New'!$AQ$1,"")</f>
        <v>0.72526472428842637</v>
      </c>
      <c r="H15" s="74" t="str">
        <f>IFERROR(F15/D15/'Modelling New'!$AQ$1,"")</f>
        <v/>
      </c>
      <c r="I15" s="73">
        <f>IFERROR(E15/(B15*24*'Modelling New'!$AQ$1),"")</f>
        <v>0.74586674608570525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740.4524709354838</v>
      </c>
      <c r="D16" s="79">
        <f>SUMIF('Daily KPI'!$D:$D,$A16,'Daily KPI'!I:I)</f>
        <v>0</v>
      </c>
      <c r="E16" s="78">
        <f>_xlfn.XLOOKUP($A16,'Modelling New'!$D:$D,'Modelling New'!V:V)</f>
        <v>6293.9219501696152</v>
      </c>
      <c r="F16" s="79">
        <f>SUMIF('Daily KPI'!$D:$D,$A16,'Daily KPI'!AA:AA)/1000</f>
        <v>0</v>
      </c>
      <c r="G16" s="73">
        <f>IFERROR(E16/C16/'Modelling New'!$AQ$1,"")</f>
        <v>0.72526472428842637</v>
      </c>
      <c r="H16" s="74" t="str">
        <f>IFERROR(F16/D16/'Modelling New'!$AQ$1,"")</f>
        <v/>
      </c>
      <c r="I16" s="73">
        <f>IFERROR(E16/(B16*24*'Modelling New'!$AQ$1),"")</f>
        <v>0.72180652847003735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740.4524709354838</v>
      </c>
      <c r="D17" s="79">
        <f>SUMIF('Daily KPI'!$D:$D,$A17,'Daily KPI'!I:I)</f>
        <v>0</v>
      </c>
      <c r="E17" s="78">
        <f>_xlfn.XLOOKUP($A17,'Modelling New'!$D:$D,'Modelling New'!V:V)</f>
        <v>6293.9219501696152</v>
      </c>
      <c r="F17" s="79">
        <f>SUMIF('Daily KPI'!$D:$D,$A17,'Daily KPI'!AA:AA)/1000</f>
        <v>0</v>
      </c>
      <c r="G17" s="73">
        <f>IFERROR(E17/C17/'Modelling New'!$AQ$1,"")</f>
        <v>0.72526472428842637</v>
      </c>
      <c r="H17" s="74" t="str">
        <f>IFERROR(F17/D17/'Modelling New'!$AQ$1,"")</f>
        <v/>
      </c>
      <c r="I17" s="73">
        <f>IFERROR(E17/(B17*24*'Modelling New'!$AQ$1),"")</f>
        <v>0.74586674608570525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740.4524709354838</v>
      </c>
      <c r="D18" s="79">
        <f>SUMIF('Daily KPI'!$D:$D,$A18,'Daily KPI'!I:I)</f>
        <v>0</v>
      </c>
      <c r="E18" s="78">
        <f>_xlfn.XLOOKUP($A18,'Modelling New'!$D:$D,'Modelling New'!V:V)</f>
        <v>6293.9219501696152</v>
      </c>
      <c r="F18" s="79">
        <f>SUMIF('Daily KPI'!$D:$D,$A18,'Daily KPI'!AA:AA)/1000</f>
        <v>0</v>
      </c>
      <c r="G18" s="73">
        <f>IFERROR(E18/C18/'Modelling New'!$AQ$1,"")</f>
        <v>0.72526472428842637</v>
      </c>
      <c r="H18" s="74" t="str">
        <f>IFERROR(F18/D18/'Modelling New'!$AQ$1,"")</f>
        <v/>
      </c>
      <c r="I18" s="73">
        <f>IFERROR(E18/(B18*24*'Modelling New'!$AQ$1),"")</f>
        <v>0.72180652847003735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740.4524709354838</v>
      </c>
      <c r="D19" s="79">
        <f>SUMIF('Daily KPI'!$D:$D,$A19,'Daily KPI'!I:I)</f>
        <v>0</v>
      </c>
      <c r="E19" s="78">
        <f>_xlfn.XLOOKUP($A19,'Modelling New'!$D:$D,'Modelling New'!V:V)</f>
        <v>6293.9219501696152</v>
      </c>
      <c r="F19" s="79">
        <f>SUMIF('Daily KPI'!$D:$D,$A19,'Daily KPI'!AA:AA)/1000</f>
        <v>0</v>
      </c>
      <c r="G19" s="73">
        <f>IFERROR(E19/C19/'Modelling New'!$AQ$1,"")</f>
        <v>0.72526472428842637</v>
      </c>
      <c r="H19" s="74" t="str">
        <f>IFERROR(F19/D19/'Modelling New'!$AQ$1,"")</f>
        <v/>
      </c>
      <c r="I19" s="73">
        <f>IFERROR(E19/(B19*24*'Modelling New'!$AQ$1),"")</f>
        <v>0.72180652847003735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740.4524709354838</v>
      </c>
      <c r="D20" s="79">
        <f>SUMIF('Daily KPI'!$D:$D,$A20,'Daily KPI'!I:I)</f>
        <v>0</v>
      </c>
      <c r="E20" s="78">
        <f>_xlfn.XLOOKUP($A20,'Modelling New'!$D:$D,'Modelling New'!V:V)</f>
        <v>6293.9219501696152</v>
      </c>
      <c r="F20" s="79">
        <f>SUMIF('Daily KPI'!$D:$D,$A20,'Daily KPI'!AA:AA)/1000</f>
        <v>0</v>
      </c>
      <c r="G20" s="73">
        <f>IFERROR(E20/C20/'Modelling New'!$AQ$1,"")</f>
        <v>0.72526472428842637</v>
      </c>
      <c r="H20" s="74" t="str">
        <f>IFERROR(F20/D20/'Modelling New'!$AQ$1,"")</f>
        <v/>
      </c>
      <c r="I20" s="73">
        <f>IFERROR(E20/(B20*24*'Modelling New'!$AQ$1),"")</f>
        <v>0.79914294223468418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740.4524709354838</v>
      </c>
      <c r="D21" s="79">
        <f>SUMIF('Daily KPI'!$D:$D,$A21,'Daily KPI'!I:I)</f>
        <v>0</v>
      </c>
      <c r="E21" s="78">
        <f>_xlfn.XLOOKUP($A21,'Modelling New'!$D:$D,'Modelling New'!V:V)</f>
        <v>6293.9219501696152</v>
      </c>
      <c r="F21" s="79">
        <f>SUMIF('Daily KPI'!$D:$D,$A21,'Daily KPI'!AA:AA)/1000</f>
        <v>0</v>
      </c>
      <c r="G21" s="73">
        <f>IFERROR(E21/C21/'Modelling New'!$AQ$1,"")</f>
        <v>0.72526472428842637</v>
      </c>
      <c r="H21" s="74" t="str">
        <f>IFERROR(F21/D21/'Modelling New'!$AQ$1,"")</f>
        <v/>
      </c>
      <c r="I21" s="73">
        <f>IFERROR(E21/(B21*24*'Modelling New'!$AQ$1),"")</f>
        <v>0.72180652847003735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45861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23</v>
      </c>
      <c r="C4" s="71">
        <f>_xlfn.XLOOKUP($A$4,'Modelling New'!$D:$D,'Modelling New'!R:R)</f>
        <v>106.41946493548384</v>
      </c>
      <c r="D4" s="72">
        <f>SUMIF('Daily KPI'!$D:$D,$A$4,'Daily KPI'!I:I)</f>
        <v>106.83750000000001</v>
      </c>
      <c r="E4" s="71">
        <f>_xlfn.XLOOKUP($A$4,'Modelling New'!$D:$D,'Modelling New'!U:U)</f>
        <v>936.16104528452729</v>
      </c>
      <c r="F4" s="72">
        <f>SUMIF('Daily KPI'!$D:$D,$A$4,'Daily KPI'!$AA:$AA)/1000</f>
        <v>935.43160000000682</v>
      </c>
      <c r="G4" s="73">
        <f>IFERROR(E4/C4/'Modelling New'!$AQ$1,"")</f>
        <v>0.75058845994317591</v>
      </c>
      <c r="H4" s="74">
        <f>IFERROR(F4/D4/'Modelling New'!$AQ$1,"")</f>
        <v>0.7470689873420302</v>
      </c>
      <c r="I4" s="73">
        <f>IFERROR(E4/(B4*24*'Modelling New'!$AQ$1),"")</f>
        <v>0.14470511285127108</v>
      </c>
      <c r="J4" s="74">
        <f>IFERROR(F4/(B4*24*'Modelling New'!$AQ$1),"")</f>
        <v>0.14459236038977202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0.98787437736425976</v>
      </c>
      <c r="M4" s="73">
        <f>_xlfn.XLOOKUP($A$4,'Modelling New'!$D:$D,'Modelling New'!AE:AE)</f>
        <v>0.995</v>
      </c>
      <c r="N4" s="74">
        <f>IFERROR(AVERAGEIF('Daily KPI'!$D:$D,$A$4,'Daily KPI'!O:O),"")</f>
        <v>0.99972034492746575</v>
      </c>
      <c r="O4" s="73">
        <f>_xlfn.XLOOKUP($A$4,'Modelling New'!$D:$D,'Modelling New'!AG:AG)</f>
        <v>0.995</v>
      </c>
      <c r="P4" s="74">
        <f>IFERROR(AVERAGEIF('Daily KPI'!$D:$D,$A$4,'Daily KPI'!T:T),"")</f>
        <v>0.9870825560076123</v>
      </c>
    </row>
    <row r="7" spans="1:16">
      <c r="A7" s="66" t="s">
        <v>80</v>
      </c>
      <c r="B7" s="67">
        <f>B8-6</f>
        <v>45855</v>
      </c>
      <c r="D7" s="75"/>
      <c r="F7" s="75"/>
    </row>
    <row r="8" spans="1:16">
      <c r="A8" s="66" t="s">
        <v>81</v>
      </c>
      <c r="B8" s="67">
        <f>$B$1</f>
        <v>45861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31.981000000000002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278.69200000000831</v>
      </c>
      <c r="G11" s="73">
        <f>IFERROR(E11/C11/'Modelling New'!$AQ$1,"")</f>
        <v>0.75058845994317613</v>
      </c>
      <c r="H11" s="74">
        <f>IFERROR(F11/D11/'Modelling New'!$AQ$1,"")</f>
        <v>0.74354088012797348</v>
      </c>
      <c r="I11" s="73">
        <f>IFERROR(E11/(B11*24*'Modelling New'!$AQ$1),"")</f>
        <v>0.14470511285127111</v>
      </c>
      <c r="J11" s="74">
        <f>IFERROR(F11/(B11*24*'Modelling New'!$AQ$1),"")</f>
        <v>0.14154274337721859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0.97923555216479119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0.99928359977574666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0.98560252217012612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34</v>
      </c>
      <c r="M118" s="131">
        <f>IFERROR(_xlfn.XLOOKUP($A118,'Raw Data'!$G:$G,'Raw Data'!Y:Y),"")</f>
        <v>2.8</v>
      </c>
      <c r="N118" s="131">
        <f>IFERROR(_xlfn.XLOOKUP($A118,'Raw Data'!$G:$G,'Raw Data'!Z:Z),"")</f>
        <v>7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 t="str">
        <f>IFERROR(_xlfn.XLOOKUP($A119,'Raw Data'!$G:$G,'Raw Data'!$AH:$AH),"")</f>
        <v/>
      </c>
      <c r="G119" s="131" t="str">
        <f>IFERROR(_xlfn.XLOOKUP($A119,'Raw Data'!$G:$G,'Raw Data'!$S:$S)/1000,"")</f>
        <v/>
      </c>
      <c r="H119" s="131"/>
      <c r="I119" s="131" t="str">
        <f>IFERROR(_xlfn.XLOOKUP($A119,'Raw Data'!$G:$G,'Raw Data'!$AF:$AF)/1000,"")</f>
        <v/>
      </c>
      <c r="J119" s="131"/>
      <c r="K119" s="131" t="str">
        <f>IFERROR(_xlfn.XLOOKUP($A119,'Raw Data'!$G:$G,'Raw Data'!W:W),"")</f>
        <v/>
      </c>
      <c r="L119" s="131" t="str">
        <f>IFERROR(_xlfn.XLOOKUP($A119,'Raw Data'!$G:$G,'Raw Data'!X:X),"")</f>
        <v/>
      </c>
      <c r="M119" s="131" t="str">
        <f>IFERROR(_xlfn.XLOOKUP($A119,'Raw Data'!$G:$G,'Raw Data'!Y:Y),"")</f>
        <v/>
      </c>
      <c r="N119" s="131" t="str">
        <f>IFERROR(_xlfn.XLOOKUP($A119,'Raw Data'!$G:$G,'Raw Data'!Z:Z),"")</f>
        <v/>
      </c>
      <c r="O119" s="158" t="str">
        <f>IFERROR(1-SUMIF('Plant BD'!$H:$H,$A119,'Plant BD'!AC:AC)/$F119,"")</f>
        <v/>
      </c>
      <c r="P119" s="158"/>
      <c r="Q119" s="159"/>
      <c r="R119" s="158" t="str">
        <f>IFERROR(1-SUMIF('Grid BD'!$H:$H,$A119,'Grid BD'!AB:AB)/$F119,"")</f>
        <v/>
      </c>
      <c r="T119" s="159" t="str">
        <f>IFERROR(1-SUMIF(Tracker_BD!$H:$H,$A119,Tracker_BD!AI:AI)/$F119,"")</f>
        <v/>
      </c>
      <c r="U119" s="160" t="str">
        <f t="shared" si="5"/>
        <v/>
      </c>
      <c r="V119" s="160"/>
      <c r="W119" s="161" t="str">
        <f t="shared" si="6"/>
        <v/>
      </c>
      <c r="X119" s="156" t="str">
        <f>IFERROR(_xlfn.XLOOKUP($A119,'Raw Data'!$G:$G,'Raw Data'!$AB:$AB),"")</f>
        <v/>
      </c>
      <c r="Y119" s="156" t="str">
        <f>IFERROR(_xlfn.XLOOKUP($A119,'Raw Data'!$G:$G,'Raw Data'!AC:AC),"")</f>
        <v/>
      </c>
      <c r="Z119" s="156" t="str">
        <f>IFERROR(_xlfn.XLOOKUP($A119,'Raw Data'!$G:$G,'Raw Data'!AD:AD),"")</f>
        <v/>
      </c>
      <c r="AA119" s="156" t="str">
        <f>IFERROR(_xlfn.XLOOKUP($A119,'Raw Data'!$G:$G,'Raw Data'!AE:AE),"")</f>
        <v/>
      </c>
      <c r="AB119" s="156" t="str">
        <f>IFERROR(_xlfn.XLOOKUP($A119,'Raw Data'!$G:$G,'Raw Data'!$H:$H),"")</f>
        <v/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 t="str">
        <f>IFERROR(_xlfn.XLOOKUP($A120,'Raw Data'!$G:$G,'Raw Data'!$AH:$AH),"")</f>
        <v/>
      </c>
      <c r="G120" s="131" t="str">
        <f>IFERROR(_xlfn.XLOOKUP($A120,'Raw Data'!$G:$G,'Raw Data'!$S:$S)/1000,"")</f>
        <v/>
      </c>
      <c r="H120" s="131"/>
      <c r="I120" s="131" t="str">
        <f>IFERROR(_xlfn.XLOOKUP($A120,'Raw Data'!$G:$G,'Raw Data'!$AF:$AF)/1000,"")</f>
        <v/>
      </c>
      <c r="J120" s="131"/>
      <c r="K120" s="131" t="str">
        <f>IFERROR(_xlfn.XLOOKUP($A120,'Raw Data'!$G:$G,'Raw Data'!W:W),"")</f>
        <v/>
      </c>
      <c r="L120" s="131" t="str">
        <f>IFERROR(_xlfn.XLOOKUP($A120,'Raw Data'!$G:$G,'Raw Data'!X:X),"")</f>
        <v/>
      </c>
      <c r="M120" s="131" t="str">
        <f>IFERROR(_xlfn.XLOOKUP($A120,'Raw Data'!$G:$G,'Raw Data'!Y:Y),"")</f>
        <v/>
      </c>
      <c r="N120" s="131" t="str">
        <f>IFERROR(_xlfn.XLOOKUP($A120,'Raw Data'!$G:$G,'Raw Data'!Z:Z),"")</f>
        <v/>
      </c>
      <c r="O120" s="158" t="str">
        <f>IFERROR(1-SUMIF('Plant BD'!$H:$H,$A120,'Plant BD'!AC:AC)/$F120,"")</f>
        <v/>
      </c>
      <c r="P120" s="158"/>
      <c r="Q120" s="159"/>
      <c r="R120" s="158" t="str">
        <f>IFERROR(1-SUMIF('Grid BD'!$H:$H,$A120,'Grid BD'!AB:AB)/$F120,"")</f>
        <v/>
      </c>
      <c r="T120" s="159" t="str">
        <f>IFERROR(1-SUMIF(Tracker_BD!$H:$H,$A120,Tracker_BD!AI:AI)/$F120,"")</f>
        <v/>
      </c>
      <c r="U120" s="160" t="str">
        <f t="shared" si="5"/>
        <v/>
      </c>
      <c r="V120" s="160"/>
      <c r="W120" s="161" t="str">
        <f t="shared" si="6"/>
        <v/>
      </c>
      <c r="X120" s="156" t="str">
        <f>IFERROR(_xlfn.XLOOKUP($A120,'Raw Data'!$G:$G,'Raw Data'!$AB:$AB),"")</f>
        <v/>
      </c>
      <c r="Y120" s="156" t="str">
        <f>IFERROR(_xlfn.XLOOKUP($A120,'Raw Data'!$G:$G,'Raw Data'!AC:AC),"")</f>
        <v/>
      </c>
      <c r="Z120" s="156" t="str">
        <f>IFERROR(_xlfn.XLOOKUP($A120,'Raw Data'!$G:$G,'Raw Data'!AD:AD),"")</f>
        <v/>
      </c>
      <c r="AA120" s="156" t="str">
        <f>IFERROR(_xlfn.XLOOKUP($A120,'Raw Data'!$G:$G,'Raw Data'!AE:AE),"")</f>
        <v/>
      </c>
      <c r="AB120" s="156" t="str">
        <f>IFERROR(_xlfn.XLOOKUP($A120,'Raw Data'!$G:$G,'Raw Data'!$H:$H),"")</f>
        <v/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 t="str">
        <f>IFERROR(_xlfn.XLOOKUP($A121,'Raw Data'!$G:$G,'Raw Data'!$AH:$AH),"")</f>
        <v/>
      </c>
      <c r="G121" s="131" t="str">
        <f>IFERROR(_xlfn.XLOOKUP($A121,'Raw Data'!$G:$G,'Raw Data'!$S:$S)/1000,"")</f>
        <v/>
      </c>
      <c r="H121" s="131"/>
      <c r="I121" s="131" t="str">
        <f>IFERROR(_xlfn.XLOOKUP($A121,'Raw Data'!$G:$G,'Raw Data'!$AF:$AF)/1000,"")</f>
        <v/>
      </c>
      <c r="J121" s="131"/>
      <c r="K121" s="131" t="str">
        <f>IFERROR(_xlfn.XLOOKUP($A121,'Raw Data'!$G:$G,'Raw Data'!W:W),"")</f>
        <v/>
      </c>
      <c r="L121" s="131" t="str">
        <f>IFERROR(_xlfn.XLOOKUP($A121,'Raw Data'!$G:$G,'Raw Data'!X:X),"")</f>
        <v/>
      </c>
      <c r="M121" s="131" t="str">
        <f>IFERROR(_xlfn.XLOOKUP($A121,'Raw Data'!$G:$G,'Raw Data'!Y:Y),"")</f>
        <v/>
      </c>
      <c r="N121" s="131" t="str">
        <f>IFERROR(_xlfn.XLOOKUP($A121,'Raw Data'!$G:$G,'Raw Data'!Z:Z),"")</f>
        <v/>
      </c>
      <c r="O121" s="158" t="str">
        <f>IFERROR(1-SUMIF('Plant BD'!$H:$H,$A121,'Plant BD'!AC:AC)/$F121,"")</f>
        <v/>
      </c>
      <c r="P121" s="158"/>
      <c r="Q121" s="159"/>
      <c r="R121" s="158" t="str">
        <f>IFERROR(1-SUMIF('Grid BD'!$H:$H,$A121,'Grid BD'!AB:AB)/$F121,"")</f>
        <v/>
      </c>
      <c r="T121" s="159" t="str">
        <f>IFERROR(1-SUMIF(Tracker_BD!$H:$H,$A121,Tracker_BD!AI:AI)/$F121,"")</f>
        <v/>
      </c>
      <c r="U121" s="160" t="str">
        <f t="shared" si="5"/>
        <v/>
      </c>
      <c r="V121" s="160"/>
      <c r="W121" s="161" t="str">
        <f t="shared" si="6"/>
        <v/>
      </c>
      <c r="X121" s="156" t="str">
        <f>IFERROR(_xlfn.XLOOKUP($A121,'Raw Data'!$G:$G,'Raw Data'!$AB:$AB),"")</f>
        <v/>
      </c>
      <c r="Y121" s="156" t="str">
        <f>IFERROR(_xlfn.XLOOKUP($A121,'Raw Data'!$G:$G,'Raw Data'!AC:AC),"")</f>
        <v/>
      </c>
      <c r="Z121" s="156" t="str">
        <f>IFERROR(_xlfn.XLOOKUP($A121,'Raw Data'!$G:$G,'Raw Data'!AD:AD),"")</f>
        <v/>
      </c>
      <c r="AA121" s="156" t="str">
        <f>IFERROR(_xlfn.XLOOKUP($A121,'Raw Data'!$G:$G,'Raw Data'!AE:AE),"")</f>
        <v/>
      </c>
      <c r="AB121" s="156" t="str">
        <f>IFERROR(_xlfn.XLOOKUP($A121,'Raw Data'!$G:$G,'Raw Data'!$H:$H),"")</f>
        <v/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0"/>
  <sheetViews>
    <sheetView tabSelected="1" zoomScale="98" zoomScaleNormal="98" workbookViewId="0">
      <pane xSplit="7" ySplit="3" topLeftCell="H113" activePane="bottomRight" state="frozen"/>
      <selection pane="topRight" activeCell="H1" sqref="H1"/>
      <selection pane="bottomLeft" activeCell="A4" sqref="A4"/>
      <selection pane="bottomRight" activeCell="K120" sqref="K120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0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v>6615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v>6615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v>6615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34</v>
      </c>
      <c r="Y120" s="2">
        <v>2.8</v>
      </c>
      <c r="Z120" s="2">
        <v>7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v>6615</v>
      </c>
      <c r="AH120" s="35">
        <f t="shared" ref="AH120" si="98">IFERROR((J120-I120)*24,"")</f>
        <v>12.050000000000002</v>
      </c>
      <c r="AI120" s="2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23</v>
      </c>
      <c r="R41" s="141">
        <f t="shared" si="42"/>
        <v>106.41946493548384</v>
      </c>
      <c r="S41" s="149">
        <f>SUMIF($F$2:F41,F41,$R$2:R41)</f>
        <v>740.4524709354838</v>
      </c>
      <c r="T41" s="140">
        <f t="shared" si="43"/>
        <v>40.702654142805535</v>
      </c>
      <c r="U41" s="141">
        <f t="shared" si="44"/>
        <v>936.16104528452729</v>
      </c>
      <c r="V41" s="149">
        <f>SUMIF($F$2:F41,F41,$U$2:U41)</f>
        <v>6293.9219501696152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0.19628072265413296</v>
      </c>
      <c r="Z41" s="140">
        <f>IFERROR(AVERAGEIF('Daily KPI'!D:D,Table14[[#This Row],[Month]],'Daily KPI'!AB:AB),"")</f>
        <v>11.720000000000002</v>
      </c>
      <c r="AA41" s="143">
        <f>IFERROR(AVERAGEIF($F$2:F41,F41,$Z$2:Z41),"")</f>
        <v>11.720000000000006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740.4524709354838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6293.9219501696152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0.19628072265413296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11.720000000000006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740.4524709354838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6293.9219501696152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0.19628072265413296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11.720000000000006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740.4524709354838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6293.9219501696152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0.19628072265413296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11.720000000000006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740.4524709354838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6293.9219501696152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0.19628072265413296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11.720000000000006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740.4524709354838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6293.9219501696152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0.19628072265413296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11.720000000000006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740.4524709354838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6293.9219501696152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0.19628072265413296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11.720000000000006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740.4524709354838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6293.9219501696152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0.19628072265413296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11.720000000000006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740.4524709354838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6293.9219501696152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0.19628072265413296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11.720000000000006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9"/>
  <sheetViews>
    <sheetView topLeftCell="A2" workbookViewId="0">
      <pane xSplit="1" ySplit="1" topLeftCell="B103" activePane="bottomRight" state="frozen"/>
      <selection pane="topRight" activeCell="B2" sqref="B2"/>
      <selection pane="bottomLeft" activeCell="A3" sqref="A3"/>
      <selection pane="bottomRight" activeCell="J119" sqref="J119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19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8"/>
  <sheetViews>
    <sheetView zoomScale="106" zoomScaleNormal="106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A119" sqref="A119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18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</sheetData>
  <phoneticPr fontId="34" type="noConversion"/>
  <conditionalFormatting sqref="J2:Q11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1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28"/>
  <sheetViews>
    <sheetView workbookViewId="0">
      <pane xSplit="8" ySplit="3" topLeftCell="V1615" activePane="bottomRight" state="frozen"/>
      <selection pane="topRight" activeCell="I1" sqref="I1"/>
      <selection pane="bottomLeft" activeCell="A4" sqref="A4"/>
      <selection pane="bottomRight" activeCell="Y1619" sqref="Y1619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28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05" activePane="bottomRight" state="frozen"/>
      <selection pane="topRight" activeCell="I2" sqref="I2"/>
      <selection pane="bottomLeft" activeCell="A3" sqref="A3"/>
      <selection pane="bottomRight" activeCell="Q120" sqref="Q120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2025-07-24T04:06:51Z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